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theme/themeOverride1.xml" ContentType="application/vnd.openxmlformats-officedocument.themeOverride+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theme/themeOverride3.xml" ContentType="application/vnd.openxmlformats-officedocument.themeOverride+xml"/>
  <Override PartName="/xl/charts/chart8.xml" ContentType="application/vnd.openxmlformats-officedocument.drawingml.chart+xml"/>
  <Override PartName="/xl/theme/themeOverride4.xml" ContentType="application/vnd.openxmlformats-officedocument.themeOverrid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theme/themeOverride5.xml" ContentType="application/vnd.openxmlformats-officedocument.themeOverride+xml"/>
  <Override PartName="/xl/charts/chart12.xml" ContentType="application/vnd.openxmlformats-officedocument.drawingml.chart+xml"/>
  <Override PartName="/xl/theme/themeOverride6.xml" ContentType="application/vnd.openxmlformats-officedocument.themeOverride+xml"/>
  <Override PartName="/xl/charts/chart13.xml" ContentType="application/vnd.openxmlformats-officedocument.drawingml.chart+xml"/>
  <Override PartName="/xl/charts/chart14.xml" ContentType="application/vnd.openxmlformats-officedocument.drawingml.chart+xml"/>
  <Override PartName="/xl/drawings/drawing4.xml" ContentType="application/vnd.openxmlformats-officedocument.drawingml.chartshapes+xml"/>
  <Override PartName="/xl/charts/chart15.xml" ContentType="application/vnd.openxmlformats-officedocument.drawingml.chart+xml"/>
  <Override PartName="/xl/drawings/drawing5.xml" ContentType="application/vnd.openxmlformats-officedocument.drawing+xml"/>
  <Override PartName="/xl/ctrlProps/ctrlProp14.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charts/chart16.xml" ContentType="application/vnd.openxmlformats-officedocument.drawingml.chart+xml"/>
  <Override PartName="/xl/drawings/drawing10.xml" ContentType="application/vnd.openxmlformats-officedocument.drawingml.chartshapes+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charts/chart17.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01" codeName="{4D1C537B-E38A-612A-F078-A93A15B4B7F4}"/>
  <workbookPr showInkAnnotation="0" codeName="DieseArbeitsmappe"/>
  <mc:AlternateContent xmlns:mc="http://schemas.openxmlformats.org/markup-compatibility/2006">
    <mc:Choice Requires="x15">
      <x15ac:absPath xmlns:x15ac="http://schemas.microsoft.com/office/spreadsheetml/2010/11/ac" url="C:\Data\xls\"/>
    </mc:Choice>
  </mc:AlternateContent>
  <xr:revisionPtr revIDLastSave="0" documentId="13_ncr:1_{D2E94E0D-8419-409F-81E3-74FEBF67DA02}" xr6:coauthVersionLast="46" xr6:coauthVersionMax="46" xr10:uidLastSave="{00000000-0000-0000-0000-000000000000}"/>
  <bookViews>
    <workbookView xWindow="28890" yWindow="0" windowWidth="26370" windowHeight="15930" tabRatio="863" firstSheet="7" activeTab="13" xr2:uid="{00000000-000D-0000-FFFF-FFFF00000000}"/>
  </bookViews>
  <sheets>
    <sheet name="Start-Experte" sheetId="74" r:id="rId1"/>
    <sheet name="ControlPanel" sheetId="19" state="hidden" r:id="rId2"/>
    <sheet name="Parameter-Entscheider" sheetId="76" state="hidden" r:id="rId3"/>
    <sheet name="Start" sheetId="75" state="hidden" r:id="rId4"/>
    <sheet name="Resultats" sheetId="116" r:id="rId5"/>
    <sheet name="Manual" sheetId="78" r:id="rId6"/>
    <sheet name="Impressum" sheetId="79" r:id="rId7"/>
    <sheet name="Index" sheetId="18" r:id="rId8"/>
    <sheet name="IndexComplete" sheetId="81" state="hidden" r:id="rId9"/>
    <sheet name="MOD-Berechnungen" sheetId="39" r:id="rId10"/>
    <sheet name="MOD-Jahresgang" sheetId="51" r:id="rId11"/>
    <sheet name="GrD-Grafikdaten" sheetId="80" r:id="rId12"/>
    <sheet name="GrD-Grafikdaten (2)" sheetId="103" r:id="rId13"/>
    <sheet name="MOD_Absenkung_Wind_offshore" sheetId="114" r:id="rId14"/>
    <sheet name="D-Vergütungssatz Neuanlagen" sheetId="58" r:id="rId15"/>
    <sheet name="D-Bruttozubau" sheetId="41" r:id="rId16"/>
    <sheet name="D-Standardauslastung" sheetId="42" r:id="rId17"/>
    <sheet name="D-Dargebotsfaktor" sheetId="40" r:id="rId18"/>
    <sheet name="D-Spot-Skalierungsfaktor" sheetId="28" r:id="rId19"/>
    <sheet name="D-Profilfaktoren" sheetId="68" r:id="rId20"/>
    <sheet name="D-Dauer Goldenes Ende" sheetId="122" r:id="rId21"/>
    <sheet name="D-Future Strompreis" sheetId="22" r:id="rId22"/>
    <sheet name="D-Liquiditätspuffer" sheetId="29" r:id="rId23"/>
    <sheet name="D-Nettostromverbrauch" sheetId="31" r:id="rId24"/>
    <sheet name="D-Privilegierter Letztverbrauch" sheetId="32" r:id="rId25"/>
    <sheet name="D-Umlage priv. Letztverbrauch" sheetId="36" r:id="rId26"/>
    <sheet name="D-Faktor Zusatzprivilegierung" sheetId="95" r:id="rId27"/>
    <sheet name="D-Umlage EV Bestand" sheetId="98" r:id="rId28"/>
    <sheet name="D-Eigenverbrauch KWK Neue" sheetId="87" r:id="rId29"/>
    <sheet name="D-Umlage Eigenverbrauch PV+KWK" sheetId="91" r:id="rId30"/>
    <sheet name="D-vermiedene Netzentgelte" sheetId="49" r:id="rId31"/>
    <sheet name="D-Sonstige Kosten" sheetId="52" r:id="rId32"/>
    <sheet name="D-Inflationsrate" sheetId="108" r:id="rId33"/>
    <sheet name="D-Prognosefehler Kontostand" sheetId="85" r:id="rId34"/>
    <sheet name="D-Kontostand aktuelles Jahr" sheetId="84" r:id="rId35"/>
    <sheet name="D-Anteil Eigenverbrauch EE neu" sheetId="48" r:id="rId36"/>
    <sheet name="D-Zuschuss" sheetId="126" r:id="rId37"/>
    <sheet name="D-Strommenge ges." sheetId="47" r:id="rId38"/>
    <sheet name="D-Strommenge FV+DM" sheetId="93" r:id="rId39"/>
    <sheet name="D-Mittlerer Vergütungssatz" sheetId="45" r:id="rId40"/>
    <sheet name="D-Kontostand Vorjahr" sheetId="30" r:id="rId41"/>
    <sheet name="D-Bestand Kapazität" sheetId="99" r:id="rId42"/>
    <sheet name="D-Bestand Strommenge" sheetId="100" r:id="rId43"/>
    <sheet name="D-Bestand Zahlungen" sheetId="86" r:id="rId44"/>
    <sheet name="D-Grünstromprivileg" sheetId="35" r:id="rId45"/>
    <sheet name="D-Eigenverbrauch fossil Bestand" sheetId="33" r:id="rId46"/>
    <sheet name="D-Eigenverbrauch fossile Neue" sheetId="90" r:id="rId47"/>
    <sheet name="D-Eigenverbrauch EE-Bestand" sheetId="89" r:id="rId48"/>
    <sheet name="D-Umlagereduktion Grünstrom" sheetId="38" r:id="rId49"/>
    <sheet name="D-Umlage Eigenverb fossile Neue" sheetId="92" r:id="rId50"/>
    <sheet name="D-Vergütung Eigenverbrauch" sheetId="53" r:id="rId51"/>
    <sheet name="D-Managementprämie_Bestand" sheetId="97" r:id="rId52"/>
    <sheet name="D-Netzverl. u. KW-Eigenverbr." sheetId="117" r:id="rId53"/>
    <sheet name="D-Kapazitäten 2009" sheetId="118" r:id="rId54"/>
    <sheet name="D-Rückbau vor 2015" sheetId="120" r:id="rId55"/>
    <sheet name="D-EE-Kapazitäten nicht EEG" sheetId="124" r:id="rId56"/>
    <sheet name="D-EE-Strommengen nicht EEG" sheetId="121" r:id="rId57"/>
    <sheet name="D-Profilfaktoren_Marktprämie" sheetId="125" r:id="rId58"/>
  </sheets>
  <definedNames>
    <definedName name="_xlnm.Print_Area" localSheetId="35">'D-Anteil Eigenverbrauch EE neu'!$B$1:$N$168</definedName>
    <definedName name="_xlnm.Print_Area" localSheetId="41">'D-Bestand Kapazität'!$B$1:$N$12</definedName>
    <definedName name="_xlnm.Print_Area" localSheetId="42">'D-Bestand Strommenge'!$B$1:$N$12</definedName>
    <definedName name="_xlnm.Print_Area" localSheetId="43">'D-Bestand Zahlungen'!$B$1:$N$12</definedName>
    <definedName name="_xlnm.Print_Area" localSheetId="15">'D-Bruttozubau'!$B$1:$N$202</definedName>
    <definedName name="_xlnm.Print_Area" localSheetId="17">'D-Dargebotsfaktor'!$B$1:$N$193</definedName>
    <definedName name="_xlnm.Print_Area" localSheetId="20">'D-Dauer Goldenes Ende'!$B$1:$N$193</definedName>
    <definedName name="_xlnm.Print_Area" localSheetId="55">'D-EE-Kapazitäten nicht EEG'!$B$1:$N$193</definedName>
    <definedName name="_xlnm.Print_Area" localSheetId="56">'D-EE-Strommengen nicht EEG'!$B$1:$N$193</definedName>
    <definedName name="_xlnm.Print_Area" localSheetId="47">'D-Eigenverbrauch EE-Bestand'!$B$1:$N$12</definedName>
    <definedName name="_xlnm.Print_Area" localSheetId="45">'D-Eigenverbrauch fossil Bestand'!$B$1:$M$25</definedName>
    <definedName name="_xlnm.Print_Area" localSheetId="46">'D-Eigenverbrauch fossile Neue'!$B$1:$M$25</definedName>
    <definedName name="_xlnm.Print_Area" localSheetId="28">'D-Eigenverbrauch KWK Neue'!$B$1:$M$25</definedName>
    <definedName name="_xlnm.Print_Area" localSheetId="26">'D-Faktor Zusatzprivilegierung'!$B$1:$M$25</definedName>
    <definedName name="_xlnm.Print_Area" localSheetId="21">'D-Future Strompreis'!$B$1:$M$25</definedName>
    <definedName name="_xlnm.Print_Area" localSheetId="44">'D-Grünstromprivileg'!$B$1:$M$25</definedName>
    <definedName name="_xlnm.Print_Area" localSheetId="32">'D-Inflationsrate'!$B$1:$M$25</definedName>
    <definedName name="_xlnm.Print_Area" localSheetId="53">'D-Kapazitäten 2009'!$B$1:$G$12</definedName>
    <definedName name="_xlnm.Print_Area" localSheetId="34">'D-Kontostand aktuelles Jahr'!$B$1:$F$25</definedName>
    <definedName name="_xlnm.Print_Area" localSheetId="40">'D-Kontostand Vorjahr'!$B$1:$M$6</definedName>
    <definedName name="_xlnm.Print_Area" localSheetId="22">'D-Liquiditätspuffer'!$B$1:$M$25</definedName>
    <definedName name="_xlnm.Print_Area" localSheetId="51">'D-Managementprämie_Bestand'!$B$1:$N$193</definedName>
    <definedName name="_xlnm.Print_Area" localSheetId="39">'D-Mittlerer Vergütungssatz'!$B$1:$N$12</definedName>
    <definedName name="_xlnm.Print_Area" localSheetId="23">'D-Nettostromverbrauch'!$B$1:$M$25</definedName>
    <definedName name="_xlnm.Print_Area" localSheetId="52">'D-Netzverl. u. KW-Eigenverbr.'!$B$1:$M$25</definedName>
    <definedName name="_xlnm.Print_Area" localSheetId="24">'D-Privilegierter Letztverbrauch'!$B$1:$M$25</definedName>
    <definedName name="_xlnm.Print_Area" localSheetId="19">'D-Profilfaktoren'!$B$1:$N$193</definedName>
    <definedName name="_xlnm.Print_Area" localSheetId="57">'D-Profilfaktoren_Marktprämie'!$B$1:$N$193</definedName>
    <definedName name="_xlnm.Print_Area" localSheetId="33">'D-Prognosefehler Kontostand'!$B$1:$F$25</definedName>
    <definedName name="_xlnm.Print_Area" localSheetId="54">'D-Rückbau vor 2015'!$B$1:$N$193</definedName>
    <definedName name="_xlnm.Print_Area" localSheetId="31">'D-Sonstige Kosten'!$B$1:$M$25</definedName>
    <definedName name="_xlnm.Print_Area" localSheetId="18">'D-Spot-Skalierungsfaktor'!$B$1:$M$25</definedName>
    <definedName name="_xlnm.Print_Area" localSheetId="16">'D-Standardauslastung'!$B$1:$N$193</definedName>
    <definedName name="_xlnm.Print_Area" localSheetId="38">'D-Strommenge FV+DM'!$B$1:$N$12</definedName>
    <definedName name="_xlnm.Print_Area" localSheetId="37">'D-Strommenge ges.'!$B$1:$N$12</definedName>
    <definedName name="_xlnm.Print_Area" localSheetId="49">'D-Umlage Eigenverb fossile Neue'!$B$1:$M$25</definedName>
    <definedName name="_xlnm.Print_Area" localSheetId="29">'D-Umlage Eigenverbrauch PV+KWK'!$B$1:$M$25</definedName>
    <definedName name="_xlnm.Print_Area" localSheetId="27">'D-Umlage EV Bestand'!$B$1:$M$25</definedName>
    <definedName name="_xlnm.Print_Area" localSheetId="25">'D-Umlage priv. Letztverbrauch'!$B$1:$M$25</definedName>
    <definedName name="_xlnm.Print_Area" localSheetId="48">'D-Umlagereduktion Grünstrom'!$B$1:$M$25</definedName>
    <definedName name="_xlnm.Print_Area" localSheetId="50">'D-Vergütung Eigenverbrauch'!$B$1:$N$193</definedName>
    <definedName name="_xlnm.Print_Area" localSheetId="14">'D-Vergütungssatz Neuanlagen'!$B$3:$N$193</definedName>
    <definedName name="_xlnm.Print_Area" localSheetId="30">'D-vermiedene Netzentgelte'!$B$3:$M$25</definedName>
    <definedName name="_xlnm.Print_Area" localSheetId="36">'D-Zuschuss'!$B$1:$M$25</definedName>
    <definedName name="_xlnm.Print_Area" localSheetId="5">Manual!$C$1:$D$30</definedName>
    <definedName name="_xlnm.Print_Area" localSheetId="9">'MOD-Berechnungen'!$A$1:$AF$403</definedName>
    <definedName name="_xlnm.Print_Area" localSheetId="10">'MOD-Jahresgang'!$A$1:$Q$107</definedName>
    <definedName name="_xlnm.Print_Area" localSheetId="0">'Start-Experte'!$B$2:$AA$59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3" i="58" l="1"/>
  <c r="J6" i="74"/>
  <c r="I22" i="74"/>
  <c r="I21" i="74"/>
  <c r="H6" i="122"/>
  <c r="I6" i="122"/>
  <c r="J6" i="122"/>
  <c r="K6" i="122"/>
  <c r="L6" i="122"/>
  <c r="M6" i="122"/>
  <c r="N6" i="122"/>
  <c r="O6" i="122"/>
  <c r="P6" i="122"/>
  <c r="Q6" i="122"/>
  <c r="R6" i="122"/>
  <c r="H7" i="122"/>
  <c r="I7" i="122"/>
  <c r="J7" i="122"/>
  <c r="K7" i="122"/>
  <c r="L7" i="122"/>
  <c r="M7" i="122"/>
  <c r="N7" i="122"/>
  <c r="O7" i="122"/>
  <c r="P7" i="122"/>
  <c r="Q7" i="122"/>
  <c r="R7" i="122"/>
  <c r="H8" i="122"/>
  <c r="I8" i="122"/>
  <c r="J8" i="122"/>
  <c r="K8" i="122"/>
  <c r="L8" i="122"/>
  <c r="M8" i="122"/>
  <c r="N8" i="122"/>
  <c r="O8" i="122"/>
  <c r="P8" i="122"/>
  <c r="Q8" i="122"/>
  <c r="R8" i="122"/>
  <c r="H9" i="122"/>
  <c r="I9" i="122"/>
  <c r="J9" i="122"/>
  <c r="K9" i="122"/>
  <c r="L9" i="122"/>
  <c r="M9" i="122"/>
  <c r="N9" i="122"/>
  <c r="O9" i="122"/>
  <c r="P9" i="122"/>
  <c r="Q9" i="122"/>
  <c r="R9" i="122"/>
  <c r="H10" i="122"/>
  <c r="I10" i="122"/>
  <c r="J10" i="122"/>
  <c r="K10" i="122"/>
  <c r="L10" i="122"/>
  <c r="M10" i="122"/>
  <c r="N10" i="122"/>
  <c r="O10" i="122"/>
  <c r="P10" i="122"/>
  <c r="Q10" i="122"/>
  <c r="R10" i="122"/>
  <c r="H11" i="122"/>
  <c r="I11" i="122"/>
  <c r="J11" i="122"/>
  <c r="K11" i="122"/>
  <c r="L11" i="122"/>
  <c r="M11" i="122"/>
  <c r="N11" i="122"/>
  <c r="O11" i="122"/>
  <c r="P11" i="122"/>
  <c r="Q11" i="122"/>
  <c r="R11" i="122"/>
  <c r="H12" i="122"/>
  <c r="I12" i="122"/>
  <c r="J12" i="122"/>
  <c r="K12" i="122"/>
  <c r="L12" i="122"/>
  <c r="M12" i="122"/>
  <c r="N12" i="122"/>
  <c r="O12" i="122"/>
  <c r="P12" i="122"/>
  <c r="Q12" i="122"/>
  <c r="R12" i="122"/>
  <c r="G12" i="122"/>
  <c r="G11" i="122"/>
  <c r="G10" i="122"/>
  <c r="G9" i="122"/>
  <c r="G8" i="122"/>
  <c r="G7" i="122"/>
  <c r="G6" i="122"/>
  <c r="H6" i="42"/>
  <c r="I6" i="42"/>
  <c r="J6" i="42"/>
  <c r="K6" i="42"/>
  <c r="L6" i="42"/>
  <c r="M6" i="42"/>
  <c r="N6" i="42"/>
  <c r="O6" i="42"/>
  <c r="P6" i="42"/>
  <c r="Q6" i="42"/>
  <c r="R6" i="42"/>
  <c r="H7" i="42"/>
  <c r="I7" i="42"/>
  <c r="J7" i="42"/>
  <c r="K7" i="42"/>
  <c r="L7" i="42"/>
  <c r="M7" i="42"/>
  <c r="N7" i="42"/>
  <c r="O7" i="42"/>
  <c r="P7" i="42"/>
  <c r="Q7" i="42"/>
  <c r="R7" i="42"/>
  <c r="H8" i="42"/>
  <c r="I8" i="42"/>
  <c r="J8" i="42"/>
  <c r="K8" i="42"/>
  <c r="L8" i="42"/>
  <c r="M8" i="42"/>
  <c r="N8" i="42"/>
  <c r="O8" i="42"/>
  <c r="P8" i="42"/>
  <c r="Q8" i="42"/>
  <c r="R8" i="42"/>
  <c r="H9" i="42"/>
  <c r="I9" i="42"/>
  <c r="J9" i="42"/>
  <c r="K9" i="42"/>
  <c r="L9" i="42"/>
  <c r="M9" i="42"/>
  <c r="N9" i="42"/>
  <c r="O9" i="42"/>
  <c r="P9" i="42"/>
  <c r="Q9" i="42"/>
  <c r="R9" i="42"/>
  <c r="H10" i="42"/>
  <c r="I10" i="42"/>
  <c r="J10" i="42"/>
  <c r="K10" i="42"/>
  <c r="L10" i="42"/>
  <c r="M10" i="42"/>
  <c r="N10" i="42"/>
  <c r="O10" i="42"/>
  <c r="P10" i="42"/>
  <c r="Q10" i="42"/>
  <c r="R10" i="42"/>
  <c r="H11" i="42"/>
  <c r="I11" i="42"/>
  <c r="J11" i="42"/>
  <c r="K11" i="42"/>
  <c r="L11" i="42"/>
  <c r="M11" i="42"/>
  <c r="N11" i="42"/>
  <c r="O11" i="42"/>
  <c r="P11" i="42"/>
  <c r="Q11" i="42"/>
  <c r="R11" i="42"/>
  <c r="H12" i="42"/>
  <c r="I12" i="42"/>
  <c r="J12" i="42"/>
  <c r="K12" i="42"/>
  <c r="L12" i="42"/>
  <c r="M12" i="42"/>
  <c r="N12" i="42"/>
  <c r="O12" i="42"/>
  <c r="P12" i="42"/>
  <c r="Q12" i="42"/>
  <c r="R12" i="42"/>
  <c r="G12" i="42"/>
  <c r="G11" i="42"/>
  <c r="G10" i="42"/>
  <c r="G9" i="42"/>
  <c r="G8" i="42"/>
  <c r="G7" i="42"/>
  <c r="G6" i="42"/>
  <c r="H7" i="68"/>
  <c r="I7" i="68"/>
  <c r="J7" i="68"/>
  <c r="K7" i="68"/>
  <c r="L7" i="68"/>
  <c r="M7" i="68"/>
  <c r="N7" i="68"/>
  <c r="O7" i="68"/>
  <c r="P7" i="68"/>
  <c r="Q7" i="68"/>
  <c r="R7" i="68"/>
  <c r="H8" i="68"/>
  <c r="I8" i="68"/>
  <c r="J8" i="68"/>
  <c r="K8" i="68"/>
  <c r="L8" i="68"/>
  <c r="M8" i="68"/>
  <c r="N8" i="68"/>
  <c r="O8" i="68"/>
  <c r="P8" i="68"/>
  <c r="Q8" i="68"/>
  <c r="R8" i="68"/>
  <c r="H9" i="68"/>
  <c r="I9" i="68"/>
  <c r="J9" i="68"/>
  <c r="K9" i="68"/>
  <c r="L9" i="68"/>
  <c r="M9" i="68"/>
  <c r="N9" i="68"/>
  <c r="O9" i="68"/>
  <c r="P9" i="68"/>
  <c r="Q9" i="68"/>
  <c r="R9" i="68"/>
  <c r="H10" i="68"/>
  <c r="I10" i="68"/>
  <c r="J10" i="68"/>
  <c r="K10" i="68"/>
  <c r="L10" i="68"/>
  <c r="M10" i="68"/>
  <c r="N10" i="68"/>
  <c r="O10" i="68"/>
  <c r="P10" i="68"/>
  <c r="Q10" i="68"/>
  <c r="R10" i="68"/>
  <c r="H11" i="68"/>
  <c r="I11" i="68"/>
  <c r="J11" i="68"/>
  <c r="K11" i="68"/>
  <c r="L11" i="68"/>
  <c r="M11" i="68"/>
  <c r="N11" i="68"/>
  <c r="O11" i="68"/>
  <c r="P11" i="68"/>
  <c r="Q11" i="68"/>
  <c r="R11" i="68"/>
  <c r="H12" i="68"/>
  <c r="I12" i="68"/>
  <c r="J12" i="68"/>
  <c r="K12" i="68"/>
  <c r="L12" i="68"/>
  <c r="M12" i="68"/>
  <c r="N12" i="68"/>
  <c r="O12" i="68"/>
  <c r="P12" i="68"/>
  <c r="Q12" i="68"/>
  <c r="R12" i="68"/>
  <c r="G12" i="68"/>
  <c r="G11" i="68"/>
  <c r="G10" i="68"/>
  <c r="G9" i="68"/>
  <c r="G8" i="68"/>
  <c r="G7" i="68"/>
  <c r="H6" i="68"/>
  <c r="I6" i="68"/>
  <c r="J6" i="68"/>
  <c r="K6" i="68"/>
  <c r="L6" i="68"/>
  <c r="M6" i="68"/>
  <c r="N6" i="68"/>
  <c r="O6" i="68"/>
  <c r="P6" i="68"/>
  <c r="Q6" i="68"/>
  <c r="R6" i="68"/>
  <c r="G6" i="68"/>
  <c r="D18" i="29"/>
  <c r="D17" i="29"/>
  <c r="D16" i="29"/>
  <c r="D15" i="29"/>
  <c r="D14" i="29"/>
  <c r="D13" i="29"/>
  <c r="D12" i="29"/>
  <c r="D11" i="29"/>
  <c r="D10" i="29"/>
  <c r="D9" i="29"/>
  <c r="D8" i="29"/>
  <c r="E11" i="22"/>
  <c r="E10" i="22"/>
  <c r="E117" i="58"/>
  <c r="R12" i="58"/>
  <c r="Q12" i="58"/>
  <c r="P12" i="58"/>
  <c r="O12" i="58"/>
  <c r="N12" i="58"/>
  <c r="M12" i="58"/>
  <c r="L12" i="58"/>
  <c r="K12" i="58"/>
  <c r="J12" i="58"/>
  <c r="I12" i="58"/>
  <c r="H12" i="58"/>
  <c r="G12" i="58"/>
  <c r="R11" i="58"/>
  <c r="Q11" i="58"/>
  <c r="P11" i="58"/>
  <c r="O11" i="58"/>
  <c r="N11" i="58"/>
  <c r="M11" i="58"/>
  <c r="L11" i="58"/>
  <c r="K11" i="58"/>
  <c r="J11" i="58"/>
  <c r="I11" i="58"/>
  <c r="H11" i="58"/>
  <c r="G11" i="58"/>
  <c r="R10" i="58"/>
  <c r="Q10" i="58"/>
  <c r="P10" i="58"/>
  <c r="O10" i="58"/>
  <c r="N10" i="58"/>
  <c r="M10" i="58"/>
  <c r="L10" i="58"/>
  <c r="K10" i="58"/>
  <c r="J10" i="58"/>
  <c r="I10" i="58"/>
  <c r="H10" i="58"/>
  <c r="G10" i="58"/>
  <c r="R9" i="58"/>
  <c r="Q9" i="58"/>
  <c r="P9" i="58"/>
  <c r="O9" i="58"/>
  <c r="N9" i="58"/>
  <c r="M9" i="58"/>
  <c r="L9" i="58"/>
  <c r="K9" i="58"/>
  <c r="J9" i="58"/>
  <c r="I9" i="58"/>
  <c r="H9" i="58"/>
  <c r="G9" i="58"/>
  <c r="R8" i="58"/>
  <c r="Q8" i="58"/>
  <c r="P8" i="58"/>
  <c r="O8" i="58"/>
  <c r="N8" i="58"/>
  <c r="M8" i="58"/>
  <c r="L8" i="58"/>
  <c r="K8" i="58"/>
  <c r="J8" i="58"/>
  <c r="I8" i="58"/>
  <c r="H8" i="58"/>
  <c r="G8" i="58"/>
  <c r="R7" i="58"/>
  <c r="Q7" i="58"/>
  <c r="P7" i="58"/>
  <c r="O7" i="58"/>
  <c r="N7" i="58"/>
  <c r="M7" i="58"/>
  <c r="L7" i="58"/>
  <c r="K7" i="58"/>
  <c r="J7" i="58"/>
  <c r="I7" i="58"/>
  <c r="H7" i="58"/>
  <c r="G7" i="58"/>
  <c r="R6" i="58"/>
  <c r="Q6" i="58"/>
  <c r="P6" i="58"/>
  <c r="O6" i="58"/>
  <c r="N6" i="58"/>
  <c r="M6" i="58"/>
  <c r="L6" i="58"/>
  <c r="K6" i="58"/>
  <c r="J6" i="58"/>
  <c r="I6" i="58"/>
  <c r="H6" i="58"/>
  <c r="G6" i="58"/>
  <c r="E26" i="51"/>
  <c r="D26" i="51"/>
  <c r="C26" i="51"/>
  <c r="J6" i="75"/>
  <c r="Q6" i="41"/>
  <c r="P6" i="41"/>
  <c r="O6" i="41"/>
  <c r="N6" i="41"/>
  <c r="M6" i="41"/>
  <c r="L6" i="41"/>
  <c r="K6" i="41"/>
  <c r="J6" i="41"/>
  <c r="P6" i="28"/>
  <c r="O6" i="28"/>
  <c r="N6" i="28"/>
  <c r="M6" i="28"/>
  <c r="L6" i="28"/>
  <c r="K6" i="28"/>
  <c r="J6" i="28"/>
  <c r="I6" i="28"/>
  <c r="H6" i="28"/>
  <c r="G6" i="28"/>
  <c r="F6" i="28"/>
  <c r="Q6" i="22"/>
  <c r="P6" i="22"/>
  <c r="O6" i="22"/>
  <c r="N6" i="22"/>
  <c r="M6" i="22"/>
  <c r="L6" i="22"/>
  <c r="K6" i="22"/>
  <c r="J6" i="22"/>
  <c r="I6" i="22"/>
  <c r="H6" i="22"/>
  <c r="G6" i="22"/>
  <c r="F6" i="22"/>
  <c r="Q6" i="29"/>
  <c r="P6" i="29"/>
  <c r="O6" i="29"/>
  <c r="N6" i="29"/>
  <c r="M6" i="29"/>
  <c r="L6" i="29"/>
  <c r="K6" i="29"/>
  <c r="J6" i="29"/>
  <c r="I6" i="29"/>
  <c r="H6" i="29"/>
  <c r="G6" i="29"/>
  <c r="F6" i="29"/>
  <c r="Q6" i="31"/>
  <c r="P6" i="31"/>
  <c r="O6" i="31"/>
  <c r="N6" i="31"/>
  <c r="M6" i="31"/>
  <c r="L6" i="31"/>
  <c r="K6" i="31"/>
  <c r="J6" i="31"/>
  <c r="I6" i="31"/>
  <c r="H6" i="31"/>
  <c r="G6" i="31"/>
  <c r="F6" i="31"/>
  <c r="Q6" i="32"/>
  <c r="P6" i="32"/>
  <c r="O6" i="32"/>
  <c r="N6" i="32"/>
  <c r="M6" i="32"/>
  <c r="L6" i="32"/>
  <c r="K6" i="32"/>
  <c r="J6" i="32"/>
  <c r="I6" i="32"/>
  <c r="H6" i="32"/>
  <c r="G6" i="32"/>
  <c r="F6" i="32"/>
  <c r="Q6" i="36"/>
  <c r="P6" i="36"/>
  <c r="O6" i="36"/>
  <c r="N6" i="36"/>
  <c r="M6" i="36"/>
  <c r="L6" i="36"/>
  <c r="K6" i="36"/>
  <c r="J6" i="36"/>
  <c r="I6" i="36"/>
  <c r="H6" i="36"/>
  <c r="G6" i="36"/>
  <c r="F6" i="36"/>
  <c r="Q6" i="95"/>
  <c r="P6" i="95"/>
  <c r="O6" i="95"/>
  <c r="N6" i="95"/>
  <c r="M6" i="95"/>
  <c r="L6" i="95"/>
  <c r="K6" i="95"/>
  <c r="J6" i="95"/>
  <c r="I6" i="95"/>
  <c r="H6" i="95"/>
  <c r="G6" i="95"/>
  <c r="F6" i="95"/>
  <c r="Q6" i="98"/>
  <c r="P6" i="98"/>
  <c r="O6" i="98"/>
  <c r="N6" i="98"/>
  <c r="M6" i="98"/>
  <c r="L6" i="98"/>
  <c r="K6" i="98"/>
  <c r="J6" i="98"/>
  <c r="I6" i="98"/>
  <c r="H6" i="98"/>
  <c r="G6" i="98"/>
  <c r="F6" i="98"/>
  <c r="Q6" i="87"/>
  <c r="P6" i="87"/>
  <c r="O6" i="87"/>
  <c r="N6" i="87"/>
  <c r="M6" i="87"/>
  <c r="L6" i="87"/>
  <c r="K6" i="87"/>
  <c r="J6" i="87"/>
  <c r="I6" i="87"/>
  <c r="H6" i="87"/>
  <c r="G6" i="87"/>
  <c r="F6" i="87"/>
  <c r="Q6" i="91"/>
  <c r="P6" i="91"/>
  <c r="O6" i="91"/>
  <c r="N6" i="91"/>
  <c r="M6" i="91"/>
  <c r="L6" i="91"/>
  <c r="K6" i="91"/>
  <c r="J6" i="91"/>
  <c r="I6" i="91"/>
  <c r="H6" i="91"/>
  <c r="G6" i="91"/>
  <c r="F6" i="91"/>
  <c r="Q6" i="49"/>
  <c r="P6" i="49"/>
  <c r="O6" i="49"/>
  <c r="N6" i="49"/>
  <c r="M6" i="49"/>
  <c r="L6" i="49"/>
  <c r="K6" i="49"/>
  <c r="J6" i="49"/>
  <c r="I6" i="49"/>
  <c r="H6" i="49"/>
  <c r="G6" i="49"/>
  <c r="F6" i="49"/>
  <c r="Q6" i="52"/>
  <c r="P6" i="52"/>
  <c r="O6" i="52"/>
  <c r="N6" i="52"/>
  <c r="M6" i="52"/>
  <c r="L6" i="52"/>
  <c r="K6" i="52"/>
  <c r="J6" i="52"/>
  <c r="I6" i="52"/>
  <c r="H6" i="52"/>
  <c r="G6" i="52"/>
  <c r="F6" i="52"/>
  <c r="Q6" i="108"/>
  <c r="P6" i="108"/>
  <c r="O6" i="108"/>
  <c r="N6" i="108"/>
  <c r="M6" i="108"/>
  <c r="L6" i="108"/>
  <c r="K6" i="108"/>
  <c r="J6" i="108"/>
  <c r="I6" i="108"/>
  <c r="H6" i="108"/>
  <c r="G6" i="108"/>
  <c r="F6" i="108"/>
  <c r="R12" i="48"/>
  <c r="Q12" i="48"/>
  <c r="P12" i="48"/>
  <c r="O12" i="48"/>
  <c r="N12" i="48"/>
  <c r="M12" i="48"/>
  <c r="L12" i="48"/>
  <c r="K12" i="48"/>
  <c r="J12" i="48"/>
  <c r="I12" i="48"/>
  <c r="H12" i="48"/>
  <c r="G12" i="48"/>
  <c r="Q6" i="126"/>
  <c r="P6" i="126"/>
  <c r="O6" i="126"/>
  <c r="N6" i="126"/>
  <c r="M6" i="126"/>
  <c r="L6" i="126"/>
  <c r="K6" i="126"/>
  <c r="J6" i="126"/>
  <c r="I6" i="126"/>
  <c r="H6" i="126"/>
  <c r="G6" i="126"/>
  <c r="F6" i="126"/>
  <c r="H7" i="41"/>
  <c r="I7" i="41"/>
  <c r="J7" i="41"/>
  <c r="K7" i="41"/>
  <c r="L7" i="41"/>
  <c r="M7" i="41"/>
  <c r="N7" i="41"/>
  <c r="O7" i="41"/>
  <c r="P7" i="41"/>
  <c r="Q7" i="41"/>
  <c r="H8" i="41"/>
  <c r="I8" i="41"/>
  <c r="J8" i="41"/>
  <c r="K8" i="41"/>
  <c r="L8" i="41"/>
  <c r="M8" i="41"/>
  <c r="N8" i="41"/>
  <c r="O8" i="41"/>
  <c r="P8" i="41"/>
  <c r="Q8" i="41"/>
  <c r="H9" i="41"/>
  <c r="I9" i="41"/>
  <c r="J9" i="41"/>
  <c r="K9" i="41"/>
  <c r="L9" i="41"/>
  <c r="M9" i="41"/>
  <c r="N9" i="41"/>
  <c r="O9" i="41"/>
  <c r="P9" i="41"/>
  <c r="Q9" i="41"/>
  <c r="H10" i="41"/>
  <c r="I10" i="41"/>
  <c r="J10" i="41"/>
  <c r="K10" i="41"/>
  <c r="L10" i="41"/>
  <c r="M10" i="41"/>
  <c r="N10" i="41"/>
  <c r="O10" i="41"/>
  <c r="P10" i="41"/>
  <c r="Q10" i="41"/>
  <c r="H11" i="41"/>
  <c r="I11" i="41"/>
  <c r="J11" i="41"/>
  <c r="K11" i="41"/>
  <c r="L11" i="41"/>
  <c r="M11" i="41"/>
  <c r="N11" i="41"/>
  <c r="O11" i="41"/>
  <c r="P11" i="41"/>
  <c r="Q11" i="41"/>
  <c r="H12" i="41"/>
  <c r="I12" i="41"/>
  <c r="J12" i="41"/>
  <c r="K12" i="41"/>
  <c r="L12" i="41"/>
  <c r="M12" i="41"/>
  <c r="N12" i="41"/>
  <c r="O12" i="41"/>
  <c r="P12" i="41"/>
  <c r="Q12" i="41"/>
  <c r="G12" i="41"/>
  <c r="G11" i="41"/>
  <c r="G10" i="41"/>
  <c r="G9" i="41"/>
  <c r="G8" i="41"/>
  <c r="G7" i="41"/>
  <c r="I6" i="41"/>
  <c r="H6" i="41"/>
  <c r="G6" i="41"/>
  <c r="I129" i="116"/>
  <c r="C131" i="116"/>
  <c r="C132" i="116"/>
  <c r="C133" i="116"/>
  <c r="C134" i="116"/>
  <c r="C135" i="116"/>
  <c r="C137" i="116"/>
  <c r="E21" i="19"/>
  <c r="E20" i="19"/>
  <c r="E27" i="19"/>
  <c r="E28" i="19"/>
  <c r="E29" i="19"/>
  <c r="E26" i="19"/>
  <c r="L20" i="19"/>
  <c r="L21" i="19"/>
  <c r="L14" i="19"/>
  <c r="L13" i="19"/>
  <c r="L12" i="19"/>
  <c r="L10" i="19"/>
  <c r="L11" i="19"/>
  <c r="I22" i="19"/>
  <c r="I21" i="19"/>
  <c r="L27" i="19"/>
  <c r="L28" i="19"/>
  <c r="L29" i="19"/>
  <c r="L30" i="19"/>
  <c r="L26" i="19"/>
  <c r="E46" i="19"/>
  <c r="E47" i="19"/>
  <c r="E48" i="19"/>
  <c r="E49" i="19"/>
  <c r="E50" i="19"/>
  <c r="E51" i="19"/>
  <c r="E45" i="19"/>
  <c r="E35" i="19"/>
  <c r="E36" i="19"/>
  <c r="E37" i="19"/>
  <c r="E38" i="19"/>
  <c r="E39" i="19"/>
  <c r="E40" i="19"/>
  <c r="E34" i="19"/>
  <c r="I35" i="19"/>
  <c r="I36" i="19"/>
  <c r="I37" i="19"/>
  <c r="I38" i="19"/>
  <c r="I39" i="19"/>
  <c r="I40" i="19"/>
  <c r="I34" i="19"/>
  <c r="L40" i="19"/>
  <c r="L36" i="19"/>
  <c r="L37" i="19"/>
  <c r="L38" i="19"/>
  <c r="L39" i="19"/>
  <c r="L35" i="19"/>
  <c r="L34" i="19"/>
  <c r="I45" i="19"/>
  <c r="I22" i="76"/>
  <c r="I21" i="76"/>
  <c r="E14" i="19"/>
  <c r="E13" i="19"/>
  <c r="E12" i="19"/>
  <c r="W177" i="41"/>
  <c r="X177" i="41" s="1"/>
  <c r="Y177" i="41" s="1"/>
  <c r="Z177" i="41" s="1"/>
  <c r="AA177" i="41" s="1"/>
  <c r="AB177" i="41" s="1"/>
  <c r="AC177" i="41" s="1"/>
  <c r="AD177" i="41" s="1"/>
  <c r="AE177" i="41" s="1"/>
  <c r="AF177" i="41" s="1"/>
  <c r="U177" i="41"/>
  <c r="T177" i="41"/>
  <c r="S177" i="41"/>
  <c r="R177" i="41"/>
  <c r="W146" i="41"/>
  <c r="F7" i="51"/>
  <c r="G7" i="51"/>
  <c r="H7" i="51"/>
  <c r="I7" i="51"/>
  <c r="J7" i="51"/>
  <c r="K7" i="51"/>
  <c r="L7" i="51"/>
  <c r="M7" i="51"/>
  <c r="N7" i="51"/>
  <c r="O7" i="51"/>
  <c r="P7" i="51"/>
  <c r="Q7" i="51"/>
  <c r="R6" i="90" l="1"/>
  <c r="S6" i="90" s="1"/>
  <c r="T6" i="90" s="1"/>
  <c r="U6" i="90" s="1"/>
  <c r="V6" i="90" s="1"/>
  <c r="W6" i="90" s="1"/>
  <c r="X6" i="90" s="1"/>
  <c r="Y6" i="90" s="1"/>
  <c r="Z6" i="90" s="1"/>
  <c r="AA6" i="90" s="1"/>
  <c r="AB6" i="90" s="1"/>
  <c r="AC6" i="90" s="1"/>
  <c r="AD6" i="90" s="1"/>
  <c r="AE6" i="90" s="1"/>
  <c r="X146" i="41" l="1"/>
  <c r="Y146" i="41" s="1"/>
  <c r="Z146" i="41" s="1"/>
  <c r="AA146" i="41" s="1"/>
  <c r="AB146" i="41" s="1"/>
  <c r="AC146" i="41" s="1"/>
  <c r="AD146" i="41" s="1"/>
  <c r="AE146" i="41" s="1"/>
  <c r="AF146" i="41" s="1"/>
  <c r="W20" i="41" l="1"/>
  <c r="X20" i="41" s="1"/>
  <c r="Y20" i="41" s="1"/>
  <c r="Z20" i="41" s="1"/>
  <c r="AA20" i="41" s="1"/>
  <c r="AB20" i="41" s="1"/>
  <c r="AC20" i="41" s="1"/>
  <c r="AD20" i="41" s="1"/>
  <c r="AE20" i="41" s="1"/>
  <c r="AF20" i="41" s="1"/>
  <c r="W19" i="41"/>
  <c r="X19" i="41" s="1"/>
  <c r="Y19" i="41" s="1"/>
  <c r="Z19" i="41" s="1"/>
  <c r="AA19" i="41" s="1"/>
  <c r="AB19" i="41" s="1"/>
  <c r="AC19" i="41" s="1"/>
  <c r="AD19" i="41" s="1"/>
  <c r="AE19" i="41" s="1"/>
  <c r="AF19" i="41" s="1"/>
  <c r="W13" i="41"/>
  <c r="X13" i="41" s="1"/>
  <c r="Y13" i="41" s="1"/>
  <c r="Z13" i="41" s="1"/>
  <c r="AA13" i="41" s="1"/>
  <c r="AB13" i="41" s="1"/>
  <c r="AC13" i="41" s="1"/>
  <c r="AD13" i="41" s="1"/>
  <c r="AE13" i="41" s="1"/>
  <c r="AF13" i="41" s="1"/>
  <c r="J19" i="79" l="1"/>
  <c r="L146" i="116"/>
  <c r="I45" i="76"/>
  <c r="B6" i="126" l="1"/>
  <c r="P392" i="39"/>
  <c r="O392" i="39"/>
  <c r="N392" i="39"/>
  <c r="M392" i="39"/>
  <c r="L392" i="39"/>
  <c r="K392" i="39"/>
  <c r="J392" i="39"/>
  <c r="I392" i="39"/>
  <c r="H392" i="39"/>
  <c r="G392" i="39"/>
  <c r="F392" i="39"/>
  <c r="U6" i="126" l="1"/>
  <c r="U392" i="39" s="1"/>
  <c r="AE6" i="126"/>
  <c r="AE392" i="39" s="1"/>
  <c r="S6" i="126"/>
  <c r="S392" i="39" s="1"/>
  <c r="AD6" i="126"/>
  <c r="AD392" i="39" s="1"/>
  <c r="R6" i="126"/>
  <c r="R392" i="39" s="1"/>
  <c r="AC6" i="126"/>
  <c r="AC392" i="39" s="1"/>
  <c r="AB6" i="126"/>
  <c r="AB392" i="39" s="1"/>
  <c r="T6" i="126"/>
  <c r="T392" i="39" s="1"/>
  <c r="AA6" i="126"/>
  <c r="AA392" i="39" s="1"/>
  <c r="X6" i="126"/>
  <c r="X392" i="39" s="1"/>
  <c r="Z6" i="126"/>
  <c r="Z392" i="39" s="1"/>
  <c r="Y6" i="126"/>
  <c r="Y392" i="39" s="1"/>
  <c r="W6" i="126"/>
  <c r="W392" i="39" s="1"/>
  <c r="V6" i="126"/>
  <c r="V392" i="39" s="1"/>
  <c r="C6" i="126"/>
  <c r="Q392" i="39"/>
  <c r="D6" i="126"/>
  <c r="E6" i="126"/>
  <c r="W119" i="41"/>
  <c r="X119" i="41" s="1"/>
  <c r="Y119" i="41" s="1"/>
  <c r="Z119" i="41" s="1"/>
  <c r="AA119" i="41" s="1"/>
  <c r="AB119" i="41" s="1"/>
  <c r="AC119" i="41" s="1"/>
  <c r="AD119" i="41" s="1"/>
  <c r="AE119" i="41" s="1"/>
  <c r="AF119" i="41" s="1"/>
  <c r="M21" i="75" l="1"/>
  <c r="M45" i="74"/>
  <c r="M146" i="116"/>
  <c r="J45" i="19"/>
  <c r="R146" i="41"/>
  <c r="T10" i="87" l="1"/>
  <c r="T12" i="87" s="1"/>
  <c r="S10" i="87"/>
  <c r="S11" i="87" s="1"/>
  <c r="R10" i="87"/>
  <c r="R11" i="87" s="1"/>
  <c r="Q10" i="87"/>
  <c r="Q9" i="87" s="1"/>
  <c r="P10" i="87"/>
  <c r="P9" i="87" s="1"/>
  <c r="Q11" i="87" l="1"/>
  <c r="P12" i="87"/>
  <c r="P11" i="87"/>
  <c r="T9" i="87"/>
  <c r="T11" i="87"/>
  <c r="S9" i="87"/>
  <c r="S12" i="87"/>
  <c r="R12" i="87"/>
  <c r="R9" i="87"/>
  <c r="Q12" i="87"/>
  <c r="U143" i="42" l="1"/>
  <c r="U117" i="42"/>
  <c r="AF13" i="97" l="1"/>
  <c r="L325" i="39" l="1"/>
  <c r="M325" i="39"/>
  <c r="N325" i="39"/>
  <c r="L326" i="39"/>
  <c r="M326" i="39"/>
  <c r="N326" i="39"/>
  <c r="O330" i="39"/>
  <c r="O329" i="39"/>
  <c r="O328" i="39"/>
  <c r="O327" i="39"/>
  <c r="O326" i="39"/>
  <c r="O325" i="39"/>
  <c r="O324" i="39"/>
  <c r="D9" i="22" l="1"/>
  <c r="U7" i="22" l="1"/>
  <c r="V7" i="22"/>
  <c r="W7" i="22"/>
  <c r="X7" i="22"/>
  <c r="Y7" i="22"/>
  <c r="Z7" i="22"/>
  <c r="AA7" i="22"/>
  <c r="AB7" i="22"/>
  <c r="AC7" i="22"/>
  <c r="AD7" i="22"/>
  <c r="T7" i="22"/>
  <c r="AD12" i="22"/>
  <c r="AC12" i="22"/>
  <c r="AB12" i="22"/>
  <c r="AA12" i="22"/>
  <c r="Z12" i="22"/>
  <c r="Y12" i="22"/>
  <c r="X12" i="22"/>
  <c r="W12" i="22"/>
  <c r="V12" i="22"/>
  <c r="U12" i="22"/>
  <c r="T12" i="22"/>
  <c r="S12" i="22"/>
  <c r="R12" i="22"/>
  <c r="Q12" i="22"/>
  <c r="P12" i="22"/>
  <c r="D12" i="22"/>
  <c r="Q16" i="58" l="1"/>
  <c r="O13" i="97" l="1"/>
  <c r="P12" i="31"/>
  <c r="P11" i="31"/>
  <c r="P10" i="31"/>
  <c r="Q10" i="31" s="1"/>
  <c r="P9" i="31"/>
  <c r="Q9" i="31" s="1"/>
  <c r="P8" i="31"/>
  <c r="Q8" i="31" s="1"/>
  <c r="Q172" i="58"/>
  <c r="R172" i="58"/>
  <c r="S172" i="58"/>
  <c r="T172" i="58"/>
  <c r="U172" i="58"/>
  <c r="V172" i="58"/>
  <c r="W172" i="58"/>
  <c r="X172" i="58"/>
  <c r="Y172" i="58"/>
  <c r="Z172" i="58"/>
  <c r="AA172" i="58"/>
  <c r="AB172" i="58"/>
  <c r="AC172" i="58"/>
  <c r="AD172" i="58"/>
  <c r="AE172" i="58"/>
  <c r="Q173" i="58"/>
  <c r="R173" i="58"/>
  <c r="S173" i="58"/>
  <c r="T173" i="58"/>
  <c r="U173" i="58"/>
  <c r="V173" i="58"/>
  <c r="W173" i="58"/>
  <c r="X173" i="58"/>
  <c r="Y173" i="58"/>
  <c r="Z173" i="58"/>
  <c r="AA173" i="58"/>
  <c r="AB173" i="58"/>
  <c r="AC173" i="58"/>
  <c r="AD173" i="58"/>
  <c r="AE173" i="58"/>
  <c r="AF173" i="58"/>
  <c r="AF172" i="58"/>
  <c r="Q174" i="58"/>
  <c r="AF174" i="58" s="1"/>
  <c r="Q147" i="58"/>
  <c r="Q146" i="58"/>
  <c r="R146" i="58"/>
  <c r="S146" i="58"/>
  <c r="T146" i="58"/>
  <c r="U146" i="58"/>
  <c r="V146" i="58"/>
  <c r="W146" i="58"/>
  <c r="X146" i="58"/>
  <c r="Y146" i="58"/>
  <c r="Z146" i="58"/>
  <c r="AA146" i="58"/>
  <c r="AB146" i="58"/>
  <c r="AC146" i="58"/>
  <c r="AD146" i="58"/>
  <c r="AE146" i="58"/>
  <c r="R147" i="58"/>
  <c r="S147" i="58"/>
  <c r="T147" i="58"/>
  <c r="U147" i="58"/>
  <c r="V147" i="58"/>
  <c r="W147" i="58"/>
  <c r="X147" i="58"/>
  <c r="Y147" i="58"/>
  <c r="Z147" i="58"/>
  <c r="AA147" i="58"/>
  <c r="AB147" i="58"/>
  <c r="AC147" i="58"/>
  <c r="AD147" i="58"/>
  <c r="AE147" i="58"/>
  <c r="AF147" i="58"/>
  <c r="AF146" i="58"/>
  <c r="S148" i="58"/>
  <c r="R148" i="58"/>
  <c r="Q148" i="58"/>
  <c r="AF148" i="58" s="1"/>
  <c r="Q121" i="58"/>
  <c r="Q120" i="58"/>
  <c r="R120" i="58"/>
  <c r="S120" i="58"/>
  <c r="T120" i="58"/>
  <c r="U120" i="58"/>
  <c r="V120" i="58"/>
  <c r="W120" i="58"/>
  <c r="X120" i="58"/>
  <c r="Y120" i="58"/>
  <c r="Z120" i="58"/>
  <c r="AA120" i="58"/>
  <c r="AB120" i="58"/>
  <c r="AC120" i="58"/>
  <c r="AD120" i="58"/>
  <c r="AE120" i="58"/>
  <c r="R121" i="58"/>
  <c r="S121" i="58"/>
  <c r="T121" i="58"/>
  <c r="U121" i="58"/>
  <c r="V121" i="58"/>
  <c r="W121" i="58"/>
  <c r="X121" i="58"/>
  <c r="Y121" i="58"/>
  <c r="Z121" i="58"/>
  <c r="AA121" i="58"/>
  <c r="AB121" i="58"/>
  <c r="AC121" i="58"/>
  <c r="AD121" i="58"/>
  <c r="AE121" i="58"/>
  <c r="AF121" i="58"/>
  <c r="AF120" i="58"/>
  <c r="Q122" i="58"/>
  <c r="Q93" i="58"/>
  <c r="R93" i="58"/>
  <c r="S93" i="58"/>
  <c r="T93" i="58"/>
  <c r="U93" i="58"/>
  <c r="V93" i="58"/>
  <c r="W93" i="58"/>
  <c r="X93" i="58"/>
  <c r="Y93" i="58"/>
  <c r="Z93" i="58"/>
  <c r="AA93" i="58"/>
  <c r="AB93" i="58"/>
  <c r="AC93" i="58"/>
  <c r="AD93" i="58"/>
  <c r="AE93" i="58"/>
  <c r="Q92" i="58"/>
  <c r="R92" i="58"/>
  <c r="S92" i="58"/>
  <c r="T92" i="58"/>
  <c r="U92" i="58"/>
  <c r="V92" i="58"/>
  <c r="W92" i="58"/>
  <c r="X92" i="58"/>
  <c r="Y92" i="58"/>
  <c r="Z92" i="58"/>
  <c r="AA92" i="58"/>
  <c r="AB92" i="58"/>
  <c r="AC92" i="58"/>
  <c r="AD92" i="58"/>
  <c r="AE92" i="58"/>
  <c r="Q94" i="58"/>
  <c r="Q69" i="58"/>
  <c r="Q68" i="58"/>
  <c r="R68" i="58"/>
  <c r="S68" i="58"/>
  <c r="T68" i="58"/>
  <c r="U68" i="58"/>
  <c r="V68" i="58"/>
  <c r="W68" i="58"/>
  <c r="X68" i="58"/>
  <c r="Y68" i="58"/>
  <c r="Z68" i="58"/>
  <c r="AA68" i="58"/>
  <c r="AB68" i="58"/>
  <c r="AC68" i="58"/>
  <c r="AD68" i="58"/>
  <c r="AE68" i="58"/>
  <c r="R69" i="58"/>
  <c r="S69" i="58"/>
  <c r="T69" i="58"/>
  <c r="U69" i="58"/>
  <c r="V69" i="58"/>
  <c r="W69" i="58"/>
  <c r="X69" i="58"/>
  <c r="Y69" i="58"/>
  <c r="Z69" i="58"/>
  <c r="AA69" i="58"/>
  <c r="AB69" i="58"/>
  <c r="AC69" i="58"/>
  <c r="AD69" i="58"/>
  <c r="AE69" i="58"/>
  <c r="AF69" i="58"/>
  <c r="AF68" i="58"/>
  <c r="Q41" i="58"/>
  <c r="Q40" i="58"/>
  <c r="Q15" i="58"/>
  <c r="AD15" i="58"/>
  <c r="AD14" i="58"/>
  <c r="AE14" i="58"/>
  <c r="AF14" i="58"/>
  <c r="Q70" i="58"/>
  <c r="AF70" i="58" s="1"/>
  <c r="S70" i="58" s="1"/>
  <c r="Q42" i="58"/>
  <c r="AF42" i="58" s="1"/>
  <c r="AF122" i="58" l="1"/>
  <c r="T122" i="58" s="1"/>
  <c r="Q10" i="22"/>
  <c r="R10" i="22" s="1"/>
  <c r="S10" i="22" s="1"/>
  <c r="T10" i="22" s="1"/>
  <c r="U10" i="22" s="1"/>
  <c r="V10" i="22" s="1"/>
  <c r="W10" i="22" s="1"/>
  <c r="X10" i="22" s="1"/>
  <c r="Y10" i="22" s="1"/>
  <c r="Z10" i="22" s="1"/>
  <c r="AA10" i="22" s="1"/>
  <c r="AB10" i="22" s="1"/>
  <c r="AC10" i="22" s="1"/>
  <c r="AD10" i="22" s="1"/>
  <c r="D10" i="22"/>
  <c r="R122" i="58"/>
  <c r="Q11" i="22"/>
  <c r="R11" i="22" s="1"/>
  <c r="S11" i="22" s="1"/>
  <c r="T11" i="22" s="1"/>
  <c r="U11" i="22" s="1"/>
  <c r="V11" i="22" s="1"/>
  <c r="W11" i="22" s="1"/>
  <c r="X11" i="22" s="1"/>
  <c r="Y11" i="22" s="1"/>
  <c r="Z11" i="22" s="1"/>
  <c r="AA11" i="22" s="1"/>
  <c r="AB11" i="22" s="1"/>
  <c r="AC11" i="22" s="1"/>
  <c r="AD11" i="22" s="1"/>
  <c r="D11" i="22"/>
  <c r="U122" i="58"/>
  <c r="T70" i="58"/>
  <c r="AC122" i="58"/>
  <c r="Z70" i="58"/>
  <c r="Q8" i="22"/>
  <c r="AF94" i="58"/>
  <c r="T94" i="58" s="1"/>
  <c r="W174" i="58"/>
  <c r="AE174" i="58"/>
  <c r="AB174" i="58"/>
  <c r="S174" i="58"/>
  <c r="AA174" i="58"/>
  <c r="T174" i="58"/>
  <c r="X174" i="58"/>
  <c r="R174" i="58"/>
  <c r="W70" i="58"/>
  <c r="AC174" i="58"/>
  <c r="AD70" i="58"/>
  <c r="V70" i="58"/>
  <c r="V122" i="58"/>
  <c r="AB122" i="58"/>
  <c r="Y174" i="58"/>
  <c r="AE70" i="58"/>
  <c r="AA70" i="58"/>
  <c r="W122" i="58"/>
  <c r="AE122" i="58"/>
  <c r="S122" i="58"/>
  <c r="AA122" i="58"/>
  <c r="Y122" i="58"/>
  <c r="V174" i="58"/>
  <c r="U174" i="58"/>
  <c r="Y70" i="58"/>
  <c r="AC70" i="58"/>
  <c r="U70" i="58"/>
  <c r="R70" i="58"/>
  <c r="AB70" i="58"/>
  <c r="X70" i="58"/>
  <c r="AD122" i="58"/>
  <c r="Z122" i="58"/>
  <c r="AD174" i="58"/>
  <c r="Z174" i="58"/>
  <c r="AF16" i="58"/>
  <c r="S16" i="58" s="1"/>
  <c r="R41" i="58"/>
  <c r="S41" i="58"/>
  <c r="T41" i="58"/>
  <c r="U41" i="58"/>
  <c r="V41" i="58"/>
  <c r="W41" i="58"/>
  <c r="X41" i="58"/>
  <c r="Y41" i="58"/>
  <c r="Z41" i="58"/>
  <c r="AA41" i="58"/>
  <c r="AB41" i="58"/>
  <c r="AC41" i="58"/>
  <c r="AD41" i="58"/>
  <c r="AE41" i="58"/>
  <c r="R40" i="58"/>
  <c r="S40" i="58"/>
  <c r="T40" i="58"/>
  <c r="U40" i="58"/>
  <c r="V40" i="58"/>
  <c r="W40" i="58"/>
  <c r="X40" i="58"/>
  <c r="Y40" i="58"/>
  <c r="Z40" i="58"/>
  <c r="AA40" i="58"/>
  <c r="AB40" i="58"/>
  <c r="AC40" i="58"/>
  <c r="AD40" i="58"/>
  <c r="AE40" i="58"/>
  <c r="R15" i="58"/>
  <c r="S15" i="58"/>
  <c r="T15" i="58"/>
  <c r="U15" i="58"/>
  <c r="V15" i="58"/>
  <c r="W15" i="58"/>
  <c r="X15" i="58"/>
  <c r="Y15" i="58"/>
  <c r="Z15" i="58"/>
  <c r="AA15" i="58"/>
  <c r="AB15" i="58"/>
  <c r="AC15" i="58"/>
  <c r="AE15" i="58"/>
  <c r="Q14" i="58"/>
  <c r="R14" i="58"/>
  <c r="S14" i="58"/>
  <c r="T14" i="58"/>
  <c r="U14" i="58"/>
  <c r="V14" i="58"/>
  <c r="W14" i="58"/>
  <c r="X14" i="58"/>
  <c r="Y14" i="58"/>
  <c r="Z14" i="58"/>
  <c r="AA14" i="58"/>
  <c r="AB14" i="58"/>
  <c r="AC14" i="58"/>
  <c r="AA94" i="58" l="1"/>
  <c r="AD94" i="58"/>
  <c r="AC94" i="58"/>
  <c r="S94" i="58"/>
  <c r="V94" i="58"/>
  <c r="R94" i="58"/>
  <c r="Z94" i="58"/>
  <c r="X122" i="58"/>
  <c r="AB94" i="58"/>
  <c r="W94" i="58"/>
  <c r="Y94" i="58"/>
  <c r="X94" i="58"/>
  <c r="AE94" i="58"/>
  <c r="U94" i="58"/>
  <c r="AE16" i="58"/>
  <c r="Z16" i="58"/>
  <c r="W16" i="58"/>
  <c r="T16" i="58"/>
  <c r="AD16" i="58"/>
  <c r="V16" i="58"/>
  <c r="AA16" i="58"/>
  <c r="AC16" i="58"/>
  <c r="Y16" i="58"/>
  <c r="U16" i="58"/>
  <c r="R16" i="58"/>
  <c r="AB16" i="58"/>
  <c r="X16" i="58"/>
  <c r="AF92" i="58"/>
  <c r="R8" i="22" l="1"/>
  <c r="Q177" i="41" l="1"/>
  <c r="W157" i="41" l="1"/>
  <c r="X157" i="41"/>
  <c r="Y157" i="41"/>
  <c r="Z157" i="41"/>
  <c r="AA157" i="41"/>
  <c r="AB157" i="41"/>
  <c r="AC157" i="41"/>
  <c r="AD157" i="41"/>
  <c r="AE157" i="41"/>
  <c r="AF157" i="41"/>
  <c r="W158" i="41"/>
  <c r="X158" i="41"/>
  <c r="Y158" i="41"/>
  <c r="Z158" i="41"/>
  <c r="AA158" i="41"/>
  <c r="AB158" i="41"/>
  <c r="AC158" i="41"/>
  <c r="AD158" i="41"/>
  <c r="AE158" i="41"/>
  <c r="AF158" i="41"/>
  <c r="W159" i="41"/>
  <c r="X159" i="41"/>
  <c r="Y159" i="41"/>
  <c r="Z159" i="41"/>
  <c r="AA159" i="41"/>
  <c r="AB159" i="41"/>
  <c r="AC159" i="41"/>
  <c r="AD159" i="41"/>
  <c r="AE159" i="41"/>
  <c r="AF159" i="41"/>
  <c r="N146" i="41"/>
  <c r="U226" i="80"/>
  <c r="R143" i="42"/>
  <c r="S143" i="42"/>
  <c r="T143" i="42"/>
  <c r="V143" i="42" s="1"/>
  <c r="W143" i="42" s="1"/>
  <c r="X143" i="42" s="1"/>
  <c r="Y143" i="42" s="1"/>
  <c r="Z143" i="42" s="1"/>
  <c r="AA143" i="42" s="1"/>
  <c r="AB143" i="42" s="1"/>
  <c r="AC143" i="42" s="1"/>
  <c r="AD143" i="42" s="1"/>
  <c r="AE143" i="42" s="1"/>
  <c r="W121" i="42"/>
  <c r="X121" i="42" s="1"/>
  <c r="Y121" i="42" s="1"/>
  <c r="Z121" i="42" s="1"/>
  <c r="AA121" i="42" s="1"/>
  <c r="AB121" i="42" s="1"/>
  <c r="AC121" i="42" s="1"/>
  <c r="AD121" i="42" s="1"/>
  <c r="AE121" i="42" s="1"/>
  <c r="T117" i="42"/>
  <c r="V117" i="42" s="1"/>
  <c r="W117" i="42" s="1"/>
  <c r="X117" i="42" s="1"/>
  <c r="Y117" i="42" s="1"/>
  <c r="Z117" i="42" s="1"/>
  <c r="AA117" i="42" s="1"/>
  <c r="AB117" i="42" s="1"/>
  <c r="S117" i="42"/>
  <c r="R117" i="42"/>
  <c r="W147" i="42"/>
  <c r="X147" i="42" s="1"/>
  <c r="Y147" i="42" s="1"/>
  <c r="Z147" i="42" s="1"/>
  <c r="AA147" i="42" s="1"/>
  <c r="AB147" i="42" s="1"/>
  <c r="AC147" i="42" s="1"/>
  <c r="AD147" i="42" s="1"/>
  <c r="AE147" i="42" s="1"/>
  <c r="AC117" i="42" l="1"/>
  <c r="AD117" i="42" s="1"/>
  <c r="AE117" i="42" s="1"/>
  <c r="V171" i="42" l="1"/>
  <c r="W171" i="42" s="1"/>
  <c r="X171" i="42" s="1"/>
  <c r="Y171" i="42" s="1"/>
  <c r="Z171" i="42" s="1"/>
  <c r="AA171" i="42" s="1"/>
  <c r="AB171" i="42" s="1"/>
  <c r="AC171" i="42" s="1"/>
  <c r="AD171" i="42" s="1"/>
  <c r="AE171" i="42" s="1"/>
  <c r="Q130" i="122"/>
  <c r="R130" i="122"/>
  <c r="S130" i="122"/>
  <c r="T130" i="122"/>
  <c r="U130" i="122"/>
  <c r="V130" i="122"/>
  <c r="W130" i="122"/>
  <c r="X130" i="122"/>
  <c r="Y130" i="122"/>
  <c r="Z130" i="122"/>
  <c r="AA130" i="122"/>
  <c r="AB130" i="122"/>
  <c r="AC130" i="122"/>
  <c r="AD130" i="122"/>
  <c r="AE130" i="122"/>
  <c r="AF130" i="122"/>
  <c r="V172" i="42"/>
  <c r="W172" i="42" s="1"/>
  <c r="X172" i="42" s="1"/>
  <c r="Y172" i="42" s="1"/>
  <c r="Z172" i="42" s="1"/>
  <c r="AA172" i="42" s="1"/>
  <c r="AB172" i="42" s="1"/>
  <c r="AC172" i="42" s="1"/>
  <c r="AD172" i="42" s="1"/>
  <c r="AE172" i="42" s="1"/>
  <c r="W169" i="42"/>
  <c r="X169" i="42" s="1"/>
  <c r="Y169" i="42" s="1"/>
  <c r="Z169" i="42" s="1"/>
  <c r="AA169" i="42" s="1"/>
  <c r="AB169" i="42" s="1"/>
  <c r="AC169" i="42" s="1"/>
  <c r="AD169" i="42" s="1"/>
  <c r="AE169" i="42" s="1"/>
  <c r="W146" i="42"/>
  <c r="X146" i="42" s="1"/>
  <c r="Y146" i="42" s="1"/>
  <c r="Z146" i="42" s="1"/>
  <c r="AA146" i="42" s="1"/>
  <c r="AB146" i="42" s="1"/>
  <c r="AC146" i="42" s="1"/>
  <c r="AD146" i="42" s="1"/>
  <c r="AE146" i="42" s="1"/>
  <c r="W145" i="42"/>
  <c r="X145" i="42" s="1"/>
  <c r="Y145" i="42" s="1"/>
  <c r="Z145" i="42" s="1"/>
  <c r="AA145" i="42" s="1"/>
  <c r="AB145" i="42" s="1"/>
  <c r="AC145" i="42" s="1"/>
  <c r="AD145" i="42" s="1"/>
  <c r="AE145" i="42" s="1"/>
  <c r="P6" i="117" l="1"/>
  <c r="Q6" i="117" s="1"/>
  <c r="R6" i="117" s="1"/>
  <c r="S6" i="117" s="1"/>
  <c r="T6" i="117" s="1"/>
  <c r="U6" i="117" s="1"/>
  <c r="V6" i="117" s="1"/>
  <c r="W6" i="117" s="1"/>
  <c r="X6" i="117" s="1"/>
  <c r="Y6" i="117" s="1"/>
  <c r="Z6" i="117" s="1"/>
  <c r="AA6" i="117" s="1"/>
  <c r="AB6" i="117" s="1"/>
  <c r="AC6" i="117" s="1"/>
  <c r="AD6" i="117" s="1"/>
  <c r="AE6" i="117" s="1"/>
  <c r="R6" i="33"/>
  <c r="S6" i="33" s="1"/>
  <c r="T6" i="33" s="1"/>
  <c r="U6" i="33" s="1"/>
  <c r="V6" i="33" s="1"/>
  <c r="W6" i="33" s="1"/>
  <c r="X6" i="33" s="1"/>
  <c r="Y6" i="33" s="1"/>
  <c r="Z6" i="33" s="1"/>
  <c r="AA6" i="33" s="1"/>
  <c r="AB6" i="33" s="1"/>
  <c r="AC6" i="33" s="1"/>
  <c r="AD6" i="33" s="1"/>
  <c r="AE6" i="33" s="1"/>
  <c r="R7" i="49"/>
  <c r="S7" i="49" s="1"/>
  <c r="T7" i="49" s="1"/>
  <c r="U7" i="49" s="1"/>
  <c r="V7" i="49" s="1"/>
  <c r="W7" i="49" s="1"/>
  <c r="X7" i="49" s="1"/>
  <c r="Y7" i="49" s="1"/>
  <c r="Z7" i="49" s="1"/>
  <c r="AA7" i="49" s="1"/>
  <c r="AB7" i="49" s="1"/>
  <c r="AC7" i="49" s="1"/>
  <c r="AD7" i="49" s="1"/>
  <c r="AE7" i="49" s="1"/>
  <c r="Q7" i="91"/>
  <c r="R7" i="91" s="1"/>
  <c r="S7" i="91" s="1"/>
  <c r="T7" i="91" s="1"/>
  <c r="U7" i="91" s="1"/>
  <c r="V7" i="91" s="1"/>
  <c r="W7" i="91" s="1"/>
  <c r="X7" i="91" s="1"/>
  <c r="Y7" i="91" s="1"/>
  <c r="Z7" i="91" s="1"/>
  <c r="AA7" i="91" s="1"/>
  <c r="AB7" i="91" s="1"/>
  <c r="AC7" i="91" s="1"/>
  <c r="AD7" i="91" s="1"/>
  <c r="AE7" i="91" s="1"/>
  <c r="S12" i="89" l="1"/>
  <c r="B18" i="29" l="1"/>
  <c r="B17" i="29"/>
  <c r="B16" i="29"/>
  <c r="B15" i="29"/>
  <c r="B14" i="29"/>
  <c r="B13" i="29"/>
  <c r="B12" i="29"/>
  <c r="B11" i="29"/>
  <c r="B10" i="29"/>
  <c r="B9" i="29"/>
  <c r="B8" i="29"/>
  <c r="E8" i="29" s="1"/>
  <c r="I102" i="116" l="1"/>
  <c r="H102" i="116"/>
  <c r="G102" i="116"/>
  <c r="F102" i="116"/>
  <c r="E102" i="116"/>
  <c r="W23" i="75"/>
  <c r="V23" i="75"/>
  <c r="U23" i="75"/>
  <c r="T23" i="75"/>
  <c r="S23" i="75"/>
  <c r="W37" i="74"/>
  <c r="V37" i="74"/>
  <c r="U37" i="74"/>
  <c r="T37" i="74"/>
  <c r="S37" i="74"/>
  <c r="S8" i="22"/>
  <c r="T8" i="22" s="1"/>
  <c r="U8" i="22" s="1"/>
  <c r="V8" i="22" s="1"/>
  <c r="W8" i="22" s="1"/>
  <c r="X8" i="22" s="1"/>
  <c r="Y8" i="22" s="1"/>
  <c r="Z8" i="22" s="1"/>
  <c r="AA8" i="22" s="1"/>
  <c r="AB8" i="22" s="1"/>
  <c r="AC8" i="22" s="1"/>
  <c r="AD8" i="22" s="1"/>
  <c r="AE8" i="22" s="1"/>
  <c r="D8" i="22" s="1"/>
  <c r="AE148" i="58"/>
  <c r="AD148" i="58"/>
  <c r="AC148" i="58"/>
  <c r="AB148" i="58"/>
  <c r="AA148" i="58"/>
  <c r="Z148" i="58"/>
  <c r="Y148" i="58"/>
  <c r="X148" i="58"/>
  <c r="W148" i="58"/>
  <c r="V148" i="58"/>
  <c r="U148" i="58"/>
  <c r="T148" i="58"/>
  <c r="I3" i="51" l="1"/>
  <c r="O13" i="48" l="1"/>
  <c r="Q12" i="31" l="1"/>
  <c r="R12" i="31" s="1"/>
  <c r="Q11" i="31"/>
  <c r="R11" i="31" s="1"/>
  <c r="R10" i="31"/>
  <c r="R9" i="31"/>
  <c r="R8" i="31"/>
  <c r="D7" i="22" l="1"/>
  <c r="N175" i="41" l="1"/>
  <c r="G44" i="39" l="1"/>
  <c r="F43" i="39"/>
  <c r="G42" i="39"/>
  <c r="F42" i="39"/>
  <c r="G40" i="39"/>
  <c r="F39" i="39"/>
  <c r="G38" i="39"/>
  <c r="F38" i="39"/>
  <c r="AE44" i="39"/>
  <c r="AD44" i="39"/>
  <c r="AC44" i="39"/>
  <c r="AB44" i="39"/>
  <c r="AA44" i="39"/>
  <c r="Z44" i="39"/>
  <c r="Y44" i="39"/>
  <c r="X44" i="39"/>
  <c r="W44" i="39"/>
  <c r="V44" i="39"/>
  <c r="U44" i="39"/>
  <c r="T44" i="39"/>
  <c r="S44" i="39"/>
  <c r="R44" i="39"/>
  <c r="Q44" i="39"/>
  <c r="P44" i="39"/>
  <c r="O44" i="39"/>
  <c r="N44" i="39"/>
  <c r="M44" i="39"/>
  <c r="L44" i="39"/>
  <c r="K44" i="39"/>
  <c r="J44" i="39"/>
  <c r="I44" i="39"/>
  <c r="H44" i="39"/>
  <c r="F44" i="39"/>
  <c r="AE43" i="39"/>
  <c r="AD43" i="39"/>
  <c r="AC43" i="39"/>
  <c r="AB43" i="39"/>
  <c r="AA43" i="39"/>
  <c r="Z43" i="39"/>
  <c r="Y43" i="39"/>
  <c r="X43" i="39"/>
  <c r="W43" i="39"/>
  <c r="V43" i="39"/>
  <c r="U43" i="39"/>
  <c r="T43" i="39"/>
  <c r="S43" i="39"/>
  <c r="R43" i="39"/>
  <c r="Q43" i="39"/>
  <c r="P43" i="39"/>
  <c r="O43" i="39"/>
  <c r="N43" i="39"/>
  <c r="M43" i="39"/>
  <c r="L43" i="39"/>
  <c r="K43" i="39"/>
  <c r="J43" i="39"/>
  <c r="I43" i="39"/>
  <c r="H43" i="39"/>
  <c r="G43" i="39"/>
  <c r="AE42" i="39"/>
  <c r="AD42" i="39"/>
  <c r="AC42" i="39"/>
  <c r="AB42" i="39"/>
  <c r="AA42" i="39"/>
  <c r="Z42" i="39"/>
  <c r="Y42" i="39"/>
  <c r="X42" i="39"/>
  <c r="W42" i="39"/>
  <c r="V42" i="39"/>
  <c r="U42" i="39"/>
  <c r="T42" i="39"/>
  <c r="S42" i="39"/>
  <c r="R42" i="39"/>
  <c r="Q42" i="39"/>
  <c r="P42" i="39"/>
  <c r="O42" i="39"/>
  <c r="N42" i="39"/>
  <c r="M42" i="39"/>
  <c r="L42" i="39"/>
  <c r="K42" i="39"/>
  <c r="J42" i="39"/>
  <c r="I42" i="39"/>
  <c r="H42" i="39"/>
  <c r="AE41" i="39"/>
  <c r="AD41" i="39"/>
  <c r="AC41" i="39"/>
  <c r="AB41" i="39"/>
  <c r="AA41" i="39"/>
  <c r="Z41" i="39"/>
  <c r="Y41" i="39"/>
  <c r="X41" i="39"/>
  <c r="W41" i="39"/>
  <c r="V41" i="39"/>
  <c r="U41" i="39"/>
  <c r="T41" i="39"/>
  <c r="S41" i="39"/>
  <c r="R41" i="39"/>
  <c r="Q41" i="39"/>
  <c r="P41" i="39"/>
  <c r="O41" i="39"/>
  <c r="N41" i="39"/>
  <c r="M41" i="39"/>
  <c r="L41" i="39"/>
  <c r="K41" i="39"/>
  <c r="J41" i="39"/>
  <c r="I41" i="39"/>
  <c r="H41" i="39"/>
  <c r="G41" i="39"/>
  <c r="F41" i="39"/>
  <c r="AE40" i="39"/>
  <c r="AD40" i="39"/>
  <c r="AC40" i="39"/>
  <c r="AB40" i="39"/>
  <c r="AA40" i="39"/>
  <c r="Z40" i="39"/>
  <c r="Y40" i="39"/>
  <c r="X40" i="39"/>
  <c r="W40" i="39"/>
  <c r="V40" i="39"/>
  <c r="U40" i="39"/>
  <c r="T40" i="39"/>
  <c r="S40" i="39"/>
  <c r="R40" i="39"/>
  <c r="Q40" i="39"/>
  <c r="P40" i="39"/>
  <c r="O40" i="39"/>
  <c r="N40" i="39"/>
  <c r="M40" i="39"/>
  <c r="L40" i="39"/>
  <c r="K40" i="39"/>
  <c r="J40" i="39"/>
  <c r="I40" i="39"/>
  <c r="H40" i="39"/>
  <c r="F40" i="39"/>
  <c r="AE39" i="39"/>
  <c r="AD39" i="39"/>
  <c r="AC39" i="39"/>
  <c r="AB39" i="39"/>
  <c r="AA39" i="39"/>
  <c r="Z39" i="39"/>
  <c r="Y39" i="39"/>
  <c r="X39" i="39"/>
  <c r="W39" i="39"/>
  <c r="V39" i="39"/>
  <c r="U39" i="39"/>
  <c r="T39" i="39"/>
  <c r="S39" i="39"/>
  <c r="R39" i="39"/>
  <c r="Q39" i="39"/>
  <c r="P39" i="39"/>
  <c r="O39" i="39"/>
  <c r="N39" i="39"/>
  <c r="M39" i="39"/>
  <c r="L39" i="39"/>
  <c r="K39" i="39"/>
  <c r="J39" i="39"/>
  <c r="I39" i="39"/>
  <c r="H39" i="39"/>
  <c r="G39" i="39"/>
  <c r="AE38" i="39"/>
  <c r="AD38" i="39"/>
  <c r="AC38" i="39"/>
  <c r="AB38" i="39"/>
  <c r="AA38" i="39"/>
  <c r="Z38" i="39"/>
  <c r="Y38" i="39"/>
  <c r="X38" i="39"/>
  <c r="W38" i="39"/>
  <c r="V38" i="39"/>
  <c r="U38" i="39"/>
  <c r="T38" i="39"/>
  <c r="S38" i="39"/>
  <c r="R38" i="39"/>
  <c r="Q38" i="39"/>
  <c r="P38" i="39"/>
  <c r="O38" i="39"/>
  <c r="N38" i="39"/>
  <c r="M38" i="39"/>
  <c r="L38" i="39"/>
  <c r="K38" i="39"/>
  <c r="J38" i="39"/>
  <c r="I38" i="39"/>
  <c r="H38" i="39"/>
  <c r="D44" i="39"/>
  <c r="C44" i="39"/>
  <c r="B44" i="39"/>
  <c r="D43" i="39"/>
  <c r="C43" i="39"/>
  <c r="B43" i="39"/>
  <c r="D42" i="39"/>
  <c r="C42" i="39"/>
  <c r="B42" i="39"/>
  <c r="D41" i="39"/>
  <c r="C41" i="39"/>
  <c r="B41" i="39"/>
  <c r="D40" i="39"/>
  <c r="C40" i="39"/>
  <c r="B40" i="39"/>
  <c r="D39" i="39"/>
  <c r="C39" i="39"/>
  <c r="B39" i="39"/>
  <c r="D38" i="39"/>
  <c r="C38" i="39"/>
  <c r="B38" i="39"/>
  <c r="AE127" i="39"/>
  <c r="AD127" i="39"/>
  <c r="AC127" i="39"/>
  <c r="AB127" i="39"/>
  <c r="AA127" i="39"/>
  <c r="Z127" i="39"/>
  <c r="Y127" i="39"/>
  <c r="X127" i="39"/>
  <c r="W127" i="39"/>
  <c r="V127" i="39"/>
  <c r="U127" i="39"/>
  <c r="T127" i="39"/>
  <c r="S127" i="39"/>
  <c r="R127" i="39"/>
  <c r="Q127" i="39"/>
  <c r="P127" i="39"/>
  <c r="O127" i="39"/>
  <c r="AE126" i="39"/>
  <c r="AD126" i="39"/>
  <c r="AC126" i="39"/>
  <c r="AB126" i="39"/>
  <c r="AA126" i="39"/>
  <c r="Z126" i="39"/>
  <c r="Y126" i="39"/>
  <c r="X126" i="39"/>
  <c r="W126" i="39"/>
  <c r="V126" i="39"/>
  <c r="U126" i="39"/>
  <c r="T126" i="39"/>
  <c r="S126" i="39"/>
  <c r="R126" i="39"/>
  <c r="Q126" i="39"/>
  <c r="P126" i="39"/>
  <c r="O126" i="39"/>
  <c r="AE125" i="39"/>
  <c r="AD125" i="39"/>
  <c r="AC125" i="39"/>
  <c r="AB125" i="39"/>
  <c r="AA125" i="39"/>
  <c r="Z125" i="39"/>
  <c r="Y125" i="39"/>
  <c r="X125" i="39"/>
  <c r="W125" i="39"/>
  <c r="V125" i="39"/>
  <c r="U125" i="39"/>
  <c r="T125" i="39"/>
  <c r="S125" i="39"/>
  <c r="R125" i="39"/>
  <c r="Q125" i="39"/>
  <c r="P125" i="39"/>
  <c r="O125" i="39"/>
  <c r="AE124" i="39"/>
  <c r="AD124" i="39"/>
  <c r="AC124" i="39"/>
  <c r="AB124" i="39"/>
  <c r="AA124" i="39"/>
  <c r="Z124" i="39"/>
  <c r="Y124" i="39"/>
  <c r="X124" i="39"/>
  <c r="W124" i="39"/>
  <c r="V124" i="39"/>
  <c r="U124" i="39"/>
  <c r="T124" i="39"/>
  <c r="S124" i="39"/>
  <c r="R124" i="39"/>
  <c r="Q124" i="39"/>
  <c r="P124" i="39"/>
  <c r="O124" i="39"/>
  <c r="AE123" i="39"/>
  <c r="AD123" i="39"/>
  <c r="AC123" i="39"/>
  <c r="AB123" i="39"/>
  <c r="AA123" i="39"/>
  <c r="Z123" i="39"/>
  <c r="Y123" i="39"/>
  <c r="X123" i="39"/>
  <c r="W123" i="39"/>
  <c r="V123" i="39"/>
  <c r="U123" i="39"/>
  <c r="T123" i="39"/>
  <c r="S123" i="39"/>
  <c r="R123" i="39"/>
  <c r="Q123" i="39"/>
  <c r="P123" i="39"/>
  <c r="O123" i="39"/>
  <c r="AE122" i="39"/>
  <c r="AD122" i="39"/>
  <c r="AC122" i="39"/>
  <c r="AB122" i="39"/>
  <c r="AA122" i="39"/>
  <c r="Z122" i="39"/>
  <c r="Y122" i="39"/>
  <c r="X122" i="39"/>
  <c r="W122" i="39"/>
  <c r="V122" i="39"/>
  <c r="U122" i="39"/>
  <c r="T122" i="39"/>
  <c r="S122" i="39"/>
  <c r="R122" i="39"/>
  <c r="Q122" i="39"/>
  <c r="P122" i="39"/>
  <c r="O122" i="39"/>
  <c r="AE121" i="39"/>
  <c r="AD121" i="39"/>
  <c r="AC121" i="39"/>
  <c r="AB121" i="39"/>
  <c r="AA121" i="39"/>
  <c r="Z121" i="39"/>
  <c r="Y121" i="39"/>
  <c r="X121" i="39"/>
  <c r="W121" i="39"/>
  <c r="V121" i="39"/>
  <c r="U121" i="39"/>
  <c r="T121" i="39"/>
  <c r="S121" i="39"/>
  <c r="R121" i="39"/>
  <c r="Q121" i="39"/>
  <c r="P121" i="39"/>
  <c r="O121" i="39"/>
  <c r="N127" i="39"/>
  <c r="M127" i="39"/>
  <c r="L127" i="39"/>
  <c r="K127" i="39"/>
  <c r="J127" i="39"/>
  <c r="I127" i="39"/>
  <c r="H127" i="39"/>
  <c r="G127" i="39"/>
  <c r="F127" i="39"/>
  <c r="N126" i="39"/>
  <c r="M126" i="39"/>
  <c r="L126" i="39"/>
  <c r="K126" i="39"/>
  <c r="J126" i="39"/>
  <c r="I126" i="39"/>
  <c r="H126" i="39"/>
  <c r="G126" i="39"/>
  <c r="F126" i="39"/>
  <c r="N125" i="39"/>
  <c r="M125" i="39"/>
  <c r="L125" i="39"/>
  <c r="K125" i="39"/>
  <c r="J125" i="39"/>
  <c r="I125" i="39"/>
  <c r="H125" i="39"/>
  <c r="G125" i="39"/>
  <c r="F125" i="39"/>
  <c r="N124" i="39"/>
  <c r="M124" i="39"/>
  <c r="L124" i="39"/>
  <c r="K124" i="39"/>
  <c r="J124" i="39"/>
  <c r="I124" i="39"/>
  <c r="H124" i="39"/>
  <c r="G124" i="39"/>
  <c r="F124" i="39"/>
  <c r="N123" i="39"/>
  <c r="M123" i="39"/>
  <c r="L123" i="39"/>
  <c r="K123" i="39"/>
  <c r="J123" i="39"/>
  <c r="I123" i="39"/>
  <c r="H123" i="39"/>
  <c r="G123" i="39"/>
  <c r="F123" i="39"/>
  <c r="N122" i="39"/>
  <c r="M122" i="39"/>
  <c r="L122" i="39"/>
  <c r="K122" i="39"/>
  <c r="J122" i="39"/>
  <c r="I122" i="39"/>
  <c r="H122" i="39"/>
  <c r="G122" i="39"/>
  <c r="F122" i="39"/>
  <c r="N121" i="39"/>
  <c r="M121" i="39"/>
  <c r="L121" i="39"/>
  <c r="K121" i="39"/>
  <c r="J121" i="39"/>
  <c r="I121" i="39"/>
  <c r="H121" i="39"/>
  <c r="G121" i="39"/>
  <c r="F121" i="39"/>
  <c r="D127" i="39"/>
  <c r="C127" i="39"/>
  <c r="B127" i="39"/>
  <c r="D126" i="39"/>
  <c r="C126" i="39"/>
  <c r="B126" i="39"/>
  <c r="D125" i="39"/>
  <c r="C125" i="39"/>
  <c r="B125" i="39"/>
  <c r="D124" i="39"/>
  <c r="C124" i="39"/>
  <c r="B124" i="39"/>
  <c r="D123" i="39"/>
  <c r="C123" i="39"/>
  <c r="B123" i="39"/>
  <c r="D122" i="39"/>
  <c r="C122" i="39"/>
  <c r="B122" i="39"/>
  <c r="D121" i="39"/>
  <c r="C121" i="39"/>
  <c r="B121" i="39"/>
  <c r="X128" i="39" l="1"/>
  <c r="P128" i="39"/>
  <c r="H128" i="39"/>
  <c r="I128" i="39"/>
  <c r="Z128" i="39"/>
  <c r="F128" i="39"/>
  <c r="N128" i="39"/>
  <c r="V128" i="39"/>
  <c r="AD128" i="39"/>
  <c r="G128" i="39"/>
  <c r="O128" i="39"/>
  <c r="W128" i="39"/>
  <c r="AE128" i="39"/>
  <c r="R128" i="39"/>
  <c r="K128" i="39"/>
  <c r="S128" i="39"/>
  <c r="AA128" i="39"/>
  <c r="Q128" i="39"/>
  <c r="J128" i="39"/>
  <c r="L128" i="39"/>
  <c r="T128" i="39"/>
  <c r="AB128" i="39"/>
  <c r="Y128" i="39"/>
  <c r="M128" i="39"/>
  <c r="U128" i="39"/>
  <c r="AC128" i="39"/>
  <c r="R7" i="95" l="1"/>
  <c r="S7" i="95" s="1"/>
  <c r="T7" i="95" s="1"/>
  <c r="U7" i="95" s="1"/>
  <c r="V7" i="95" s="1"/>
  <c r="W7" i="95" s="1"/>
  <c r="X7" i="95" s="1"/>
  <c r="Y7" i="95" s="1"/>
  <c r="Z7" i="95" s="1"/>
  <c r="AA7" i="95" s="1"/>
  <c r="AB7" i="95" s="1"/>
  <c r="AC7" i="95" s="1"/>
  <c r="AD7" i="95" s="1"/>
  <c r="AE7" i="95" s="1"/>
  <c r="S10" i="31" l="1"/>
  <c r="T10" i="31" s="1"/>
  <c r="U10" i="31" s="1"/>
  <c r="V10" i="31" s="1"/>
  <c r="W10" i="31" s="1"/>
  <c r="X10" i="31" s="1"/>
  <c r="Y10" i="31" s="1"/>
  <c r="Z10" i="31" s="1"/>
  <c r="AA10" i="31" s="1"/>
  <c r="AB10" i="31" s="1"/>
  <c r="AC10" i="31" s="1"/>
  <c r="AD10" i="31" s="1"/>
  <c r="AE10" i="31" s="1"/>
  <c r="W65" i="42"/>
  <c r="X65" i="42" s="1"/>
  <c r="Y65" i="42" s="1"/>
  <c r="Z65" i="42" s="1"/>
  <c r="AA65" i="42" s="1"/>
  <c r="AB65" i="42" s="1"/>
  <c r="AC65" i="42" s="1"/>
  <c r="AD65" i="42" s="1"/>
  <c r="AE65" i="42" s="1"/>
  <c r="AF65" i="42" s="1"/>
  <c r="W16" i="42"/>
  <c r="X16" i="42" s="1"/>
  <c r="Y16" i="42" s="1"/>
  <c r="Z16" i="42" s="1"/>
  <c r="AA16" i="42" s="1"/>
  <c r="AB16" i="42" s="1"/>
  <c r="AC16" i="42" s="1"/>
  <c r="AD16" i="42" s="1"/>
  <c r="AE16" i="42" s="1"/>
  <c r="AF16" i="42" s="1"/>
  <c r="W15" i="42"/>
  <c r="X15" i="42" s="1"/>
  <c r="Y15" i="42" s="1"/>
  <c r="Z15" i="42" s="1"/>
  <c r="AA15" i="42" s="1"/>
  <c r="AB15" i="42" s="1"/>
  <c r="AC15" i="42" s="1"/>
  <c r="AD15" i="42" s="1"/>
  <c r="AE15" i="42" s="1"/>
  <c r="AF15" i="42" s="1"/>
  <c r="W13" i="42"/>
  <c r="X13" i="42" s="1"/>
  <c r="Y13" i="42" s="1"/>
  <c r="Z13" i="42" s="1"/>
  <c r="AA13" i="42" s="1"/>
  <c r="AB13" i="42" s="1"/>
  <c r="AC13" i="42" s="1"/>
  <c r="AD13" i="42" s="1"/>
  <c r="AE13" i="42" s="1"/>
  <c r="AF13" i="42" s="1"/>
  <c r="W169" i="68" l="1"/>
  <c r="X169" i="68" s="1"/>
  <c r="Y169" i="68" s="1"/>
  <c r="Z169" i="68" s="1"/>
  <c r="AA169" i="68" s="1"/>
  <c r="AB169" i="68" s="1"/>
  <c r="AC169" i="68" s="1"/>
  <c r="AD169" i="68" s="1"/>
  <c r="AE169" i="68" s="1"/>
  <c r="W143" i="68"/>
  <c r="X143" i="68" s="1"/>
  <c r="Y143" i="68" s="1"/>
  <c r="Z143" i="68" s="1"/>
  <c r="AA143" i="68" s="1"/>
  <c r="AB143" i="68" s="1"/>
  <c r="AC143" i="68" s="1"/>
  <c r="AD143" i="68" s="1"/>
  <c r="AE143" i="68" s="1"/>
  <c r="W117" i="68"/>
  <c r="X117" i="68" s="1"/>
  <c r="Y117" i="68" s="1"/>
  <c r="Z117" i="68" s="1"/>
  <c r="AA117" i="68" s="1"/>
  <c r="AB117" i="68" s="1"/>
  <c r="AC117" i="68" s="1"/>
  <c r="AD117" i="68" s="1"/>
  <c r="AE117" i="68" s="1"/>
  <c r="AE164" i="39" l="1"/>
  <c r="AD164" i="39"/>
  <c r="AC164" i="39"/>
  <c r="AB164" i="39"/>
  <c r="AA164" i="39"/>
  <c r="Z164" i="39"/>
  <c r="Y164" i="39"/>
  <c r="X164" i="39"/>
  <c r="W164" i="39"/>
  <c r="V164" i="39"/>
  <c r="U164" i="39"/>
  <c r="T164" i="39"/>
  <c r="S164" i="39"/>
  <c r="R164" i="39"/>
  <c r="Q164" i="39"/>
  <c r="P164" i="39"/>
  <c r="O164" i="39"/>
  <c r="N164" i="39"/>
  <c r="M164" i="39"/>
  <c r="L164" i="39"/>
  <c r="K164" i="39"/>
  <c r="J164" i="39"/>
  <c r="I164" i="39"/>
  <c r="H164" i="39"/>
  <c r="G164" i="39"/>
  <c r="F164" i="39"/>
  <c r="AE163" i="39"/>
  <c r="AD163" i="39"/>
  <c r="AC163" i="39"/>
  <c r="AB163" i="39"/>
  <c r="AA163" i="39"/>
  <c r="Z163" i="39"/>
  <c r="Y163" i="39"/>
  <c r="X163" i="39"/>
  <c r="W163" i="39"/>
  <c r="V163" i="39"/>
  <c r="U163" i="39"/>
  <c r="T163" i="39"/>
  <c r="S163" i="39"/>
  <c r="R163" i="39"/>
  <c r="Q163" i="39"/>
  <c r="P163" i="39"/>
  <c r="O163" i="39"/>
  <c r="N163" i="39"/>
  <c r="M163" i="39"/>
  <c r="L163" i="39"/>
  <c r="K163" i="39"/>
  <c r="J163" i="39"/>
  <c r="I163" i="39"/>
  <c r="H163" i="39"/>
  <c r="G163" i="39"/>
  <c r="F163" i="39"/>
  <c r="AE162" i="39"/>
  <c r="AD162" i="39"/>
  <c r="AC162" i="39"/>
  <c r="AB162" i="39"/>
  <c r="AA162" i="39"/>
  <c r="Z162" i="39"/>
  <c r="Y162" i="39"/>
  <c r="X162" i="39"/>
  <c r="W162" i="39"/>
  <c r="V162" i="39"/>
  <c r="U162" i="39"/>
  <c r="T162" i="39"/>
  <c r="S162" i="39"/>
  <c r="R162" i="39"/>
  <c r="Q162" i="39"/>
  <c r="P162" i="39"/>
  <c r="O162" i="39"/>
  <c r="N162" i="39"/>
  <c r="M162" i="39"/>
  <c r="L162" i="39"/>
  <c r="K162" i="39"/>
  <c r="J162" i="39"/>
  <c r="I162" i="39"/>
  <c r="H162" i="39"/>
  <c r="G162" i="39"/>
  <c r="F162" i="39"/>
  <c r="AE161" i="39"/>
  <c r="AD161" i="39"/>
  <c r="AC161" i="39"/>
  <c r="AB161" i="39"/>
  <c r="AA161" i="39"/>
  <c r="Z161" i="39"/>
  <c r="Y161" i="39"/>
  <c r="X161" i="39"/>
  <c r="W161" i="39"/>
  <c r="V161" i="39"/>
  <c r="U161" i="39"/>
  <c r="T161" i="39"/>
  <c r="S161" i="39"/>
  <c r="R161" i="39"/>
  <c r="Q161" i="39"/>
  <c r="P161" i="39"/>
  <c r="O161" i="39"/>
  <c r="N161" i="39"/>
  <c r="M161" i="39"/>
  <c r="L161" i="39"/>
  <c r="K161" i="39"/>
  <c r="J161" i="39"/>
  <c r="I161" i="39"/>
  <c r="H161" i="39"/>
  <c r="G161" i="39"/>
  <c r="F161" i="39"/>
  <c r="AE160" i="39"/>
  <c r="AD160" i="39"/>
  <c r="AC160" i="39"/>
  <c r="AB160" i="39"/>
  <c r="AA160" i="39"/>
  <c r="Z160" i="39"/>
  <c r="Y160" i="39"/>
  <c r="X160" i="39"/>
  <c r="W160" i="39"/>
  <c r="V160" i="39"/>
  <c r="U160" i="39"/>
  <c r="T160" i="39"/>
  <c r="S160" i="39"/>
  <c r="R160" i="39"/>
  <c r="Q160" i="39"/>
  <c r="P160" i="39"/>
  <c r="O160" i="39"/>
  <c r="N160" i="39"/>
  <c r="M160" i="39"/>
  <c r="L160" i="39"/>
  <c r="K160" i="39"/>
  <c r="J160" i="39"/>
  <c r="I160" i="39"/>
  <c r="H160" i="39"/>
  <c r="G160" i="39"/>
  <c r="F160" i="39"/>
  <c r="AE159" i="39"/>
  <c r="AD159" i="39"/>
  <c r="AC159" i="39"/>
  <c r="AB159" i="39"/>
  <c r="AA159" i="39"/>
  <c r="Z159" i="39"/>
  <c r="Y159" i="39"/>
  <c r="X159" i="39"/>
  <c r="W159" i="39"/>
  <c r="V159" i="39"/>
  <c r="U159" i="39"/>
  <c r="T159" i="39"/>
  <c r="S159" i="39"/>
  <c r="R159" i="39"/>
  <c r="Q159" i="39"/>
  <c r="P159" i="39"/>
  <c r="O159" i="39"/>
  <c r="N159" i="39"/>
  <c r="M159" i="39"/>
  <c r="L159" i="39"/>
  <c r="K159" i="39"/>
  <c r="J159" i="39"/>
  <c r="I159" i="39"/>
  <c r="H159" i="39"/>
  <c r="G159" i="39"/>
  <c r="F159" i="39"/>
  <c r="AE158" i="39"/>
  <c r="AD158" i="39"/>
  <c r="AC158" i="39"/>
  <c r="AB158" i="39"/>
  <c r="AA158" i="39"/>
  <c r="Z158" i="39"/>
  <c r="Y158" i="39"/>
  <c r="X158" i="39"/>
  <c r="W158" i="39"/>
  <c r="V158" i="39"/>
  <c r="U158" i="39"/>
  <c r="T158" i="39"/>
  <c r="S158" i="39"/>
  <c r="R158" i="39"/>
  <c r="Q158" i="39"/>
  <c r="P158" i="39"/>
  <c r="O158" i="39"/>
  <c r="N158" i="39"/>
  <c r="M158" i="39"/>
  <c r="L158" i="39"/>
  <c r="K158" i="39"/>
  <c r="J158" i="39"/>
  <c r="I158" i="39"/>
  <c r="H158" i="39"/>
  <c r="G158" i="39"/>
  <c r="F158" i="39"/>
  <c r="AF93" i="58" l="1"/>
  <c r="AF41" i="58"/>
  <c r="AF40" i="58"/>
  <c r="AF15" i="58"/>
  <c r="AG171" i="58" l="1"/>
  <c r="AG170" i="58"/>
  <c r="AG145" i="58"/>
  <c r="AG144" i="58"/>
  <c r="AG119" i="58"/>
  <c r="AG118" i="58"/>
  <c r="AG67" i="58"/>
  <c r="AG66" i="58"/>
  <c r="R66" i="58" l="1"/>
  <c r="V66" i="58"/>
  <c r="Z66" i="58"/>
  <c r="AD66" i="58"/>
  <c r="W66" i="58"/>
  <c r="AE66" i="58"/>
  <c r="S66" i="58"/>
  <c r="AA66" i="58"/>
  <c r="Q66" i="58"/>
  <c r="Y66" i="58"/>
  <c r="AC66" i="58"/>
  <c r="X66" i="58"/>
  <c r="T66" i="58"/>
  <c r="AB66" i="58"/>
  <c r="U66" i="58"/>
  <c r="AF66" i="58"/>
  <c r="Q144" i="58"/>
  <c r="U144" i="58"/>
  <c r="Y144" i="58"/>
  <c r="AC144" i="58"/>
  <c r="AF144" i="58"/>
  <c r="R144" i="58"/>
  <c r="V144" i="58"/>
  <c r="Z144" i="58"/>
  <c r="AD144" i="58"/>
  <c r="AA144" i="58"/>
  <c r="S144" i="58"/>
  <c r="W144" i="58"/>
  <c r="T144" i="58"/>
  <c r="X144" i="58"/>
  <c r="AB144" i="58"/>
  <c r="AE144" i="58"/>
  <c r="Q67" i="58"/>
  <c r="U67" i="58"/>
  <c r="Y67" i="58"/>
  <c r="AC67" i="58"/>
  <c r="R67" i="58"/>
  <c r="V67" i="58"/>
  <c r="AD67" i="58"/>
  <c r="Z67" i="58"/>
  <c r="X67" i="58"/>
  <c r="AF67" i="58"/>
  <c r="T67" i="58"/>
  <c r="W67" i="58"/>
  <c r="S67" i="58"/>
  <c r="AA67" i="58"/>
  <c r="AB67" i="58"/>
  <c r="AE67" i="58"/>
  <c r="S145" i="58"/>
  <c r="W145" i="58"/>
  <c r="AA145" i="58"/>
  <c r="AE145" i="58"/>
  <c r="X145" i="58"/>
  <c r="AB145" i="58"/>
  <c r="T145" i="58"/>
  <c r="R145" i="58"/>
  <c r="Z145" i="58"/>
  <c r="U145" i="58"/>
  <c r="AC145" i="58"/>
  <c r="AF145" i="58"/>
  <c r="V145" i="58"/>
  <c r="AD145" i="58"/>
  <c r="Q145" i="58"/>
  <c r="Y145" i="58"/>
  <c r="Q118" i="58"/>
  <c r="U118" i="58"/>
  <c r="Y118" i="58"/>
  <c r="AC118" i="58"/>
  <c r="AF118" i="58"/>
  <c r="R118" i="58"/>
  <c r="V118" i="58"/>
  <c r="Z118" i="58"/>
  <c r="AD118" i="58"/>
  <c r="S118" i="58"/>
  <c r="AA118" i="58"/>
  <c r="T118" i="58"/>
  <c r="AB118" i="58"/>
  <c r="W118" i="58"/>
  <c r="AE118" i="58"/>
  <c r="X118" i="58"/>
  <c r="T170" i="58"/>
  <c r="X170" i="58"/>
  <c r="AB170" i="58"/>
  <c r="AF170" i="58"/>
  <c r="R170" i="58"/>
  <c r="AD170" i="58"/>
  <c r="Q170" i="58"/>
  <c r="U170" i="58"/>
  <c r="Y170" i="58"/>
  <c r="AC170" i="58"/>
  <c r="V170" i="58"/>
  <c r="Z170" i="58"/>
  <c r="S170" i="58"/>
  <c r="W170" i="58"/>
  <c r="AA170" i="58"/>
  <c r="AE170" i="58"/>
  <c r="S119" i="58"/>
  <c r="W119" i="58"/>
  <c r="AA119" i="58"/>
  <c r="AE119" i="58"/>
  <c r="T119" i="58"/>
  <c r="X119" i="58"/>
  <c r="AB119" i="58"/>
  <c r="U119" i="58"/>
  <c r="AC119" i="58"/>
  <c r="AF119" i="58"/>
  <c r="V119" i="58"/>
  <c r="AD119" i="58"/>
  <c r="Y119" i="58"/>
  <c r="Q119" i="58"/>
  <c r="R119" i="58"/>
  <c r="Z119" i="58"/>
  <c r="Q171" i="58"/>
  <c r="U171" i="58"/>
  <c r="Y171" i="58"/>
  <c r="AC171" i="58"/>
  <c r="V171" i="58"/>
  <c r="W171" i="58"/>
  <c r="AE171" i="58"/>
  <c r="R171" i="58"/>
  <c r="Z171" i="58"/>
  <c r="AD171" i="58"/>
  <c r="S171" i="58"/>
  <c r="AA171" i="58"/>
  <c r="T171" i="58"/>
  <c r="X171" i="58"/>
  <c r="AB171" i="58"/>
  <c r="AF171" i="58"/>
  <c r="E16" i="29" l="1"/>
  <c r="E13" i="29"/>
  <c r="E9" i="29" l="1"/>
  <c r="E10" i="29"/>
  <c r="E11" i="29"/>
  <c r="E14" i="29"/>
  <c r="E17" i="29"/>
  <c r="E12" i="29"/>
  <c r="E15" i="29"/>
  <c r="E18" i="29"/>
  <c r="W102" i="116" l="1"/>
  <c r="V102" i="116"/>
  <c r="U102" i="116"/>
  <c r="L114" i="116"/>
  <c r="K114" i="116"/>
  <c r="J114" i="116"/>
  <c r="T102" i="116"/>
  <c r="R12" i="32"/>
  <c r="Q12" i="32"/>
  <c r="P12" i="32"/>
  <c r="R11" i="32"/>
  <c r="Q11" i="32"/>
  <c r="P11" i="32"/>
  <c r="R10" i="32"/>
  <c r="Q10" i="32"/>
  <c r="P10" i="32"/>
  <c r="I114" i="116" l="1"/>
  <c r="S13" i="48"/>
  <c r="T13" i="48" s="1"/>
  <c r="U13" i="48" s="1"/>
  <c r="V13" i="48" s="1"/>
  <c r="W13" i="48" s="1"/>
  <c r="X13" i="48" s="1"/>
  <c r="Y13" i="48" s="1"/>
  <c r="Z13" i="48" s="1"/>
  <c r="AA13" i="48" s="1"/>
  <c r="AB13" i="48" s="1"/>
  <c r="AC13" i="48" s="1"/>
  <c r="AD13" i="48" s="1"/>
  <c r="AE13" i="48" s="1"/>
  <c r="AF13" i="48" s="1"/>
  <c r="M13" i="39"/>
  <c r="AF185" i="39" l="1"/>
  <c r="AG185" i="39"/>
  <c r="M83" i="39" l="1"/>
  <c r="M80" i="39" l="1"/>
  <c r="V7" i="87" l="1"/>
  <c r="U10" i="87"/>
  <c r="V14" i="32"/>
  <c r="W14" i="32" s="1"/>
  <c r="X14" i="32" s="1"/>
  <c r="Y14" i="32" s="1"/>
  <c r="Z14" i="32" s="1"/>
  <c r="AA14" i="32" s="1"/>
  <c r="AB14" i="32" s="1"/>
  <c r="AC14" i="32" s="1"/>
  <c r="AD14" i="32" s="1"/>
  <c r="AE14" i="32" s="1"/>
  <c r="V13" i="32"/>
  <c r="W13" i="32" s="1"/>
  <c r="X13" i="32" s="1"/>
  <c r="Y13" i="32" s="1"/>
  <c r="Z13" i="32" s="1"/>
  <c r="AA13" i="32" s="1"/>
  <c r="AB13" i="32" s="1"/>
  <c r="AC13" i="32" s="1"/>
  <c r="AD13" i="32" s="1"/>
  <c r="AE13" i="32" s="1"/>
  <c r="U11" i="87" l="1"/>
  <c r="U12" i="87"/>
  <c r="U9" i="87"/>
  <c r="W7" i="87"/>
  <c r="V10" i="87"/>
  <c r="S10" i="32"/>
  <c r="S12" i="32"/>
  <c r="S11" i="32"/>
  <c r="V13" i="31"/>
  <c r="W13" i="31" s="1"/>
  <c r="X13" i="31" s="1"/>
  <c r="Y13" i="31" s="1"/>
  <c r="Z13" i="31" s="1"/>
  <c r="AA13" i="31" s="1"/>
  <c r="AB13" i="31" s="1"/>
  <c r="AC13" i="31" s="1"/>
  <c r="AD13" i="31" s="1"/>
  <c r="AE13" i="31" s="1"/>
  <c r="V14" i="31"/>
  <c r="W14" i="31" s="1"/>
  <c r="X14" i="31" s="1"/>
  <c r="Y14" i="31" s="1"/>
  <c r="Z14" i="31" s="1"/>
  <c r="AA14" i="31" s="1"/>
  <c r="AB14" i="31" s="1"/>
  <c r="AC14" i="31" s="1"/>
  <c r="AD14" i="31" s="1"/>
  <c r="AE14" i="31" s="1"/>
  <c r="V7" i="31"/>
  <c r="W7" i="31" s="1"/>
  <c r="X7" i="31" s="1"/>
  <c r="Y7" i="31" s="1"/>
  <c r="Z7" i="31" s="1"/>
  <c r="AA7" i="31" s="1"/>
  <c r="AB7" i="31" s="1"/>
  <c r="AC7" i="31" s="1"/>
  <c r="AD7" i="31" s="1"/>
  <c r="AE7" i="31" s="1"/>
  <c r="V11" i="87" l="1"/>
  <c r="V9" i="87"/>
  <c r="V12" i="87"/>
  <c r="X7" i="87"/>
  <c r="W10" i="87"/>
  <c r="T12" i="32"/>
  <c r="T11" i="32"/>
  <c r="T10" i="32"/>
  <c r="W11" i="87" l="1"/>
  <c r="W12" i="87"/>
  <c r="W9" i="87"/>
  <c r="Y7" i="87"/>
  <c r="X10" i="87"/>
  <c r="V7" i="32"/>
  <c r="U12" i="32"/>
  <c r="U11" i="32"/>
  <c r="U10" i="32"/>
  <c r="R13" i="19"/>
  <c r="R12" i="19"/>
  <c r="I149" i="39"/>
  <c r="J149" i="39"/>
  <c r="I150" i="39"/>
  <c r="J150" i="39"/>
  <c r="I151" i="39"/>
  <c r="J151" i="39"/>
  <c r="I152" i="39"/>
  <c r="J152" i="39"/>
  <c r="I153" i="39"/>
  <c r="J153" i="39"/>
  <c r="I154" i="39"/>
  <c r="J154" i="39"/>
  <c r="I155" i="39"/>
  <c r="J155" i="39"/>
  <c r="K155" i="39"/>
  <c r="J195" i="39"/>
  <c r="I195" i="39"/>
  <c r="H195" i="39"/>
  <c r="G195" i="39"/>
  <c r="F195" i="39"/>
  <c r="J194" i="39"/>
  <c r="I194" i="39"/>
  <c r="H194" i="39"/>
  <c r="G194" i="39"/>
  <c r="F194" i="39"/>
  <c r="J193" i="39"/>
  <c r="I193" i="39"/>
  <c r="H193" i="39"/>
  <c r="G193" i="39"/>
  <c r="F193" i="39"/>
  <c r="J192" i="39"/>
  <c r="I192" i="39"/>
  <c r="H192" i="39"/>
  <c r="G192" i="39"/>
  <c r="F192" i="39"/>
  <c r="J191" i="39"/>
  <c r="I191" i="39"/>
  <c r="H191" i="39"/>
  <c r="G191" i="39"/>
  <c r="F191" i="39"/>
  <c r="J190" i="39"/>
  <c r="I190" i="39"/>
  <c r="H190" i="39"/>
  <c r="G190" i="39"/>
  <c r="F190" i="39"/>
  <c r="J189" i="39"/>
  <c r="I189" i="39"/>
  <c r="H189" i="39"/>
  <c r="G189" i="39"/>
  <c r="F189" i="39"/>
  <c r="G207" i="80"/>
  <c r="H207" i="80"/>
  <c r="I207" i="80"/>
  <c r="J207" i="80"/>
  <c r="F207" i="80"/>
  <c r="X9" i="87" l="1"/>
  <c r="X12" i="87"/>
  <c r="X11" i="87"/>
  <c r="Z7" i="87"/>
  <c r="Y10" i="87"/>
  <c r="W7" i="32"/>
  <c r="V12" i="32"/>
  <c r="V11" i="32"/>
  <c r="V10" i="32"/>
  <c r="T2" i="74"/>
  <c r="T2" i="75"/>
  <c r="Y9" i="87" l="1"/>
  <c r="Y12" i="87"/>
  <c r="Y11" i="87"/>
  <c r="AA7" i="87"/>
  <c r="Z10" i="87"/>
  <c r="X7" i="32"/>
  <c r="W11" i="32"/>
  <c r="W10" i="32"/>
  <c r="W12" i="32"/>
  <c r="S8" i="31"/>
  <c r="T8" i="31" s="1"/>
  <c r="U8" i="31" s="1"/>
  <c r="V8" i="31" s="1"/>
  <c r="W8" i="31" s="1"/>
  <c r="X8" i="31" s="1"/>
  <c r="Y8" i="31" s="1"/>
  <c r="Z8" i="31" s="1"/>
  <c r="AA8" i="31" s="1"/>
  <c r="AB8" i="31" s="1"/>
  <c r="AC8" i="31" s="1"/>
  <c r="AD8" i="31" s="1"/>
  <c r="AE8" i="31" s="1"/>
  <c r="S9" i="31"/>
  <c r="T9" i="31" s="1"/>
  <c r="U9" i="31" s="1"/>
  <c r="V9" i="31" s="1"/>
  <c r="W9" i="31" s="1"/>
  <c r="X9" i="31" s="1"/>
  <c r="Y9" i="31" s="1"/>
  <c r="Z9" i="31" s="1"/>
  <c r="AA9" i="31" s="1"/>
  <c r="AB9" i="31" s="1"/>
  <c r="AC9" i="31" s="1"/>
  <c r="AD9" i="31" s="1"/>
  <c r="AE9" i="31" s="1"/>
  <c r="S11" i="31"/>
  <c r="T11" i="31" s="1"/>
  <c r="U11" i="31" s="1"/>
  <c r="V11" i="31" s="1"/>
  <c r="W11" i="31" s="1"/>
  <c r="X11" i="31" s="1"/>
  <c r="Y11" i="31" s="1"/>
  <c r="Z11" i="31" s="1"/>
  <c r="AA11" i="31" s="1"/>
  <c r="AB11" i="31" s="1"/>
  <c r="AC11" i="31" s="1"/>
  <c r="AD11" i="31" s="1"/>
  <c r="AE11" i="31" s="1"/>
  <c r="S12" i="31"/>
  <c r="T12" i="31" s="1"/>
  <c r="U12" i="31" s="1"/>
  <c r="V12" i="31" s="1"/>
  <c r="W12" i="31" s="1"/>
  <c r="X12" i="31" s="1"/>
  <c r="Y12" i="31" s="1"/>
  <c r="Z12" i="31" s="1"/>
  <c r="AA12" i="31" s="1"/>
  <c r="AB12" i="31" s="1"/>
  <c r="AC12" i="31" s="1"/>
  <c r="AD12" i="31" s="1"/>
  <c r="AE12" i="31" s="1"/>
  <c r="L26" i="76"/>
  <c r="Z11" i="87" l="1"/>
  <c r="Z9" i="87"/>
  <c r="Z12" i="87"/>
  <c r="AB7" i="87"/>
  <c r="AA10" i="87"/>
  <c r="Y7" i="32"/>
  <c r="X10" i="32"/>
  <c r="X11" i="32"/>
  <c r="X12" i="32"/>
  <c r="AE163" i="80"/>
  <c r="AD163" i="80"/>
  <c r="AC163" i="80"/>
  <c r="AB163" i="80"/>
  <c r="AA163" i="80"/>
  <c r="Z163" i="80"/>
  <c r="Y163" i="80"/>
  <c r="X163" i="80"/>
  <c r="W163" i="80"/>
  <c r="V163" i="80"/>
  <c r="U163" i="80"/>
  <c r="T163" i="80"/>
  <c r="S163" i="80"/>
  <c r="R163" i="80"/>
  <c r="Q163" i="80"/>
  <c r="P163" i="80"/>
  <c r="O163" i="80"/>
  <c r="N163" i="80"/>
  <c r="M163" i="80"/>
  <c r="L163" i="80"/>
  <c r="K163" i="80"/>
  <c r="J163" i="80"/>
  <c r="I163" i="80"/>
  <c r="H163" i="80"/>
  <c r="G163" i="80"/>
  <c r="F163" i="80"/>
  <c r="AA9" i="87" l="1"/>
  <c r="AA11" i="87"/>
  <c r="AA12" i="87"/>
  <c r="AC7" i="87"/>
  <c r="AB10" i="87"/>
  <c r="Z7" i="32"/>
  <c r="Y10" i="32"/>
  <c r="Y12" i="32"/>
  <c r="Y11" i="32"/>
  <c r="AD7" i="87" l="1"/>
  <c r="AC10" i="87"/>
  <c r="AB11" i="87"/>
  <c r="AB12" i="87"/>
  <c r="AB9" i="87"/>
  <c r="AA7" i="32"/>
  <c r="Z10" i="32"/>
  <c r="Z12" i="32"/>
  <c r="Z11" i="32"/>
  <c r="AF172" i="68"/>
  <c r="W172" i="68" s="1"/>
  <c r="X172" i="68" s="1"/>
  <c r="Y172" i="68" s="1"/>
  <c r="Z172" i="68" s="1"/>
  <c r="AA172" i="68" s="1"/>
  <c r="AB172" i="68" s="1"/>
  <c r="AC172" i="68" s="1"/>
  <c r="AD172" i="68" s="1"/>
  <c r="AE172" i="68" s="1"/>
  <c r="AF171" i="68"/>
  <c r="W171" i="68" s="1"/>
  <c r="X171" i="68" s="1"/>
  <c r="Y171" i="68" s="1"/>
  <c r="Z171" i="68" s="1"/>
  <c r="AA171" i="68" s="1"/>
  <c r="AB171" i="68" s="1"/>
  <c r="AC171" i="68" s="1"/>
  <c r="AD171" i="68" s="1"/>
  <c r="AE171" i="68" s="1"/>
  <c r="AF146" i="68"/>
  <c r="AF145" i="68"/>
  <c r="W145" i="68" s="1"/>
  <c r="X145" i="68" s="1"/>
  <c r="Y145" i="68" s="1"/>
  <c r="Z145" i="68" s="1"/>
  <c r="AA145" i="68" s="1"/>
  <c r="AB145" i="68" s="1"/>
  <c r="AC145" i="68" s="1"/>
  <c r="AD145" i="68" s="1"/>
  <c r="AE145" i="68" s="1"/>
  <c r="AF120" i="68"/>
  <c r="W120" i="68" s="1"/>
  <c r="X120" i="68" s="1"/>
  <c r="Y120" i="68" s="1"/>
  <c r="Z120" i="68" s="1"/>
  <c r="AA120" i="68" s="1"/>
  <c r="AB120" i="68" s="1"/>
  <c r="AC120" i="68" s="1"/>
  <c r="AD120" i="68" s="1"/>
  <c r="AE120" i="68" s="1"/>
  <c r="AF119" i="68"/>
  <c r="W119" i="68" s="1"/>
  <c r="X119" i="68" s="1"/>
  <c r="Y119" i="68" s="1"/>
  <c r="Z119" i="68" s="1"/>
  <c r="AA119" i="68" s="1"/>
  <c r="AB119" i="68" s="1"/>
  <c r="AC119" i="68" s="1"/>
  <c r="AD119" i="68" s="1"/>
  <c r="AE119" i="68" s="1"/>
  <c r="AC12" i="87" l="1"/>
  <c r="AC11" i="87"/>
  <c r="AC9" i="87"/>
  <c r="AE7" i="87"/>
  <c r="AE10" i="87" s="1"/>
  <c r="AD10" i="87"/>
  <c r="W146" i="68"/>
  <c r="X146" i="68" s="1"/>
  <c r="Y146" i="68" s="1"/>
  <c r="Z146" i="68" s="1"/>
  <c r="AA146" i="68" s="1"/>
  <c r="AB146" i="68" s="1"/>
  <c r="AC146" i="68" s="1"/>
  <c r="AD146" i="68" s="1"/>
  <c r="AE146" i="68" s="1"/>
  <c r="AB7" i="32"/>
  <c r="AA12" i="32"/>
  <c r="AA11" i="32"/>
  <c r="AA10" i="32"/>
  <c r="AF120" i="42"/>
  <c r="W120" i="42" s="1"/>
  <c r="X120" i="42" s="1"/>
  <c r="Y120" i="42" s="1"/>
  <c r="Z120" i="42" s="1"/>
  <c r="AA120" i="42" s="1"/>
  <c r="AB120" i="42" s="1"/>
  <c r="AC120" i="42" s="1"/>
  <c r="AD120" i="42" s="1"/>
  <c r="AE120" i="42" s="1"/>
  <c r="AF119" i="42"/>
  <c r="W119" i="42" s="1"/>
  <c r="X119" i="42" s="1"/>
  <c r="Y119" i="42" s="1"/>
  <c r="Z119" i="42" s="1"/>
  <c r="AA119" i="42" s="1"/>
  <c r="AB119" i="42" s="1"/>
  <c r="AC119" i="42" s="1"/>
  <c r="AD119" i="42" s="1"/>
  <c r="AE119" i="42" s="1"/>
  <c r="AF98" i="41"/>
  <c r="AE98" i="41"/>
  <c r="AD98" i="41"/>
  <c r="AC98" i="41"/>
  <c r="AB98" i="41"/>
  <c r="AA98" i="41"/>
  <c r="Z98" i="41"/>
  <c r="Y98" i="41"/>
  <c r="X98" i="41"/>
  <c r="W98" i="41"/>
  <c r="AF97" i="41"/>
  <c r="AE97" i="41"/>
  <c r="AD97" i="41"/>
  <c r="AC97" i="41"/>
  <c r="AB97" i="41"/>
  <c r="AA97" i="41"/>
  <c r="Z97" i="41"/>
  <c r="Y97" i="41"/>
  <c r="X97" i="41"/>
  <c r="W97" i="41"/>
  <c r="AF73" i="41"/>
  <c r="AE73" i="41"/>
  <c r="AD73" i="41"/>
  <c r="AC73" i="41"/>
  <c r="AB73" i="41"/>
  <c r="AA73" i="41"/>
  <c r="Z73" i="41"/>
  <c r="Y73" i="41"/>
  <c r="X73" i="41"/>
  <c r="W73" i="41"/>
  <c r="AF72" i="41"/>
  <c r="AE72" i="41"/>
  <c r="AD72" i="41"/>
  <c r="AC72" i="41"/>
  <c r="AB72" i="41"/>
  <c r="AA72" i="41"/>
  <c r="Z72" i="41"/>
  <c r="Y72" i="41"/>
  <c r="X72" i="41"/>
  <c r="W72" i="41"/>
  <c r="AF46" i="41"/>
  <c r="AE46" i="41"/>
  <c r="AD46" i="41"/>
  <c r="AC46" i="41"/>
  <c r="AB46" i="41"/>
  <c r="AA46" i="41"/>
  <c r="Z46" i="41"/>
  <c r="Y46" i="41"/>
  <c r="X46" i="41"/>
  <c r="W46" i="41"/>
  <c r="AF45" i="41"/>
  <c r="AE45" i="41"/>
  <c r="AD45" i="41"/>
  <c r="AC45" i="41"/>
  <c r="AB45" i="41"/>
  <c r="AA45" i="41"/>
  <c r="Z45" i="41"/>
  <c r="Y45" i="41"/>
  <c r="X45" i="41"/>
  <c r="W45" i="41"/>
  <c r="AD11" i="87" l="1"/>
  <c r="AD9" i="87"/>
  <c r="AD12" i="87"/>
  <c r="AE11" i="87"/>
  <c r="AE9" i="87"/>
  <c r="AE12" i="87"/>
  <c r="AC7" i="32"/>
  <c r="AB12" i="32"/>
  <c r="AB11" i="32"/>
  <c r="AB10" i="32"/>
  <c r="AD7" i="32" l="1"/>
  <c r="AC12" i="32"/>
  <c r="AC11" i="32"/>
  <c r="AC10" i="32"/>
  <c r="J374" i="39"/>
  <c r="I374" i="39"/>
  <c r="H374" i="39"/>
  <c r="G374" i="39"/>
  <c r="F374" i="39"/>
  <c r="AE7" i="32" l="1"/>
  <c r="AD12" i="32"/>
  <c r="AD11" i="32"/>
  <c r="AD10" i="32"/>
  <c r="L13" i="39"/>
  <c r="N13" i="39"/>
  <c r="O13" i="39"/>
  <c r="P13" i="39"/>
  <c r="AE11" i="32" l="1"/>
  <c r="AE10" i="32"/>
  <c r="AE12" i="32"/>
  <c r="N11" i="51"/>
  <c r="Q11" i="51"/>
  <c r="P11" i="51"/>
  <c r="O11" i="51"/>
  <c r="M11" i="51" l="1"/>
  <c r="T5" i="75"/>
  <c r="U9" i="116" l="1"/>
  <c r="T5" i="74"/>
  <c r="G106" i="103" l="1"/>
  <c r="H106" i="103"/>
  <c r="I106" i="103"/>
  <c r="J106" i="103"/>
  <c r="K106" i="103"/>
  <c r="G107" i="103"/>
  <c r="H107" i="103"/>
  <c r="I107" i="103"/>
  <c r="J107" i="103"/>
  <c r="K107" i="103"/>
  <c r="G108" i="103"/>
  <c r="H108" i="103"/>
  <c r="I108" i="103"/>
  <c r="J108" i="103"/>
  <c r="K108" i="103"/>
  <c r="G109" i="103"/>
  <c r="H109" i="103"/>
  <c r="I109" i="103"/>
  <c r="J109" i="103"/>
  <c r="K109" i="103"/>
  <c r="G110" i="103"/>
  <c r="H110" i="103"/>
  <c r="I110" i="103"/>
  <c r="J110" i="103"/>
  <c r="K110" i="103"/>
  <c r="G111" i="103"/>
  <c r="H111" i="103"/>
  <c r="I111" i="103"/>
  <c r="J111" i="103"/>
  <c r="K111" i="103"/>
  <c r="G112" i="103"/>
  <c r="H112" i="103"/>
  <c r="I112" i="103"/>
  <c r="J112" i="103"/>
  <c r="K112" i="103"/>
  <c r="T2" i="116" l="1"/>
  <c r="AE226" i="80" l="1"/>
  <c r="L11" i="51" l="1"/>
  <c r="D176" i="116" l="1"/>
  <c r="C176" i="116"/>
  <c r="D175" i="116"/>
  <c r="C175" i="116"/>
  <c r="D174" i="116"/>
  <c r="C174" i="116"/>
  <c r="D173" i="116"/>
  <c r="C173" i="116"/>
  <c r="D172" i="116"/>
  <c r="C172" i="116"/>
  <c r="D171" i="116"/>
  <c r="C171" i="116"/>
  <c r="D170" i="116"/>
  <c r="C170" i="116"/>
  <c r="D169" i="116"/>
  <c r="C169" i="116"/>
  <c r="K176" i="116"/>
  <c r="H176" i="116"/>
  <c r="D165" i="116"/>
  <c r="C165" i="116"/>
  <c r="K175" i="116"/>
  <c r="H175" i="116"/>
  <c r="D164" i="116"/>
  <c r="C164" i="116"/>
  <c r="K174" i="116"/>
  <c r="H174" i="116"/>
  <c r="D163" i="116"/>
  <c r="C163" i="116"/>
  <c r="K173" i="116"/>
  <c r="H173" i="116"/>
  <c r="D162" i="116"/>
  <c r="C162" i="116"/>
  <c r="K172" i="116"/>
  <c r="H172" i="116"/>
  <c r="D161" i="116"/>
  <c r="C161" i="116"/>
  <c r="K171" i="116"/>
  <c r="H171" i="116"/>
  <c r="D160" i="116"/>
  <c r="C160" i="116"/>
  <c r="K170" i="116"/>
  <c r="H170" i="116"/>
  <c r="D159" i="116"/>
  <c r="C159" i="116"/>
  <c r="K169" i="116"/>
  <c r="H169" i="116"/>
  <c r="D158" i="116"/>
  <c r="C158" i="116"/>
  <c r="L163" i="116"/>
  <c r="I163" i="116"/>
  <c r="L162" i="116"/>
  <c r="I162" i="116"/>
  <c r="D152" i="116"/>
  <c r="C152" i="116"/>
  <c r="L161" i="116"/>
  <c r="I161" i="116"/>
  <c r="D151" i="116"/>
  <c r="C151" i="116"/>
  <c r="L160" i="116"/>
  <c r="I160" i="116"/>
  <c r="D150" i="116"/>
  <c r="C150" i="116"/>
  <c r="L159" i="116"/>
  <c r="I159" i="116"/>
  <c r="D149" i="116"/>
  <c r="C149" i="116"/>
  <c r="L158" i="116"/>
  <c r="D148" i="116"/>
  <c r="C148" i="116"/>
  <c r="L145" i="116"/>
  <c r="I145" i="116"/>
  <c r="L144" i="116"/>
  <c r="D144" i="116"/>
  <c r="C144" i="116"/>
  <c r="L143" i="116"/>
  <c r="I143" i="116"/>
  <c r="D143" i="116"/>
  <c r="C143" i="116"/>
  <c r="L142" i="116"/>
  <c r="I142" i="116"/>
  <c r="D142" i="116"/>
  <c r="C142" i="116"/>
  <c r="M141" i="116"/>
  <c r="L141" i="116"/>
  <c r="D141" i="116"/>
  <c r="L130" i="116"/>
  <c r="D131" i="116"/>
  <c r="I131" i="116"/>
  <c r="L131" i="116"/>
  <c r="D132" i="116"/>
  <c r="I132" i="116"/>
  <c r="L132" i="116"/>
  <c r="D133" i="116"/>
  <c r="I133" i="116"/>
  <c r="L133" i="116"/>
  <c r="D134" i="116"/>
  <c r="I134" i="116"/>
  <c r="L134" i="116"/>
  <c r="D135" i="116"/>
  <c r="I135" i="116"/>
  <c r="L135" i="116"/>
  <c r="D136" i="116"/>
  <c r="L136" i="116"/>
  <c r="D137" i="116"/>
  <c r="I137" i="116"/>
  <c r="L137" i="116"/>
  <c r="C130" i="116"/>
  <c r="K88" i="39" l="1"/>
  <c r="F223" i="80" l="1"/>
  <c r="G223" i="80"/>
  <c r="H223" i="80"/>
  <c r="I223" i="80"/>
  <c r="J223" i="80"/>
  <c r="C7" i="122" l="1"/>
  <c r="C6" i="122"/>
  <c r="C9" i="122"/>
  <c r="C8" i="122"/>
  <c r="C12" i="122"/>
  <c r="C11" i="122"/>
  <c r="C10" i="122"/>
  <c r="AA11" i="122" l="1"/>
  <c r="AB11" i="122"/>
  <c r="AC11" i="122"/>
  <c r="AD11" i="122"/>
  <c r="S11" i="122"/>
  <c r="AE11" i="122"/>
  <c r="T11" i="122"/>
  <c r="AF11" i="122"/>
  <c r="U11" i="122"/>
  <c r="V11" i="122"/>
  <c r="W11" i="122"/>
  <c r="X11" i="122"/>
  <c r="Y11" i="122"/>
  <c r="Z11" i="122"/>
  <c r="Z12" i="122"/>
  <c r="AA12" i="122"/>
  <c r="AB12" i="122"/>
  <c r="AC12" i="122"/>
  <c r="AD12" i="122"/>
  <c r="S12" i="122"/>
  <c r="AE12" i="122"/>
  <c r="T12" i="122"/>
  <c r="AF12" i="122"/>
  <c r="U12" i="122"/>
  <c r="V12" i="122"/>
  <c r="W12" i="122"/>
  <c r="X12" i="122"/>
  <c r="Y12" i="122"/>
  <c r="AD8" i="122"/>
  <c r="S8" i="122"/>
  <c r="AE8" i="122"/>
  <c r="T8" i="122"/>
  <c r="AF8" i="122"/>
  <c r="U8" i="122"/>
  <c r="V8" i="122"/>
  <c r="W8" i="122"/>
  <c r="X8" i="122"/>
  <c r="Y8" i="122"/>
  <c r="Z8" i="122"/>
  <c r="AA8" i="122"/>
  <c r="AB8" i="122"/>
  <c r="AC8" i="122"/>
  <c r="AC9" i="122"/>
  <c r="AD9" i="122"/>
  <c r="S9" i="122"/>
  <c r="AE9" i="122"/>
  <c r="T9" i="122"/>
  <c r="AF9" i="122"/>
  <c r="U9" i="122"/>
  <c r="V9" i="122"/>
  <c r="W9" i="122"/>
  <c r="X9" i="122"/>
  <c r="Y9" i="122"/>
  <c r="Z9" i="122"/>
  <c r="AA9" i="122"/>
  <c r="AB9" i="122"/>
  <c r="AB10" i="122"/>
  <c r="AC10" i="122"/>
  <c r="AD10" i="122"/>
  <c r="S10" i="122"/>
  <c r="AE10" i="122"/>
  <c r="T10" i="122"/>
  <c r="AF10" i="122"/>
  <c r="U10" i="122"/>
  <c r="V10" i="122"/>
  <c r="W10" i="122"/>
  <c r="X10" i="122"/>
  <c r="Y10" i="122"/>
  <c r="Z10" i="122"/>
  <c r="AA10" i="122"/>
  <c r="T6" i="122"/>
  <c r="AF6" i="122"/>
  <c r="U6" i="122"/>
  <c r="V6" i="122"/>
  <c r="W6" i="122"/>
  <c r="X6" i="122"/>
  <c r="Y6" i="122"/>
  <c r="Z6" i="122"/>
  <c r="AA6" i="122"/>
  <c r="AB6" i="122"/>
  <c r="AC6" i="122"/>
  <c r="AD6" i="122"/>
  <c r="S6" i="122"/>
  <c r="AE6" i="122"/>
  <c r="S7" i="122"/>
  <c r="AE7" i="122"/>
  <c r="T7" i="122"/>
  <c r="AF7" i="122"/>
  <c r="U7" i="122"/>
  <c r="V7" i="122"/>
  <c r="W7" i="122"/>
  <c r="X7" i="122"/>
  <c r="Y7" i="122"/>
  <c r="Z7" i="122"/>
  <c r="AA7" i="122"/>
  <c r="AB7" i="122"/>
  <c r="AC7" i="122"/>
  <c r="AD7" i="122"/>
  <c r="F10" i="122"/>
  <c r="F6" i="122"/>
  <c r="D6" i="122"/>
  <c r="D9" i="122"/>
  <c r="E9" i="122"/>
  <c r="F49" i="19" s="1"/>
  <c r="E8" i="122"/>
  <c r="F48" i="74" s="1"/>
  <c r="E173" i="116" s="1"/>
  <c r="E12" i="122"/>
  <c r="F47" i="74" s="1"/>
  <c r="E172" i="116" s="1"/>
  <c r="D10" i="122"/>
  <c r="F7" i="122"/>
  <c r="F11" i="122"/>
  <c r="E6" i="122"/>
  <c r="E10" i="122"/>
  <c r="F45" i="74" s="1"/>
  <c r="D8" i="122"/>
  <c r="F9" i="122"/>
  <c r="D12" i="122"/>
  <c r="D7" i="122"/>
  <c r="F8" i="122"/>
  <c r="D11" i="122"/>
  <c r="F12" i="122"/>
  <c r="E7" i="122"/>
  <c r="E11" i="122"/>
  <c r="F47" i="19" l="1"/>
  <c r="F49" i="74"/>
  <c r="E174" i="116" s="1"/>
  <c r="F48" i="19"/>
  <c r="F51" i="19"/>
  <c r="F51" i="74"/>
  <c r="E176" i="116" s="1"/>
  <c r="F50" i="74"/>
  <c r="E175" i="116" s="1"/>
  <c r="F50" i="19"/>
  <c r="F46" i="74"/>
  <c r="E171" i="116" s="1"/>
  <c r="F46" i="19"/>
  <c r="E170" i="116"/>
  <c r="F45" i="19"/>
  <c r="K11" i="51" l="1"/>
  <c r="G196" i="39"/>
  <c r="F196" i="39"/>
  <c r="I196" i="39"/>
  <c r="J196" i="39"/>
  <c r="H196" i="39"/>
  <c r="B6" i="108" l="1"/>
  <c r="AC6" i="108" l="1"/>
  <c r="AA6" i="108"/>
  <c r="Z6" i="108"/>
  <c r="Y6" i="108"/>
  <c r="AB6" i="108"/>
  <c r="X6" i="108"/>
  <c r="T6" i="108"/>
  <c r="W6" i="108"/>
  <c r="V6" i="108"/>
  <c r="U6" i="108"/>
  <c r="AE6" i="108"/>
  <c r="S6" i="108"/>
  <c r="AD6" i="108"/>
  <c r="R6" i="108"/>
  <c r="Z27" i="75"/>
  <c r="Y27" i="75"/>
  <c r="X27" i="75"/>
  <c r="W27" i="75"/>
  <c r="V27" i="75"/>
  <c r="U27" i="75"/>
  <c r="T27" i="75"/>
  <c r="S27" i="75"/>
  <c r="Z41" i="74" l="1"/>
  <c r="Y41" i="74"/>
  <c r="X41" i="74"/>
  <c r="W41" i="74"/>
  <c r="V41" i="74"/>
  <c r="U41" i="74"/>
  <c r="T41" i="74"/>
  <c r="S41" i="74"/>
  <c r="J11" i="51" l="1"/>
  <c r="G220" i="80" l="1"/>
  <c r="H220" i="80"/>
  <c r="I220" i="80"/>
  <c r="J220" i="80"/>
  <c r="K220" i="80"/>
  <c r="L220" i="80"/>
  <c r="M220" i="80"/>
  <c r="N220" i="80"/>
  <c r="O220" i="80"/>
  <c r="P220" i="80"/>
  <c r="Q220" i="80"/>
  <c r="R220" i="80"/>
  <c r="S220" i="80"/>
  <c r="T220" i="80"/>
  <c r="U220" i="80"/>
  <c r="V220" i="80"/>
  <c r="W220" i="80"/>
  <c r="X220" i="80"/>
  <c r="Y220" i="80"/>
  <c r="Z220" i="80"/>
  <c r="Z247" i="80" s="1"/>
  <c r="Z248" i="80" s="1"/>
  <c r="AA220" i="80"/>
  <c r="AB220" i="80"/>
  <c r="AC220" i="80"/>
  <c r="AD220" i="80"/>
  <c r="AE220" i="80"/>
  <c r="F220" i="80"/>
  <c r="AD247" i="80" l="1"/>
  <c r="AD248" i="80" s="1"/>
  <c r="N247" i="80"/>
  <c r="N248" i="80" s="1"/>
  <c r="AA247" i="80"/>
  <c r="AA248" i="80" s="1"/>
  <c r="S247" i="80"/>
  <c r="S248" i="80" s="1"/>
  <c r="R247" i="80"/>
  <c r="R248" i="80" s="1"/>
  <c r="AC247" i="80"/>
  <c r="AC248" i="80" s="1"/>
  <c r="U247" i="80"/>
  <c r="U248" i="80" s="1"/>
  <c r="M247" i="80"/>
  <c r="M248" i="80" s="1"/>
  <c r="AB247" i="80"/>
  <c r="AB248" i="80" s="1"/>
  <c r="T247" i="80"/>
  <c r="T248" i="80" s="1"/>
  <c r="X247" i="80"/>
  <c r="X248" i="80" s="1"/>
  <c r="P247" i="80"/>
  <c r="P248" i="80" s="1"/>
  <c r="L247" i="80"/>
  <c r="L248" i="80" s="1"/>
  <c r="Y247" i="80"/>
  <c r="Y248" i="80" s="1"/>
  <c r="Q247" i="80"/>
  <c r="Q248" i="80" s="1"/>
  <c r="V247" i="80"/>
  <c r="V248" i="80" s="1"/>
  <c r="AE247" i="80"/>
  <c r="AE248" i="80" s="1"/>
  <c r="W247" i="80"/>
  <c r="W248" i="80" s="1"/>
  <c r="O247" i="80"/>
  <c r="O248" i="80" s="1"/>
  <c r="R102" i="116" l="1"/>
  <c r="G114" i="116"/>
  <c r="P102" i="116"/>
  <c r="E114" i="116"/>
  <c r="S102" i="116"/>
  <c r="H114" i="116"/>
  <c r="Q102" i="116"/>
  <c r="F114" i="116"/>
  <c r="E115" i="116"/>
  <c r="E106" i="116"/>
  <c r="E116" i="116"/>
  <c r="P108" i="116"/>
  <c r="P111" i="116"/>
  <c r="P110" i="116"/>
  <c r="P109" i="116"/>
  <c r="P107" i="116"/>
  <c r="P104" i="116"/>
  <c r="P106" i="116"/>
  <c r="P112" i="116"/>
  <c r="P113" i="116"/>
  <c r="P105" i="116"/>
  <c r="H115" i="116"/>
  <c r="H106" i="116"/>
  <c r="S105" i="116"/>
  <c r="S108" i="116"/>
  <c r="S112" i="116"/>
  <c r="S113" i="116"/>
  <c r="S111" i="116"/>
  <c r="S106" i="116"/>
  <c r="S107" i="116"/>
  <c r="S104" i="116"/>
  <c r="H116" i="116"/>
  <c r="S110" i="116"/>
  <c r="S109" i="116"/>
  <c r="J115" i="116"/>
  <c r="J106" i="116"/>
  <c r="U108" i="116"/>
  <c r="U110" i="116"/>
  <c r="U109" i="116"/>
  <c r="U107" i="116"/>
  <c r="U112" i="116"/>
  <c r="U106" i="116"/>
  <c r="U111" i="116"/>
  <c r="U113" i="116"/>
  <c r="U105" i="116"/>
  <c r="J116" i="116"/>
  <c r="U104" i="116"/>
  <c r="G115" i="116"/>
  <c r="G106" i="116"/>
  <c r="R104" i="116"/>
  <c r="R113" i="116"/>
  <c r="R112" i="116"/>
  <c r="R111" i="116"/>
  <c r="R109" i="116"/>
  <c r="R108" i="116"/>
  <c r="G116" i="116"/>
  <c r="R106" i="116"/>
  <c r="R105" i="116"/>
  <c r="R110" i="116"/>
  <c r="R107" i="116"/>
  <c r="K115" i="116"/>
  <c r="K106" i="116"/>
  <c r="V106" i="116"/>
  <c r="K116" i="116"/>
  <c r="V110" i="116"/>
  <c r="V113" i="116"/>
  <c r="V105" i="116"/>
  <c r="V108" i="116"/>
  <c r="V107" i="116"/>
  <c r="V112" i="116"/>
  <c r="V104" i="116"/>
  <c r="V111" i="116"/>
  <c r="V109" i="116"/>
  <c r="F115" i="116"/>
  <c r="F106" i="116"/>
  <c r="Q113" i="116"/>
  <c r="Q105" i="116"/>
  <c r="F116" i="116"/>
  <c r="Q109" i="116"/>
  <c r="Q112" i="116"/>
  <c r="Q104" i="116"/>
  <c r="Q107" i="116"/>
  <c r="Q106" i="116"/>
  <c r="Q111" i="116"/>
  <c r="Q110" i="116"/>
  <c r="Q108" i="116"/>
  <c r="I115" i="116"/>
  <c r="I106" i="116"/>
  <c r="I116" i="116"/>
  <c r="T106" i="116"/>
  <c r="T109" i="116"/>
  <c r="T108" i="116"/>
  <c r="T113" i="116"/>
  <c r="T105" i="116"/>
  <c r="T112" i="116"/>
  <c r="T104" i="116"/>
  <c r="T110" i="116"/>
  <c r="T111" i="116"/>
  <c r="T107" i="116"/>
  <c r="L115" i="116"/>
  <c r="L106" i="116"/>
  <c r="W111" i="116"/>
  <c r="W107" i="116"/>
  <c r="W104" i="116"/>
  <c r="L116" i="116"/>
  <c r="W109" i="116"/>
  <c r="W112" i="116"/>
  <c r="W106" i="116"/>
  <c r="W113" i="116"/>
  <c r="W110" i="116"/>
  <c r="W108" i="116"/>
  <c r="W105" i="116"/>
  <c r="U25" i="75"/>
  <c r="V26" i="75"/>
  <c r="S26" i="75"/>
  <c r="V25" i="75"/>
  <c r="W26" i="75"/>
  <c r="S25" i="75"/>
  <c r="Y26" i="75"/>
  <c r="Y25" i="75"/>
  <c r="W25" i="75"/>
  <c r="X26" i="75"/>
  <c r="X25" i="75"/>
  <c r="Z26" i="75"/>
  <c r="Z25" i="75"/>
  <c r="T26" i="75"/>
  <c r="T25" i="75"/>
  <c r="U26" i="75"/>
  <c r="T40" i="74"/>
  <c r="S39" i="74"/>
  <c r="V40" i="74"/>
  <c r="V39" i="74"/>
  <c r="X39" i="74"/>
  <c r="Z39" i="74"/>
  <c r="T39" i="74"/>
  <c r="U40" i="74"/>
  <c r="W40" i="74"/>
  <c r="X40" i="74"/>
  <c r="S40" i="74"/>
  <c r="U39" i="74"/>
  <c r="W39" i="74"/>
  <c r="Y40" i="74"/>
  <c r="Y39" i="74"/>
  <c r="Z40" i="74"/>
  <c r="I105" i="116"/>
  <c r="E104" i="116"/>
  <c r="H105" i="116"/>
  <c r="L105" i="116"/>
  <c r="G105" i="116"/>
  <c r="E105" i="116"/>
  <c r="K105" i="116"/>
  <c r="K104" i="116"/>
  <c r="J105" i="116"/>
  <c r="J104" i="116"/>
  <c r="I104" i="116"/>
  <c r="H104" i="116"/>
  <c r="G104" i="116"/>
  <c r="F105" i="116"/>
  <c r="F104" i="116"/>
  <c r="L104" i="116"/>
  <c r="AE170" i="80"/>
  <c r="AD170" i="80"/>
  <c r="AC170" i="80"/>
  <c r="AB170" i="80"/>
  <c r="AA170" i="80"/>
  <c r="Z170" i="80"/>
  <c r="Y170" i="80"/>
  <c r="X170" i="80"/>
  <c r="W170" i="80"/>
  <c r="V170" i="80"/>
  <c r="U170" i="80"/>
  <c r="T170" i="80"/>
  <c r="S170" i="80"/>
  <c r="R170" i="80"/>
  <c r="Q170" i="80"/>
  <c r="P170" i="80"/>
  <c r="O170" i="80"/>
  <c r="N170" i="80"/>
  <c r="M170" i="80"/>
  <c r="L170" i="80"/>
  <c r="K170" i="80"/>
  <c r="J170" i="80"/>
  <c r="I170" i="80"/>
  <c r="H170" i="80"/>
  <c r="G170" i="80"/>
  <c r="F170" i="80"/>
  <c r="E5" i="51" l="1"/>
  <c r="H11" i="51" l="1"/>
  <c r="I11" i="51"/>
  <c r="G11" i="51"/>
  <c r="K65" i="103"/>
  <c r="J65" i="103"/>
  <c r="I65" i="103"/>
  <c r="H65" i="103"/>
  <c r="G65" i="103"/>
  <c r="K64" i="103"/>
  <c r="J64" i="103"/>
  <c r="I64" i="103"/>
  <c r="H64" i="103"/>
  <c r="G64" i="103"/>
  <c r="K63" i="103"/>
  <c r="J63" i="103"/>
  <c r="I63" i="103"/>
  <c r="H63" i="103"/>
  <c r="G63" i="103"/>
  <c r="K62" i="103"/>
  <c r="J62" i="103"/>
  <c r="I62" i="103"/>
  <c r="H62" i="103"/>
  <c r="G62" i="103"/>
  <c r="K61" i="103"/>
  <c r="J61" i="103"/>
  <c r="I61" i="103"/>
  <c r="H61" i="103"/>
  <c r="G61" i="103"/>
  <c r="H31" i="103"/>
  <c r="I31" i="103"/>
  <c r="J31" i="103"/>
  <c r="K31" i="103"/>
  <c r="H32" i="103"/>
  <c r="I32" i="103"/>
  <c r="J32" i="103"/>
  <c r="K32" i="103"/>
  <c r="H33" i="103"/>
  <c r="I33" i="103"/>
  <c r="J33" i="103"/>
  <c r="K33" i="103"/>
  <c r="H34" i="103"/>
  <c r="I34" i="103"/>
  <c r="J34" i="103"/>
  <c r="K34" i="103"/>
  <c r="H35" i="103"/>
  <c r="I35" i="103"/>
  <c r="J35" i="103"/>
  <c r="K35" i="103"/>
  <c r="G34" i="103"/>
  <c r="G35" i="103"/>
  <c r="G33" i="103"/>
  <c r="G32" i="103"/>
  <c r="G31" i="103"/>
  <c r="J25" i="39" l="1"/>
  <c r="I25" i="39"/>
  <c r="H25" i="39"/>
  <c r="G25" i="39"/>
  <c r="F25" i="39"/>
  <c r="AE89" i="39" l="1"/>
  <c r="AD89" i="39"/>
  <c r="AC89" i="39"/>
  <c r="AB89" i="39"/>
  <c r="AA89" i="39"/>
  <c r="Z89" i="39"/>
  <c r="Y89" i="39"/>
  <c r="X89" i="39"/>
  <c r="W89" i="39"/>
  <c r="V89" i="39"/>
  <c r="U89" i="39"/>
  <c r="T89" i="39"/>
  <c r="S89" i="39"/>
  <c r="R89" i="39"/>
  <c r="Q89" i="39"/>
  <c r="P89" i="39"/>
  <c r="O89" i="39"/>
  <c r="N89" i="39"/>
  <c r="M89" i="39"/>
  <c r="L89" i="39"/>
  <c r="K89" i="39"/>
  <c r="J89" i="39"/>
  <c r="I89" i="39"/>
  <c r="H89" i="39"/>
  <c r="G89" i="39"/>
  <c r="F89" i="39"/>
  <c r="AE88" i="39"/>
  <c r="AD88" i="39"/>
  <c r="AC88" i="39"/>
  <c r="AB88" i="39"/>
  <c r="AA88" i="39"/>
  <c r="Z88" i="39"/>
  <c r="Y88" i="39"/>
  <c r="X88" i="39"/>
  <c r="W88" i="39"/>
  <c r="V88" i="39"/>
  <c r="U88" i="39"/>
  <c r="T88" i="39"/>
  <c r="S88" i="39"/>
  <c r="R88" i="39"/>
  <c r="Q88" i="39"/>
  <c r="P88" i="39"/>
  <c r="O88" i="39"/>
  <c r="N88" i="39"/>
  <c r="M88" i="39"/>
  <c r="L88" i="39"/>
  <c r="J88" i="39"/>
  <c r="I88" i="39"/>
  <c r="H88" i="39"/>
  <c r="G88" i="39"/>
  <c r="F88" i="39"/>
  <c r="AE87" i="39"/>
  <c r="AD87" i="39"/>
  <c r="AC87" i="39"/>
  <c r="AB87" i="39"/>
  <c r="AA87" i="39"/>
  <c r="Z87" i="39"/>
  <c r="Y87" i="39"/>
  <c r="X87" i="39"/>
  <c r="W87" i="39"/>
  <c r="V87" i="39"/>
  <c r="U87" i="39"/>
  <c r="T87" i="39"/>
  <c r="S87" i="39"/>
  <c r="R87" i="39"/>
  <c r="Q87" i="39"/>
  <c r="P87" i="39"/>
  <c r="O87" i="39"/>
  <c r="N87" i="39"/>
  <c r="M87" i="39"/>
  <c r="L87" i="39"/>
  <c r="K87" i="39"/>
  <c r="J87" i="39"/>
  <c r="I87" i="39"/>
  <c r="H87" i="39"/>
  <c r="G87" i="39"/>
  <c r="F87" i="39"/>
  <c r="AE86" i="39"/>
  <c r="AD86" i="39"/>
  <c r="AC86" i="39"/>
  <c r="AB86" i="39"/>
  <c r="AA86" i="39"/>
  <c r="Z86" i="39"/>
  <c r="Y86" i="39"/>
  <c r="X86" i="39"/>
  <c r="W86" i="39"/>
  <c r="V86" i="39"/>
  <c r="U86" i="39"/>
  <c r="T86" i="39"/>
  <c r="S86" i="39"/>
  <c r="R86" i="39"/>
  <c r="Q86" i="39"/>
  <c r="P86" i="39"/>
  <c r="O86" i="39"/>
  <c r="N86" i="39"/>
  <c r="M86" i="39"/>
  <c r="L86" i="39"/>
  <c r="K86" i="39"/>
  <c r="J86" i="39"/>
  <c r="I86" i="39"/>
  <c r="H86" i="39"/>
  <c r="G86" i="39"/>
  <c r="F86" i="39"/>
  <c r="AE85" i="39"/>
  <c r="AD85" i="39"/>
  <c r="AC85" i="39"/>
  <c r="AB85" i="39"/>
  <c r="AA85" i="39"/>
  <c r="Z85" i="39"/>
  <c r="Y85" i="39"/>
  <c r="X85" i="39"/>
  <c r="W85" i="39"/>
  <c r="V85" i="39"/>
  <c r="U85" i="39"/>
  <c r="T85" i="39"/>
  <c r="S85" i="39"/>
  <c r="R85" i="39"/>
  <c r="Q85" i="39"/>
  <c r="P85" i="39"/>
  <c r="O85" i="39"/>
  <c r="N85" i="39"/>
  <c r="M85" i="39"/>
  <c r="L85" i="39"/>
  <c r="K85" i="39"/>
  <c r="J85" i="39"/>
  <c r="I85" i="39"/>
  <c r="H85" i="39"/>
  <c r="G85" i="39"/>
  <c r="F85" i="39"/>
  <c r="AE84" i="39"/>
  <c r="AD84" i="39"/>
  <c r="AC84" i="39"/>
  <c r="AB84" i="39"/>
  <c r="AA84" i="39"/>
  <c r="Z84" i="39"/>
  <c r="Y84" i="39"/>
  <c r="X84" i="39"/>
  <c r="W84" i="39"/>
  <c r="V84" i="39"/>
  <c r="U84" i="39"/>
  <c r="T84" i="39"/>
  <c r="S84" i="39"/>
  <c r="R84" i="39"/>
  <c r="Q84" i="39"/>
  <c r="P84" i="39"/>
  <c r="O84" i="39"/>
  <c r="N84" i="39"/>
  <c r="M84" i="39"/>
  <c r="L84" i="39"/>
  <c r="K84" i="39"/>
  <c r="J84" i="39"/>
  <c r="I84" i="39"/>
  <c r="H84" i="39"/>
  <c r="G84" i="39"/>
  <c r="F84" i="39"/>
  <c r="AE83" i="39"/>
  <c r="AD83" i="39"/>
  <c r="AC83" i="39"/>
  <c r="AB83" i="39"/>
  <c r="AA83" i="39"/>
  <c r="Z83" i="39"/>
  <c r="Y83" i="39"/>
  <c r="X83" i="39"/>
  <c r="W83" i="39"/>
  <c r="V83" i="39"/>
  <c r="U83" i="39"/>
  <c r="T83" i="39"/>
  <c r="S83" i="39"/>
  <c r="R83" i="39"/>
  <c r="Q83" i="39"/>
  <c r="P83" i="39"/>
  <c r="O83" i="39"/>
  <c r="N83" i="39"/>
  <c r="L83" i="39"/>
  <c r="K83" i="39"/>
  <c r="J83" i="39"/>
  <c r="I83" i="39"/>
  <c r="H83" i="39"/>
  <c r="G83" i="39"/>
  <c r="F83" i="39"/>
  <c r="AE80" i="39"/>
  <c r="AD80" i="39"/>
  <c r="AC80" i="39"/>
  <c r="AB80" i="39"/>
  <c r="AA80" i="39"/>
  <c r="Z80" i="39"/>
  <c r="Y80" i="39"/>
  <c r="X80" i="39"/>
  <c r="W80" i="39"/>
  <c r="V80" i="39"/>
  <c r="U80" i="39"/>
  <c r="T80" i="39"/>
  <c r="S80" i="39"/>
  <c r="R80" i="39"/>
  <c r="R216" i="80" s="1"/>
  <c r="Q80" i="39"/>
  <c r="P80" i="39"/>
  <c r="O80" i="39"/>
  <c r="N80" i="39"/>
  <c r="L80" i="39"/>
  <c r="K80" i="39"/>
  <c r="J80" i="39"/>
  <c r="I80" i="39"/>
  <c r="H80" i="39"/>
  <c r="G80" i="39"/>
  <c r="F80" i="39"/>
  <c r="AE79" i="39"/>
  <c r="AD79" i="39"/>
  <c r="AC79" i="39"/>
  <c r="AB79" i="39"/>
  <c r="AA79" i="39"/>
  <c r="Z79" i="39"/>
  <c r="Y79" i="39"/>
  <c r="X79" i="39"/>
  <c r="W79" i="39"/>
  <c r="V79" i="39"/>
  <c r="U79" i="39"/>
  <c r="T79" i="39"/>
  <c r="S79" i="39"/>
  <c r="R79" i="39"/>
  <c r="Q79" i="39"/>
  <c r="P79" i="39"/>
  <c r="O79" i="39"/>
  <c r="N79" i="39"/>
  <c r="M79" i="39"/>
  <c r="L79" i="39"/>
  <c r="K79" i="39"/>
  <c r="K215" i="80" s="1"/>
  <c r="J79" i="39"/>
  <c r="I79" i="39"/>
  <c r="H79" i="39"/>
  <c r="G79" i="39"/>
  <c r="F79" i="39"/>
  <c r="AE78" i="39"/>
  <c r="AD78" i="39"/>
  <c r="AC78" i="39"/>
  <c r="AB78" i="39"/>
  <c r="AA78" i="39"/>
  <c r="Z78" i="39"/>
  <c r="Y78" i="39"/>
  <c r="X78" i="39"/>
  <c r="W78" i="39"/>
  <c r="V78" i="39"/>
  <c r="U78" i="39"/>
  <c r="T78" i="39"/>
  <c r="S78" i="39"/>
  <c r="R78" i="39"/>
  <c r="Q78" i="39"/>
  <c r="P78" i="39"/>
  <c r="O78" i="39"/>
  <c r="N78" i="39"/>
  <c r="M78" i="39"/>
  <c r="L78" i="39"/>
  <c r="K78" i="39"/>
  <c r="K214" i="80" s="1"/>
  <c r="J78" i="39"/>
  <c r="I78" i="39"/>
  <c r="H78" i="39"/>
  <c r="G78" i="39"/>
  <c r="F78" i="39"/>
  <c r="AE77" i="39"/>
  <c r="AD77" i="39"/>
  <c r="AC77" i="39"/>
  <c r="AB77" i="39"/>
  <c r="AA77" i="39"/>
  <c r="Z77" i="39"/>
  <c r="Y77" i="39"/>
  <c r="X77" i="39"/>
  <c r="W77" i="39"/>
  <c r="V77" i="39"/>
  <c r="U77" i="39"/>
  <c r="T77" i="39"/>
  <c r="S77" i="39"/>
  <c r="R77" i="39"/>
  <c r="Q77" i="39"/>
  <c r="P77" i="39"/>
  <c r="O77" i="39"/>
  <c r="N77" i="39"/>
  <c r="M77" i="39"/>
  <c r="L77" i="39"/>
  <c r="K77" i="39"/>
  <c r="K213" i="80" s="1"/>
  <c r="J77" i="39"/>
  <c r="I77" i="39"/>
  <c r="H77" i="39"/>
  <c r="G77" i="39"/>
  <c r="F77" i="39"/>
  <c r="AE76" i="39"/>
  <c r="AD76" i="39"/>
  <c r="AC76" i="39"/>
  <c r="AB76" i="39"/>
  <c r="AA76" i="39"/>
  <c r="Z76" i="39"/>
  <c r="Y76" i="39"/>
  <c r="X76" i="39"/>
  <c r="W76" i="39"/>
  <c r="V76" i="39"/>
  <c r="U76" i="39"/>
  <c r="T76" i="39"/>
  <c r="S76" i="39"/>
  <c r="R76" i="39"/>
  <c r="Q76" i="39"/>
  <c r="P76" i="39"/>
  <c r="O76" i="39"/>
  <c r="N76" i="39"/>
  <c r="M76" i="39"/>
  <c r="L76" i="39"/>
  <c r="K76" i="39"/>
  <c r="K212" i="80" s="1"/>
  <c r="J76" i="39"/>
  <c r="I76" i="39"/>
  <c r="H76" i="39"/>
  <c r="G76" i="39"/>
  <c r="F76" i="39"/>
  <c r="AE75" i="39"/>
  <c r="AD75" i="39"/>
  <c r="AC75" i="39"/>
  <c r="AB75" i="39"/>
  <c r="AA75" i="39"/>
  <c r="Z75" i="39"/>
  <c r="Y75" i="39"/>
  <c r="X75" i="39"/>
  <c r="W75" i="39"/>
  <c r="V75" i="39"/>
  <c r="U75" i="39"/>
  <c r="T75" i="39"/>
  <c r="S75" i="39"/>
  <c r="R75" i="39"/>
  <c r="Q75" i="39"/>
  <c r="P75" i="39"/>
  <c r="O75" i="39"/>
  <c r="N75" i="39"/>
  <c r="M75" i="39"/>
  <c r="L75" i="39"/>
  <c r="K75" i="39"/>
  <c r="K211" i="80" s="1"/>
  <c r="J75" i="39"/>
  <c r="I75" i="39"/>
  <c r="H75" i="39"/>
  <c r="G75" i="39"/>
  <c r="F75" i="39"/>
  <c r="AE74" i="39"/>
  <c r="AD74" i="39"/>
  <c r="AC74" i="39"/>
  <c r="AB74" i="39"/>
  <c r="AA74" i="39"/>
  <c r="Z74" i="39"/>
  <c r="Y74" i="39"/>
  <c r="X74" i="39"/>
  <c r="W74" i="39"/>
  <c r="V74" i="39"/>
  <c r="U74" i="39"/>
  <c r="T74" i="39"/>
  <c r="S74" i="39"/>
  <c r="R74" i="39"/>
  <c r="Q74" i="39"/>
  <c r="P74" i="39"/>
  <c r="O74" i="39"/>
  <c r="N74" i="39"/>
  <c r="M74" i="39"/>
  <c r="L74" i="39"/>
  <c r="K74" i="39"/>
  <c r="K210" i="80" s="1"/>
  <c r="J74" i="39"/>
  <c r="I74" i="39"/>
  <c r="H74" i="39"/>
  <c r="G74" i="39"/>
  <c r="F74" i="39"/>
  <c r="P210" i="80" l="1"/>
  <c r="X210" i="80"/>
  <c r="N211" i="80"/>
  <c r="V211" i="80"/>
  <c r="AD211" i="80"/>
  <c r="L212" i="80"/>
  <c r="T212" i="80"/>
  <c r="AB212" i="80"/>
  <c r="R213" i="80"/>
  <c r="Z213" i="80"/>
  <c r="P214" i="80"/>
  <c r="X214" i="80"/>
  <c r="N215" i="80"/>
  <c r="V215" i="80"/>
  <c r="AD215" i="80"/>
  <c r="Q210" i="80"/>
  <c r="Y210" i="80"/>
  <c r="O211" i="80"/>
  <c r="W211" i="80"/>
  <c r="AE211" i="80"/>
  <c r="M212" i="80"/>
  <c r="U212" i="80"/>
  <c r="AC212" i="80"/>
  <c r="S213" i="80"/>
  <c r="AA213" i="80"/>
  <c r="Q214" i="80"/>
  <c r="Y214" i="80"/>
  <c r="O215" i="80"/>
  <c r="W215" i="80"/>
  <c r="AE215" i="80"/>
  <c r="Z216" i="80"/>
  <c r="AE212" i="80"/>
  <c r="AC213" i="80"/>
  <c r="AA214" i="80"/>
  <c r="Y215" i="80"/>
  <c r="N213" i="80"/>
  <c r="T214" i="80"/>
  <c r="U210" i="80"/>
  <c r="S211" i="80"/>
  <c r="Q212" i="80"/>
  <c r="W213" i="80"/>
  <c r="AE213" i="80"/>
  <c r="M214" i="80"/>
  <c r="AC214" i="80"/>
  <c r="S215" i="80"/>
  <c r="AA215" i="80"/>
  <c r="Z210" i="80"/>
  <c r="P211" i="80"/>
  <c r="X211" i="80"/>
  <c r="N212" i="80"/>
  <c r="V212" i="80"/>
  <c r="AD212" i="80"/>
  <c r="L213" i="80"/>
  <c r="T213" i="80"/>
  <c r="AB213" i="80"/>
  <c r="R214" i="80"/>
  <c r="Z214" i="80"/>
  <c r="P215" i="80"/>
  <c r="X215" i="80"/>
  <c r="S210" i="80"/>
  <c r="Q211" i="80"/>
  <c r="O212" i="80"/>
  <c r="M213" i="80"/>
  <c r="S214" i="80"/>
  <c r="Q215" i="80"/>
  <c r="AB210" i="80"/>
  <c r="Z211" i="80"/>
  <c r="X212" i="80"/>
  <c r="L214" i="80"/>
  <c r="AC210" i="80"/>
  <c r="AA211" i="80"/>
  <c r="Y212" i="80"/>
  <c r="O213" i="80"/>
  <c r="U214" i="80"/>
  <c r="N210" i="80"/>
  <c r="V210" i="80"/>
  <c r="AD210" i="80"/>
  <c r="L211" i="80"/>
  <c r="T211" i="80"/>
  <c r="AB211" i="80"/>
  <c r="R212" i="80"/>
  <c r="Z212" i="80"/>
  <c r="P213" i="80"/>
  <c r="X213" i="80"/>
  <c r="N214" i="80"/>
  <c r="V214" i="80"/>
  <c r="AD214" i="80"/>
  <c r="L215" i="80"/>
  <c r="T215" i="80"/>
  <c r="AB215" i="80"/>
  <c r="R210" i="80"/>
  <c r="AA210" i="80"/>
  <c r="Y211" i="80"/>
  <c r="W212" i="80"/>
  <c r="U213" i="80"/>
  <c r="L210" i="80"/>
  <c r="T210" i="80"/>
  <c r="R211" i="80"/>
  <c r="P212" i="80"/>
  <c r="V213" i="80"/>
  <c r="AD213" i="80"/>
  <c r="AB214" i="80"/>
  <c r="R215" i="80"/>
  <c r="Z215" i="80"/>
  <c r="O210" i="80"/>
  <c r="W210" i="80"/>
  <c r="AE210" i="80"/>
  <c r="M211" i="80"/>
  <c r="U211" i="80"/>
  <c r="AC211" i="80"/>
  <c r="S212" i="80"/>
  <c r="AA212" i="80"/>
  <c r="Q213" i="80"/>
  <c r="Y213" i="80"/>
  <c r="O214" i="80"/>
  <c r="W214" i="80"/>
  <c r="AE214" i="80"/>
  <c r="M215" i="80"/>
  <c r="U215" i="80"/>
  <c r="AC215" i="80"/>
  <c r="M210" i="80"/>
  <c r="S216" i="80"/>
  <c r="AA216" i="80"/>
  <c r="V216" i="80"/>
  <c r="AD216" i="80"/>
  <c r="T216" i="80"/>
  <c r="AB216" i="80"/>
  <c r="U216" i="80"/>
  <c r="AC216" i="80"/>
  <c r="W216" i="80"/>
  <c r="AE216" i="80"/>
  <c r="O216" i="80"/>
  <c r="K216" i="80"/>
  <c r="M216" i="80"/>
  <c r="P216" i="80"/>
  <c r="L216" i="80"/>
  <c r="N216" i="80"/>
  <c r="X216" i="80"/>
  <c r="Q216" i="80"/>
  <c r="Y216" i="80"/>
  <c r="AE71" i="39"/>
  <c r="AD71" i="39"/>
  <c r="AC71" i="39"/>
  <c r="AB71" i="39"/>
  <c r="AA71" i="39"/>
  <c r="Z71" i="39"/>
  <c r="Y71" i="39"/>
  <c r="X71" i="39"/>
  <c r="W71" i="39"/>
  <c r="V71" i="39"/>
  <c r="U71" i="39"/>
  <c r="T71" i="39"/>
  <c r="S71" i="39"/>
  <c r="R71" i="39"/>
  <c r="Q71" i="39"/>
  <c r="P71" i="39"/>
  <c r="O71" i="39"/>
  <c r="N71" i="39"/>
  <c r="M71" i="39"/>
  <c r="L71" i="39"/>
  <c r="K71" i="39"/>
  <c r="J71" i="39"/>
  <c r="I71" i="39"/>
  <c r="H71" i="39"/>
  <c r="G71" i="39"/>
  <c r="F71" i="39"/>
  <c r="AE70" i="39"/>
  <c r="AD70" i="39"/>
  <c r="AC70" i="39"/>
  <c r="AB70" i="39"/>
  <c r="AA70" i="39"/>
  <c r="Z70" i="39"/>
  <c r="Y70" i="39"/>
  <c r="X70" i="39"/>
  <c r="W70" i="39"/>
  <c r="V70" i="39"/>
  <c r="U70" i="39"/>
  <c r="T70" i="39"/>
  <c r="S70" i="39"/>
  <c r="R70" i="39"/>
  <c r="Q70" i="39"/>
  <c r="P70" i="39"/>
  <c r="O70" i="39"/>
  <c r="N70" i="39"/>
  <c r="M70" i="39"/>
  <c r="L70" i="39"/>
  <c r="K70" i="39"/>
  <c r="J70" i="39"/>
  <c r="I70" i="39"/>
  <c r="H70" i="39"/>
  <c r="G70" i="39"/>
  <c r="F70" i="39"/>
  <c r="AE69" i="39"/>
  <c r="AD69" i="39"/>
  <c r="AC69" i="39"/>
  <c r="AB69" i="39"/>
  <c r="AA69" i="39"/>
  <c r="Z69" i="39"/>
  <c r="Y69" i="39"/>
  <c r="X69" i="39"/>
  <c r="W69" i="39"/>
  <c r="V69" i="39"/>
  <c r="U69" i="39"/>
  <c r="T69" i="39"/>
  <c r="S69" i="39"/>
  <c r="R69" i="39"/>
  <c r="Q69" i="39"/>
  <c r="P69" i="39"/>
  <c r="O69" i="39"/>
  <c r="N69" i="39"/>
  <c r="M69" i="39"/>
  <c r="L69" i="39"/>
  <c r="K69" i="39"/>
  <c r="J69" i="39"/>
  <c r="I69" i="39"/>
  <c r="H69" i="39"/>
  <c r="G69" i="39"/>
  <c r="F69" i="39"/>
  <c r="AE68" i="39"/>
  <c r="AD68" i="39"/>
  <c r="AC68" i="39"/>
  <c r="AB68" i="39"/>
  <c r="AA68" i="39"/>
  <c r="Z68" i="39"/>
  <c r="Y68" i="39"/>
  <c r="X68" i="39"/>
  <c r="W68" i="39"/>
  <c r="V68" i="39"/>
  <c r="U68" i="39"/>
  <c r="T68" i="39"/>
  <c r="S68" i="39"/>
  <c r="R68" i="39"/>
  <c r="Q68" i="39"/>
  <c r="P68" i="39"/>
  <c r="O68" i="39"/>
  <c r="N68" i="39"/>
  <c r="M68" i="39"/>
  <c r="L68" i="39"/>
  <c r="K68" i="39"/>
  <c r="J68" i="39"/>
  <c r="I68" i="39"/>
  <c r="H68" i="39"/>
  <c r="G68" i="39"/>
  <c r="F68" i="39"/>
  <c r="AE67" i="39"/>
  <c r="AD67" i="39"/>
  <c r="AC67" i="39"/>
  <c r="AB67" i="39"/>
  <c r="AA67" i="39"/>
  <c r="Z67" i="39"/>
  <c r="Y67" i="39"/>
  <c r="X67" i="39"/>
  <c r="W67" i="39"/>
  <c r="V67" i="39"/>
  <c r="U67" i="39"/>
  <c r="T67" i="39"/>
  <c r="S67" i="39"/>
  <c r="R67" i="39"/>
  <c r="Q67" i="39"/>
  <c r="P67" i="39"/>
  <c r="O67" i="39"/>
  <c r="N67" i="39"/>
  <c r="M67" i="39"/>
  <c r="L67" i="39"/>
  <c r="K67" i="39"/>
  <c r="J67" i="39"/>
  <c r="I67" i="39"/>
  <c r="H67" i="39"/>
  <c r="G67" i="39"/>
  <c r="F67" i="39"/>
  <c r="AE66" i="39"/>
  <c r="AD66" i="39"/>
  <c r="AC66" i="39"/>
  <c r="AB66" i="39"/>
  <c r="AA66" i="39"/>
  <c r="Z66" i="39"/>
  <c r="Y66" i="39"/>
  <c r="X66" i="39"/>
  <c r="W66" i="39"/>
  <c r="V66" i="39"/>
  <c r="U66" i="39"/>
  <c r="T66" i="39"/>
  <c r="S66" i="39"/>
  <c r="R66" i="39"/>
  <c r="Q66" i="39"/>
  <c r="P66" i="39"/>
  <c r="O66" i="39"/>
  <c r="N66" i="39"/>
  <c r="M66" i="39"/>
  <c r="L66" i="39"/>
  <c r="K66" i="39"/>
  <c r="J66" i="39"/>
  <c r="I66" i="39"/>
  <c r="H66" i="39"/>
  <c r="G66" i="39"/>
  <c r="F66" i="39"/>
  <c r="AE65" i="39"/>
  <c r="AD65" i="39"/>
  <c r="AC65" i="39"/>
  <c r="AB65" i="39"/>
  <c r="AA65" i="39"/>
  <c r="Z65" i="39"/>
  <c r="Y65" i="39"/>
  <c r="X65" i="39"/>
  <c r="W65" i="39"/>
  <c r="V65" i="39"/>
  <c r="U65" i="39"/>
  <c r="T65" i="39"/>
  <c r="S65" i="39"/>
  <c r="R65" i="39"/>
  <c r="Q65" i="39"/>
  <c r="P65" i="39"/>
  <c r="O65" i="39"/>
  <c r="N65" i="39"/>
  <c r="M65" i="39"/>
  <c r="L65" i="39"/>
  <c r="K65" i="39"/>
  <c r="J65" i="39"/>
  <c r="I65" i="39"/>
  <c r="H65" i="39"/>
  <c r="G65" i="39"/>
  <c r="F65" i="39"/>
  <c r="K190" i="39" l="1"/>
  <c r="K194" i="39"/>
  <c r="K189" i="39"/>
  <c r="K193" i="39"/>
  <c r="K192" i="39"/>
  <c r="AD200" i="80"/>
  <c r="AD204" i="80"/>
  <c r="AC195" i="39"/>
  <c r="AD201" i="80"/>
  <c r="AD199" i="80"/>
  <c r="AD203" i="80"/>
  <c r="AF15" i="103"/>
  <c r="AF30" i="103" s="1"/>
  <c r="AD202" i="80"/>
  <c r="AB195" i="39"/>
  <c r="V190" i="39"/>
  <c r="U200" i="80"/>
  <c r="T191" i="39"/>
  <c r="S201" i="80"/>
  <c r="X193" i="39"/>
  <c r="W203" i="80"/>
  <c r="V194" i="39"/>
  <c r="U204" i="80"/>
  <c r="Y189" i="39"/>
  <c r="X199" i="80"/>
  <c r="O190" i="39"/>
  <c r="N200" i="80"/>
  <c r="W190" i="39"/>
  <c r="V200" i="80"/>
  <c r="M191" i="39"/>
  <c r="L201" i="80"/>
  <c r="U191" i="39"/>
  <c r="T201" i="80"/>
  <c r="AC191" i="39"/>
  <c r="AB201" i="80"/>
  <c r="S192" i="39"/>
  <c r="R202" i="80"/>
  <c r="AA192" i="39"/>
  <c r="Z202" i="80"/>
  <c r="Q193" i="39"/>
  <c r="P203" i="80"/>
  <c r="Y193" i="39"/>
  <c r="X203" i="80"/>
  <c r="O194" i="39"/>
  <c r="N204" i="80"/>
  <c r="W194" i="39"/>
  <c r="V204" i="80"/>
  <c r="M195" i="39"/>
  <c r="Q205" i="80"/>
  <c r="U195" i="39"/>
  <c r="Y205" i="80"/>
  <c r="R189" i="39"/>
  <c r="Q199" i="80"/>
  <c r="Z189" i="39"/>
  <c r="Y199" i="80"/>
  <c r="P190" i="39"/>
  <c r="O200" i="80"/>
  <c r="X190" i="39"/>
  <c r="W200" i="80"/>
  <c r="AF10" i="103"/>
  <c r="AE200" i="80"/>
  <c r="N191" i="39"/>
  <c r="M201" i="80"/>
  <c r="V191" i="39"/>
  <c r="U201" i="80"/>
  <c r="AD191" i="39"/>
  <c r="AC201" i="80"/>
  <c r="L192" i="39"/>
  <c r="K202" i="80"/>
  <c r="T192" i="39"/>
  <c r="S202" i="80"/>
  <c r="AB192" i="39"/>
  <c r="AA202" i="80"/>
  <c r="R193" i="39"/>
  <c r="Q203" i="80"/>
  <c r="Z193" i="39"/>
  <c r="Y203" i="80"/>
  <c r="P194" i="39"/>
  <c r="O204" i="80"/>
  <c r="X194" i="39"/>
  <c r="W204" i="80"/>
  <c r="AF14" i="103"/>
  <c r="AF29" i="103" s="1"/>
  <c r="AE204" i="80"/>
  <c r="N195" i="39"/>
  <c r="R205" i="80"/>
  <c r="V195" i="39"/>
  <c r="Z205" i="80"/>
  <c r="AD195" i="39"/>
  <c r="AF9" i="103"/>
  <c r="AE199" i="80"/>
  <c r="AB191" i="39"/>
  <c r="AA201" i="80"/>
  <c r="AD194" i="39"/>
  <c r="AC204" i="80"/>
  <c r="S189" i="39"/>
  <c r="R199" i="80"/>
  <c r="Y190" i="39"/>
  <c r="X200" i="80"/>
  <c r="O191" i="39"/>
  <c r="N201" i="80"/>
  <c r="W191" i="39"/>
  <c r="V201" i="80"/>
  <c r="M192" i="39"/>
  <c r="L202" i="80"/>
  <c r="U192" i="39"/>
  <c r="T202" i="80"/>
  <c r="S193" i="39"/>
  <c r="R203" i="80"/>
  <c r="AA193" i="39"/>
  <c r="Z203" i="80"/>
  <c r="Y194" i="39"/>
  <c r="X204" i="80"/>
  <c r="O195" i="39"/>
  <c r="S205" i="80"/>
  <c r="W195" i="39"/>
  <c r="AA205" i="80"/>
  <c r="L189" i="39"/>
  <c r="K199" i="80"/>
  <c r="R190" i="39"/>
  <c r="Q200" i="80"/>
  <c r="P191" i="39"/>
  <c r="O201" i="80"/>
  <c r="N192" i="39"/>
  <c r="M202" i="80"/>
  <c r="AD192" i="39"/>
  <c r="AC202" i="80"/>
  <c r="T193" i="39"/>
  <c r="S203" i="80"/>
  <c r="Z194" i="39"/>
  <c r="Y204" i="80"/>
  <c r="P195" i="39"/>
  <c r="T205" i="80"/>
  <c r="AA190" i="39"/>
  <c r="Z200" i="80"/>
  <c r="Y191" i="39"/>
  <c r="X201" i="80"/>
  <c r="W192" i="39"/>
  <c r="V202" i="80"/>
  <c r="M193" i="39"/>
  <c r="L203" i="80"/>
  <c r="U193" i="39"/>
  <c r="T203" i="80"/>
  <c r="AC193" i="39"/>
  <c r="AB203" i="80"/>
  <c r="S194" i="39"/>
  <c r="R204" i="80"/>
  <c r="AA194" i="39"/>
  <c r="Z204" i="80"/>
  <c r="Q195" i="39"/>
  <c r="U205" i="80"/>
  <c r="Y195" i="39"/>
  <c r="AC205" i="80"/>
  <c r="P189" i="39"/>
  <c r="O199" i="80"/>
  <c r="N190" i="39"/>
  <c r="M200" i="80"/>
  <c r="L191" i="39"/>
  <c r="K201" i="80"/>
  <c r="R192" i="39"/>
  <c r="Q202" i="80"/>
  <c r="P193" i="39"/>
  <c r="O203" i="80"/>
  <c r="AF13" i="103"/>
  <c r="AF28" i="103" s="1"/>
  <c r="AE203" i="80"/>
  <c r="L195" i="39"/>
  <c r="O205" i="80"/>
  <c r="K205" i="80"/>
  <c r="L205" i="80"/>
  <c r="P205" i="80"/>
  <c r="M205" i="80"/>
  <c r="N205" i="80"/>
  <c r="T195" i="39"/>
  <c r="X205" i="80"/>
  <c r="AC192" i="39"/>
  <c r="AB202" i="80"/>
  <c r="T189" i="39"/>
  <c r="S199" i="80"/>
  <c r="Z190" i="39"/>
  <c r="Y200" i="80"/>
  <c r="X191" i="39"/>
  <c r="W201" i="80"/>
  <c r="V192" i="39"/>
  <c r="U202" i="80"/>
  <c r="L193" i="39"/>
  <c r="K203" i="80"/>
  <c r="AB193" i="39"/>
  <c r="AA203" i="80"/>
  <c r="R194" i="39"/>
  <c r="Q204" i="80"/>
  <c r="X195" i="39"/>
  <c r="AB205" i="80"/>
  <c r="M189" i="39"/>
  <c r="L199" i="80"/>
  <c r="U189" i="39"/>
  <c r="T199" i="80"/>
  <c r="AC189" i="39"/>
  <c r="AB199" i="80"/>
  <c r="S190" i="39"/>
  <c r="R200" i="80"/>
  <c r="Q191" i="39"/>
  <c r="P201" i="80"/>
  <c r="O192" i="39"/>
  <c r="N202" i="80"/>
  <c r="N189" i="39"/>
  <c r="M199" i="80"/>
  <c r="V189" i="39"/>
  <c r="U199" i="80"/>
  <c r="AD189" i="39"/>
  <c r="AC199" i="80"/>
  <c r="L190" i="39"/>
  <c r="K200" i="80"/>
  <c r="T190" i="39"/>
  <c r="S200" i="80"/>
  <c r="AB190" i="39"/>
  <c r="AA200" i="80"/>
  <c r="R191" i="39"/>
  <c r="Q201" i="80"/>
  <c r="Z191" i="39"/>
  <c r="Y201" i="80"/>
  <c r="P192" i="39"/>
  <c r="O202" i="80"/>
  <c r="X192" i="39"/>
  <c r="W202" i="80"/>
  <c r="AF12" i="103"/>
  <c r="AE202" i="80"/>
  <c r="N193" i="39"/>
  <c r="M203" i="80"/>
  <c r="V193" i="39"/>
  <c r="U203" i="80"/>
  <c r="AD193" i="39"/>
  <c r="AC203" i="80"/>
  <c r="L194" i="39"/>
  <c r="K204" i="80"/>
  <c r="T194" i="39"/>
  <c r="S204" i="80"/>
  <c r="AB194" i="39"/>
  <c r="AA204" i="80"/>
  <c r="R195" i="39"/>
  <c r="V205" i="80"/>
  <c r="Z195" i="39"/>
  <c r="AD205" i="80"/>
  <c r="X189" i="39"/>
  <c r="W199" i="80"/>
  <c r="AD190" i="39"/>
  <c r="AC200" i="80"/>
  <c r="Z192" i="39"/>
  <c r="Y202" i="80"/>
  <c r="N194" i="39"/>
  <c r="M204" i="80"/>
  <c r="Q189" i="39"/>
  <c r="P199" i="80"/>
  <c r="AA189" i="39"/>
  <c r="Z199" i="80"/>
  <c r="Q190" i="39"/>
  <c r="P200" i="80"/>
  <c r="Q194" i="39"/>
  <c r="P204" i="80"/>
  <c r="AB189" i="39"/>
  <c r="AA199" i="80"/>
  <c r="AF11" i="103"/>
  <c r="AF27" i="103" s="1"/>
  <c r="AE201" i="80"/>
  <c r="O189" i="39"/>
  <c r="N199" i="80"/>
  <c r="W189" i="39"/>
  <c r="V199" i="80"/>
  <c r="M190" i="39"/>
  <c r="L200" i="80"/>
  <c r="U190" i="39"/>
  <c r="T200" i="80"/>
  <c r="AC190" i="39"/>
  <c r="AB200" i="80"/>
  <c r="K191" i="39"/>
  <c r="S191" i="39"/>
  <c r="R201" i="80"/>
  <c r="AA191" i="39"/>
  <c r="Z201" i="80"/>
  <c r="Q192" i="39"/>
  <c r="P202" i="80"/>
  <c r="Y192" i="39"/>
  <c r="X202" i="80"/>
  <c r="O193" i="39"/>
  <c r="N203" i="80"/>
  <c r="W193" i="39"/>
  <c r="V203" i="80"/>
  <c r="M194" i="39"/>
  <c r="L204" i="80"/>
  <c r="U194" i="39"/>
  <c r="T204" i="80"/>
  <c r="AC194" i="39"/>
  <c r="AB204" i="80"/>
  <c r="K195" i="39"/>
  <c r="S195" i="39"/>
  <c r="W205" i="80"/>
  <c r="AA195" i="39"/>
  <c r="AE205" i="80"/>
  <c r="Q223" i="80"/>
  <c r="M223" i="80"/>
  <c r="K223" i="80"/>
  <c r="AB223" i="80"/>
  <c r="AE223" i="80"/>
  <c r="P223" i="80"/>
  <c r="O223" i="80"/>
  <c r="U223" i="80"/>
  <c r="Z223" i="80"/>
  <c r="T223" i="80"/>
  <c r="AA223" i="80"/>
  <c r="X223" i="80"/>
  <c r="N223" i="80"/>
  <c r="V223" i="80"/>
  <c r="L223" i="80"/>
  <c r="S223" i="80"/>
  <c r="AD223" i="80"/>
  <c r="Y223" i="80"/>
  <c r="R223" i="80"/>
  <c r="AC223" i="80"/>
  <c r="W223" i="80"/>
  <c r="V9" i="103"/>
  <c r="AB10" i="103"/>
  <c r="Z11" i="103"/>
  <c r="Z27" i="103" s="1"/>
  <c r="P12" i="103"/>
  <c r="N13" i="103"/>
  <c r="N28" i="103" s="1"/>
  <c r="AD13" i="103"/>
  <c r="AD28" i="103" s="1"/>
  <c r="T14" i="103"/>
  <c r="T29" i="103" s="1"/>
  <c r="AB14" i="103"/>
  <c r="AB29" i="103" s="1"/>
  <c r="Z15" i="103"/>
  <c r="Z30" i="103" s="1"/>
  <c r="O9" i="103"/>
  <c r="W9" i="103"/>
  <c r="AE9" i="103"/>
  <c r="M10" i="103"/>
  <c r="U10" i="103"/>
  <c r="AC10" i="103"/>
  <c r="S11" i="103"/>
  <c r="S27" i="103" s="1"/>
  <c r="AA11" i="103"/>
  <c r="AA27" i="103" s="1"/>
  <c r="Q12" i="103"/>
  <c r="Y12" i="103"/>
  <c r="O13" i="103"/>
  <c r="O28" i="103" s="1"/>
  <c r="W13" i="103"/>
  <c r="W28" i="103" s="1"/>
  <c r="AE13" i="103"/>
  <c r="AE28" i="103" s="1"/>
  <c r="M14" i="103"/>
  <c r="M29" i="103" s="1"/>
  <c r="U14" i="103"/>
  <c r="U29" i="103" s="1"/>
  <c r="AC14" i="103"/>
  <c r="AC29" i="103" s="1"/>
  <c r="S15" i="103"/>
  <c r="S30" i="103" s="1"/>
  <c r="AA15" i="103"/>
  <c r="AA30" i="103" s="1"/>
  <c r="P9" i="103"/>
  <c r="X9" i="103"/>
  <c r="N10" i="103"/>
  <c r="V10" i="103"/>
  <c r="AD10" i="103"/>
  <c r="L11" i="103"/>
  <c r="L27" i="103" s="1"/>
  <c r="T11" i="103"/>
  <c r="T27" i="103" s="1"/>
  <c r="AB11" i="103"/>
  <c r="AB27" i="103" s="1"/>
  <c r="R12" i="103"/>
  <c r="Z12" i="103"/>
  <c r="P13" i="103"/>
  <c r="P28" i="103" s="1"/>
  <c r="X13" i="103"/>
  <c r="X28" i="103" s="1"/>
  <c r="N14" i="103"/>
  <c r="N29" i="103" s="1"/>
  <c r="V14" i="103"/>
  <c r="V29" i="103" s="1"/>
  <c r="AD14" i="103"/>
  <c r="AD29" i="103" s="1"/>
  <c r="L15" i="103"/>
  <c r="L30" i="103" s="1"/>
  <c r="T15" i="103"/>
  <c r="T30" i="103" s="1"/>
  <c r="AB15" i="103"/>
  <c r="AB30" i="103" s="1"/>
  <c r="AD9" i="103"/>
  <c r="V13" i="103"/>
  <c r="V28" i="103" s="1"/>
  <c r="Y9" i="103"/>
  <c r="O10" i="103"/>
  <c r="AE10" i="103"/>
  <c r="U11" i="103"/>
  <c r="U27" i="103" s="1"/>
  <c r="AE14" i="103"/>
  <c r="AE29" i="103" s="1"/>
  <c r="AC15" i="103"/>
  <c r="AC30" i="103" s="1"/>
  <c r="Z9" i="103"/>
  <c r="P10" i="103"/>
  <c r="N11" i="103"/>
  <c r="N27" i="103" s="1"/>
  <c r="AD11" i="103"/>
  <c r="AD27" i="103" s="1"/>
  <c r="AB12" i="103"/>
  <c r="R13" i="103"/>
  <c r="R28" i="103" s="1"/>
  <c r="P14" i="103"/>
  <c r="P29" i="103" s="1"/>
  <c r="N15" i="103"/>
  <c r="N30" i="103" s="1"/>
  <c r="V15" i="103"/>
  <c r="V30" i="103" s="1"/>
  <c r="AD15" i="103"/>
  <c r="AD30" i="103" s="1"/>
  <c r="S9" i="103"/>
  <c r="AA9" i="103"/>
  <c r="Q10" i="103"/>
  <c r="Y10" i="103"/>
  <c r="O11" i="103"/>
  <c r="O27" i="103" s="1"/>
  <c r="W11" i="103"/>
  <c r="W27" i="103" s="1"/>
  <c r="AE11" i="103"/>
  <c r="AE27" i="103" s="1"/>
  <c r="M12" i="103"/>
  <c r="U12" i="103"/>
  <c r="AC12" i="103"/>
  <c r="S13" i="103"/>
  <c r="S28" i="103" s="1"/>
  <c r="AA13" i="103"/>
  <c r="AA28" i="103" s="1"/>
  <c r="Q14" i="103"/>
  <c r="Q29" i="103" s="1"/>
  <c r="Y14" i="103"/>
  <c r="Y29" i="103" s="1"/>
  <c r="O15" i="103"/>
  <c r="O30" i="103" s="1"/>
  <c r="W15" i="103"/>
  <c r="W30" i="103" s="1"/>
  <c r="AE15" i="103"/>
  <c r="AE30" i="103" s="1"/>
  <c r="L10" i="103"/>
  <c r="R15" i="103"/>
  <c r="R30" i="103" s="1"/>
  <c r="Q9" i="103"/>
  <c r="S12" i="103"/>
  <c r="Q13" i="103"/>
  <c r="Q28" i="103" s="1"/>
  <c r="W14" i="103"/>
  <c r="W29" i="103" s="1"/>
  <c r="U15" i="103"/>
  <c r="U30" i="103" s="1"/>
  <c r="T12" i="103"/>
  <c r="L9" i="103"/>
  <c r="AB9" i="103"/>
  <c r="R10" i="103"/>
  <c r="Z10" i="103"/>
  <c r="P11" i="103"/>
  <c r="P27" i="103" s="1"/>
  <c r="X11" i="103"/>
  <c r="X27" i="103" s="1"/>
  <c r="N12" i="103"/>
  <c r="V12" i="103"/>
  <c r="AD12" i="103"/>
  <c r="L13" i="103"/>
  <c r="L28" i="103" s="1"/>
  <c r="T13" i="103"/>
  <c r="T28" i="103" s="1"/>
  <c r="AB13" i="103"/>
  <c r="AB28" i="103" s="1"/>
  <c r="R14" i="103"/>
  <c r="R29" i="103" s="1"/>
  <c r="Z14" i="103"/>
  <c r="Z29" i="103" s="1"/>
  <c r="P15" i="103"/>
  <c r="P30" i="103" s="1"/>
  <c r="X15" i="103"/>
  <c r="X30" i="103" s="1"/>
  <c r="N9" i="103"/>
  <c r="T10" i="103"/>
  <c r="R11" i="103"/>
  <c r="R27" i="103" s="1"/>
  <c r="X12" i="103"/>
  <c r="L14" i="103"/>
  <c r="L29" i="103" s="1"/>
  <c r="W10" i="103"/>
  <c r="M11" i="103"/>
  <c r="M27" i="103" s="1"/>
  <c r="AC11" i="103"/>
  <c r="AC27" i="103" s="1"/>
  <c r="AA12" i="103"/>
  <c r="Y13" i="103"/>
  <c r="Y28" i="103" s="1"/>
  <c r="O14" i="103"/>
  <c r="O29" i="103" s="1"/>
  <c r="M15" i="103"/>
  <c r="M30" i="103" s="1"/>
  <c r="R9" i="103"/>
  <c r="X10" i="103"/>
  <c r="V11" i="103"/>
  <c r="V27" i="103" s="1"/>
  <c r="L12" i="103"/>
  <c r="Z13" i="103"/>
  <c r="Z28" i="103" s="1"/>
  <c r="X14" i="103"/>
  <c r="X29" i="103" s="1"/>
  <c r="T9" i="103"/>
  <c r="M9" i="103"/>
  <c r="U9" i="103"/>
  <c r="AC9" i="103"/>
  <c r="S10" i="103"/>
  <c r="AA10" i="103"/>
  <c r="Q11" i="103"/>
  <c r="Q27" i="103" s="1"/>
  <c r="Y11" i="103"/>
  <c r="Y27" i="103" s="1"/>
  <c r="O12" i="103"/>
  <c r="W12" i="103"/>
  <c r="AE12" i="103"/>
  <c r="M13" i="103"/>
  <c r="M28" i="103" s="1"/>
  <c r="U13" i="103"/>
  <c r="U28" i="103" s="1"/>
  <c r="AC13" i="103"/>
  <c r="AC28" i="103" s="1"/>
  <c r="S14" i="103"/>
  <c r="S29" i="103" s="1"/>
  <c r="AA14" i="103"/>
  <c r="AA29" i="103" s="1"/>
  <c r="Q15" i="103"/>
  <c r="Q30" i="103" s="1"/>
  <c r="Y15" i="103"/>
  <c r="Y30" i="103" s="1"/>
  <c r="J19" i="39"/>
  <c r="I19" i="39"/>
  <c r="H19" i="39"/>
  <c r="G19" i="39"/>
  <c r="F19" i="39"/>
  <c r="AD207" i="80" l="1"/>
  <c r="N207" i="80"/>
  <c r="U207" i="80"/>
  <c r="AF26" i="103"/>
  <c r="Y207" i="80"/>
  <c r="K207" i="80"/>
  <c r="Z207" i="80"/>
  <c r="M207" i="80"/>
  <c r="AB207" i="80"/>
  <c r="Q207" i="80"/>
  <c r="AA207" i="80"/>
  <c r="O207" i="80"/>
  <c r="AE207" i="80"/>
  <c r="P207" i="80"/>
  <c r="T207" i="80"/>
  <c r="V207" i="80"/>
  <c r="AC207" i="80"/>
  <c r="L207" i="80"/>
  <c r="S207" i="80"/>
  <c r="X207" i="80"/>
  <c r="W207" i="80"/>
  <c r="R207" i="80"/>
  <c r="F172" i="80"/>
  <c r="G172" i="80"/>
  <c r="H172" i="80"/>
  <c r="I172" i="80"/>
  <c r="J172" i="80"/>
  <c r="AC26" i="103"/>
  <c r="X26" i="103"/>
  <c r="V26" i="103"/>
  <c r="AB26" i="103"/>
  <c r="O26" i="103"/>
  <c r="T196" i="39"/>
  <c r="Q196" i="39"/>
  <c r="U26" i="103"/>
  <c r="Y196" i="39"/>
  <c r="N26" i="103"/>
  <c r="R26" i="103"/>
  <c r="AD26" i="103"/>
  <c r="L26" i="103"/>
  <c r="Q26" i="103"/>
  <c r="AA26" i="103"/>
  <c r="M26" i="103"/>
  <c r="Z26" i="103"/>
  <c r="Y26" i="103"/>
  <c r="AE26" i="103"/>
  <c r="P26" i="103"/>
  <c r="S26" i="103"/>
  <c r="T26" i="103"/>
  <c r="W26" i="103"/>
  <c r="P196" i="39"/>
  <c r="K196" i="39"/>
  <c r="AC196" i="39"/>
  <c r="AB196" i="39"/>
  <c r="W196" i="39"/>
  <c r="U196" i="39"/>
  <c r="Z196" i="39"/>
  <c r="O196" i="39"/>
  <c r="AA196" i="39"/>
  <c r="AD196" i="39"/>
  <c r="M196" i="39"/>
  <c r="X196" i="39"/>
  <c r="V196" i="39"/>
  <c r="R196" i="39"/>
  <c r="N196" i="39"/>
  <c r="L196" i="39"/>
  <c r="S196" i="39"/>
  <c r="J98" i="39"/>
  <c r="I98" i="39"/>
  <c r="H98" i="39"/>
  <c r="G98" i="39"/>
  <c r="F98" i="39"/>
  <c r="J97" i="39"/>
  <c r="I97" i="39"/>
  <c r="H97" i="39"/>
  <c r="G97" i="39"/>
  <c r="F97" i="39"/>
  <c r="J96" i="39"/>
  <c r="I96" i="39"/>
  <c r="H96" i="39"/>
  <c r="G96" i="39"/>
  <c r="F96" i="39"/>
  <c r="J95" i="39"/>
  <c r="I95" i="39"/>
  <c r="H95" i="39"/>
  <c r="G95" i="39"/>
  <c r="F95" i="39"/>
  <c r="J94" i="39"/>
  <c r="I94" i="39"/>
  <c r="H94" i="39"/>
  <c r="G94" i="39"/>
  <c r="F94" i="39"/>
  <c r="J93" i="39"/>
  <c r="I93" i="39"/>
  <c r="H93" i="39"/>
  <c r="G93" i="39"/>
  <c r="F93" i="39"/>
  <c r="J92" i="39"/>
  <c r="I92" i="39"/>
  <c r="H92" i="39"/>
  <c r="G92" i="39"/>
  <c r="F92" i="39"/>
  <c r="Q10" i="39" l="1"/>
  <c r="E9" i="51" s="1"/>
  <c r="R10" i="39"/>
  <c r="S10" i="39"/>
  <c r="T10" i="39"/>
  <c r="U10" i="39"/>
  <c r="V10" i="39"/>
  <c r="W10" i="39"/>
  <c r="X10" i="39"/>
  <c r="Y10" i="39"/>
  <c r="Z10" i="39"/>
  <c r="AA10" i="39"/>
  <c r="AB10" i="39"/>
  <c r="AC10" i="39"/>
  <c r="AD10" i="39"/>
  <c r="AE10" i="39"/>
  <c r="Q13" i="39"/>
  <c r="R13" i="39"/>
  <c r="S13" i="39"/>
  <c r="T13" i="39"/>
  <c r="U13" i="39"/>
  <c r="V13" i="39"/>
  <c r="W13" i="39"/>
  <c r="X13" i="39"/>
  <c r="Y13" i="39"/>
  <c r="Z13" i="39"/>
  <c r="AA13" i="39"/>
  <c r="AB13" i="39"/>
  <c r="AC13" i="39"/>
  <c r="AD13" i="39"/>
  <c r="AE13" i="39"/>
  <c r="Q15" i="39"/>
  <c r="R15" i="39"/>
  <c r="S15" i="39"/>
  <c r="T15" i="39"/>
  <c r="U15" i="39"/>
  <c r="V15" i="39"/>
  <c r="W15" i="39"/>
  <c r="X15" i="39"/>
  <c r="Y15" i="39"/>
  <c r="Z15" i="39"/>
  <c r="AA15" i="39"/>
  <c r="AB15" i="39"/>
  <c r="AC15" i="39"/>
  <c r="AD15" i="39"/>
  <c r="AE15" i="39"/>
  <c r="Q16" i="39"/>
  <c r="R16" i="39"/>
  <c r="S16" i="39"/>
  <c r="T16" i="39"/>
  <c r="U16" i="39"/>
  <c r="V16" i="39"/>
  <c r="W16" i="39"/>
  <c r="X16" i="39"/>
  <c r="Y16" i="39"/>
  <c r="Z16" i="39"/>
  <c r="AA16" i="39"/>
  <c r="AB16" i="39"/>
  <c r="AC16" i="39"/>
  <c r="AD16" i="39"/>
  <c r="AE16" i="39"/>
  <c r="Q21" i="39"/>
  <c r="Q174" i="80" s="1"/>
  <c r="R21" i="39"/>
  <c r="R174" i="80" s="1"/>
  <c r="S21" i="39"/>
  <c r="S174" i="80" s="1"/>
  <c r="T21" i="39"/>
  <c r="T174" i="80" s="1"/>
  <c r="U21" i="39"/>
  <c r="U174" i="80" s="1"/>
  <c r="V21" i="39"/>
  <c r="V174" i="80" s="1"/>
  <c r="W21" i="39"/>
  <c r="W174" i="80" s="1"/>
  <c r="X21" i="39"/>
  <c r="X174" i="80" s="1"/>
  <c r="Y21" i="39"/>
  <c r="Y174" i="80" s="1"/>
  <c r="Z21" i="39"/>
  <c r="Z174" i="80" s="1"/>
  <c r="AA21" i="39"/>
  <c r="AA174" i="80" s="1"/>
  <c r="AB21" i="39"/>
  <c r="AB174" i="80" s="1"/>
  <c r="AC21" i="39"/>
  <c r="AC174" i="80" s="1"/>
  <c r="AD21" i="39"/>
  <c r="AD174" i="80" s="1"/>
  <c r="AE21" i="39"/>
  <c r="AE174" i="80" s="1"/>
  <c r="Q22" i="39"/>
  <c r="Q175" i="80" s="1"/>
  <c r="R22" i="39"/>
  <c r="R175" i="80" s="1"/>
  <c r="S22" i="39"/>
  <c r="S175" i="80" s="1"/>
  <c r="T22" i="39"/>
  <c r="U22" i="39"/>
  <c r="U175" i="80" s="1"/>
  <c r="V22" i="39"/>
  <c r="V175" i="80" s="1"/>
  <c r="W22" i="39"/>
  <c r="W175" i="80" s="1"/>
  <c r="X22" i="39"/>
  <c r="X175" i="80" s="1"/>
  <c r="Y22" i="39"/>
  <c r="Y175" i="80" s="1"/>
  <c r="Z22" i="39"/>
  <c r="Z175" i="80" s="1"/>
  <c r="AA22" i="39"/>
  <c r="AA175" i="80" s="1"/>
  <c r="AB22" i="39"/>
  <c r="AC22" i="39"/>
  <c r="AC175" i="80" s="1"/>
  <c r="AD22" i="39"/>
  <c r="AD175" i="80" s="1"/>
  <c r="AE22" i="39"/>
  <c r="AE175" i="80" s="1"/>
  <c r="Q101" i="39"/>
  <c r="R101" i="39"/>
  <c r="S101" i="39"/>
  <c r="T101" i="39"/>
  <c r="U101" i="39"/>
  <c r="V101" i="39"/>
  <c r="W101" i="39"/>
  <c r="X101" i="39"/>
  <c r="Y101" i="39"/>
  <c r="Z101" i="39"/>
  <c r="AA101" i="39"/>
  <c r="AB101" i="39"/>
  <c r="AC101" i="39"/>
  <c r="AD101" i="39"/>
  <c r="AE101" i="39"/>
  <c r="Q102" i="39"/>
  <c r="R102" i="39"/>
  <c r="S102" i="39"/>
  <c r="T102" i="39"/>
  <c r="U102" i="39"/>
  <c r="V102" i="39"/>
  <c r="W102" i="39"/>
  <c r="X102" i="39"/>
  <c r="Y102" i="39"/>
  <c r="Z102" i="39"/>
  <c r="AA102" i="39"/>
  <c r="AB102" i="39"/>
  <c r="AC102" i="39"/>
  <c r="AD102" i="39"/>
  <c r="AE102" i="39"/>
  <c r="Q103" i="39"/>
  <c r="R103" i="39"/>
  <c r="S103" i="39"/>
  <c r="T103" i="39"/>
  <c r="U103" i="39"/>
  <c r="V103" i="39"/>
  <c r="W103" i="39"/>
  <c r="X103" i="39"/>
  <c r="Y103" i="39"/>
  <c r="Z103" i="39"/>
  <c r="AA103" i="39"/>
  <c r="AB103" i="39"/>
  <c r="AC103" i="39"/>
  <c r="AD103" i="39"/>
  <c r="AE103" i="39"/>
  <c r="Q104" i="39"/>
  <c r="R104" i="39"/>
  <c r="S104" i="39"/>
  <c r="T104" i="39"/>
  <c r="U104" i="39"/>
  <c r="V104" i="39"/>
  <c r="W104" i="39"/>
  <c r="X104" i="39"/>
  <c r="Y104" i="39"/>
  <c r="Z104" i="39"/>
  <c r="AA104" i="39"/>
  <c r="AB104" i="39"/>
  <c r="AC104" i="39"/>
  <c r="AD104" i="39"/>
  <c r="AE104" i="39"/>
  <c r="Q105" i="39"/>
  <c r="R105" i="39"/>
  <c r="S105" i="39"/>
  <c r="T105" i="39"/>
  <c r="U105" i="39"/>
  <c r="V105" i="39"/>
  <c r="W105" i="39"/>
  <c r="X105" i="39"/>
  <c r="Y105" i="39"/>
  <c r="Z105" i="39"/>
  <c r="AA105" i="39"/>
  <c r="AB105" i="39"/>
  <c r="AC105" i="39"/>
  <c r="AD105" i="39"/>
  <c r="AE105" i="39"/>
  <c r="Q106" i="39"/>
  <c r="R106" i="39"/>
  <c r="S106" i="39"/>
  <c r="T106" i="39"/>
  <c r="U106" i="39"/>
  <c r="V106" i="39"/>
  <c r="W106" i="39"/>
  <c r="X106" i="39"/>
  <c r="Y106" i="39"/>
  <c r="Z106" i="39"/>
  <c r="AA106" i="39"/>
  <c r="AB106" i="39"/>
  <c r="AC106" i="39"/>
  <c r="AD106" i="39"/>
  <c r="AE106" i="39"/>
  <c r="Q107" i="39"/>
  <c r="R107" i="39"/>
  <c r="S107" i="39"/>
  <c r="T107" i="39"/>
  <c r="U107" i="39"/>
  <c r="V107" i="39"/>
  <c r="W107" i="39"/>
  <c r="X107" i="39"/>
  <c r="Y107" i="39"/>
  <c r="Z107" i="39"/>
  <c r="AA107" i="39"/>
  <c r="AB107" i="39"/>
  <c r="AC107" i="39"/>
  <c r="AD107" i="39"/>
  <c r="AE107" i="39"/>
  <c r="Q111" i="39"/>
  <c r="R111" i="39"/>
  <c r="S111" i="39"/>
  <c r="T111" i="39"/>
  <c r="U111" i="39"/>
  <c r="V111" i="39"/>
  <c r="W111" i="39"/>
  <c r="X111" i="39"/>
  <c r="Y111" i="39"/>
  <c r="Z111" i="39"/>
  <c r="AA111" i="39"/>
  <c r="AB111" i="39"/>
  <c r="AC111" i="39"/>
  <c r="AD111" i="39"/>
  <c r="AE111" i="39"/>
  <c r="Q112" i="39"/>
  <c r="R112" i="39"/>
  <c r="S112" i="39"/>
  <c r="T112" i="39"/>
  <c r="U112" i="39"/>
  <c r="V112" i="39"/>
  <c r="W112" i="39"/>
  <c r="X112" i="39"/>
  <c r="Y112" i="39"/>
  <c r="Z112" i="39"/>
  <c r="AA112" i="39"/>
  <c r="AB112" i="39"/>
  <c r="AC112" i="39"/>
  <c r="AD112" i="39"/>
  <c r="AE112" i="39"/>
  <c r="Q113" i="39"/>
  <c r="R113" i="39"/>
  <c r="S113" i="39"/>
  <c r="T113" i="39"/>
  <c r="U113" i="39"/>
  <c r="V113" i="39"/>
  <c r="W113" i="39"/>
  <c r="X113" i="39"/>
  <c r="Y113" i="39"/>
  <c r="Z113" i="39"/>
  <c r="AA113" i="39"/>
  <c r="AB113" i="39"/>
  <c r="AC113" i="39"/>
  <c r="AD113" i="39"/>
  <c r="AE113" i="39"/>
  <c r="Q114" i="39"/>
  <c r="R114" i="39"/>
  <c r="S114" i="39"/>
  <c r="T114" i="39"/>
  <c r="U114" i="39"/>
  <c r="V114" i="39"/>
  <c r="W114" i="39"/>
  <c r="X114" i="39"/>
  <c r="Y114" i="39"/>
  <c r="Z114" i="39"/>
  <c r="AA114" i="39"/>
  <c r="AB114" i="39"/>
  <c r="AC114" i="39"/>
  <c r="AD114" i="39"/>
  <c r="AE114" i="39"/>
  <c r="Q115" i="39"/>
  <c r="R115" i="39"/>
  <c r="S115" i="39"/>
  <c r="T115" i="39"/>
  <c r="U115" i="39"/>
  <c r="V115" i="39"/>
  <c r="W115" i="39"/>
  <c r="X115" i="39"/>
  <c r="Y115" i="39"/>
  <c r="Z115" i="39"/>
  <c r="AA115" i="39"/>
  <c r="AB115" i="39"/>
  <c r="AC115" i="39"/>
  <c r="AD115" i="39"/>
  <c r="AE115" i="39"/>
  <c r="Q116" i="39"/>
  <c r="R116" i="39"/>
  <c r="S116" i="39"/>
  <c r="T116" i="39"/>
  <c r="U116" i="39"/>
  <c r="V116" i="39"/>
  <c r="W116" i="39"/>
  <c r="X116" i="39"/>
  <c r="Y116" i="39"/>
  <c r="Z116" i="39"/>
  <c r="AA116" i="39"/>
  <c r="AB116" i="39"/>
  <c r="AC116" i="39"/>
  <c r="AD116" i="39"/>
  <c r="AE116" i="39"/>
  <c r="Q117" i="39"/>
  <c r="R117" i="39"/>
  <c r="S117" i="39"/>
  <c r="T117" i="39"/>
  <c r="U117" i="39"/>
  <c r="V117" i="39"/>
  <c r="W117" i="39"/>
  <c r="X117" i="39"/>
  <c r="Y117" i="39"/>
  <c r="Z117" i="39"/>
  <c r="AA117" i="39"/>
  <c r="AB117" i="39"/>
  <c r="AC117" i="39"/>
  <c r="AD117" i="39"/>
  <c r="AE117" i="39"/>
  <c r="Q131" i="39"/>
  <c r="R131" i="39"/>
  <c r="S131" i="39"/>
  <c r="T131" i="39"/>
  <c r="U131" i="39"/>
  <c r="V131" i="39"/>
  <c r="W131" i="39"/>
  <c r="X131" i="39"/>
  <c r="Y131" i="39"/>
  <c r="Z131" i="39"/>
  <c r="AA131" i="39"/>
  <c r="AB131" i="39"/>
  <c r="AC131" i="39"/>
  <c r="AD131" i="39"/>
  <c r="AE131" i="39"/>
  <c r="Q132" i="39"/>
  <c r="R132" i="39"/>
  <c r="S132" i="39"/>
  <c r="T132" i="39"/>
  <c r="U132" i="39"/>
  <c r="V132" i="39"/>
  <c r="W132" i="39"/>
  <c r="X132" i="39"/>
  <c r="Y132" i="39"/>
  <c r="Z132" i="39"/>
  <c r="AA132" i="39"/>
  <c r="AB132" i="39"/>
  <c r="AC132" i="39"/>
  <c r="AD132" i="39"/>
  <c r="AE132" i="39"/>
  <c r="Q133" i="39"/>
  <c r="R133" i="39"/>
  <c r="S133" i="39"/>
  <c r="T133" i="39"/>
  <c r="U133" i="39"/>
  <c r="V133" i="39"/>
  <c r="W133" i="39"/>
  <c r="X133" i="39"/>
  <c r="Y133" i="39"/>
  <c r="Z133" i="39"/>
  <c r="AA133" i="39"/>
  <c r="AB133" i="39"/>
  <c r="AC133" i="39"/>
  <c r="AD133" i="39"/>
  <c r="AE133" i="39"/>
  <c r="Q134" i="39"/>
  <c r="R134" i="39"/>
  <c r="S134" i="39"/>
  <c r="T134" i="39"/>
  <c r="U134" i="39"/>
  <c r="V134" i="39"/>
  <c r="W134" i="39"/>
  <c r="X134" i="39"/>
  <c r="Y134" i="39"/>
  <c r="Z134" i="39"/>
  <c r="AA134" i="39"/>
  <c r="AB134" i="39"/>
  <c r="AC134" i="39"/>
  <c r="AD134" i="39"/>
  <c r="AE134" i="39"/>
  <c r="Q135" i="39"/>
  <c r="R135" i="39"/>
  <c r="S135" i="39"/>
  <c r="T135" i="39"/>
  <c r="U135" i="39"/>
  <c r="V135" i="39"/>
  <c r="W135" i="39"/>
  <c r="X135" i="39"/>
  <c r="Y135" i="39"/>
  <c r="Z135" i="39"/>
  <c r="AA135" i="39"/>
  <c r="AB135" i="39"/>
  <c r="AC135" i="39"/>
  <c r="AD135" i="39"/>
  <c r="AE135" i="39"/>
  <c r="Q136" i="39"/>
  <c r="R136" i="39"/>
  <c r="S136" i="39"/>
  <c r="T136" i="39"/>
  <c r="U136" i="39"/>
  <c r="V136" i="39"/>
  <c r="W136" i="39"/>
  <c r="X136" i="39"/>
  <c r="Y136" i="39"/>
  <c r="Z136" i="39"/>
  <c r="AA136" i="39"/>
  <c r="AB136" i="39"/>
  <c r="AC136" i="39"/>
  <c r="AD136" i="39"/>
  <c r="AE136" i="39"/>
  <c r="Q140" i="39"/>
  <c r="R140" i="39"/>
  <c r="S140" i="39"/>
  <c r="S314" i="39" s="1"/>
  <c r="T140" i="39"/>
  <c r="U140" i="39"/>
  <c r="V140" i="39"/>
  <c r="W140" i="39"/>
  <c r="W314" i="39" s="1"/>
  <c r="X140" i="39"/>
  <c r="Y140" i="39"/>
  <c r="Z140" i="39"/>
  <c r="AA140" i="39"/>
  <c r="AA314" i="39" s="1"/>
  <c r="AB140" i="39"/>
  <c r="AC140" i="39"/>
  <c r="AD140" i="39"/>
  <c r="AE140" i="39"/>
  <c r="AE314" i="39" s="1"/>
  <c r="Q141" i="39"/>
  <c r="R141" i="39"/>
  <c r="S141" i="39"/>
  <c r="T141" i="39"/>
  <c r="T315" i="39" s="1"/>
  <c r="U141" i="39"/>
  <c r="V141" i="39"/>
  <c r="W141" i="39"/>
  <c r="X141" i="39"/>
  <c r="X315" i="39" s="1"/>
  <c r="Y141" i="39"/>
  <c r="Z141" i="39"/>
  <c r="AA141" i="39"/>
  <c r="AB141" i="39"/>
  <c r="AB315" i="39" s="1"/>
  <c r="AC141" i="39"/>
  <c r="AD141" i="39"/>
  <c r="AE141" i="39"/>
  <c r="Q142" i="39"/>
  <c r="Q316" i="39" s="1"/>
  <c r="R142" i="39"/>
  <c r="S142" i="39"/>
  <c r="T142" i="39"/>
  <c r="U142" i="39"/>
  <c r="U316" i="39" s="1"/>
  <c r="V142" i="39"/>
  <c r="W142" i="39"/>
  <c r="X142" i="39"/>
  <c r="Y142" i="39"/>
  <c r="Y316" i="39" s="1"/>
  <c r="Z142" i="39"/>
  <c r="AA142" i="39"/>
  <c r="AB142" i="39"/>
  <c r="AC142" i="39"/>
  <c r="AC316" i="39" s="1"/>
  <c r="AD142" i="39"/>
  <c r="AE142" i="39"/>
  <c r="Q143" i="39"/>
  <c r="R143" i="39"/>
  <c r="R317" i="39" s="1"/>
  <c r="S143" i="39"/>
  <c r="T143" i="39"/>
  <c r="U143" i="39"/>
  <c r="V143" i="39"/>
  <c r="V317" i="39" s="1"/>
  <c r="W143" i="39"/>
  <c r="X143" i="39"/>
  <c r="Y143" i="39"/>
  <c r="Z143" i="39"/>
  <c r="Z317" i="39" s="1"/>
  <c r="AA143" i="39"/>
  <c r="AB143" i="39"/>
  <c r="AC143" i="39"/>
  <c r="AD143" i="39"/>
  <c r="AD317" i="39" s="1"/>
  <c r="AE143" i="39"/>
  <c r="Q144" i="39"/>
  <c r="R144" i="39"/>
  <c r="S144" i="39"/>
  <c r="S318" i="39" s="1"/>
  <c r="T144" i="39"/>
  <c r="U144" i="39"/>
  <c r="V144" i="39"/>
  <c r="W144" i="39"/>
  <c r="W318" i="39" s="1"/>
  <c r="X144" i="39"/>
  <c r="Y144" i="39"/>
  <c r="Z144" i="39"/>
  <c r="AA144" i="39"/>
  <c r="AA318" i="39" s="1"/>
  <c r="AB144" i="39"/>
  <c r="AC144" i="39"/>
  <c r="AD144" i="39"/>
  <c r="AE144" i="39"/>
  <c r="AE318" i="39" s="1"/>
  <c r="Q145" i="39"/>
  <c r="R145" i="39"/>
  <c r="S145" i="39"/>
  <c r="T145" i="39"/>
  <c r="T319" i="39" s="1"/>
  <c r="U145" i="39"/>
  <c r="V145" i="39"/>
  <c r="W145" i="39"/>
  <c r="X145" i="39"/>
  <c r="X319" i="39" s="1"/>
  <c r="Y145" i="39"/>
  <c r="Z145" i="39"/>
  <c r="AA145" i="39"/>
  <c r="AB145" i="39"/>
  <c r="AB319" i="39" s="1"/>
  <c r="AC145" i="39"/>
  <c r="AD145" i="39"/>
  <c r="AE145" i="39"/>
  <c r="Q146" i="39"/>
  <c r="R146" i="39"/>
  <c r="S146" i="39"/>
  <c r="T146" i="39"/>
  <c r="U146" i="39"/>
  <c r="V146" i="39"/>
  <c r="W146" i="39"/>
  <c r="X146" i="39"/>
  <c r="Y146" i="39"/>
  <c r="Z146" i="39"/>
  <c r="AA146" i="39"/>
  <c r="AB146" i="39"/>
  <c r="AC146" i="39"/>
  <c r="AD146" i="39"/>
  <c r="AE146" i="39"/>
  <c r="AD319" i="39" l="1"/>
  <c r="Z319" i="39"/>
  <c r="V319" i="39"/>
  <c r="R319" i="39"/>
  <c r="AC318" i="39"/>
  <c r="Y318" i="39"/>
  <c r="U318" i="39"/>
  <c r="Q318" i="39"/>
  <c r="AB317" i="39"/>
  <c r="X317" i="39"/>
  <c r="T317" i="39"/>
  <c r="AE316" i="39"/>
  <c r="AA316" i="39"/>
  <c r="W316" i="39"/>
  <c r="S316" i="39"/>
  <c r="AD315" i="39"/>
  <c r="Z315" i="39"/>
  <c r="V315" i="39"/>
  <c r="R315" i="39"/>
  <c r="AC314" i="39"/>
  <c r="Y314" i="39"/>
  <c r="U314" i="39"/>
  <c r="Q314" i="39"/>
  <c r="AE319" i="39"/>
  <c r="AA319" i="39"/>
  <c r="W319" i="39"/>
  <c r="S319" i="39"/>
  <c r="AD318" i="39"/>
  <c r="Z318" i="39"/>
  <c r="V318" i="39"/>
  <c r="R318" i="39"/>
  <c r="AC317" i="39"/>
  <c r="Y317" i="39"/>
  <c r="U317" i="39"/>
  <c r="Q317" i="39"/>
  <c r="AB316" i="39"/>
  <c r="X316" i="39"/>
  <c r="T316" i="39"/>
  <c r="AE315" i="39"/>
  <c r="AA315" i="39"/>
  <c r="W315" i="39"/>
  <c r="S315" i="39"/>
  <c r="AD314" i="39"/>
  <c r="Z314" i="39"/>
  <c r="V314" i="39"/>
  <c r="R314" i="39"/>
  <c r="AC319" i="39"/>
  <c r="Y319" i="39"/>
  <c r="U319" i="39"/>
  <c r="Q319" i="39"/>
  <c r="AB318" i="39"/>
  <c r="X318" i="39"/>
  <c r="T318" i="39"/>
  <c r="AE317" i="39"/>
  <c r="AA317" i="39"/>
  <c r="W317" i="39"/>
  <c r="S317" i="39"/>
  <c r="AD316" i="39"/>
  <c r="Z316" i="39"/>
  <c r="V316" i="39"/>
  <c r="R316" i="39"/>
  <c r="AC315" i="39"/>
  <c r="Y315" i="39"/>
  <c r="U315" i="39"/>
  <c r="Q315" i="39"/>
  <c r="AB314" i="39"/>
  <c r="X314" i="39"/>
  <c r="T314" i="39"/>
  <c r="Y159" i="80"/>
  <c r="Q159" i="80"/>
  <c r="X159" i="80"/>
  <c r="AE159" i="80"/>
  <c r="W159" i="80"/>
  <c r="AC159" i="80"/>
  <c r="AB159" i="80"/>
  <c r="T159" i="80"/>
  <c r="V159" i="80"/>
  <c r="AA159" i="80"/>
  <c r="S159" i="80"/>
  <c r="AD159" i="80"/>
  <c r="U159" i="80"/>
  <c r="Z159" i="80"/>
  <c r="R159" i="80"/>
  <c r="AB376" i="39"/>
  <c r="AB175" i="80"/>
  <c r="T376" i="39"/>
  <c r="T175" i="80"/>
  <c r="AA162" i="80"/>
  <c r="S162" i="80"/>
  <c r="Z161" i="80"/>
  <c r="R161" i="80"/>
  <c r="Z162" i="80"/>
  <c r="R162" i="80"/>
  <c r="Y161" i="80"/>
  <c r="Q161" i="80"/>
  <c r="Y162" i="80"/>
  <c r="Q162" i="80"/>
  <c r="X161" i="80"/>
  <c r="X162" i="80"/>
  <c r="AE161" i="80"/>
  <c r="W161" i="80"/>
  <c r="AE162" i="80"/>
  <c r="AD161" i="80"/>
  <c r="AC161" i="80"/>
  <c r="AC162" i="80"/>
  <c r="U162" i="80"/>
  <c r="AB161" i="80"/>
  <c r="T161" i="80"/>
  <c r="W162" i="80"/>
  <c r="V161" i="80"/>
  <c r="AD162" i="80"/>
  <c r="V162" i="80"/>
  <c r="U161" i="80"/>
  <c r="AB162" i="80"/>
  <c r="T162" i="80"/>
  <c r="AA161" i="80"/>
  <c r="S161" i="80"/>
  <c r="AD376" i="39"/>
  <c r="AC376" i="39"/>
  <c r="X108" i="39"/>
  <c r="S376" i="39"/>
  <c r="R118" i="39"/>
  <c r="Z376" i="39"/>
  <c r="V376" i="39"/>
  <c r="AE376" i="39"/>
  <c r="R108" i="39"/>
  <c r="AB108" i="39"/>
  <c r="T108" i="39"/>
  <c r="R376" i="39"/>
  <c r="S108" i="39"/>
  <c r="AA376" i="39"/>
  <c r="S118" i="39"/>
  <c r="Y376" i="39"/>
  <c r="Q376" i="39"/>
  <c r="X376" i="39"/>
  <c r="U376" i="39"/>
  <c r="W376" i="39"/>
  <c r="T118" i="39"/>
  <c r="AA118" i="39"/>
  <c r="Z118" i="39"/>
  <c r="AB118" i="39"/>
  <c r="AA108" i="39"/>
  <c r="X118" i="39"/>
  <c r="Z108" i="39"/>
  <c r="Y118" i="39"/>
  <c r="Q118" i="39"/>
  <c r="Y108" i="39"/>
  <c r="Q108" i="39"/>
  <c r="AE118" i="39"/>
  <c r="W118" i="39"/>
  <c r="AD118" i="39"/>
  <c r="V118" i="39"/>
  <c r="AC118" i="39"/>
  <c r="U118" i="39"/>
  <c r="AE108" i="39"/>
  <c r="W108" i="39"/>
  <c r="AD108" i="39"/>
  <c r="V108" i="39"/>
  <c r="AC108" i="39"/>
  <c r="U108" i="39"/>
  <c r="O103" i="80"/>
  <c r="P103" i="80"/>
  <c r="Q103" i="80"/>
  <c r="R103" i="80"/>
  <c r="S103" i="80"/>
  <c r="T103" i="80"/>
  <c r="U103" i="80"/>
  <c r="V103" i="80"/>
  <c r="W103" i="80"/>
  <c r="X103" i="80"/>
  <c r="Y103" i="80"/>
  <c r="Z103" i="80"/>
  <c r="AA103" i="80"/>
  <c r="AB103" i="80"/>
  <c r="AC103" i="80"/>
  <c r="AD103" i="80"/>
  <c r="AE103" i="80"/>
  <c r="O10" i="39"/>
  <c r="O391" i="39" s="1"/>
  <c r="P10" i="39"/>
  <c r="O159" i="80"/>
  <c r="P159" i="80"/>
  <c r="O15" i="39"/>
  <c r="P15" i="39"/>
  <c r="O16" i="39"/>
  <c r="P16" i="39"/>
  <c r="O21" i="39"/>
  <c r="O174" i="80" s="1"/>
  <c r="P21" i="39"/>
  <c r="P174" i="80" s="1"/>
  <c r="O22" i="39"/>
  <c r="O175" i="80" s="1"/>
  <c r="P22" i="39"/>
  <c r="P175" i="80" s="1"/>
  <c r="O101" i="39"/>
  <c r="P101" i="39"/>
  <c r="O102" i="39"/>
  <c r="P102" i="39"/>
  <c r="O103" i="39"/>
  <c r="P103" i="39"/>
  <c r="O104" i="39"/>
  <c r="P104" i="39"/>
  <c r="O105" i="39"/>
  <c r="P105" i="39"/>
  <c r="O106" i="39"/>
  <c r="P106" i="39"/>
  <c r="O107" i="39"/>
  <c r="P107" i="39"/>
  <c r="O111" i="39"/>
  <c r="P111" i="39"/>
  <c r="O112" i="39"/>
  <c r="P112" i="39"/>
  <c r="O113" i="39"/>
  <c r="P113" i="39"/>
  <c r="O114" i="39"/>
  <c r="P114" i="39"/>
  <c r="O115" i="39"/>
  <c r="P115" i="39"/>
  <c r="O116" i="39"/>
  <c r="P116" i="39"/>
  <c r="O117" i="39"/>
  <c r="P117" i="39"/>
  <c r="O131" i="39"/>
  <c r="P131" i="39"/>
  <c r="O132" i="39"/>
  <c r="P132" i="39"/>
  <c r="O133" i="39"/>
  <c r="P133" i="39"/>
  <c r="O134" i="39"/>
  <c r="P134" i="39"/>
  <c r="O135" i="39"/>
  <c r="P135" i="39"/>
  <c r="O136" i="39"/>
  <c r="P136" i="39"/>
  <c r="O140" i="39"/>
  <c r="P140" i="39"/>
  <c r="O141" i="39"/>
  <c r="P141" i="39"/>
  <c r="O142" i="39"/>
  <c r="P142" i="39"/>
  <c r="O143" i="39"/>
  <c r="P143" i="39"/>
  <c r="O144" i="39"/>
  <c r="P144" i="39"/>
  <c r="O145" i="39"/>
  <c r="P145" i="39"/>
  <c r="O146" i="39"/>
  <c r="P146" i="39"/>
  <c r="O316" i="39" l="1"/>
  <c r="P318" i="39"/>
  <c r="P316" i="39"/>
  <c r="P314" i="39"/>
  <c r="O319" i="39"/>
  <c r="O317" i="39"/>
  <c r="P319" i="39"/>
  <c r="P317" i="39"/>
  <c r="P315" i="39"/>
  <c r="O315" i="39"/>
  <c r="O318" i="39"/>
  <c r="O314" i="39"/>
  <c r="P161" i="80"/>
  <c r="O161" i="80"/>
  <c r="O162" i="80"/>
  <c r="P162" i="80"/>
  <c r="P376" i="39"/>
  <c r="O376" i="39"/>
  <c r="P118" i="39"/>
  <c r="P108" i="39"/>
  <c r="O108" i="39"/>
  <c r="O118" i="39"/>
  <c r="C167" i="39" l="1"/>
  <c r="D167" i="39"/>
  <c r="C168" i="39"/>
  <c r="D168" i="39"/>
  <c r="C169" i="39"/>
  <c r="D169" i="39"/>
  <c r="C170" i="39"/>
  <c r="D170" i="39"/>
  <c r="C171" i="39"/>
  <c r="D171" i="39"/>
  <c r="C172" i="39"/>
  <c r="D172" i="39"/>
  <c r="C173" i="39"/>
  <c r="D173" i="39"/>
  <c r="B173" i="39"/>
  <c r="B172" i="39"/>
  <c r="B171" i="39"/>
  <c r="B170" i="39"/>
  <c r="B169" i="39"/>
  <c r="B168" i="39"/>
  <c r="B167" i="39"/>
  <c r="D111" i="39"/>
  <c r="D112" i="39"/>
  <c r="D113" i="39"/>
  <c r="D114" i="39"/>
  <c r="D115" i="39"/>
  <c r="D116" i="39"/>
  <c r="D117" i="39"/>
  <c r="B111" i="39"/>
  <c r="B112" i="39"/>
  <c r="B113" i="39"/>
  <c r="B114" i="39"/>
  <c r="B115" i="39"/>
  <c r="B116" i="39"/>
  <c r="B117" i="39"/>
  <c r="C117" i="39"/>
  <c r="C116" i="39"/>
  <c r="C115" i="39"/>
  <c r="C114" i="39"/>
  <c r="C113" i="39"/>
  <c r="C112" i="39"/>
  <c r="C111" i="39"/>
  <c r="K331" i="39" l="1"/>
  <c r="F331" i="39"/>
  <c r="G331" i="39"/>
  <c r="H331" i="39"/>
  <c r="I331" i="39"/>
  <c r="J331" i="39"/>
  <c r="E21" i="76" l="1"/>
  <c r="J18" i="39" l="1"/>
  <c r="I18" i="39"/>
  <c r="H18" i="39"/>
  <c r="G18" i="39"/>
  <c r="F18" i="39"/>
  <c r="B6" i="95" l="1"/>
  <c r="W6" i="95" l="1"/>
  <c r="V6" i="95"/>
  <c r="X6" i="95"/>
  <c r="X18" i="39" s="1"/>
  <c r="U6" i="95"/>
  <c r="T6" i="95"/>
  <c r="T18" i="39" s="1"/>
  <c r="AE6" i="95"/>
  <c r="AE18" i="39" s="1"/>
  <c r="S6" i="95"/>
  <c r="S18" i="39" s="1"/>
  <c r="AD6" i="95"/>
  <c r="AD18" i="39" s="1"/>
  <c r="R6" i="95"/>
  <c r="R18" i="39" s="1"/>
  <c r="AC6" i="95"/>
  <c r="AC18" i="39" s="1"/>
  <c r="Y6" i="95"/>
  <c r="Y18" i="39" s="1"/>
  <c r="AB6" i="95"/>
  <c r="AB18" i="39" s="1"/>
  <c r="AA6" i="95"/>
  <c r="AA18" i="39" s="1"/>
  <c r="Z6" i="95"/>
  <c r="Z18" i="39" s="1"/>
  <c r="K18" i="39"/>
  <c r="P18" i="39"/>
  <c r="O18" i="39"/>
  <c r="V18" i="39"/>
  <c r="Q18" i="39"/>
  <c r="U18" i="39"/>
  <c r="M18" i="39"/>
  <c r="L18" i="39"/>
  <c r="W18" i="39"/>
  <c r="N18" i="39"/>
  <c r="E6" i="95"/>
  <c r="B18" i="39"/>
  <c r="D6" i="95"/>
  <c r="C6" i="95"/>
  <c r="D18" i="39" l="1"/>
  <c r="C18" i="39"/>
  <c r="F21" i="74"/>
  <c r="E144" i="116" s="1"/>
  <c r="F21" i="75"/>
  <c r="E10" i="51" l="1"/>
  <c r="F9" i="51" s="1"/>
  <c r="I254" i="39" l="1"/>
  <c r="E27" i="76" l="1"/>
  <c r="F112" i="39" l="1"/>
  <c r="G112" i="39"/>
  <c r="H112" i="39"/>
  <c r="I112" i="39"/>
  <c r="J112" i="39"/>
  <c r="K112" i="39"/>
  <c r="L112" i="39"/>
  <c r="F113" i="39"/>
  <c r="G113" i="39"/>
  <c r="H113" i="39"/>
  <c r="I113" i="39"/>
  <c r="J113" i="39"/>
  <c r="K113" i="39"/>
  <c r="L113" i="39"/>
  <c r="F114" i="39"/>
  <c r="G114" i="39"/>
  <c r="H114" i="39"/>
  <c r="I114" i="39"/>
  <c r="J114" i="39"/>
  <c r="K114" i="39"/>
  <c r="L114" i="39"/>
  <c r="F115" i="39"/>
  <c r="G115" i="39"/>
  <c r="H115" i="39"/>
  <c r="I115" i="39"/>
  <c r="J115" i="39"/>
  <c r="K115" i="39"/>
  <c r="L115" i="39"/>
  <c r="F116" i="39"/>
  <c r="G116" i="39"/>
  <c r="H116" i="39"/>
  <c r="I116" i="39"/>
  <c r="J116" i="39"/>
  <c r="K116" i="39"/>
  <c r="L116" i="39"/>
  <c r="F117" i="39"/>
  <c r="G117" i="39"/>
  <c r="H117" i="39"/>
  <c r="I117" i="39"/>
  <c r="J117" i="39"/>
  <c r="K117" i="39"/>
  <c r="L117" i="39"/>
  <c r="F111" i="39"/>
  <c r="G111" i="39"/>
  <c r="H111" i="39"/>
  <c r="I111" i="39"/>
  <c r="J111" i="39"/>
  <c r="K111" i="39"/>
  <c r="L111" i="39"/>
  <c r="F254" i="39" l="1"/>
  <c r="G254" i="39"/>
  <c r="H254" i="39"/>
  <c r="J254" i="39"/>
  <c r="C21" i="39" l="1"/>
  <c r="D21" i="39"/>
  <c r="N21" i="39"/>
  <c r="N174" i="80" s="1"/>
  <c r="M21" i="39"/>
  <c r="M174" i="80" s="1"/>
  <c r="L21" i="39"/>
  <c r="L174" i="80" s="1"/>
  <c r="K21" i="39"/>
  <c r="K174" i="80" s="1"/>
  <c r="J21" i="39"/>
  <c r="J174" i="80" s="1"/>
  <c r="I21" i="39"/>
  <c r="I174" i="80" s="1"/>
  <c r="H21" i="39"/>
  <c r="H174" i="80" s="1"/>
  <c r="G21" i="39"/>
  <c r="G174" i="80" s="1"/>
  <c r="F21" i="39"/>
  <c r="F174" i="80" s="1"/>
  <c r="B15" i="39"/>
  <c r="C15" i="39"/>
  <c r="D15" i="39"/>
  <c r="L15" i="39"/>
  <c r="K15" i="39"/>
  <c r="J15" i="39"/>
  <c r="I15" i="39"/>
  <c r="H15" i="39"/>
  <c r="G15" i="39"/>
  <c r="F15" i="39"/>
  <c r="L161" i="80" l="1"/>
  <c r="F161" i="80"/>
  <c r="G161" i="80"/>
  <c r="H161" i="80"/>
  <c r="I161" i="80"/>
  <c r="J161" i="80"/>
  <c r="K161" i="80"/>
  <c r="J20" i="39"/>
  <c r="I20" i="39"/>
  <c r="H20" i="39"/>
  <c r="G20" i="39"/>
  <c r="F20" i="39"/>
  <c r="H173" i="80" l="1"/>
  <c r="F173" i="80"/>
  <c r="G173" i="80"/>
  <c r="I173" i="80"/>
  <c r="J173" i="80"/>
  <c r="J14" i="39"/>
  <c r="I14" i="39"/>
  <c r="H14" i="39"/>
  <c r="G14" i="39"/>
  <c r="F14" i="39"/>
  <c r="I144" i="116" l="1"/>
  <c r="L22" i="76"/>
  <c r="L22" i="19" l="1"/>
  <c r="B6" i="85" s="1"/>
  <c r="B6" i="84"/>
  <c r="E6" i="85" l="1"/>
  <c r="C6" i="85"/>
  <c r="D6" i="85"/>
  <c r="M22" i="19" s="1"/>
  <c r="F6" i="85"/>
  <c r="E6" i="84"/>
  <c r="F6" i="84"/>
  <c r="C6" i="84"/>
  <c r="D6" i="84"/>
  <c r="M21" i="19" s="1"/>
  <c r="M22" i="74" l="1"/>
  <c r="M145" i="116" s="1"/>
  <c r="M20" i="75"/>
  <c r="M21" i="74"/>
  <c r="M144" i="116" s="1"/>
  <c r="D96" i="51" l="1"/>
  <c r="C96" i="51"/>
  <c r="D100" i="51"/>
  <c r="C100" i="51"/>
  <c r="D87" i="51"/>
  <c r="C87" i="51"/>
  <c r="D59" i="51"/>
  <c r="D49" i="51"/>
  <c r="C49" i="51"/>
  <c r="D40" i="51"/>
  <c r="C40" i="51"/>
  <c r="D35" i="51"/>
  <c r="K5" i="51"/>
  <c r="J5" i="51"/>
  <c r="P5" i="51"/>
  <c r="O5" i="51" l="1"/>
  <c r="G5" i="51"/>
  <c r="H5" i="51"/>
  <c r="I5" i="51"/>
  <c r="L5" i="51"/>
  <c r="M5" i="51"/>
  <c r="F5" i="51"/>
  <c r="N5" i="51"/>
  <c r="Q5" i="51"/>
  <c r="I7" i="28" l="1"/>
  <c r="B29" i="39" l="1"/>
  <c r="O25" i="39" l="1"/>
  <c r="K25" i="39"/>
  <c r="D6" i="108"/>
  <c r="E6" i="108"/>
  <c r="C6" i="108"/>
  <c r="E28" i="76"/>
  <c r="E29" i="76"/>
  <c r="B6" i="98" s="1"/>
  <c r="E20" i="76"/>
  <c r="E26" i="76"/>
  <c r="B6" i="87" s="1"/>
  <c r="E19" i="76"/>
  <c r="E19" i="19" s="1"/>
  <c r="L19" i="76"/>
  <c r="L19" i="19" s="1"/>
  <c r="L10" i="76"/>
  <c r="C12" i="58" s="1"/>
  <c r="L9" i="76"/>
  <c r="L9" i="19" s="1"/>
  <c r="L8" i="76"/>
  <c r="L11" i="76"/>
  <c r="C8" i="58" s="1"/>
  <c r="E11" i="76"/>
  <c r="E11" i="19" s="1"/>
  <c r="E8" i="76"/>
  <c r="E8" i="19" s="1"/>
  <c r="E9" i="76"/>
  <c r="E9" i="19" s="1"/>
  <c r="E10" i="76"/>
  <c r="E10" i="19" s="1"/>
  <c r="U6" i="87" l="1"/>
  <c r="AE6" i="87"/>
  <c r="S6" i="87"/>
  <c r="AD6" i="87"/>
  <c r="R6" i="87"/>
  <c r="AC6" i="87"/>
  <c r="AB6" i="87"/>
  <c r="AA6" i="87"/>
  <c r="Z6" i="87"/>
  <c r="X6" i="87"/>
  <c r="T6" i="87"/>
  <c r="T14" i="39" s="1"/>
  <c r="Y6" i="87"/>
  <c r="Y14" i="39" s="1"/>
  <c r="W6" i="87"/>
  <c r="V6" i="87"/>
  <c r="AE6" i="98"/>
  <c r="S6" i="98"/>
  <c r="AC6" i="98"/>
  <c r="AB6" i="98"/>
  <c r="AA6" i="98"/>
  <c r="Z6" i="98"/>
  <c r="Y6" i="98"/>
  <c r="V6" i="98"/>
  <c r="V19" i="39" s="1"/>
  <c r="X6" i="98"/>
  <c r="X19" i="39" s="1"/>
  <c r="AD6" i="98"/>
  <c r="AD19" i="39" s="1"/>
  <c r="W6" i="98"/>
  <c r="U6" i="98"/>
  <c r="T6" i="98"/>
  <c r="R6" i="98"/>
  <c r="V12" i="58"/>
  <c r="AF12" i="58"/>
  <c r="T12" i="58"/>
  <c r="AE12" i="58"/>
  <c r="S12" i="58"/>
  <c r="AD12" i="58"/>
  <c r="AC12" i="58"/>
  <c r="AB12" i="58"/>
  <c r="AA12" i="58"/>
  <c r="Y12" i="58"/>
  <c r="Z12" i="58"/>
  <c r="X12" i="58"/>
  <c r="W12" i="58"/>
  <c r="U12" i="58"/>
  <c r="AD8" i="58"/>
  <c r="AB8" i="58"/>
  <c r="AA8" i="58"/>
  <c r="Z8" i="58"/>
  <c r="Y8" i="58"/>
  <c r="X8" i="58"/>
  <c r="W8" i="58"/>
  <c r="U8" i="58"/>
  <c r="V8" i="58"/>
  <c r="AF8" i="58"/>
  <c r="T8" i="58"/>
  <c r="AE8" i="58"/>
  <c r="S8" i="58"/>
  <c r="AC8" i="58"/>
  <c r="L8" i="19"/>
  <c r="C10" i="58" s="1"/>
  <c r="V25" i="39"/>
  <c r="V13" i="97"/>
  <c r="AA25" i="39"/>
  <c r="AA13" i="97"/>
  <c r="P25" i="39"/>
  <c r="P13" i="97"/>
  <c r="AD25" i="39"/>
  <c r="AD13" i="97"/>
  <c r="N25" i="39"/>
  <c r="N13" i="97"/>
  <c r="AE25" i="39"/>
  <c r="AE13" i="97"/>
  <c r="L25" i="39"/>
  <c r="L13" i="97"/>
  <c r="X25" i="39"/>
  <c r="X13" i="97"/>
  <c r="Q25" i="39"/>
  <c r="Q13" i="97"/>
  <c r="U25" i="39"/>
  <c r="U13" i="97"/>
  <c r="AB25" i="39"/>
  <c r="AB13" i="97"/>
  <c r="Y25" i="39"/>
  <c r="Y13" i="97"/>
  <c r="R25" i="39"/>
  <c r="R13" i="97"/>
  <c r="AC25" i="39"/>
  <c r="AC13" i="97"/>
  <c r="S25" i="39"/>
  <c r="S13" i="97"/>
  <c r="W25" i="39"/>
  <c r="W13" i="97"/>
  <c r="M25" i="39"/>
  <c r="M13" i="97"/>
  <c r="T25" i="39"/>
  <c r="T13" i="97"/>
  <c r="Z25" i="39"/>
  <c r="Z13" i="97"/>
  <c r="M30" i="19"/>
  <c r="M30" i="74"/>
  <c r="M163" i="116" s="1"/>
  <c r="K123" i="103"/>
  <c r="K122" i="103"/>
  <c r="K125" i="103"/>
  <c r="K124" i="103"/>
  <c r="Z19" i="39"/>
  <c r="R19" i="39"/>
  <c r="O19" i="39"/>
  <c r="N19" i="39"/>
  <c r="Y19" i="39"/>
  <c r="Q19" i="39"/>
  <c r="W19" i="39"/>
  <c r="P19" i="39"/>
  <c r="AE19" i="39"/>
  <c r="AC19" i="39"/>
  <c r="U19" i="39"/>
  <c r="M19" i="39"/>
  <c r="AB19" i="39"/>
  <c r="T19" i="39"/>
  <c r="L19" i="39"/>
  <c r="AA19" i="39"/>
  <c r="S19" i="39"/>
  <c r="K19" i="39"/>
  <c r="AE14" i="39"/>
  <c r="W14" i="39"/>
  <c r="O14" i="39"/>
  <c r="L14" i="39"/>
  <c r="K14" i="39"/>
  <c r="AD14" i="39"/>
  <c r="V14" i="39"/>
  <c r="N14" i="39"/>
  <c r="R14" i="39"/>
  <c r="AC14" i="39"/>
  <c r="U14" i="39"/>
  <c r="M14" i="39"/>
  <c r="AB14" i="39"/>
  <c r="AA14" i="39"/>
  <c r="Z14" i="39"/>
  <c r="Q14" i="39"/>
  <c r="X14" i="39"/>
  <c r="P14" i="39"/>
  <c r="S14" i="39"/>
  <c r="E6" i="87"/>
  <c r="D6" i="98"/>
  <c r="C6" i="98"/>
  <c r="E6" i="98"/>
  <c r="B6" i="91"/>
  <c r="B14" i="39"/>
  <c r="C6" i="87"/>
  <c r="D6" i="87"/>
  <c r="B21" i="39"/>
  <c r="C12" i="41"/>
  <c r="G149" i="39"/>
  <c r="Z10" i="58" l="1"/>
  <c r="X10" i="58"/>
  <c r="W10" i="58"/>
  <c r="V10" i="58"/>
  <c r="U10" i="58"/>
  <c r="AF10" i="58"/>
  <c r="T10" i="58"/>
  <c r="AE10" i="58"/>
  <c r="S10" i="58"/>
  <c r="R153" i="39" s="1"/>
  <c r="AD10" i="58"/>
  <c r="AC10" i="58"/>
  <c r="AB153" i="39" s="1"/>
  <c r="AB10" i="58"/>
  <c r="AA153" i="39" s="1"/>
  <c r="Y10" i="58"/>
  <c r="AA10" i="58"/>
  <c r="W6" i="91"/>
  <c r="U6" i="91"/>
  <c r="T6" i="91"/>
  <c r="AE6" i="91"/>
  <c r="AE20" i="39" s="1"/>
  <c r="S6" i="91"/>
  <c r="AD6" i="91"/>
  <c r="R6" i="91"/>
  <c r="R20" i="39" s="1"/>
  <c r="V6" i="91"/>
  <c r="AC6" i="91"/>
  <c r="AC20" i="39" s="1"/>
  <c r="Z6" i="91"/>
  <c r="Z20" i="39" s="1"/>
  <c r="AB6" i="91"/>
  <c r="AA6" i="91"/>
  <c r="Y6" i="91"/>
  <c r="X6" i="91"/>
  <c r="X20" i="39" s="1"/>
  <c r="AA12" i="41"/>
  <c r="AB12" i="41"/>
  <c r="AC12" i="41"/>
  <c r="R12" i="41"/>
  <c r="AD12" i="41"/>
  <c r="S12" i="41"/>
  <c r="AE12" i="41"/>
  <c r="T12" i="41"/>
  <c r="AF12" i="41"/>
  <c r="U12" i="41"/>
  <c r="V12" i="41"/>
  <c r="W12" i="41"/>
  <c r="Y12" i="41"/>
  <c r="X12" i="41"/>
  <c r="Z12" i="41"/>
  <c r="P20" i="39"/>
  <c r="E6" i="91"/>
  <c r="K172" i="80"/>
  <c r="AC172" i="80"/>
  <c r="Y172" i="80"/>
  <c r="S172" i="80"/>
  <c r="AD172" i="80"/>
  <c r="N172" i="80"/>
  <c r="AA172" i="80"/>
  <c r="O172" i="80"/>
  <c r="P172" i="80"/>
  <c r="T172" i="80"/>
  <c r="X172" i="80"/>
  <c r="Z172" i="80"/>
  <c r="U172" i="80"/>
  <c r="AE172" i="80"/>
  <c r="R172" i="80"/>
  <c r="C14" i="39"/>
  <c r="AB172" i="80"/>
  <c r="V172" i="80"/>
  <c r="Q172" i="80"/>
  <c r="L172" i="80"/>
  <c r="M172" i="80"/>
  <c r="W172" i="80"/>
  <c r="K121" i="103"/>
  <c r="J124" i="103"/>
  <c r="J122" i="103"/>
  <c r="J125" i="103"/>
  <c r="J123" i="103"/>
  <c r="AB20" i="39"/>
  <c r="W20" i="39"/>
  <c r="O20" i="39"/>
  <c r="U20" i="39"/>
  <c r="K20" i="39"/>
  <c r="AD20" i="39"/>
  <c r="V20" i="39"/>
  <c r="N20" i="39"/>
  <c r="M20" i="39"/>
  <c r="T20" i="39"/>
  <c r="AA20" i="39"/>
  <c r="Y20" i="39"/>
  <c r="Q20" i="39"/>
  <c r="L20" i="39"/>
  <c r="S20" i="39"/>
  <c r="AB151" i="39"/>
  <c r="T151" i="39"/>
  <c r="L151" i="39"/>
  <c r="AA151" i="39"/>
  <c r="S151" i="39"/>
  <c r="K151" i="39"/>
  <c r="Y151" i="39"/>
  <c r="X151" i="39"/>
  <c r="W151" i="39"/>
  <c r="Z151" i="39"/>
  <c r="R151" i="39"/>
  <c r="Q151" i="39"/>
  <c r="P151" i="39"/>
  <c r="AE151" i="39"/>
  <c r="AD151" i="39"/>
  <c r="V151" i="39"/>
  <c r="N151" i="39"/>
  <c r="AC151" i="39"/>
  <c r="U151" i="39"/>
  <c r="M151" i="39"/>
  <c r="O151" i="39"/>
  <c r="AE155" i="39"/>
  <c r="W155" i="39"/>
  <c r="O155" i="39"/>
  <c r="T155" i="39"/>
  <c r="S155" i="39"/>
  <c r="AD155" i="39"/>
  <c r="V155" i="39"/>
  <c r="N155" i="39"/>
  <c r="AB155" i="39"/>
  <c r="L155" i="39"/>
  <c r="AA155" i="39"/>
  <c r="R155" i="39"/>
  <c r="AC155" i="39"/>
  <c r="U155" i="39"/>
  <c r="M155" i="39"/>
  <c r="Z155" i="39"/>
  <c r="Y155" i="39"/>
  <c r="Q155" i="39"/>
  <c r="X155" i="39"/>
  <c r="P155" i="39"/>
  <c r="AC153" i="39"/>
  <c r="U153" i="39"/>
  <c r="M153" i="39"/>
  <c r="S153" i="39"/>
  <c r="T153" i="39"/>
  <c r="L153" i="39"/>
  <c r="K153" i="39"/>
  <c r="Q153" i="39"/>
  <c r="X153" i="39"/>
  <c r="Z153" i="39"/>
  <c r="P153" i="39"/>
  <c r="AE153" i="39"/>
  <c r="W153" i="39"/>
  <c r="O153" i="39"/>
  <c r="AD153" i="39"/>
  <c r="V153" i="39"/>
  <c r="N153" i="39"/>
  <c r="Y153" i="39"/>
  <c r="F29" i="75"/>
  <c r="F29" i="74"/>
  <c r="E152" i="116" s="1"/>
  <c r="F10" i="58"/>
  <c r="F8" i="58"/>
  <c r="F12" i="58"/>
  <c r="F12" i="41"/>
  <c r="B151" i="39"/>
  <c r="B155" i="39"/>
  <c r="B153" i="39"/>
  <c r="F26" i="75"/>
  <c r="F26" i="74"/>
  <c r="E149" i="116" s="1"/>
  <c r="D14" i="39"/>
  <c r="B20" i="39"/>
  <c r="D6" i="91"/>
  <c r="C6" i="91"/>
  <c r="C12" i="68"/>
  <c r="C11" i="68"/>
  <c r="C10" i="68"/>
  <c r="C9" i="68"/>
  <c r="C8" i="68"/>
  <c r="C7" i="68"/>
  <c r="C6" i="68"/>
  <c r="Z9" i="68" l="1"/>
  <c r="AA9" i="68"/>
  <c r="AB9" i="68"/>
  <c r="AC9" i="68"/>
  <c r="AD9" i="68"/>
  <c r="S9" i="68"/>
  <c r="AE9" i="68"/>
  <c r="T9" i="68"/>
  <c r="AF9" i="68"/>
  <c r="U9" i="68"/>
  <c r="V9" i="68"/>
  <c r="W9" i="68"/>
  <c r="X9" i="68"/>
  <c r="Y9" i="68"/>
  <c r="Y10" i="68"/>
  <c r="Z10" i="68"/>
  <c r="AA10" i="68"/>
  <c r="AB10" i="68"/>
  <c r="AC10" i="68"/>
  <c r="AD10" i="68"/>
  <c r="S10" i="68"/>
  <c r="AE10" i="68"/>
  <c r="AD33" i="39" s="1"/>
  <c r="T10" i="68"/>
  <c r="AF10" i="68"/>
  <c r="U10" i="68"/>
  <c r="V10" i="68"/>
  <c r="W10" i="68"/>
  <c r="X10" i="68"/>
  <c r="W12" i="68"/>
  <c r="X12" i="68"/>
  <c r="Y12" i="68"/>
  <c r="Z12" i="68"/>
  <c r="Y35" i="39" s="1"/>
  <c r="AA12" i="68"/>
  <c r="AB12" i="68"/>
  <c r="AA35" i="39" s="1"/>
  <c r="AC12" i="68"/>
  <c r="AB35" i="39" s="1"/>
  <c r="AD12" i="68"/>
  <c r="S12" i="68"/>
  <c r="AE12" i="68"/>
  <c r="T12" i="68"/>
  <c r="AF12" i="68"/>
  <c r="U12" i="68"/>
  <c r="V12" i="68"/>
  <c r="X11" i="68"/>
  <c r="Y11" i="68"/>
  <c r="Z11" i="68"/>
  <c r="AA11" i="68"/>
  <c r="AB11" i="68"/>
  <c r="AC11" i="68"/>
  <c r="AD11" i="68"/>
  <c r="S11" i="68"/>
  <c r="AE11" i="68"/>
  <c r="T11" i="68"/>
  <c r="AF11" i="68"/>
  <c r="U11" i="68"/>
  <c r="V11" i="68"/>
  <c r="W11" i="68"/>
  <c r="AA8" i="68"/>
  <c r="AB8" i="68"/>
  <c r="AC8" i="68"/>
  <c r="AB31" i="39" s="1"/>
  <c r="AD8" i="68"/>
  <c r="S8" i="68"/>
  <c r="AE8" i="68"/>
  <c r="T8" i="68"/>
  <c r="AF8" i="68"/>
  <c r="U8" i="68"/>
  <c r="V8" i="68"/>
  <c r="W8" i="68"/>
  <c r="X8" i="68"/>
  <c r="Y8" i="68"/>
  <c r="Z8" i="68"/>
  <c r="Y31" i="39" s="1"/>
  <c r="AB6" i="68"/>
  <c r="AA29" i="39" s="1"/>
  <c r="AC6" i="68"/>
  <c r="AB29" i="39" s="1"/>
  <c r="AD6" i="68"/>
  <c r="S6" i="68"/>
  <c r="AE6" i="68"/>
  <c r="T6" i="68"/>
  <c r="AF6" i="68"/>
  <c r="U6" i="68"/>
  <c r="V6" i="68"/>
  <c r="W6" i="68"/>
  <c r="V29" i="39" s="1"/>
  <c r="X6" i="68"/>
  <c r="W29" i="39" s="1"/>
  <c r="Y6" i="68"/>
  <c r="X29" i="39" s="1"/>
  <c r="Z6" i="68"/>
  <c r="Y29" i="39" s="1"/>
  <c r="AA6" i="68"/>
  <c r="Z29" i="39" s="1"/>
  <c r="AB7" i="68"/>
  <c r="AC7" i="68"/>
  <c r="AD7" i="68"/>
  <c r="S7" i="68"/>
  <c r="AE7" i="68"/>
  <c r="T7" i="68"/>
  <c r="S30" i="39" s="1"/>
  <c r="AF7" i="68"/>
  <c r="AE30" i="39" s="1"/>
  <c r="U7" i="68"/>
  <c r="T30" i="39" s="1"/>
  <c r="V7" i="68"/>
  <c r="W7" i="68"/>
  <c r="V30" i="39" s="1"/>
  <c r="X7" i="68"/>
  <c r="W30" i="39" s="1"/>
  <c r="Y7" i="68"/>
  <c r="X30" i="39" s="1"/>
  <c r="Z7" i="68"/>
  <c r="Y30" i="39" s="1"/>
  <c r="AA7" i="68"/>
  <c r="X173" i="80"/>
  <c r="Y173" i="80"/>
  <c r="K173" i="80"/>
  <c r="AA173" i="80"/>
  <c r="U173" i="80"/>
  <c r="R173" i="80"/>
  <c r="M173" i="80"/>
  <c r="S173" i="80"/>
  <c r="N173" i="80"/>
  <c r="AE173" i="80"/>
  <c r="C20" i="39"/>
  <c r="O173" i="80"/>
  <c r="Z173" i="80"/>
  <c r="L173" i="80"/>
  <c r="V173" i="80"/>
  <c r="AB173" i="80"/>
  <c r="Q173" i="80"/>
  <c r="T173" i="80"/>
  <c r="W173" i="80"/>
  <c r="AC173" i="80"/>
  <c r="AD173" i="80"/>
  <c r="P173" i="80"/>
  <c r="I123" i="103"/>
  <c r="I122" i="103"/>
  <c r="O30" i="39"/>
  <c r="AD30" i="39"/>
  <c r="AC30" i="39"/>
  <c r="U30" i="39"/>
  <c r="P30" i="39"/>
  <c r="AB30" i="39"/>
  <c r="AA30" i="39"/>
  <c r="Z30" i="39"/>
  <c r="R30" i="39"/>
  <c r="Q30" i="39"/>
  <c r="AE29" i="39"/>
  <c r="S29" i="39"/>
  <c r="O29" i="39"/>
  <c r="K29" i="39"/>
  <c r="R29" i="39"/>
  <c r="P29" i="39"/>
  <c r="AD29" i="39"/>
  <c r="AC29" i="39"/>
  <c r="U29" i="39"/>
  <c r="Q29" i="39"/>
  <c r="T29" i="39"/>
  <c r="AE32" i="39"/>
  <c r="W32" i="39"/>
  <c r="O32" i="39"/>
  <c r="V32" i="39"/>
  <c r="P32" i="39"/>
  <c r="AB32" i="39"/>
  <c r="T32" i="39"/>
  <c r="S32" i="39"/>
  <c r="X32" i="39"/>
  <c r="U32" i="39"/>
  <c r="R32" i="39"/>
  <c r="Y32" i="39"/>
  <c r="Q32" i="39"/>
  <c r="AD32" i="39"/>
  <c r="AA32" i="39"/>
  <c r="AC32" i="39"/>
  <c r="Z32" i="39"/>
  <c r="AC35" i="39"/>
  <c r="W35" i="39"/>
  <c r="S35" i="39"/>
  <c r="O35" i="39"/>
  <c r="K35" i="39"/>
  <c r="T35" i="39"/>
  <c r="P35" i="39"/>
  <c r="AD35" i="39"/>
  <c r="V35" i="39"/>
  <c r="AE35" i="39"/>
  <c r="U35" i="39"/>
  <c r="Q35" i="39"/>
  <c r="Z35" i="39"/>
  <c r="X35" i="39"/>
  <c r="R35" i="39"/>
  <c r="L35" i="39"/>
  <c r="AB34" i="39"/>
  <c r="T34" i="39"/>
  <c r="L34" i="39"/>
  <c r="AE34" i="39"/>
  <c r="W34" i="39"/>
  <c r="O34" i="39"/>
  <c r="AC34" i="39"/>
  <c r="P34" i="39"/>
  <c r="Z34" i="39"/>
  <c r="R34" i="39"/>
  <c r="U34" i="39"/>
  <c r="X34" i="39"/>
  <c r="AA34" i="39"/>
  <c r="S34" i="39"/>
  <c r="K34" i="39"/>
  <c r="AD34" i="39"/>
  <c r="V34" i="39"/>
  <c r="Y34" i="39"/>
  <c r="Q34" i="39"/>
  <c r="Z33" i="39"/>
  <c r="V33" i="39"/>
  <c r="R33" i="39"/>
  <c r="AA33" i="39"/>
  <c r="S33" i="39"/>
  <c r="AB33" i="39"/>
  <c r="T33" i="39"/>
  <c r="L33" i="39"/>
  <c r="Y33" i="39"/>
  <c r="Q33" i="39"/>
  <c r="AE33" i="39"/>
  <c r="W33" i="39"/>
  <c r="O33" i="39"/>
  <c r="K33" i="39"/>
  <c r="X33" i="39"/>
  <c r="P33" i="39"/>
  <c r="AC33" i="39"/>
  <c r="U33" i="39"/>
  <c r="AA31" i="39"/>
  <c r="S31" i="39"/>
  <c r="V31" i="39"/>
  <c r="T31" i="39"/>
  <c r="AD31" i="39"/>
  <c r="AE31" i="39"/>
  <c r="O31" i="39"/>
  <c r="X31" i="39"/>
  <c r="P31" i="39"/>
  <c r="Q31" i="39"/>
  <c r="AC31" i="39"/>
  <c r="U31" i="39"/>
  <c r="W31" i="39"/>
  <c r="Z31" i="39"/>
  <c r="R31" i="39"/>
  <c r="F8" i="68"/>
  <c r="I124" i="103"/>
  <c r="J121" i="103"/>
  <c r="J35" i="39"/>
  <c r="G35" i="39"/>
  <c r="I35" i="39"/>
  <c r="H35" i="39"/>
  <c r="F35" i="39"/>
  <c r="J34" i="39"/>
  <c r="I34" i="39"/>
  <c r="G34" i="39"/>
  <c r="F34" i="39"/>
  <c r="H34" i="39"/>
  <c r="F33" i="39"/>
  <c r="I33" i="39"/>
  <c r="H33" i="39"/>
  <c r="G33" i="39"/>
  <c r="J33" i="39"/>
  <c r="I125" i="103"/>
  <c r="F6" i="68"/>
  <c r="F9" i="68"/>
  <c r="F10" i="68"/>
  <c r="F11" i="68"/>
  <c r="F12" i="68"/>
  <c r="F7" i="68"/>
  <c r="F28" i="74"/>
  <c r="E151" i="116" s="1"/>
  <c r="F28" i="75"/>
  <c r="D20" i="39"/>
  <c r="H124" i="103" l="1"/>
  <c r="H122" i="103"/>
  <c r="H125" i="103"/>
  <c r="H123" i="103"/>
  <c r="I121" i="103"/>
  <c r="J31" i="39"/>
  <c r="L29" i="39"/>
  <c r="L327" i="39" s="1"/>
  <c r="I32" i="39"/>
  <c r="H32" i="39"/>
  <c r="G32" i="39"/>
  <c r="F32" i="39"/>
  <c r="I31" i="39"/>
  <c r="H31" i="39"/>
  <c r="G31" i="39"/>
  <c r="F31" i="39"/>
  <c r="E8" i="68"/>
  <c r="I30" i="39"/>
  <c r="H30" i="39"/>
  <c r="G30" i="39"/>
  <c r="F30" i="39"/>
  <c r="I29" i="39"/>
  <c r="H29" i="39"/>
  <c r="G29" i="39"/>
  <c r="F29" i="39"/>
  <c r="G124" i="103" l="1"/>
  <c r="H121" i="103"/>
  <c r="G125" i="103"/>
  <c r="G123" i="103"/>
  <c r="G122" i="103"/>
  <c r="M37" i="19"/>
  <c r="M37" i="74"/>
  <c r="L173" i="116" s="1"/>
  <c r="J29" i="39"/>
  <c r="K31" i="39"/>
  <c r="L31" i="39"/>
  <c r="L329" i="39" s="1"/>
  <c r="D9" i="68"/>
  <c r="D11" i="68"/>
  <c r="E7" i="68"/>
  <c r="E9" i="68"/>
  <c r="E11" i="68"/>
  <c r="J30" i="39"/>
  <c r="K30" i="39"/>
  <c r="K32" i="39"/>
  <c r="D7" i="68"/>
  <c r="J32" i="39"/>
  <c r="D6" i="68"/>
  <c r="L30" i="39"/>
  <c r="L328" i="39" s="1"/>
  <c r="D8" i="68"/>
  <c r="L32" i="39"/>
  <c r="L330" i="39" s="1"/>
  <c r="D10" i="68"/>
  <c r="D12" i="68"/>
  <c r="E6" i="68"/>
  <c r="E10" i="68"/>
  <c r="E12" i="68"/>
  <c r="G121" i="103" l="1"/>
  <c r="M39" i="19"/>
  <c r="M39" i="74"/>
  <c r="L175" i="116" s="1"/>
  <c r="M38" i="19"/>
  <c r="M38" i="74"/>
  <c r="L174" i="116" s="1"/>
  <c r="M34" i="19"/>
  <c r="M34" i="74"/>
  <c r="L170" i="116" s="1"/>
  <c r="M36" i="19"/>
  <c r="M36" i="74"/>
  <c r="L172" i="116" s="1"/>
  <c r="M35" i="19"/>
  <c r="M35" i="74"/>
  <c r="L171" i="116" s="1"/>
  <c r="M40" i="19"/>
  <c r="M40" i="74"/>
  <c r="L176" i="116" s="1"/>
  <c r="I24" i="39" l="1"/>
  <c r="H24" i="39"/>
  <c r="G24" i="39"/>
  <c r="F24" i="39"/>
  <c r="B6" i="52"/>
  <c r="I23" i="39"/>
  <c r="H23" i="39"/>
  <c r="G23" i="39"/>
  <c r="F23" i="39"/>
  <c r="B6" i="49"/>
  <c r="I22" i="39"/>
  <c r="I175" i="80" s="1"/>
  <c r="H22" i="39"/>
  <c r="H175" i="80" s="1"/>
  <c r="G22" i="39"/>
  <c r="G175" i="80" s="1"/>
  <c r="F22" i="39"/>
  <c r="F175" i="80" s="1"/>
  <c r="B6" i="36"/>
  <c r="I16" i="39"/>
  <c r="H16" i="39"/>
  <c r="G16" i="39"/>
  <c r="F16" i="39"/>
  <c r="I12" i="39"/>
  <c r="H12" i="39"/>
  <c r="G12" i="39"/>
  <c r="F12" i="39"/>
  <c r="B6" i="32"/>
  <c r="I11" i="39"/>
  <c r="H11" i="39"/>
  <c r="G11" i="39"/>
  <c r="F11" i="39"/>
  <c r="B6" i="31"/>
  <c r="I10" i="39"/>
  <c r="I391" i="39" s="1"/>
  <c r="H10" i="39"/>
  <c r="H391" i="39" s="1"/>
  <c r="G10" i="39"/>
  <c r="G391" i="39" s="1"/>
  <c r="F10" i="39"/>
  <c r="F391" i="39" s="1"/>
  <c r="I9" i="39"/>
  <c r="H9" i="39"/>
  <c r="G9" i="39"/>
  <c r="F9" i="39"/>
  <c r="B6" i="29"/>
  <c r="G8" i="39"/>
  <c r="F8" i="39"/>
  <c r="B6" i="28"/>
  <c r="I7" i="39"/>
  <c r="H7" i="39"/>
  <c r="G7" i="39"/>
  <c r="F7" i="39"/>
  <c r="B6" i="22"/>
  <c r="F152" i="39"/>
  <c r="H155" i="39"/>
  <c r="G155" i="39"/>
  <c r="F155" i="39"/>
  <c r="C11" i="58"/>
  <c r="C9" i="58"/>
  <c r="C7" i="58"/>
  <c r="C6" i="58"/>
  <c r="G146" i="39"/>
  <c r="H145" i="39"/>
  <c r="H319" i="39" s="1"/>
  <c r="I144" i="39"/>
  <c r="I318" i="39" s="1"/>
  <c r="F144" i="39"/>
  <c r="F318" i="39" s="1"/>
  <c r="I143" i="39"/>
  <c r="I317" i="39" s="1"/>
  <c r="G143" i="39"/>
  <c r="G317" i="39" s="1"/>
  <c r="F143" i="39"/>
  <c r="F317" i="39" s="1"/>
  <c r="H142" i="39"/>
  <c r="H316" i="39" s="1"/>
  <c r="G142" i="39"/>
  <c r="G316" i="39" s="1"/>
  <c r="F142" i="39"/>
  <c r="F316" i="39" s="1"/>
  <c r="I141" i="39"/>
  <c r="I315" i="39" s="1"/>
  <c r="H141" i="39"/>
  <c r="H315" i="39" s="1"/>
  <c r="G141" i="39"/>
  <c r="G315" i="39" s="1"/>
  <c r="I140" i="39"/>
  <c r="I314" i="39" s="1"/>
  <c r="H140" i="39"/>
  <c r="H314" i="39" s="1"/>
  <c r="I146" i="39"/>
  <c r="H146" i="39"/>
  <c r="F146" i="39"/>
  <c r="I145" i="39"/>
  <c r="I319" i="39" s="1"/>
  <c r="G145" i="39"/>
  <c r="G319" i="39" s="1"/>
  <c r="F145" i="39"/>
  <c r="F319" i="39" s="1"/>
  <c r="B145" i="39"/>
  <c r="H144" i="39"/>
  <c r="H318" i="39" s="1"/>
  <c r="G144" i="39"/>
  <c r="G318" i="39" s="1"/>
  <c r="H143" i="39"/>
  <c r="H317" i="39" s="1"/>
  <c r="I142" i="39"/>
  <c r="I316" i="39" s="1"/>
  <c r="D142" i="39"/>
  <c r="F141" i="39"/>
  <c r="F315" i="39" s="1"/>
  <c r="G140" i="39"/>
  <c r="G314" i="39" s="1"/>
  <c r="F140" i="39"/>
  <c r="F314" i="39" s="1"/>
  <c r="B140" i="39"/>
  <c r="I137" i="39"/>
  <c r="H137" i="39"/>
  <c r="G137" i="39"/>
  <c r="I136" i="39"/>
  <c r="H136" i="39"/>
  <c r="I135" i="39"/>
  <c r="F135" i="39"/>
  <c r="G134" i="39"/>
  <c r="F134" i="39"/>
  <c r="I133" i="39"/>
  <c r="H133" i="39"/>
  <c r="G133" i="39"/>
  <c r="F133" i="39"/>
  <c r="I132" i="39"/>
  <c r="H132" i="39"/>
  <c r="G132" i="39"/>
  <c r="F132" i="39"/>
  <c r="I131" i="39"/>
  <c r="H131" i="39"/>
  <c r="F131" i="39"/>
  <c r="F137" i="39"/>
  <c r="C12" i="48"/>
  <c r="G136" i="39"/>
  <c r="F136" i="39"/>
  <c r="H135" i="39"/>
  <c r="G135" i="39"/>
  <c r="I134" i="39"/>
  <c r="H134" i="39"/>
  <c r="G131" i="39"/>
  <c r="C12" i="40"/>
  <c r="C11" i="40"/>
  <c r="C10" i="40"/>
  <c r="C9" i="40"/>
  <c r="C8" i="40"/>
  <c r="C7" i="40"/>
  <c r="C6" i="40"/>
  <c r="C12" i="42"/>
  <c r="C11" i="42"/>
  <c r="C10" i="42"/>
  <c r="C9" i="42"/>
  <c r="C8" i="42"/>
  <c r="C7" i="42"/>
  <c r="C6" i="42"/>
  <c r="H62" i="39"/>
  <c r="G62" i="39"/>
  <c r="F62" i="39"/>
  <c r="H61" i="39"/>
  <c r="D14" i="114" s="1"/>
  <c r="G61" i="39"/>
  <c r="D13" i="114" s="1"/>
  <c r="F61" i="39"/>
  <c r="D12" i="114" s="1"/>
  <c r="C11" i="41"/>
  <c r="H60" i="39"/>
  <c r="G60" i="39"/>
  <c r="F60" i="39"/>
  <c r="C10" i="41"/>
  <c r="H59" i="39"/>
  <c r="G59" i="39"/>
  <c r="F59" i="39"/>
  <c r="C9" i="41"/>
  <c r="H58" i="39"/>
  <c r="G58" i="39"/>
  <c r="F58" i="39"/>
  <c r="C8" i="41"/>
  <c r="H57" i="39"/>
  <c r="G57" i="39"/>
  <c r="F57" i="39"/>
  <c r="C7" i="41"/>
  <c r="H56" i="39"/>
  <c r="G56" i="39"/>
  <c r="F56" i="39"/>
  <c r="C6" i="41"/>
  <c r="I107" i="39"/>
  <c r="I244" i="39" s="1"/>
  <c r="H107" i="39"/>
  <c r="H244" i="39" s="1"/>
  <c r="G107" i="39"/>
  <c r="G244" i="39" s="1"/>
  <c r="F107" i="39"/>
  <c r="F244" i="39" s="1"/>
  <c r="I106" i="39"/>
  <c r="I243" i="39" s="1"/>
  <c r="H106" i="39"/>
  <c r="H243" i="39" s="1"/>
  <c r="G106" i="39"/>
  <c r="G243" i="39" s="1"/>
  <c r="F106" i="39"/>
  <c r="F243" i="39" s="1"/>
  <c r="I105" i="39"/>
  <c r="I242" i="39" s="1"/>
  <c r="H105" i="39"/>
  <c r="H242" i="39" s="1"/>
  <c r="G105" i="39"/>
  <c r="G242" i="39" s="1"/>
  <c r="F105" i="39"/>
  <c r="F242" i="39" s="1"/>
  <c r="I104" i="39"/>
  <c r="I241" i="39" s="1"/>
  <c r="H104" i="39"/>
  <c r="H241" i="39" s="1"/>
  <c r="G104" i="39"/>
  <c r="G241" i="39" s="1"/>
  <c r="F104" i="39"/>
  <c r="F241" i="39" s="1"/>
  <c r="I103" i="39"/>
  <c r="I240" i="39" s="1"/>
  <c r="H103" i="39"/>
  <c r="H240" i="39" s="1"/>
  <c r="G103" i="39"/>
  <c r="G240" i="39" s="1"/>
  <c r="F103" i="39"/>
  <c r="F240" i="39" s="1"/>
  <c r="I102" i="39"/>
  <c r="I239" i="39" s="1"/>
  <c r="H102" i="39"/>
  <c r="H239" i="39" s="1"/>
  <c r="G102" i="39"/>
  <c r="G239" i="39" s="1"/>
  <c r="F102" i="39"/>
  <c r="F239" i="39" s="1"/>
  <c r="I101" i="39"/>
  <c r="I238" i="39" s="1"/>
  <c r="H101" i="39"/>
  <c r="H238" i="39" s="1"/>
  <c r="G101" i="39"/>
  <c r="G238" i="39" s="1"/>
  <c r="F101" i="39"/>
  <c r="F238" i="39" s="1"/>
  <c r="H8" i="39"/>
  <c r="AD6" i="42" l="1"/>
  <c r="S6" i="42"/>
  <c r="AE6" i="42"/>
  <c r="T6" i="42"/>
  <c r="AF6" i="42"/>
  <c r="U6" i="42"/>
  <c r="V6" i="42"/>
  <c r="W6" i="42"/>
  <c r="X6" i="42"/>
  <c r="Y6" i="42"/>
  <c r="Z6" i="42"/>
  <c r="AA6" i="42"/>
  <c r="AB6" i="42"/>
  <c r="AC6" i="42"/>
  <c r="AC7" i="42"/>
  <c r="AD7" i="42"/>
  <c r="S7" i="42"/>
  <c r="AE7" i="42"/>
  <c r="T7" i="42"/>
  <c r="AF7" i="42"/>
  <c r="U7" i="42"/>
  <c r="V7" i="42"/>
  <c r="W7" i="42"/>
  <c r="X7" i="42"/>
  <c r="Y7" i="42"/>
  <c r="Z7" i="42"/>
  <c r="AA7" i="42"/>
  <c r="AB7" i="42"/>
  <c r="AB8" i="42"/>
  <c r="AC8" i="42"/>
  <c r="AD8" i="42"/>
  <c r="S8" i="42"/>
  <c r="AE8" i="42"/>
  <c r="T8" i="42"/>
  <c r="AF8" i="42"/>
  <c r="U8" i="42"/>
  <c r="V8" i="42"/>
  <c r="W8" i="42"/>
  <c r="X8" i="42"/>
  <c r="Y8" i="42"/>
  <c r="Z8" i="42"/>
  <c r="AA8" i="42"/>
  <c r="AA9" i="42"/>
  <c r="AB9" i="42"/>
  <c r="AC9" i="42"/>
  <c r="AD9" i="42"/>
  <c r="S9" i="42"/>
  <c r="AE9" i="42"/>
  <c r="T9" i="42"/>
  <c r="AF9" i="42"/>
  <c r="U9" i="42"/>
  <c r="V9" i="42"/>
  <c r="W9" i="42"/>
  <c r="X9" i="42"/>
  <c r="Y9" i="42"/>
  <c r="Z9" i="42"/>
  <c r="Z10" i="42"/>
  <c r="AA10" i="42"/>
  <c r="AB10" i="42"/>
  <c r="AC10" i="42"/>
  <c r="AD10" i="42"/>
  <c r="S10" i="42"/>
  <c r="AE10" i="42"/>
  <c r="T10" i="42"/>
  <c r="AF10" i="42"/>
  <c r="U10" i="42"/>
  <c r="V10" i="42"/>
  <c r="W10" i="42"/>
  <c r="X10" i="42"/>
  <c r="Y10" i="42"/>
  <c r="Y11" i="42"/>
  <c r="Z11" i="42"/>
  <c r="AA11" i="42"/>
  <c r="AB11" i="42"/>
  <c r="AC11" i="42"/>
  <c r="AD11" i="42"/>
  <c r="S11" i="42"/>
  <c r="AE11" i="42"/>
  <c r="T11" i="42"/>
  <c r="AF11" i="42"/>
  <c r="U11" i="42"/>
  <c r="V11" i="42"/>
  <c r="W11" i="42"/>
  <c r="X11" i="42"/>
  <c r="X12" i="42"/>
  <c r="Y12" i="42"/>
  <c r="Z12" i="42"/>
  <c r="AA12" i="42"/>
  <c r="AB12" i="42"/>
  <c r="AC12" i="42"/>
  <c r="AD12" i="42"/>
  <c r="S12" i="42"/>
  <c r="AE12" i="42"/>
  <c r="T12" i="42"/>
  <c r="AF12" i="42"/>
  <c r="U12" i="42"/>
  <c r="V12" i="42"/>
  <c r="W12" i="42"/>
  <c r="Y6" i="22"/>
  <c r="W6" i="22"/>
  <c r="V6" i="22"/>
  <c r="U6" i="22"/>
  <c r="T6" i="22"/>
  <c r="AE6" i="22"/>
  <c r="S6" i="22"/>
  <c r="AB6" i="22"/>
  <c r="X6" i="22"/>
  <c r="AD6" i="22"/>
  <c r="R6" i="22"/>
  <c r="AC6" i="22"/>
  <c r="AA6" i="22"/>
  <c r="Z6" i="22"/>
  <c r="Y6" i="49"/>
  <c r="W6" i="49"/>
  <c r="V6" i="49"/>
  <c r="U6" i="49"/>
  <c r="T6" i="49"/>
  <c r="AE6" i="49"/>
  <c r="S6" i="49"/>
  <c r="AD6" i="49"/>
  <c r="AD23" i="39" s="1"/>
  <c r="R6" i="49"/>
  <c r="R23" i="39" s="1"/>
  <c r="AB6" i="49"/>
  <c r="AB23" i="39" s="1"/>
  <c r="X6" i="49"/>
  <c r="AC6" i="49"/>
  <c r="AA6" i="49"/>
  <c r="Z6" i="49"/>
  <c r="AF12" i="48"/>
  <c r="T12" i="48"/>
  <c r="AD12" i="48"/>
  <c r="AC12" i="48"/>
  <c r="AB12" i="48"/>
  <c r="AA12" i="48"/>
  <c r="Z137" i="39" s="1"/>
  <c r="Z12" i="48"/>
  <c r="Y137" i="39" s="1"/>
  <c r="W12" i="48"/>
  <c r="V137" i="39" s="1"/>
  <c r="S12" i="48"/>
  <c r="Y12" i="48"/>
  <c r="X12" i="48"/>
  <c r="AE12" i="48"/>
  <c r="V12" i="48"/>
  <c r="U12" i="48"/>
  <c r="V6" i="58"/>
  <c r="AF6" i="58"/>
  <c r="T6" i="58"/>
  <c r="S149" i="39" s="1"/>
  <c r="AE6" i="58"/>
  <c r="S6" i="58"/>
  <c r="R149" i="39" s="1"/>
  <c r="AD6" i="58"/>
  <c r="AC149" i="39" s="1"/>
  <c r="AC6" i="58"/>
  <c r="AB6" i="58"/>
  <c r="AA6" i="58"/>
  <c r="Y6" i="58"/>
  <c r="Z6" i="58"/>
  <c r="X6" i="58"/>
  <c r="W6" i="58"/>
  <c r="U6" i="58"/>
  <c r="AF7" i="58"/>
  <c r="T7" i="58"/>
  <c r="S150" i="39" s="1"/>
  <c r="AD7" i="58"/>
  <c r="AC150" i="39" s="1"/>
  <c r="AC7" i="58"/>
  <c r="AB150" i="39" s="1"/>
  <c r="AB7" i="58"/>
  <c r="AA7" i="58"/>
  <c r="Z7" i="58"/>
  <c r="Y7" i="58"/>
  <c r="X7" i="58"/>
  <c r="W7" i="58"/>
  <c r="V7" i="58"/>
  <c r="AE7" i="58"/>
  <c r="U7" i="58"/>
  <c r="S7" i="58"/>
  <c r="R150" i="39" s="1"/>
  <c r="W6" i="28"/>
  <c r="W8" i="39" s="1"/>
  <c r="U6" i="28"/>
  <c r="U8" i="39" s="1"/>
  <c r="T6" i="28"/>
  <c r="AE6" i="28"/>
  <c r="S6" i="28"/>
  <c r="AD6" i="28"/>
  <c r="R6" i="28"/>
  <c r="AC6" i="28"/>
  <c r="Q6" i="28"/>
  <c r="AB6" i="28"/>
  <c r="Z6" i="28"/>
  <c r="Z8" i="39" s="1"/>
  <c r="AA6" i="28"/>
  <c r="AA8" i="39" s="1"/>
  <c r="Y6" i="28"/>
  <c r="Y8" i="39" s="1"/>
  <c r="X6" i="28"/>
  <c r="X8" i="39" s="1"/>
  <c r="V6" i="28"/>
  <c r="AC6" i="31"/>
  <c r="AA6" i="31"/>
  <c r="Z6" i="31"/>
  <c r="Y6" i="31"/>
  <c r="X6" i="31"/>
  <c r="T6" i="31"/>
  <c r="AB6" i="31"/>
  <c r="W6" i="31"/>
  <c r="W11" i="39" s="1"/>
  <c r="V6" i="31"/>
  <c r="V11" i="39" s="1"/>
  <c r="U6" i="31"/>
  <c r="U11" i="39" s="1"/>
  <c r="AE6" i="31"/>
  <c r="AE11" i="39" s="1"/>
  <c r="S6" i="31"/>
  <c r="AD6" i="31"/>
  <c r="R6" i="31"/>
  <c r="AA6" i="52"/>
  <c r="Y6" i="52"/>
  <c r="X6" i="52"/>
  <c r="W6" i="52"/>
  <c r="V6" i="52"/>
  <c r="U6" i="52"/>
  <c r="AD6" i="52"/>
  <c r="Z6" i="52"/>
  <c r="T6" i="52"/>
  <c r="R6" i="52"/>
  <c r="AE6" i="52"/>
  <c r="S6" i="52"/>
  <c r="AC6" i="52"/>
  <c r="AB6" i="52"/>
  <c r="AB9" i="58"/>
  <c r="Z9" i="58"/>
  <c r="Y9" i="58"/>
  <c r="X9" i="58"/>
  <c r="W9" i="58"/>
  <c r="V152" i="39" s="1"/>
  <c r="V9" i="58"/>
  <c r="U152" i="39" s="1"/>
  <c r="U9" i="58"/>
  <c r="T152" i="39" s="1"/>
  <c r="AF9" i="58"/>
  <c r="T9" i="58"/>
  <c r="AE9" i="58"/>
  <c r="S9" i="58"/>
  <c r="AD9" i="58"/>
  <c r="AC9" i="58"/>
  <c r="AA9" i="58"/>
  <c r="X11" i="58"/>
  <c r="V11" i="58"/>
  <c r="U154" i="39" s="1"/>
  <c r="U11" i="58"/>
  <c r="T154" i="39" s="1"/>
  <c r="AF11" i="58"/>
  <c r="AE154" i="39" s="1"/>
  <c r="T11" i="58"/>
  <c r="S154" i="39" s="1"/>
  <c r="AE11" i="58"/>
  <c r="S11" i="58"/>
  <c r="AD11" i="58"/>
  <c r="AC11" i="58"/>
  <c r="AB11" i="58"/>
  <c r="AA11" i="58"/>
  <c r="Z11" i="58"/>
  <c r="Y11" i="58"/>
  <c r="X154" i="39" s="1"/>
  <c r="W11" i="58"/>
  <c r="V154" i="39" s="1"/>
  <c r="AA6" i="29"/>
  <c r="AA9" i="39" s="1"/>
  <c r="Y6" i="29"/>
  <c r="Y9" i="39" s="1"/>
  <c r="X6" i="29"/>
  <c r="X9" i="39" s="1"/>
  <c r="W6" i="29"/>
  <c r="V6" i="29"/>
  <c r="U6" i="29"/>
  <c r="U9" i="39" s="1"/>
  <c r="T6" i="29"/>
  <c r="AD6" i="29"/>
  <c r="Z6" i="29"/>
  <c r="AE6" i="29"/>
  <c r="S6" i="29"/>
  <c r="R6" i="29"/>
  <c r="AC6" i="29"/>
  <c r="AC9" i="39" s="1"/>
  <c r="AB6" i="29"/>
  <c r="AB9" i="39" s="1"/>
  <c r="W6" i="36"/>
  <c r="W17" i="39" s="1"/>
  <c r="V6" i="36"/>
  <c r="U6" i="36"/>
  <c r="T6" i="36"/>
  <c r="AE6" i="36"/>
  <c r="S6" i="36"/>
  <c r="AD6" i="36"/>
  <c r="R6" i="36"/>
  <c r="AC6" i="36"/>
  <c r="AB6" i="36"/>
  <c r="AB17" i="39" s="1"/>
  <c r="Y6" i="36"/>
  <c r="Y17" i="39" s="1"/>
  <c r="AA6" i="36"/>
  <c r="AA17" i="39" s="1"/>
  <c r="Z6" i="36"/>
  <c r="Z17" i="39" s="1"/>
  <c r="X6" i="36"/>
  <c r="W6" i="32"/>
  <c r="V6" i="32"/>
  <c r="U6" i="32"/>
  <c r="Y6" i="32"/>
  <c r="T6" i="32"/>
  <c r="AE6" i="32"/>
  <c r="S6" i="32"/>
  <c r="AD6" i="32"/>
  <c r="AD12" i="39" s="1"/>
  <c r="R6" i="32"/>
  <c r="AC6" i="32"/>
  <c r="AC12" i="39" s="1"/>
  <c r="AB6" i="32"/>
  <c r="AB12" i="39" s="1"/>
  <c r="AA6" i="32"/>
  <c r="Z6" i="32"/>
  <c r="X6" i="32"/>
  <c r="AF6" i="41"/>
  <c r="T6" i="41"/>
  <c r="AE6" i="41"/>
  <c r="AD56" i="39" s="1"/>
  <c r="S6" i="41"/>
  <c r="AD6" i="41"/>
  <c r="R6" i="41"/>
  <c r="Q56" i="39" s="1"/>
  <c r="AC6" i="41"/>
  <c r="AB56" i="39" s="1"/>
  <c r="AB6" i="41"/>
  <c r="AA56" i="39" s="1"/>
  <c r="AA6" i="41"/>
  <c r="Z56" i="39" s="1"/>
  <c r="Z6" i="41"/>
  <c r="Y56" i="39" s="1"/>
  <c r="Y6" i="41"/>
  <c r="X56" i="39" s="1"/>
  <c r="X6" i="41"/>
  <c r="W56" i="39" s="1"/>
  <c r="W6" i="41"/>
  <c r="V6" i="41"/>
  <c r="U6" i="41"/>
  <c r="T56" i="39" s="1"/>
  <c r="T7" i="41"/>
  <c r="S57" i="39" s="1"/>
  <c r="AF7" i="41"/>
  <c r="AE57" i="39" s="1"/>
  <c r="U7" i="41"/>
  <c r="T57" i="39" s="1"/>
  <c r="V7" i="41"/>
  <c r="U57" i="39" s="1"/>
  <c r="W7" i="41"/>
  <c r="V57" i="39" s="1"/>
  <c r="X7" i="41"/>
  <c r="W57" i="39" s="1"/>
  <c r="Y7" i="41"/>
  <c r="Z7" i="41"/>
  <c r="Y57" i="39" s="1"/>
  <c r="AD7" i="41"/>
  <c r="AA7" i="41"/>
  <c r="AB7" i="41"/>
  <c r="AA57" i="39" s="1"/>
  <c r="AC7" i="41"/>
  <c r="R7" i="41"/>
  <c r="Q57" i="39" s="1"/>
  <c r="S7" i="41"/>
  <c r="AE7" i="41"/>
  <c r="AD57" i="39" s="1"/>
  <c r="AC10" i="41"/>
  <c r="AB60" i="39" s="1"/>
  <c r="R10" i="41"/>
  <c r="Q60" i="39" s="1"/>
  <c r="AD10" i="41"/>
  <c r="AC60" i="39" s="1"/>
  <c r="S10" i="41"/>
  <c r="AE10" i="41"/>
  <c r="AD60" i="39" s="1"/>
  <c r="T10" i="41"/>
  <c r="AF10" i="41"/>
  <c r="U10" i="41"/>
  <c r="T60" i="39" s="1"/>
  <c r="V10" i="41"/>
  <c r="U60" i="39" s="1"/>
  <c r="W10" i="41"/>
  <c r="V60" i="39" s="1"/>
  <c r="X10" i="41"/>
  <c r="W60" i="39" s="1"/>
  <c r="Y10" i="41"/>
  <c r="X60" i="39" s="1"/>
  <c r="AA10" i="41"/>
  <c r="Z60" i="39" s="1"/>
  <c r="Z10" i="41"/>
  <c r="Y60" i="39" s="1"/>
  <c r="AB10" i="41"/>
  <c r="AA60" i="39" s="1"/>
  <c r="R9" i="41"/>
  <c r="AD9" i="41"/>
  <c r="AC59" i="39" s="1"/>
  <c r="S9" i="41"/>
  <c r="R59" i="39" s="1"/>
  <c r="AE9" i="41"/>
  <c r="AD59" i="39" s="1"/>
  <c r="T9" i="41"/>
  <c r="S59" i="39" s="1"/>
  <c r="AF9" i="41"/>
  <c r="AE59" i="39" s="1"/>
  <c r="U9" i="41"/>
  <c r="T59" i="39" s="1"/>
  <c r="V9" i="41"/>
  <c r="W9" i="41"/>
  <c r="V59" i="39" s="1"/>
  <c r="X9" i="41"/>
  <c r="W59" i="39" s="1"/>
  <c r="Y9" i="41"/>
  <c r="X59" i="39" s="1"/>
  <c r="AB9" i="41"/>
  <c r="AA59" i="39" s="1"/>
  <c r="Z9" i="41"/>
  <c r="AA9" i="41"/>
  <c r="Z59" i="39" s="1"/>
  <c r="AC9" i="41"/>
  <c r="AB59" i="39" s="1"/>
  <c r="S8" i="41"/>
  <c r="R58" i="39" s="1"/>
  <c r="AE8" i="41"/>
  <c r="AD58" i="39" s="1"/>
  <c r="T8" i="41"/>
  <c r="AF8" i="41"/>
  <c r="U8" i="41"/>
  <c r="T58" i="39" s="1"/>
  <c r="V8" i="41"/>
  <c r="U58" i="39" s="1"/>
  <c r="W8" i="41"/>
  <c r="V58" i="39" s="1"/>
  <c r="X8" i="41"/>
  <c r="W58" i="39" s="1"/>
  <c r="AC8" i="41"/>
  <c r="AB58" i="39" s="1"/>
  <c r="Y8" i="41"/>
  <c r="X58" i="39" s="1"/>
  <c r="Z8" i="41"/>
  <c r="Y58" i="39" s="1"/>
  <c r="AA8" i="41"/>
  <c r="Z58" i="39" s="1"/>
  <c r="AB8" i="41"/>
  <c r="AA58" i="39" s="1"/>
  <c r="R8" i="41"/>
  <c r="Q58" i="39" s="1"/>
  <c r="AD8" i="41"/>
  <c r="AC58" i="39" s="1"/>
  <c r="AB11" i="41"/>
  <c r="AC11" i="41"/>
  <c r="R11" i="41"/>
  <c r="AD11" i="41"/>
  <c r="S11" i="41"/>
  <c r="AE11" i="41"/>
  <c r="T11" i="41"/>
  <c r="AF11" i="41"/>
  <c r="U11" i="41"/>
  <c r="V11" i="41"/>
  <c r="W11" i="41"/>
  <c r="X11" i="41"/>
  <c r="Y11" i="41"/>
  <c r="AA11" i="41"/>
  <c r="Z11" i="41"/>
  <c r="AB57" i="39"/>
  <c r="X57" i="39"/>
  <c r="P57" i="39"/>
  <c r="O57" i="39"/>
  <c r="AC57" i="39"/>
  <c r="Z57" i="39"/>
  <c r="R57" i="39"/>
  <c r="V56" i="39"/>
  <c r="R56" i="39"/>
  <c r="O56" i="39"/>
  <c r="AC56" i="39"/>
  <c r="U56" i="39"/>
  <c r="S56" i="39"/>
  <c r="AE56" i="39"/>
  <c r="P56" i="39"/>
  <c r="O59" i="39"/>
  <c r="U59" i="39"/>
  <c r="Y59" i="39"/>
  <c r="Q59" i="39"/>
  <c r="P59" i="39"/>
  <c r="P58" i="39"/>
  <c r="AE58" i="39"/>
  <c r="S58" i="39"/>
  <c r="O58" i="39"/>
  <c r="S60" i="39"/>
  <c r="P60" i="39"/>
  <c r="R60" i="39"/>
  <c r="AE60" i="39"/>
  <c r="O60" i="39"/>
  <c r="C6" i="22"/>
  <c r="E6" i="22"/>
  <c r="AE7" i="39"/>
  <c r="H45" i="103"/>
  <c r="H60" i="103" s="1"/>
  <c r="I43" i="103"/>
  <c r="I58" i="103" s="1"/>
  <c r="G202" i="39"/>
  <c r="I219" i="80"/>
  <c r="F182" i="39"/>
  <c r="F377" i="39" s="1"/>
  <c r="G40" i="103"/>
  <c r="G42" i="103"/>
  <c r="G44" i="103"/>
  <c r="G59" i="103" s="1"/>
  <c r="G182" i="39"/>
  <c r="G377" i="39" s="1"/>
  <c r="H43" i="103"/>
  <c r="H58" i="103" s="1"/>
  <c r="I45" i="103"/>
  <c r="I60" i="103" s="1"/>
  <c r="I181" i="39"/>
  <c r="J41" i="103"/>
  <c r="H200" i="39"/>
  <c r="H44" i="103"/>
  <c r="H59" i="103" s="1"/>
  <c r="F264" i="39"/>
  <c r="F320" i="39" s="1"/>
  <c r="F158" i="80"/>
  <c r="H182" i="39"/>
  <c r="H377" i="39" s="1"/>
  <c r="I40" i="103"/>
  <c r="I42" i="103"/>
  <c r="I44" i="103"/>
  <c r="I59" i="103" s="1"/>
  <c r="G158" i="80"/>
  <c r="I182" i="39"/>
  <c r="I377" i="39" s="1"/>
  <c r="H41" i="103"/>
  <c r="H57" i="103" s="1"/>
  <c r="F200" i="39"/>
  <c r="F202" i="39"/>
  <c r="I41" i="103"/>
  <c r="I57" i="103" s="1"/>
  <c r="J43" i="103"/>
  <c r="H202" i="39"/>
  <c r="H42" i="103"/>
  <c r="J44" i="103"/>
  <c r="G264" i="39"/>
  <c r="G320" i="39" s="1"/>
  <c r="F181" i="39"/>
  <c r="H158" i="80"/>
  <c r="H39" i="103"/>
  <c r="I264" i="39"/>
  <c r="I320" i="39" s="1"/>
  <c r="H181" i="39"/>
  <c r="G219" i="80"/>
  <c r="I39" i="103"/>
  <c r="G200" i="39"/>
  <c r="H219" i="80"/>
  <c r="J39" i="103"/>
  <c r="J45" i="103"/>
  <c r="H40" i="103"/>
  <c r="J40" i="103"/>
  <c r="J42" i="103"/>
  <c r="G39" i="103"/>
  <c r="G41" i="103"/>
  <c r="G57" i="103" s="1"/>
  <c r="G43" i="103"/>
  <c r="G58" i="103" s="1"/>
  <c r="G45" i="103"/>
  <c r="G60" i="103" s="1"/>
  <c r="H264" i="39"/>
  <c r="H320" i="39" s="1"/>
  <c r="G181" i="39"/>
  <c r="F219" i="80"/>
  <c r="I158" i="80"/>
  <c r="I183" i="39"/>
  <c r="H183" i="39"/>
  <c r="G183" i="39"/>
  <c r="F183" i="39"/>
  <c r="O11" i="39"/>
  <c r="P11" i="39"/>
  <c r="L11" i="39"/>
  <c r="F204" i="39"/>
  <c r="G150" i="103"/>
  <c r="G204" i="39"/>
  <c r="H150" i="103"/>
  <c r="I150" i="103"/>
  <c r="H204" i="39"/>
  <c r="I151" i="103"/>
  <c r="H205" i="39"/>
  <c r="G151" i="103"/>
  <c r="F205" i="39"/>
  <c r="H151" i="103"/>
  <c r="G205" i="39"/>
  <c r="H149" i="103"/>
  <c r="G203" i="39"/>
  <c r="H203" i="39"/>
  <c r="I149" i="103"/>
  <c r="G149" i="103"/>
  <c r="F203" i="39"/>
  <c r="H148" i="103"/>
  <c r="G201" i="39"/>
  <c r="H201" i="39"/>
  <c r="I148" i="103"/>
  <c r="F201" i="39"/>
  <c r="G148" i="103"/>
  <c r="H147" i="103"/>
  <c r="G199" i="39"/>
  <c r="I147" i="103"/>
  <c r="H199" i="39"/>
  <c r="G147" i="103"/>
  <c r="F199" i="39"/>
  <c r="AE94" i="39"/>
  <c r="W94" i="39"/>
  <c r="O94" i="39"/>
  <c r="AD94" i="39"/>
  <c r="V94" i="39"/>
  <c r="N94" i="39"/>
  <c r="AC94" i="39"/>
  <c r="U94" i="39"/>
  <c r="M94" i="39"/>
  <c r="AB94" i="39"/>
  <c r="T94" i="39"/>
  <c r="L94" i="39"/>
  <c r="AA94" i="39"/>
  <c r="S94" i="39"/>
  <c r="K94" i="39"/>
  <c r="Q94" i="39"/>
  <c r="Z94" i="39"/>
  <c r="R94" i="39"/>
  <c r="Y94" i="39"/>
  <c r="X94" i="39"/>
  <c r="P94" i="39"/>
  <c r="Y7" i="40"/>
  <c r="X48" i="39" s="1"/>
  <c r="Q7" i="40"/>
  <c r="P48" i="39" s="1"/>
  <c r="I7" i="40"/>
  <c r="H48" i="39" s="1"/>
  <c r="V7" i="40"/>
  <c r="U48" i="39" s="1"/>
  <c r="AC7" i="40"/>
  <c r="AB48" i="39" s="1"/>
  <c r="AF7" i="40"/>
  <c r="AE48" i="39" s="1"/>
  <c r="X7" i="40"/>
  <c r="W48" i="39" s="1"/>
  <c r="P7" i="40"/>
  <c r="O48" i="39" s="1"/>
  <c r="H7" i="40"/>
  <c r="G48" i="39" s="1"/>
  <c r="AD7" i="40"/>
  <c r="AC48" i="39" s="1"/>
  <c r="M7" i="40"/>
  <c r="L48" i="39" s="1"/>
  <c r="AE7" i="40"/>
  <c r="AD48" i="39" s="1"/>
  <c r="W7" i="40"/>
  <c r="V48" i="39" s="1"/>
  <c r="O7" i="40"/>
  <c r="N48" i="39" s="1"/>
  <c r="G7" i="40"/>
  <c r="F48" i="39" s="1"/>
  <c r="N7" i="40"/>
  <c r="M48" i="39" s="1"/>
  <c r="U7" i="40"/>
  <c r="T48" i="39" s="1"/>
  <c r="AB7" i="40"/>
  <c r="AA48" i="39" s="1"/>
  <c r="T7" i="40"/>
  <c r="S48" i="39" s="1"/>
  <c r="L7" i="40"/>
  <c r="K48" i="39" s="1"/>
  <c r="AA7" i="40"/>
  <c r="Z48" i="39" s="1"/>
  <c r="S7" i="40"/>
  <c r="R48" i="39" s="1"/>
  <c r="K7" i="40"/>
  <c r="J48" i="39" s="1"/>
  <c r="Z7" i="40"/>
  <c r="Y48" i="39" s="1"/>
  <c r="R7" i="40"/>
  <c r="Q48" i="39" s="1"/>
  <c r="J7" i="40"/>
  <c r="I48" i="39" s="1"/>
  <c r="AA6" i="40"/>
  <c r="Z47" i="39" s="1"/>
  <c r="S6" i="40"/>
  <c r="R47" i="39" s="1"/>
  <c r="K6" i="40"/>
  <c r="J47" i="39" s="1"/>
  <c r="X6" i="40"/>
  <c r="W47" i="39" s="1"/>
  <c r="H6" i="40"/>
  <c r="G47" i="39" s="1"/>
  <c r="W6" i="40"/>
  <c r="V47" i="39" s="1"/>
  <c r="AD6" i="40"/>
  <c r="AC47" i="39" s="1"/>
  <c r="Z6" i="40"/>
  <c r="Y47" i="39" s="1"/>
  <c r="R6" i="40"/>
  <c r="Q47" i="39" s="1"/>
  <c r="J6" i="40"/>
  <c r="I47" i="39" s="1"/>
  <c r="P6" i="40"/>
  <c r="O47" i="39" s="1"/>
  <c r="O6" i="40"/>
  <c r="N47" i="39" s="1"/>
  <c r="N6" i="40"/>
  <c r="M47" i="39" s="1"/>
  <c r="Y6" i="40"/>
  <c r="X47" i="39" s="1"/>
  <c r="Q6" i="40"/>
  <c r="P47" i="39" s="1"/>
  <c r="I6" i="40"/>
  <c r="H47" i="39" s="1"/>
  <c r="AF6" i="40"/>
  <c r="AE47" i="39" s="1"/>
  <c r="G6" i="40"/>
  <c r="F47" i="39" s="1"/>
  <c r="V6" i="40"/>
  <c r="U47" i="39" s="1"/>
  <c r="AC6" i="40"/>
  <c r="AB47" i="39" s="1"/>
  <c r="U6" i="40"/>
  <c r="T47" i="39" s="1"/>
  <c r="M6" i="40"/>
  <c r="L47" i="39" s="1"/>
  <c r="AB6" i="40"/>
  <c r="AA47" i="39" s="1"/>
  <c r="T6" i="40"/>
  <c r="S47" i="39" s="1"/>
  <c r="L6" i="40"/>
  <c r="K47" i="39" s="1"/>
  <c r="AE6" i="40"/>
  <c r="AD47" i="39" s="1"/>
  <c r="Y9" i="40"/>
  <c r="X50" i="39" s="1"/>
  <c r="Q9" i="40"/>
  <c r="P50" i="39" s="1"/>
  <c r="I9" i="40"/>
  <c r="H50" i="39" s="1"/>
  <c r="V9" i="40"/>
  <c r="U50" i="39" s="1"/>
  <c r="AC9" i="40"/>
  <c r="AB50" i="39" s="1"/>
  <c r="T9" i="40"/>
  <c r="S50" i="39" s="1"/>
  <c r="AF9" i="40"/>
  <c r="AE50" i="39" s="1"/>
  <c r="X9" i="40"/>
  <c r="W50" i="39" s="1"/>
  <c r="P9" i="40"/>
  <c r="O50" i="39" s="1"/>
  <c r="H9" i="40"/>
  <c r="G50" i="39" s="1"/>
  <c r="AD9" i="40"/>
  <c r="AC50" i="39" s="1"/>
  <c r="U9" i="40"/>
  <c r="T50" i="39" s="1"/>
  <c r="AE9" i="40"/>
  <c r="AD50" i="39" s="1"/>
  <c r="W9" i="40"/>
  <c r="V50" i="39" s="1"/>
  <c r="O9" i="40"/>
  <c r="N50" i="39" s="1"/>
  <c r="G9" i="40"/>
  <c r="F50" i="39" s="1"/>
  <c r="N9" i="40"/>
  <c r="M50" i="39" s="1"/>
  <c r="M9" i="40"/>
  <c r="L50" i="39" s="1"/>
  <c r="L9" i="40"/>
  <c r="K50" i="39" s="1"/>
  <c r="AA9" i="40"/>
  <c r="Z50" i="39" s="1"/>
  <c r="S9" i="40"/>
  <c r="R50" i="39" s="1"/>
  <c r="K9" i="40"/>
  <c r="J50" i="39" s="1"/>
  <c r="Z9" i="40"/>
  <c r="Y50" i="39" s="1"/>
  <c r="R9" i="40"/>
  <c r="Q50" i="39" s="1"/>
  <c r="J9" i="40"/>
  <c r="I50" i="39" s="1"/>
  <c r="AB9" i="40"/>
  <c r="AA50" i="39" s="1"/>
  <c r="AA8" i="40"/>
  <c r="Z49" i="39" s="1"/>
  <c r="S8" i="40"/>
  <c r="R49" i="39" s="1"/>
  <c r="K8" i="40"/>
  <c r="J49" i="39" s="1"/>
  <c r="X8" i="40"/>
  <c r="W49" i="39" s="1"/>
  <c r="AE8" i="40"/>
  <c r="AD49" i="39" s="1"/>
  <c r="V8" i="40"/>
  <c r="U49" i="39" s="1"/>
  <c r="Z8" i="40"/>
  <c r="Y49" i="39" s="1"/>
  <c r="R8" i="40"/>
  <c r="Q49" i="39" s="1"/>
  <c r="J8" i="40"/>
  <c r="I49" i="39" s="1"/>
  <c r="P8" i="40"/>
  <c r="O49" i="39" s="1"/>
  <c r="O8" i="40"/>
  <c r="N49" i="39" s="1"/>
  <c r="N8" i="40"/>
  <c r="M49" i="39" s="1"/>
  <c r="Y8" i="40"/>
  <c r="X49" i="39" s="1"/>
  <c r="Q8" i="40"/>
  <c r="P49" i="39" s="1"/>
  <c r="I8" i="40"/>
  <c r="H49" i="39" s="1"/>
  <c r="AF8" i="40"/>
  <c r="AE49" i="39" s="1"/>
  <c r="H8" i="40"/>
  <c r="G49" i="39" s="1"/>
  <c r="G8" i="40"/>
  <c r="F49" i="39" s="1"/>
  <c r="AD8" i="40"/>
  <c r="AC49" i="39" s="1"/>
  <c r="AC8" i="40"/>
  <c r="AB49" i="39" s="1"/>
  <c r="U8" i="40"/>
  <c r="T49" i="39" s="1"/>
  <c r="M8" i="40"/>
  <c r="L49" i="39" s="1"/>
  <c r="AB8" i="40"/>
  <c r="AA49" i="39" s="1"/>
  <c r="T8" i="40"/>
  <c r="S49" i="39" s="1"/>
  <c r="L8" i="40"/>
  <c r="K49" i="39" s="1"/>
  <c r="W8" i="40"/>
  <c r="V49" i="39" s="1"/>
  <c r="Y12" i="40"/>
  <c r="X53" i="39" s="1"/>
  <c r="Q12" i="40"/>
  <c r="P53" i="39" s="1"/>
  <c r="I12" i="40"/>
  <c r="H53" i="39" s="1"/>
  <c r="N12" i="40"/>
  <c r="M53" i="39" s="1"/>
  <c r="T12" i="40"/>
  <c r="S53" i="39" s="1"/>
  <c r="AF12" i="40"/>
  <c r="AE53" i="39" s="1"/>
  <c r="X12" i="40"/>
  <c r="W53" i="39" s="1"/>
  <c r="P12" i="40"/>
  <c r="O53" i="39" s="1"/>
  <c r="H12" i="40"/>
  <c r="G53" i="39" s="1"/>
  <c r="V12" i="40"/>
  <c r="U53" i="39" s="1"/>
  <c r="M12" i="40"/>
  <c r="L53" i="39" s="1"/>
  <c r="L12" i="40"/>
  <c r="K53" i="39" s="1"/>
  <c r="AE12" i="40"/>
  <c r="AD53" i="39" s="1"/>
  <c r="W12" i="40"/>
  <c r="V53" i="39" s="1"/>
  <c r="O12" i="40"/>
  <c r="N53" i="39" s="1"/>
  <c r="G12" i="40"/>
  <c r="F53" i="39" s="1"/>
  <c r="AD12" i="40"/>
  <c r="AC53" i="39" s="1"/>
  <c r="AC12" i="40"/>
  <c r="AB53" i="39" s="1"/>
  <c r="AB12" i="40"/>
  <c r="AA53" i="39" s="1"/>
  <c r="AA12" i="40"/>
  <c r="Z53" i="39" s="1"/>
  <c r="S12" i="40"/>
  <c r="R53" i="39" s="1"/>
  <c r="K12" i="40"/>
  <c r="J53" i="39" s="1"/>
  <c r="Z12" i="40"/>
  <c r="Y53" i="39" s="1"/>
  <c r="R12" i="40"/>
  <c r="Q53" i="39" s="1"/>
  <c r="J12" i="40"/>
  <c r="I53" i="39" s="1"/>
  <c r="U12" i="40"/>
  <c r="T53" i="39" s="1"/>
  <c r="AA11" i="40"/>
  <c r="Z52" i="39" s="1"/>
  <c r="S11" i="40"/>
  <c r="R52" i="39" s="1"/>
  <c r="K11" i="40"/>
  <c r="J52" i="39" s="1"/>
  <c r="P11" i="40"/>
  <c r="O52" i="39" s="1"/>
  <c r="O11" i="40"/>
  <c r="N52" i="39" s="1"/>
  <c r="V11" i="40"/>
  <c r="U52" i="39" s="1"/>
  <c r="Z11" i="40"/>
  <c r="Y52" i="39" s="1"/>
  <c r="R11" i="40"/>
  <c r="Q52" i="39" s="1"/>
  <c r="J11" i="40"/>
  <c r="I52" i="39" s="1"/>
  <c r="X11" i="40"/>
  <c r="W52" i="39" s="1"/>
  <c r="W11" i="40"/>
  <c r="V52" i="39" s="1"/>
  <c r="N11" i="40"/>
  <c r="M52" i="39" s="1"/>
  <c r="Y11" i="40"/>
  <c r="X52" i="39" s="1"/>
  <c r="Q11" i="40"/>
  <c r="P52" i="39" s="1"/>
  <c r="I11" i="40"/>
  <c r="H52" i="39" s="1"/>
  <c r="AF11" i="40"/>
  <c r="AE52" i="39" s="1"/>
  <c r="H11" i="40"/>
  <c r="G52" i="39" s="1"/>
  <c r="G11" i="40"/>
  <c r="F52" i="39" s="1"/>
  <c r="AC11" i="40"/>
  <c r="AB52" i="39" s="1"/>
  <c r="U11" i="40"/>
  <c r="T52" i="39" s="1"/>
  <c r="M11" i="40"/>
  <c r="L52" i="39" s="1"/>
  <c r="AB11" i="40"/>
  <c r="AA52" i="39" s="1"/>
  <c r="T11" i="40"/>
  <c r="S52" i="39" s="1"/>
  <c r="L11" i="40"/>
  <c r="K52" i="39" s="1"/>
  <c r="AE11" i="40"/>
  <c r="AD52" i="39" s="1"/>
  <c r="AD11" i="40"/>
  <c r="AC52" i="39" s="1"/>
  <c r="AC10" i="40"/>
  <c r="AB51" i="39" s="1"/>
  <c r="U10" i="40"/>
  <c r="T51" i="39" s="1"/>
  <c r="M10" i="40"/>
  <c r="L51" i="39" s="1"/>
  <c r="Z10" i="40"/>
  <c r="Y51" i="39" s="1"/>
  <c r="I10" i="40"/>
  <c r="H51" i="39" s="1"/>
  <c r="AF10" i="40"/>
  <c r="AE51" i="39" s="1"/>
  <c r="AB10" i="40"/>
  <c r="AA51" i="39" s="1"/>
  <c r="T10" i="40"/>
  <c r="S51" i="39" s="1"/>
  <c r="L10" i="40"/>
  <c r="K51" i="39" s="1"/>
  <c r="R10" i="40"/>
  <c r="Q51" i="39" s="1"/>
  <c r="Y10" i="40"/>
  <c r="X51" i="39" s="1"/>
  <c r="P10" i="40"/>
  <c r="O51" i="39" s="1"/>
  <c r="AA10" i="40"/>
  <c r="Z51" i="39" s="1"/>
  <c r="S10" i="40"/>
  <c r="R51" i="39" s="1"/>
  <c r="K10" i="40"/>
  <c r="J51" i="39" s="1"/>
  <c r="J10" i="40"/>
  <c r="I51" i="39" s="1"/>
  <c r="X10" i="40"/>
  <c r="W51" i="39" s="1"/>
  <c r="AE10" i="40"/>
  <c r="AD51" i="39" s="1"/>
  <c r="W10" i="40"/>
  <c r="V51" i="39" s="1"/>
  <c r="O10" i="40"/>
  <c r="N51" i="39" s="1"/>
  <c r="G10" i="40"/>
  <c r="F51" i="39" s="1"/>
  <c r="AD10" i="40"/>
  <c r="AC51" i="39" s="1"/>
  <c r="V10" i="40"/>
  <c r="U51" i="39" s="1"/>
  <c r="N10" i="40"/>
  <c r="M51" i="39" s="1"/>
  <c r="Q10" i="40"/>
  <c r="P51" i="39" s="1"/>
  <c r="H10" i="40"/>
  <c r="G51" i="39" s="1"/>
  <c r="L24" i="39"/>
  <c r="K24" i="39"/>
  <c r="V23" i="39"/>
  <c r="AA23" i="39"/>
  <c r="Z23" i="39"/>
  <c r="AC23" i="39"/>
  <c r="U23" i="39"/>
  <c r="K23" i="39"/>
  <c r="T23" i="39"/>
  <c r="L23" i="39"/>
  <c r="S23" i="39"/>
  <c r="Y23" i="39"/>
  <c r="X23" i="39"/>
  <c r="P23" i="39"/>
  <c r="AE23" i="39"/>
  <c r="W23" i="39"/>
  <c r="O23" i="39"/>
  <c r="Q23" i="39"/>
  <c r="AC8" i="39"/>
  <c r="M8" i="39"/>
  <c r="R8" i="39"/>
  <c r="AB8" i="39"/>
  <c r="T8" i="39"/>
  <c r="L8" i="39"/>
  <c r="J8" i="39"/>
  <c r="S8" i="39"/>
  <c r="K8" i="39"/>
  <c r="Q8" i="39"/>
  <c r="P8" i="39"/>
  <c r="AE8" i="39"/>
  <c r="O8" i="39"/>
  <c r="AD8" i="39"/>
  <c r="V8" i="39"/>
  <c r="N8" i="39"/>
  <c r="S9" i="39"/>
  <c r="K9" i="39"/>
  <c r="AE9" i="39"/>
  <c r="Z9" i="39"/>
  <c r="R9" i="39"/>
  <c r="W9" i="39"/>
  <c r="AD9" i="39"/>
  <c r="Q9" i="39"/>
  <c r="P9" i="39"/>
  <c r="O9" i="39"/>
  <c r="V9" i="39"/>
  <c r="T9" i="39"/>
  <c r="L9" i="39"/>
  <c r="T150" i="39"/>
  <c r="L150" i="39"/>
  <c r="Q150" i="39"/>
  <c r="P150" i="39"/>
  <c r="W150" i="39"/>
  <c r="AA150" i="39"/>
  <c r="K150" i="39"/>
  <c r="Y150" i="39"/>
  <c r="X150" i="39"/>
  <c r="O150" i="39"/>
  <c r="Z150" i="39"/>
  <c r="AD150" i="39"/>
  <c r="V150" i="39"/>
  <c r="N150" i="39"/>
  <c r="U150" i="39"/>
  <c r="M150" i="39"/>
  <c r="AE150" i="39"/>
  <c r="AD149" i="39"/>
  <c r="V149" i="39"/>
  <c r="N149" i="39"/>
  <c r="K149" i="39"/>
  <c r="U149" i="39"/>
  <c r="M149" i="39"/>
  <c r="Z149" i="39"/>
  <c r="Q149" i="39"/>
  <c r="AB149" i="39"/>
  <c r="T149" i="39"/>
  <c r="L149" i="39"/>
  <c r="AA149" i="39"/>
  <c r="Y149" i="39"/>
  <c r="X149" i="39"/>
  <c r="P149" i="39"/>
  <c r="AE149" i="39"/>
  <c r="W149" i="39"/>
  <c r="O149" i="39"/>
  <c r="Z152" i="39"/>
  <c r="R152" i="39"/>
  <c r="AE152" i="39"/>
  <c r="AD152" i="39"/>
  <c r="AC152" i="39"/>
  <c r="Y152" i="39"/>
  <c r="Q152" i="39"/>
  <c r="W152" i="39"/>
  <c r="N152" i="39"/>
  <c r="X152" i="39"/>
  <c r="P152" i="39"/>
  <c r="O152" i="39"/>
  <c r="M152" i="39"/>
  <c r="AB152" i="39"/>
  <c r="L152" i="39"/>
  <c r="AA152" i="39"/>
  <c r="S152" i="39"/>
  <c r="K152" i="39"/>
  <c r="P154" i="39"/>
  <c r="L154" i="39"/>
  <c r="K154" i="39"/>
  <c r="W154" i="39"/>
  <c r="O154" i="39"/>
  <c r="AC154" i="39"/>
  <c r="AB154" i="39"/>
  <c r="AD154" i="39"/>
  <c r="N154" i="39"/>
  <c r="M154" i="39"/>
  <c r="AA154" i="39"/>
  <c r="Z154" i="39"/>
  <c r="R154" i="39"/>
  <c r="Y154" i="39"/>
  <c r="Q154" i="39"/>
  <c r="K93" i="39"/>
  <c r="L93" i="39"/>
  <c r="O93" i="39"/>
  <c r="M93" i="39"/>
  <c r="N93" i="39"/>
  <c r="P93" i="39"/>
  <c r="Q93" i="39"/>
  <c r="K92" i="39"/>
  <c r="S92" i="39"/>
  <c r="AA92" i="39"/>
  <c r="AD92" i="39"/>
  <c r="AE92" i="39"/>
  <c r="R92" i="39"/>
  <c r="L92" i="39"/>
  <c r="T92" i="39"/>
  <c r="AB92" i="39"/>
  <c r="N92" i="39"/>
  <c r="W92" i="39"/>
  <c r="X92" i="39"/>
  <c r="M92" i="39"/>
  <c r="U92" i="39"/>
  <c r="AC92" i="39"/>
  <c r="V92" i="39"/>
  <c r="O92" i="39"/>
  <c r="P92" i="39"/>
  <c r="Q92" i="39"/>
  <c r="Y92" i="39"/>
  <c r="Z92" i="39"/>
  <c r="L95" i="39"/>
  <c r="M95" i="39"/>
  <c r="O95" i="39"/>
  <c r="P95" i="39"/>
  <c r="N95" i="39"/>
  <c r="K95" i="39"/>
  <c r="Q95" i="39"/>
  <c r="O98" i="39"/>
  <c r="W98" i="39"/>
  <c r="AE98" i="39"/>
  <c r="K98" i="39"/>
  <c r="T98" i="39"/>
  <c r="V98" i="39"/>
  <c r="P98" i="39"/>
  <c r="X98" i="39"/>
  <c r="Z98" i="39"/>
  <c r="S98" i="39"/>
  <c r="L98" i="39"/>
  <c r="N98" i="39"/>
  <c r="Q98" i="39"/>
  <c r="Y98" i="39"/>
  <c r="R98" i="39"/>
  <c r="AA98" i="39"/>
  <c r="AB98" i="39"/>
  <c r="AD98" i="39"/>
  <c r="M98" i="39"/>
  <c r="U98" i="39"/>
  <c r="AC98" i="39"/>
  <c r="K97" i="39"/>
  <c r="O96" i="39"/>
  <c r="K96" i="39"/>
  <c r="L96" i="39"/>
  <c r="P96" i="39"/>
  <c r="S96" i="39"/>
  <c r="Q96" i="39"/>
  <c r="R96" i="39"/>
  <c r="M96" i="39"/>
  <c r="N96" i="39"/>
  <c r="AC137" i="39"/>
  <c r="U137" i="39"/>
  <c r="R137" i="39"/>
  <c r="AB137" i="39"/>
  <c r="T137" i="39"/>
  <c r="P137" i="39"/>
  <c r="AA137" i="39"/>
  <c r="S137" i="39"/>
  <c r="Q137" i="39"/>
  <c r="X137" i="39"/>
  <c r="AE137" i="39"/>
  <c r="W137" i="39"/>
  <c r="O137" i="39"/>
  <c r="AD137" i="39"/>
  <c r="AC17" i="39"/>
  <c r="U17" i="39"/>
  <c r="R17" i="39"/>
  <c r="AE17" i="39"/>
  <c r="T17" i="39"/>
  <c r="X17" i="39"/>
  <c r="S17" i="39"/>
  <c r="AD17" i="39"/>
  <c r="V17" i="39"/>
  <c r="Q17" i="39"/>
  <c r="AE12" i="39"/>
  <c r="W12" i="39"/>
  <c r="O12" i="39"/>
  <c r="K12" i="39"/>
  <c r="Z12" i="39"/>
  <c r="V12" i="39"/>
  <c r="AA12" i="39"/>
  <c r="Y12" i="39"/>
  <c r="X12" i="39"/>
  <c r="P12" i="39"/>
  <c r="M57" i="39"/>
  <c r="K57" i="39"/>
  <c r="N57" i="39"/>
  <c r="L57" i="39"/>
  <c r="N56" i="39"/>
  <c r="M56" i="39"/>
  <c r="L56" i="39"/>
  <c r="K56" i="39"/>
  <c r="K59" i="39"/>
  <c r="N59" i="39"/>
  <c r="M59" i="39"/>
  <c r="L59" i="39"/>
  <c r="M58" i="39"/>
  <c r="L58" i="39"/>
  <c r="K58" i="39"/>
  <c r="N58" i="39"/>
  <c r="K60" i="39"/>
  <c r="M60" i="39"/>
  <c r="L60" i="39"/>
  <c r="N60" i="39"/>
  <c r="J58" i="39"/>
  <c r="J61" i="39"/>
  <c r="D16" i="114" s="1"/>
  <c r="J60" i="39"/>
  <c r="F212" i="39"/>
  <c r="Y11" i="39"/>
  <c r="Q11" i="39"/>
  <c r="X11" i="39"/>
  <c r="AC11" i="39"/>
  <c r="AB11" i="39"/>
  <c r="T11" i="39"/>
  <c r="R11" i="39"/>
  <c r="AD11" i="39"/>
  <c r="AA11" i="39"/>
  <c r="S11" i="39"/>
  <c r="K11" i="39"/>
  <c r="Z11" i="39"/>
  <c r="L7" i="39"/>
  <c r="K7" i="39"/>
  <c r="F214" i="39"/>
  <c r="F210" i="39"/>
  <c r="F215" i="39"/>
  <c r="F209" i="39"/>
  <c r="F211" i="39"/>
  <c r="F213" i="39"/>
  <c r="F162" i="80"/>
  <c r="G162" i="80"/>
  <c r="H162" i="80"/>
  <c r="I162" i="80"/>
  <c r="B66" i="39"/>
  <c r="B93" i="39"/>
  <c r="B67" i="39"/>
  <c r="B94" i="39"/>
  <c r="B69" i="39"/>
  <c r="B96" i="39"/>
  <c r="B70" i="39"/>
  <c r="B97" i="39"/>
  <c r="B92" i="39"/>
  <c r="B65" i="39"/>
  <c r="B95" i="39"/>
  <c r="B68" i="39"/>
  <c r="B98" i="39"/>
  <c r="B71" i="39"/>
  <c r="F7" i="41"/>
  <c r="J57" i="39"/>
  <c r="F6" i="58"/>
  <c r="F8" i="40"/>
  <c r="F9" i="40"/>
  <c r="F6" i="42"/>
  <c r="F7" i="40"/>
  <c r="F11" i="40"/>
  <c r="E6" i="36"/>
  <c r="F8" i="41"/>
  <c r="F6" i="40"/>
  <c r="F11" i="58"/>
  <c r="F7" i="42"/>
  <c r="F6" i="41"/>
  <c r="J56" i="39"/>
  <c r="F10" i="40"/>
  <c r="F10" i="41"/>
  <c r="F12" i="40"/>
  <c r="F12" i="48"/>
  <c r="F7" i="58"/>
  <c r="E6" i="29"/>
  <c r="E6" i="49"/>
  <c r="E6" i="32"/>
  <c r="F8" i="42"/>
  <c r="F11" i="42"/>
  <c r="F10" i="42"/>
  <c r="F9" i="41"/>
  <c r="J59" i="39"/>
  <c r="F9" i="42"/>
  <c r="F12" i="42"/>
  <c r="F9" i="58"/>
  <c r="E6" i="28"/>
  <c r="E6" i="31"/>
  <c r="E6" i="52"/>
  <c r="F11" i="41"/>
  <c r="B150" i="39"/>
  <c r="B152" i="39"/>
  <c r="B154" i="39"/>
  <c r="D6" i="36"/>
  <c r="E8" i="41"/>
  <c r="B149" i="39"/>
  <c r="I108" i="39"/>
  <c r="F108" i="39"/>
  <c r="G108" i="39"/>
  <c r="H108" i="39"/>
  <c r="F89" i="80"/>
  <c r="G89" i="80"/>
  <c r="H89" i="80"/>
  <c r="I89" i="80"/>
  <c r="E8" i="40"/>
  <c r="I61" i="39"/>
  <c r="D15" i="114" s="1"/>
  <c r="D160" i="39"/>
  <c r="D10" i="39"/>
  <c r="D133" i="39"/>
  <c r="F376" i="39"/>
  <c r="J103" i="39"/>
  <c r="J240" i="39" s="1"/>
  <c r="K102" i="39"/>
  <c r="J102" i="39"/>
  <c r="J239" i="39" s="1"/>
  <c r="K103" i="39"/>
  <c r="L102" i="39"/>
  <c r="L103" i="39"/>
  <c r="J107" i="39"/>
  <c r="J244" i="39" s="1"/>
  <c r="K107" i="39"/>
  <c r="L107" i="39"/>
  <c r="L105" i="39"/>
  <c r="K105" i="39"/>
  <c r="J105" i="39"/>
  <c r="J242" i="39" s="1"/>
  <c r="L106" i="39"/>
  <c r="K106" i="39"/>
  <c r="J106" i="39"/>
  <c r="J243" i="39" s="1"/>
  <c r="G376" i="39"/>
  <c r="L104" i="39"/>
  <c r="K104" i="39"/>
  <c r="J104" i="39"/>
  <c r="J241" i="39" s="1"/>
  <c r="L101" i="39"/>
  <c r="L238" i="39" s="1"/>
  <c r="K101" i="39"/>
  <c r="J101" i="39"/>
  <c r="J238" i="39" s="1"/>
  <c r="B9" i="39"/>
  <c r="J9" i="39"/>
  <c r="I60" i="39"/>
  <c r="M62" i="39"/>
  <c r="P62" i="39"/>
  <c r="L62" i="39"/>
  <c r="R62" i="39"/>
  <c r="Q62" i="39"/>
  <c r="S62" i="39"/>
  <c r="K62" i="39"/>
  <c r="J62" i="39"/>
  <c r="I62" i="39"/>
  <c r="O62" i="39"/>
  <c r="N62" i="39"/>
  <c r="I59" i="39"/>
  <c r="I58" i="39"/>
  <c r="I57" i="39"/>
  <c r="I56" i="39"/>
  <c r="J24" i="39"/>
  <c r="B23" i="39"/>
  <c r="J23" i="39"/>
  <c r="B22" i="39"/>
  <c r="J22" i="39"/>
  <c r="J175" i="80" s="1"/>
  <c r="M22" i="39"/>
  <c r="M175" i="80" s="1"/>
  <c r="L22" i="39"/>
  <c r="L175" i="80" s="1"/>
  <c r="K22" i="39"/>
  <c r="K175" i="80" s="1"/>
  <c r="N22" i="39"/>
  <c r="N175" i="80" s="1"/>
  <c r="H376" i="39"/>
  <c r="I376" i="39"/>
  <c r="B17" i="39"/>
  <c r="J16" i="39"/>
  <c r="K16" i="39"/>
  <c r="N16" i="39"/>
  <c r="L16" i="39"/>
  <c r="M16" i="39"/>
  <c r="M159" i="80"/>
  <c r="N159" i="80"/>
  <c r="L159" i="80"/>
  <c r="K13" i="39"/>
  <c r="J12" i="39"/>
  <c r="J11" i="39"/>
  <c r="I8" i="39"/>
  <c r="B7" i="39"/>
  <c r="J7" i="39"/>
  <c r="D10" i="58"/>
  <c r="E9" i="58"/>
  <c r="E7" i="58"/>
  <c r="B164" i="39"/>
  <c r="B162" i="39"/>
  <c r="J137" i="39"/>
  <c r="B136" i="39"/>
  <c r="M136" i="39"/>
  <c r="J136" i="39"/>
  <c r="L136" i="39"/>
  <c r="K136" i="39"/>
  <c r="N136" i="39"/>
  <c r="N135" i="39"/>
  <c r="M135" i="39"/>
  <c r="K135" i="39"/>
  <c r="L135" i="39"/>
  <c r="J135" i="39"/>
  <c r="B134" i="39"/>
  <c r="N134" i="39"/>
  <c r="L134" i="39"/>
  <c r="M134" i="39"/>
  <c r="K134" i="39"/>
  <c r="J134" i="39"/>
  <c r="M133" i="39"/>
  <c r="N132" i="39"/>
  <c r="L132" i="39"/>
  <c r="N133" i="39"/>
  <c r="L133" i="39"/>
  <c r="M132" i="39"/>
  <c r="K133" i="39"/>
  <c r="J133" i="39"/>
  <c r="K132" i="39"/>
  <c r="J132" i="39"/>
  <c r="B131" i="39"/>
  <c r="J131" i="39"/>
  <c r="N131" i="39"/>
  <c r="M131" i="39"/>
  <c r="L131" i="39"/>
  <c r="K131" i="39"/>
  <c r="B53" i="39"/>
  <c r="B51" i="39"/>
  <c r="B50" i="39"/>
  <c r="E12" i="41"/>
  <c r="D8" i="41"/>
  <c r="B30" i="39"/>
  <c r="B35" i="39"/>
  <c r="B34" i="39"/>
  <c r="B32" i="39"/>
  <c r="B31" i="39"/>
  <c r="B33" i="39"/>
  <c r="B142" i="39"/>
  <c r="B8" i="39"/>
  <c r="G150" i="39"/>
  <c r="F153" i="39"/>
  <c r="F149" i="39"/>
  <c r="F151" i="39"/>
  <c r="F154" i="39"/>
  <c r="F150" i="39"/>
  <c r="B135" i="39"/>
  <c r="B144" i="39"/>
  <c r="B160" i="39"/>
  <c r="B13" i="39"/>
  <c r="B104" i="39"/>
  <c r="B52" i="39"/>
  <c r="B137" i="39"/>
  <c r="B58" i="39"/>
  <c r="B47" i="39"/>
  <c r="B161" i="39"/>
  <c r="B49" i="39"/>
  <c r="B11" i="39"/>
  <c r="D141" i="39"/>
  <c r="C135" i="39"/>
  <c r="C6" i="31"/>
  <c r="B105" i="39"/>
  <c r="C141" i="39"/>
  <c r="B133" i="39"/>
  <c r="B141" i="39"/>
  <c r="D9" i="58"/>
  <c r="D12" i="48"/>
  <c r="E6" i="58"/>
  <c r="D6" i="58"/>
  <c r="E11" i="41"/>
  <c r="B61" i="39"/>
  <c r="B146" i="39"/>
  <c r="E10" i="58"/>
  <c r="E10" i="41"/>
  <c r="B60" i="39"/>
  <c r="D10" i="41"/>
  <c r="B101" i="39"/>
  <c r="B107" i="39"/>
  <c r="B132" i="39"/>
  <c r="E9" i="42"/>
  <c r="D8" i="40"/>
  <c r="C133" i="39"/>
  <c r="C160" i="39"/>
  <c r="B10" i="39"/>
  <c r="B106" i="39"/>
  <c r="B62" i="39"/>
  <c r="B59" i="39"/>
  <c r="D103" i="39"/>
  <c r="C103" i="39"/>
  <c r="B103" i="39"/>
  <c r="B57" i="39"/>
  <c r="C107" i="39"/>
  <c r="C6" i="29"/>
  <c r="D6" i="52"/>
  <c r="K10" i="39"/>
  <c r="K391" i="39" s="1"/>
  <c r="B16" i="39"/>
  <c r="B24" i="39"/>
  <c r="B159" i="39"/>
  <c r="C105" i="39"/>
  <c r="B158" i="39"/>
  <c r="L10" i="39"/>
  <c r="L391" i="39" s="1"/>
  <c r="J141" i="39"/>
  <c r="J315" i="39" s="1"/>
  <c r="L144" i="39"/>
  <c r="L318" i="39" s="1"/>
  <c r="B48" i="39"/>
  <c r="D101" i="39"/>
  <c r="C101" i="39"/>
  <c r="E6" i="41"/>
  <c r="B56" i="39"/>
  <c r="E11" i="58"/>
  <c r="E7" i="41"/>
  <c r="C104" i="39"/>
  <c r="C102" i="39"/>
  <c r="B102" i="39"/>
  <c r="C131" i="39"/>
  <c r="C136" i="39"/>
  <c r="D105" i="39"/>
  <c r="J143" i="39"/>
  <c r="J317" i="39" s="1"/>
  <c r="B143" i="39"/>
  <c r="D143" i="39"/>
  <c r="C143" i="39"/>
  <c r="D9" i="40"/>
  <c r="E9" i="40"/>
  <c r="C164" i="39"/>
  <c r="D12" i="41"/>
  <c r="D6" i="29"/>
  <c r="E9" i="41"/>
  <c r="L140" i="39"/>
  <c r="L314" i="39" s="1"/>
  <c r="J140" i="39"/>
  <c r="J314" i="39" s="1"/>
  <c r="K145" i="39"/>
  <c r="K319" i="39" s="1"/>
  <c r="J145" i="39"/>
  <c r="J319" i="39" s="1"/>
  <c r="D145" i="39"/>
  <c r="C145" i="39"/>
  <c r="B163" i="39"/>
  <c r="D6" i="49"/>
  <c r="C6" i="49"/>
  <c r="L146" i="39"/>
  <c r="D107" i="39"/>
  <c r="E12" i="48"/>
  <c r="J142" i="39"/>
  <c r="J316" i="39" s="1"/>
  <c r="K141" i="39"/>
  <c r="K315" i="39" s="1"/>
  <c r="E12" i="58"/>
  <c r="D6" i="40"/>
  <c r="D7" i="58"/>
  <c r="C158" i="39"/>
  <c r="C162" i="39"/>
  <c r="E7" i="42"/>
  <c r="E6" i="40"/>
  <c r="L142" i="39"/>
  <c r="L316" i="39" s="1"/>
  <c r="K143" i="39"/>
  <c r="K317" i="39" s="1"/>
  <c r="J144" i="39"/>
  <c r="J318" i="39" s="1"/>
  <c r="C106" i="39"/>
  <c r="D106" i="39"/>
  <c r="E6" i="42"/>
  <c r="D6" i="42"/>
  <c r="E10" i="42"/>
  <c r="D10" i="42"/>
  <c r="D10" i="40"/>
  <c r="E10" i="40"/>
  <c r="D102" i="39"/>
  <c r="D11" i="42"/>
  <c r="E7" i="40"/>
  <c r="D7" i="40"/>
  <c r="E11" i="42"/>
  <c r="D7" i="42"/>
  <c r="C134" i="39"/>
  <c r="C6" i="36"/>
  <c r="E11" i="40"/>
  <c r="D11" i="40"/>
  <c r="E8" i="42"/>
  <c r="D8" i="42"/>
  <c r="E12" i="42"/>
  <c r="D12" i="42"/>
  <c r="D104" i="39"/>
  <c r="D6" i="41"/>
  <c r="D9" i="42"/>
  <c r="D12" i="40"/>
  <c r="C132" i="39"/>
  <c r="D7" i="41"/>
  <c r="D9" i="41"/>
  <c r="D11" i="41"/>
  <c r="E12" i="40"/>
  <c r="D6" i="31"/>
  <c r="C22" i="39"/>
  <c r="K140" i="39"/>
  <c r="K314" i="39" s="1"/>
  <c r="K142" i="39"/>
  <c r="K316" i="39" s="1"/>
  <c r="K144" i="39"/>
  <c r="K318" i="39" s="1"/>
  <c r="D6" i="28"/>
  <c r="C6" i="28"/>
  <c r="E8" i="58"/>
  <c r="D8" i="58"/>
  <c r="C140" i="39"/>
  <c r="L141" i="39"/>
  <c r="L315" i="39" s="1"/>
  <c r="C142" i="39"/>
  <c r="L143" i="39"/>
  <c r="L317" i="39" s="1"/>
  <c r="C144" i="39"/>
  <c r="L145" i="39"/>
  <c r="L319" i="39" s="1"/>
  <c r="K146" i="39"/>
  <c r="J146" i="39"/>
  <c r="D146" i="39"/>
  <c r="D6" i="32"/>
  <c r="D140" i="39"/>
  <c r="D144" i="39"/>
  <c r="C146" i="39"/>
  <c r="D12" i="58"/>
  <c r="J10" i="39"/>
  <c r="J391" i="39" s="1"/>
  <c r="C159" i="39"/>
  <c r="C161" i="39"/>
  <c r="C163" i="39"/>
  <c r="D11" i="58"/>
  <c r="C10" i="39"/>
  <c r="C6" i="52"/>
  <c r="B12" i="39"/>
  <c r="C6" i="32"/>
  <c r="P17" i="39" l="1"/>
  <c r="M17" i="39"/>
  <c r="M171" i="80" s="1"/>
  <c r="N17" i="39"/>
  <c r="N171" i="80" s="1"/>
  <c r="L17" i="39"/>
  <c r="L171" i="80" s="1"/>
  <c r="O17" i="39"/>
  <c r="O171" i="80" s="1"/>
  <c r="G250" i="80"/>
  <c r="F221" i="80"/>
  <c r="F250" i="80"/>
  <c r="L234" i="39"/>
  <c r="O234" i="39"/>
  <c r="F350" i="39"/>
  <c r="F349" i="39"/>
  <c r="F348" i="39"/>
  <c r="F344" i="39"/>
  <c r="F347" i="39"/>
  <c r="F345" i="39"/>
  <c r="F346" i="39"/>
  <c r="H349" i="39"/>
  <c r="H350" i="39"/>
  <c r="H348" i="39"/>
  <c r="H345" i="39"/>
  <c r="H347" i="39"/>
  <c r="H346" i="39"/>
  <c r="H344" i="39"/>
  <c r="I350" i="39"/>
  <c r="I348" i="39"/>
  <c r="I349" i="39"/>
  <c r="I347" i="39"/>
  <c r="I344" i="39"/>
  <c r="I346" i="39"/>
  <c r="I345" i="39"/>
  <c r="G348" i="39"/>
  <c r="G349" i="39"/>
  <c r="G350" i="39"/>
  <c r="G345" i="39"/>
  <c r="G346" i="39"/>
  <c r="G344" i="39"/>
  <c r="G347" i="39"/>
  <c r="M137" i="39"/>
  <c r="N137" i="39"/>
  <c r="L137" i="39"/>
  <c r="K137" i="39"/>
  <c r="E12" i="114"/>
  <c r="E16" i="114"/>
  <c r="E15" i="114"/>
  <c r="E14" i="114"/>
  <c r="E13" i="114"/>
  <c r="M370" i="39"/>
  <c r="M228" i="39"/>
  <c r="M364" i="39"/>
  <c r="M234" i="39"/>
  <c r="M232" i="39"/>
  <c r="M223" i="39"/>
  <c r="AE190" i="39"/>
  <c r="AE189" i="39"/>
  <c r="AE192" i="39"/>
  <c r="AE191" i="39"/>
  <c r="AE195" i="39"/>
  <c r="AE193" i="39"/>
  <c r="F34" i="75"/>
  <c r="G221" i="80"/>
  <c r="I221" i="80"/>
  <c r="I250" i="80"/>
  <c r="H221" i="80"/>
  <c r="H250" i="80"/>
  <c r="F63" i="80"/>
  <c r="F378" i="39"/>
  <c r="G378" i="39"/>
  <c r="I378" i="39"/>
  <c r="H63" i="80"/>
  <c r="G63" i="80"/>
  <c r="H378" i="39"/>
  <c r="I63" i="80"/>
  <c r="L219" i="80"/>
  <c r="C56" i="39"/>
  <c r="C50" i="39"/>
  <c r="F11" i="74"/>
  <c r="E134" i="116" s="1"/>
  <c r="W202" i="39"/>
  <c r="L369" i="39"/>
  <c r="I366" i="39"/>
  <c r="G364" i="39"/>
  <c r="W365" i="39"/>
  <c r="H158" i="103"/>
  <c r="C23" i="39"/>
  <c r="F8" i="74"/>
  <c r="E131" i="116" s="1"/>
  <c r="AD158" i="80"/>
  <c r="O369" i="39"/>
  <c r="AA367" i="39"/>
  <c r="AB364" i="39"/>
  <c r="W364" i="39"/>
  <c r="G159" i="103"/>
  <c r="C8" i="39"/>
  <c r="U219" i="80"/>
  <c r="U221" i="80" s="1"/>
  <c r="W368" i="39"/>
  <c r="K368" i="39"/>
  <c r="AB368" i="39"/>
  <c r="AB369" i="39"/>
  <c r="V369" i="39"/>
  <c r="J369" i="39"/>
  <c r="AA366" i="39"/>
  <c r="H366" i="39"/>
  <c r="Y366" i="39"/>
  <c r="I367" i="39"/>
  <c r="X367" i="39"/>
  <c r="J364" i="39"/>
  <c r="Z365" i="39"/>
  <c r="V365" i="39"/>
  <c r="AB365" i="39"/>
  <c r="G158" i="103"/>
  <c r="C59" i="39"/>
  <c r="D155" i="39"/>
  <c r="F12" i="75"/>
  <c r="F14" i="75"/>
  <c r="C58" i="39"/>
  <c r="J158" i="80"/>
  <c r="K43" i="103"/>
  <c r="K181" i="39"/>
  <c r="AD219" i="80"/>
  <c r="AD221" i="80" s="1"/>
  <c r="AC219" i="80"/>
  <c r="AC221" i="80" s="1"/>
  <c r="T202" i="39"/>
  <c r="N202" i="39"/>
  <c r="AA202" i="39"/>
  <c r="Q200" i="39"/>
  <c r="M200" i="39"/>
  <c r="P158" i="80"/>
  <c r="K158" i="80"/>
  <c r="Y171" i="80"/>
  <c r="U171" i="80"/>
  <c r="K182" i="39"/>
  <c r="I368" i="39"/>
  <c r="AC369" i="39"/>
  <c r="F369" i="39"/>
  <c r="W369" i="39"/>
  <c r="R369" i="39"/>
  <c r="F367" i="39"/>
  <c r="W367" i="39"/>
  <c r="AD364" i="39"/>
  <c r="F364" i="39"/>
  <c r="I364" i="39"/>
  <c r="K365" i="39"/>
  <c r="AD365" i="39"/>
  <c r="I159" i="103"/>
  <c r="C151" i="39"/>
  <c r="AB219" i="80"/>
  <c r="AB221" i="80" s="1"/>
  <c r="N200" i="39"/>
  <c r="S171" i="80"/>
  <c r="K367" i="39"/>
  <c r="C51" i="39"/>
  <c r="J264" i="39"/>
  <c r="J320" i="39" s="1"/>
  <c r="F20" i="74"/>
  <c r="E143" i="116" s="1"/>
  <c r="G212" i="39"/>
  <c r="Q202" i="39"/>
  <c r="O200" i="39"/>
  <c r="P171" i="80"/>
  <c r="AD368" i="39"/>
  <c r="M369" i="39"/>
  <c r="H155" i="103"/>
  <c r="D153" i="39"/>
  <c r="V200" i="39"/>
  <c r="X171" i="80"/>
  <c r="C57" i="39"/>
  <c r="F10" i="74"/>
  <c r="E133" i="116" s="1"/>
  <c r="I202" i="39"/>
  <c r="W219" i="80"/>
  <c r="W221" i="80" s="1"/>
  <c r="AB202" i="39"/>
  <c r="Z200" i="39"/>
  <c r="X158" i="80"/>
  <c r="V171" i="80"/>
  <c r="AC171" i="80"/>
  <c r="G369" i="39"/>
  <c r="Y367" i="39"/>
  <c r="K364" i="39"/>
  <c r="Z364" i="39"/>
  <c r="H365" i="39"/>
  <c r="I157" i="103"/>
  <c r="P219" i="80"/>
  <c r="C7" i="39"/>
  <c r="C62" i="39"/>
  <c r="C9" i="39"/>
  <c r="J37" i="19"/>
  <c r="R219" i="80"/>
  <c r="R221" i="80" s="1"/>
  <c r="X219" i="80"/>
  <c r="X221" i="80" s="1"/>
  <c r="M202" i="39"/>
  <c r="Z202" i="39"/>
  <c r="X200" i="39"/>
  <c r="L200" i="39"/>
  <c r="AC200" i="39"/>
  <c r="O158" i="80"/>
  <c r="AD171" i="80"/>
  <c r="AC368" i="39"/>
  <c r="AE368" i="39"/>
  <c r="K369" i="39"/>
  <c r="AE369" i="39"/>
  <c r="Q369" i="39"/>
  <c r="AB366" i="39"/>
  <c r="W366" i="39"/>
  <c r="J367" i="39"/>
  <c r="V367" i="39"/>
  <c r="H364" i="39"/>
  <c r="Y364" i="39"/>
  <c r="I365" i="39"/>
  <c r="AA365" i="39"/>
  <c r="AC365" i="39"/>
  <c r="G155" i="103"/>
  <c r="H157" i="103"/>
  <c r="I158" i="103"/>
  <c r="C154" i="39"/>
  <c r="C17" i="39"/>
  <c r="C137" i="39"/>
  <c r="K45" i="103"/>
  <c r="S219" i="80"/>
  <c r="S221" i="80" s="1"/>
  <c r="Y219" i="80"/>
  <c r="Y221" i="80" s="1"/>
  <c r="AD202" i="39"/>
  <c r="W171" i="80"/>
  <c r="X368" i="39"/>
  <c r="N369" i="39"/>
  <c r="K366" i="39"/>
  <c r="Z366" i="39"/>
  <c r="H367" i="39"/>
  <c r="J365" i="39"/>
  <c r="K42" i="103"/>
  <c r="K41" i="103"/>
  <c r="K57" i="103" s="1"/>
  <c r="AA219" i="80"/>
  <c r="AA221" i="80" s="1"/>
  <c r="AA200" i="39"/>
  <c r="R171" i="80"/>
  <c r="G368" i="39"/>
  <c r="T369" i="39"/>
  <c r="G367" i="39"/>
  <c r="AE365" i="39"/>
  <c r="C47" i="39"/>
  <c r="V219" i="80"/>
  <c r="V221" i="80" s="1"/>
  <c r="Y202" i="39"/>
  <c r="Z158" i="80"/>
  <c r="C48" i="39"/>
  <c r="M20" i="19"/>
  <c r="R202" i="39"/>
  <c r="U200" i="39"/>
  <c r="Z171" i="80"/>
  <c r="J368" i="39"/>
  <c r="AD369" i="39"/>
  <c r="Z369" i="39"/>
  <c r="H370" i="39"/>
  <c r="AD366" i="39"/>
  <c r="AE367" i="39"/>
  <c r="AE364" i="39"/>
  <c r="C53" i="39"/>
  <c r="F13" i="75"/>
  <c r="C149" i="39"/>
  <c r="C11" i="39"/>
  <c r="C153" i="39"/>
  <c r="J182" i="39"/>
  <c r="J377" i="39" s="1"/>
  <c r="K39" i="103"/>
  <c r="K44" i="103"/>
  <c r="Z219" i="80"/>
  <c r="Z221" i="80" s="1"/>
  <c r="AE219" i="80"/>
  <c r="AE221" i="80" s="1"/>
  <c r="U202" i="39"/>
  <c r="V202" i="39"/>
  <c r="Y200" i="39"/>
  <c r="T200" i="39"/>
  <c r="Y158" i="80"/>
  <c r="AA158" i="80"/>
  <c r="W158" i="80"/>
  <c r="T171" i="80"/>
  <c r="F368" i="39"/>
  <c r="Z368" i="39"/>
  <c r="H368" i="39"/>
  <c r="S369" i="39"/>
  <c r="H369" i="39"/>
  <c r="Y369" i="39"/>
  <c r="I370" i="39"/>
  <c r="G370" i="39"/>
  <c r="AC366" i="39"/>
  <c r="J366" i="39"/>
  <c r="AD367" i="39"/>
  <c r="AB367" i="39"/>
  <c r="AA364" i="39"/>
  <c r="AC364" i="39"/>
  <c r="G365" i="39"/>
  <c r="X365" i="39"/>
  <c r="I156" i="103"/>
  <c r="C150" i="39"/>
  <c r="X202" i="39"/>
  <c r="S200" i="39"/>
  <c r="V158" i="80"/>
  <c r="AE171" i="80"/>
  <c r="V368" i="39"/>
  <c r="X369" i="39"/>
  <c r="G366" i="39"/>
  <c r="AC367" i="39"/>
  <c r="F365" i="39"/>
  <c r="D151" i="39"/>
  <c r="C152" i="39"/>
  <c r="AD200" i="39"/>
  <c r="AB158" i="80"/>
  <c r="AA171" i="80"/>
  <c r="J370" i="39"/>
  <c r="AE366" i="39"/>
  <c r="G157" i="103"/>
  <c r="C61" i="39"/>
  <c r="C49" i="39"/>
  <c r="J219" i="80"/>
  <c r="I200" i="39"/>
  <c r="L202" i="39"/>
  <c r="S202" i="39"/>
  <c r="W200" i="39"/>
  <c r="Q171" i="80"/>
  <c r="D154" i="39"/>
  <c r="J202" i="39"/>
  <c r="O219" i="80"/>
  <c r="P200" i="39"/>
  <c r="AC158" i="80"/>
  <c r="AA368" i="39"/>
  <c r="I369" i="39"/>
  <c r="X366" i="39"/>
  <c r="G156" i="103"/>
  <c r="F19" i="74"/>
  <c r="E142" i="116" s="1"/>
  <c r="C155" i="39"/>
  <c r="C52" i="39"/>
  <c r="F27" i="74"/>
  <c r="E150" i="116" s="1"/>
  <c r="C60" i="39"/>
  <c r="J181" i="39"/>
  <c r="K40" i="103"/>
  <c r="J200" i="39"/>
  <c r="G210" i="39"/>
  <c r="K219" i="80"/>
  <c r="K221" i="80" s="1"/>
  <c r="T219" i="80"/>
  <c r="T221" i="80" s="1"/>
  <c r="Q219" i="80"/>
  <c r="Q221" i="80" s="1"/>
  <c r="O202" i="39"/>
  <c r="AC202" i="39"/>
  <c r="P202" i="39"/>
  <c r="R200" i="39"/>
  <c r="AB200" i="39"/>
  <c r="AE158" i="80"/>
  <c r="AB171" i="80"/>
  <c r="Y368" i="39"/>
  <c r="AA369" i="39"/>
  <c r="P369" i="39"/>
  <c r="U369" i="39"/>
  <c r="F370" i="39"/>
  <c r="V366" i="39"/>
  <c r="F366" i="39"/>
  <c r="Z367" i="39"/>
  <c r="X364" i="39"/>
  <c r="V364" i="39"/>
  <c r="Y365" i="39"/>
  <c r="I155" i="103"/>
  <c r="H156" i="103"/>
  <c r="H159" i="103"/>
  <c r="K183" i="39"/>
  <c r="J183" i="39"/>
  <c r="C24" i="39"/>
  <c r="AA228" i="39"/>
  <c r="S228" i="39"/>
  <c r="Q228" i="39"/>
  <c r="P228" i="39"/>
  <c r="W228" i="39"/>
  <c r="N228" i="39"/>
  <c r="AE228" i="39"/>
  <c r="Z228" i="39"/>
  <c r="R228" i="39"/>
  <c r="Y228" i="39"/>
  <c r="X228" i="39"/>
  <c r="V228" i="39"/>
  <c r="AC228" i="39"/>
  <c r="U228" i="39"/>
  <c r="AB228" i="39"/>
  <c r="T228" i="39"/>
  <c r="L228" i="39"/>
  <c r="O228" i="39"/>
  <c r="K228" i="39"/>
  <c r="AD228" i="39"/>
  <c r="N234" i="39"/>
  <c r="P231" i="39"/>
  <c r="N231" i="39"/>
  <c r="Q231" i="39"/>
  <c r="K231" i="39"/>
  <c r="O231" i="39"/>
  <c r="M231" i="39"/>
  <c r="L231" i="39"/>
  <c r="P229" i="39"/>
  <c r="N229" i="39"/>
  <c r="K229" i="39"/>
  <c r="L229" i="39"/>
  <c r="O229" i="39"/>
  <c r="M229" i="39"/>
  <c r="Q229" i="39"/>
  <c r="R234" i="39"/>
  <c r="P234" i="39"/>
  <c r="S234" i="39"/>
  <c r="AC230" i="39"/>
  <c r="U230" i="39"/>
  <c r="M230" i="39"/>
  <c r="AA230" i="39"/>
  <c r="R230" i="39"/>
  <c r="Y230" i="39"/>
  <c r="P230" i="39"/>
  <c r="AB230" i="39"/>
  <c r="T230" i="39"/>
  <c r="L230" i="39"/>
  <c r="S230" i="39"/>
  <c r="K230" i="39"/>
  <c r="Z230" i="39"/>
  <c r="W230" i="39"/>
  <c r="O230" i="39"/>
  <c r="AD230" i="39"/>
  <c r="V230" i="39"/>
  <c r="N230" i="39"/>
  <c r="AE230" i="39"/>
  <c r="Q230" i="39"/>
  <c r="X230" i="39"/>
  <c r="O232" i="39"/>
  <c r="R232" i="39"/>
  <c r="K232" i="39"/>
  <c r="N232" i="39"/>
  <c r="L232" i="39"/>
  <c r="Q232" i="39"/>
  <c r="P232" i="39"/>
  <c r="S232" i="39"/>
  <c r="Q234" i="39"/>
  <c r="AE370" i="39"/>
  <c r="AD370" i="39"/>
  <c r="K370" i="39"/>
  <c r="K234" i="39"/>
  <c r="AB370" i="39"/>
  <c r="W370" i="39"/>
  <c r="AC370" i="39"/>
  <c r="X370" i="39"/>
  <c r="Y370" i="39"/>
  <c r="Z370" i="39"/>
  <c r="AA370" i="39"/>
  <c r="K219" i="39"/>
  <c r="K221" i="39"/>
  <c r="K159" i="80"/>
  <c r="G214" i="39"/>
  <c r="N220" i="39"/>
  <c r="K220" i="39"/>
  <c r="Q220" i="39"/>
  <c r="P220" i="39"/>
  <c r="M220" i="39"/>
  <c r="O220" i="39"/>
  <c r="L220" i="39"/>
  <c r="X219" i="39"/>
  <c r="P219" i="39"/>
  <c r="W219" i="39"/>
  <c r="O219" i="39"/>
  <c r="AB219" i="39"/>
  <c r="L219" i="39"/>
  <c r="S219" i="39"/>
  <c r="Z219" i="39"/>
  <c r="R219" i="39"/>
  <c r="Q219" i="39"/>
  <c r="AE219" i="39"/>
  <c r="AD219" i="39"/>
  <c r="V219" i="39"/>
  <c r="N219" i="39"/>
  <c r="AC219" i="39"/>
  <c r="U219" i="39"/>
  <c r="M219" i="39"/>
  <c r="T219" i="39"/>
  <c r="AA219" i="39"/>
  <c r="Y219" i="39"/>
  <c r="M222" i="39"/>
  <c r="L222" i="39"/>
  <c r="K222" i="39"/>
  <c r="N222" i="39"/>
  <c r="Q222" i="39"/>
  <c r="P222" i="39"/>
  <c r="O222" i="39"/>
  <c r="X221" i="39"/>
  <c r="P221" i="39"/>
  <c r="W221" i="39"/>
  <c r="O221" i="39"/>
  <c r="T221" i="39"/>
  <c r="AA221" i="39"/>
  <c r="Q221" i="39"/>
  <c r="AD221" i="39"/>
  <c r="V221" i="39"/>
  <c r="N221" i="39"/>
  <c r="AC221" i="39"/>
  <c r="U221" i="39"/>
  <c r="M221" i="39"/>
  <c r="AB221" i="39"/>
  <c r="L221" i="39"/>
  <c r="S221" i="39"/>
  <c r="Z221" i="39"/>
  <c r="R221" i="39"/>
  <c r="Y221" i="39"/>
  <c r="AE221" i="39"/>
  <c r="N225" i="39"/>
  <c r="K225" i="39"/>
  <c r="M225" i="39"/>
  <c r="S225" i="39"/>
  <c r="R225" i="39"/>
  <c r="Q225" i="39"/>
  <c r="P225" i="39"/>
  <c r="O225" i="39"/>
  <c r="L225" i="39"/>
  <c r="N223" i="39"/>
  <c r="K223" i="39"/>
  <c r="O223" i="39"/>
  <c r="L223" i="39"/>
  <c r="S223" i="39"/>
  <c r="R223" i="39"/>
  <c r="Q223" i="39"/>
  <c r="P223" i="39"/>
  <c r="G211" i="39"/>
  <c r="J150" i="103"/>
  <c r="I204" i="39"/>
  <c r="J204" i="39"/>
  <c r="K150" i="103"/>
  <c r="G213" i="39"/>
  <c r="G209" i="39"/>
  <c r="L205" i="39"/>
  <c r="M151" i="103"/>
  <c r="P151" i="103"/>
  <c r="O205" i="39"/>
  <c r="K151" i="103"/>
  <c r="J205" i="39"/>
  <c r="M205" i="39"/>
  <c r="N151" i="103"/>
  <c r="Q151" i="103"/>
  <c r="P205" i="39"/>
  <c r="K205" i="39"/>
  <c r="L151" i="103"/>
  <c r="O151" i="103"/>
  <c r="N205" i="39"/>
  <c r="J151" i="103"/>
  <c r="I205" i="39"/>
  <c r="S205" i="39"/>
  <c r="T151" i="103"/>
  <c r="R151" i="103"/>
  <c r="Q205" i="39"/>
  <c r="S151" i="103"/>
  <c r="R205" i="39"/>
  <c r="G215" i="39"/>
  <c r="M149" i="103"/>
  <c r="L203" i="39"/>
  <c r="Y203" i="39"/>
  <c r="Z149" i="103"/>
  <c r="K203" i="39"/>
  <c r="L149" i="103"/>
  <c r="U149" i="103"/>
  <c r="T203" i="39"/>
  <c r="V203" i="39"/>
  <c r="W149" i="103"/>
  <c r="T149" i="103"/>
  <c r="S203" i="39"/>
  <c r="AC149" i="103"/>
  <c r="AB203" i="39"/>
  <c r="V149" i="103"/>
  <c r="U203" i="39"/>
  <c r="P149" i="103"/>
  <c r="O203" i="39"/>
  <c r="R203" i="39"/>
  <c r="S149" i="103"/>
  <c r="Z203" i="39"/>
  <c r="AA149" i="103"/>
  <c r="AC203" i="39"/>
  <c r="AD149" i="103"/>
  <c r="X149" i="103"/>
  <c r="W203" i="39"/>
  <c r="AB149" i="103"/>
  <c r="AA203" i="39"/>
  <c r="I203" i="39"/>
  <c r="J149" i="103"/>
  <c r="J203" i="39"/>
  <c r="K149" i="103"/>
  <c r="O149" i="103"/>
  <c r="N203" i="39"/>
  <c r="AE149" i="103"/>
  <c r="AD203" i="39"/>
  <c r="AF149" i="103"/>
  <c r="M203" i="39"/>
  <c r="N149" i="103"/>
  <c r="P203" i="39"/>
  <c r="Q149" i="103"/>
  <c r="Q203" i="39"/>
  <c r="R149" i="103"/>
  <c r="X203" i="39"/>
  <c r="Y149" i="103"/>
  <c r="Y148" i="103"/>
  <c r="X201" i="39"/>
  <c r="AC148" i="103"/>
  <c r="AB201" i="39"/>
  <c r="N201" i="39"/>
  <c r="O148" i="103"/>
  <c r="Q201" i="39"/>
  <c r="R148" i="103"/>
  <c r="Z148" i="103"/>
  <c r="Y201" i="39"/>
  <c r="J201" i="39"/>
  <c r="K148" i="103"/>
  <c r="AD201" i="39"/>
  <c r="AE148" i="103"/>
  <c r="K201" i="39"/>
  <c r="L148" i="103"/>
  <c r="N148" i="103"/>
  <c r="M201" i="39"/>
  <c r="Z201" i="39"/>
  <c r="AA148" i="103"/>
  <c r="P148" i="103"/>
  <c r="O201" i="39"/>
  <c r="S201" i="39"/>
  <c r="T148" i="103"/>
  <c r="V148" i="103"/>
  <c r="U201" i="39"/>
  <c r="J148" i="103"/>
  <c r="I201" i="39"/>
  <c r="X148" i="103"/>
  <c r="W201" i="39"/>
  <c r="AA201" i="39"/>
  <c r="AB148" i="103"/>
  <c r="AD148" i="103"/>
  <c r="AC201" i="39"/>
  <c r="W148" i="103"/>
  <c r="V201" i="39"/>
  <c r="AF148" i="103"/>
  <c r="M148" i="103"/>
  <c r="L201" i="39"/>
  <c r="R201" i="39"/>
  <c r="S148" i="103"/>
  <c r="P201" i="39"/>
  <c r="Q148" i="103"/>
  <c r="U148" i="103"/>
  <c r="T201" i="39"/>
  <c r="K202" i="39"/>
  <c r="K200" i="39"/>
  <c r="S147" i="103"/>
  <c r="R199" i="39"/>
  <c r="L199" i="39"/>
  <c r="M147" i="103"/>
  <c r="AD199" i="39"/>
  <c r="AE147" i="103"/>
  <c r="R147" i="103"/>
  <c r="Q199" i="39"/>
  <c r="U147" i="103"/>
  <c r="T199" i="39"/>
  <c r="Q147" i="103"/>
  <c r="P199" i="39"/>
  <c r="Y199" i="39"/>
  <c r="Z147" i="103"/>
  <c r="N147" i="103"/>
  <c r="M199" i="39"/>
  <c r="Z199" i="39"/>
  <c r="AA147" i="103"/>
  <c r="V147" i="103"/>
  <c r="U199" i="39"/>
  <c r="X147" i="103"/>
  <c r="W199" i="39"/>
  <c r="AB199" i="39"/>
  <c r="AC147" i="103"/>
  <c r="L147" i="103"/>
  <c r="K199" i="39"/>
  <c r="AD147" i="103"/>
  <c r="AC199" i="39"/>
  <c r="AF147" i="103"/>
  <c r="Y147" i="103"/>
  <c r="X199" i="39"/>
  <c r="J147" i="103"/>
  <c r="I199" i="39"/>
  <c r="T147" i="103"/>
  <c r="S199" i="39"/>
  <c r="N199" i="39"/>
  <c r="O147" i="103"/>
  <c r="J199" i="39"/>
  <c r="K147" i="103"/>
  <c r="P147" i="103"/>
  <c r="O199" i="39"/>
  <c r="AA199" i="39"/>
  <c r="AB147" i="103"/>
  <c r="V199" i="39"/>
  <c r="W147" i="103"/>
  <c r="G167" i="103"/>
  <c r="I167" i="103"/>
  <c r="H167" i="103"/>
  <c r="H56" i="103"/>
  <c r="G56" i="103"/>
  <c r="I56" i="103"/>
  <c r="N162" i="80"/>
  <c r="L162" i="80"/>
  <c r="K162" i="80"/>
  <c r="M162" i="80"/>
  <c r="J162" i="80"/>
  <c r="T368" i="39"/>
  <c r="T365" i="39"/>
  <c r="R370" i="39"/>
  <c r="P370" i="39"/>
  <c r="O364" i="39"/>
  <c r="U366" i="39"/>
  <c r="P364" i="39"/>
  <c r="O366" i="39"/>
  <c r="L366" i="39"/>
  <c r="T370" i="39"/>
  <c r="O370" i="39"/>
  <c r="N368" i="39"/>
  <c r="U365" i="39"/>
  <c r="L367" i="39"/>
  <c r="N366" i="39"/>
  <c r="P366" i="39"/>
  <c r="O367" i="39"/>
  <c r="Q370" i="39"/>
  <c r="L368" i="39"/>
  <c r="R365" i="39"/>
  <c r="R367" i="39"/>
  <c r="M367" i="39"/>
  <c r="R368" i="39"/>
  <c r="P367" i="39"/>
  <c r="V370" i="39"/>
  <c r="R364" i="39"/>
  <c r="P365" i="39"/>
  <c r="N365" i="39"/>
  <c r="S367" i="39"/>
  <c r="Q366" i="39"/>
  <c r="S370" i="39"/>
  <c r="P368" i="39"/>
  <c r="L364" i="39"/>
  <c r="O365" i="39"/>
  <c r="U367" i="39"/>
  <c r="Q367" i="39"/>
  <c r="T366" i="39"/>
  <c r="O368" i="39"/>
  <c r="U364" i="39"/>
  <c r="U368" i="39"/>
  <c r="N364" i="39"/>
  <c r="S368" i="39"/>
  <c r="M368" i="39"/>
  <c r="T364" i="39"/>
  <c r="N367" i="39"/>
  <c r="S366" i="39"/>
  <c r="S365" i="39"/>
  <c r="U370" i="39"/>
  <c r="N370" i="39"/>
  <c r="L365" i="39"/>
  <c r="R366" i="39"/>
  <c r="L370" i="39"/>
  <c r="Q368" i="39"/>
  <c r="Q364" i="39"/>
  <c r="S364" i="39"/>
  <c r="Q365" i="39"/>
  <c r="M365" i="39"/>
  <c r="T367" i="39"/>
  <c r="M366" i="39"/>
  <c r="T4" i="114"/>
  <c r="Z4" i="114"/>
  <c r="K4" i="114"/>
  <c r="K13" i="114" s="1"/>
  <c r="Q4" i="114"/>
  <c r="AD4" i="114"/>
  <c r="N4" i="114"/>
  <c r="AC4" i="114"/>
  <c r="S4" i="114"/>
  <c r="P4" i="114"/>
  <c r="AA4" i="114"/>
  <c r="AE4" i="114"/>
  <c r="Y4" i="114"/>
  <c r="V4" i="114"/>
  <c r="L4" i="114"/>
  <c r="W4" i="114"/>
  <c r="M4" i="114"/>
  <c r="R4" i="114"/>
  <c r="X4" i="114"/>
  <c r="O4" i="114"/>
  <c r="AB4" i="114"/>
  <c r="U4" i="114"/>
  <c r="C98" i="39"/>
  <c r="C71" i="39"/>
  <c r="C70" i="39"/>
  <c r="C97" i="39"/>
  <c r="D95" i="39"/>
  <c r="D68" i="39"/>
  <c r="C92" i="39"/>
  <c r="C65" i="39"/>
  <c r="D94" i="39"/>
  <c r="D67" i="39"/>
  <c r="D93" i="39"/>
  <c r="D66" i="39"/>
  <c r="D92" i="39"/>
  <c r="D65" i="39"/>
  <c r="C94" i="39"/>
  <c r="C67" i="39"/>
  <c r="C66" i="39"/>
  <c r="C93" i="39"/>
  <c r="C69" i="39"/>
  <c r="C96" i="39"/>
  <c r="D71" i="39"/>
  <c r="D98" i="39"/>
  <c r="C95" i="39"/>
  <c r="C68" i="39"/>
  <c r="D97" i="39"/>
  <c r="D70" i="39"/>
  <c r="D96" i="39"/>
  <c r="D69" i="39"/>
  <c r="Q97" i="39"/>
  <c r="L61" i="39"/>
  <c r="X97" i="39"/>
  <c r="P97" i="39"/>
  <c r="AC97" i="39"/>
  <c r="K61" i="39"/>
  <c r="AC61" i="39"/>
  <c r="Y97" i="39"/>
  <c r="R97" i="39"/>
  <c r="N97" i="39"/>
  <c r="Q61" i="39"/>
  <c r="P61" i="39"/>
  <c r="V97" i="39"/>
  <c r="Z61" i="39"/>
  <c r="X61" i="39"/>
  <c r="AA97" i="39"/>
  <c r="L97" i="39"/>
  <c r="AD97" i="39"/>
  <c r="V61" i="39"/>
  <c r="U97" i="39"/>
  <c r="Y61" i="39"/>
  <c r="M61" i="39"/>
  <c r="E17" i="114"/>
  <c r="T97" i="39"/>
  <c r="AA61" i="39"/>
  <c r="W61" i="39"/>
  <c r="O97" i="39"/>
  <c r="AB97" i="39"/>
  <c r="S61" i="39"/>
  <c r="W97" i="39"/>
  <c r="AD61" i="39"/>
  <c r="R61" i="39"/>
  <c r="Z97" i="39"/>
  <c r="O61" i="39"/>
  <c r="AB61" i="39"/>
  <c r="N61" i="39"/>
  <c r="AE61" i="39"/>
  <c r="S97" i="39"/>
  <c r="AE97" i="39"/>
  <c r="M97" i="39"/>
  <c r="G206" i="39"/>
  <c r="O89" i="80"/>
  <c r="AA89" i="80"/>
  <c r="Z89" i="80"/>
  <c r="P89" i="80"/>
  <c r="AC89" i="80"/>
  <c r="V89" i="80"/>
  <c r="W89" i="80"/>
  <c r="X89" i="80"/>
  <c r="AE89" i="80"/>
  <c r="AD89" i="80"/>
  <c r="AB89" i="80"/>
  <c r="Y89" i="80"/>
  <c r="F206" i="39"/>
  <c r="H206" i="39"/>
  <c r="L254" i="39"/>
  <c r="U254" i="39"/>
  <c r="X254" i="39"/>
  <c r="Q254" i="39"/>
  <c r="AB254" i="39"/>
  <c r="Y254" i="39"/>
  <c r="T254" i="39"/>
  <c r="Z254" i="39"/>
  <c r="R254" i="39"/>
  <c r="AA254" i="39"/>
  <c r="AD254" i="39"/>
  <c r="AE254" i="39"/>
  <c r="AC254" i="39"/>
  <c r="S254" i="39"/>
  <c r="V254" i="39"/>
  <c r="W254" i="39"/>
  <c r="R12" i="39"/>
  <c r="U12" i="39"/>
  <c r="S12" i="39"/>
  <c r="Q12" i="39"/>
  <c r="T12" i="39"/>
  <c r="O254" i="39"/>
  <c r="P254" i="39"/>
  <c r="M12" i="75"/>
  <c r="D152" i="39"/>
  <c r="M14" i="75"/>
  <c r="D150" i="39"/>
  <c r="M13" i="75"/>
  <c r="D149" i="39"/>
  <c r="K17" i="39"/>
  <c r="L12" i="39"/>
  <c r="F9" i="74"/>
  <c r="E132" i="116" s="1"/>
  <c r="F9" i="75"/>
  <c r="K254" i="39"/>
  <c r="L108" i="39"/>
  <c r="J108" i="39"/>
  <c r="K108" i="39"/>
  <c r="F27" i="75"/>
  <c r="J89" i="80"/>
  <c r="G67" i="80"/>
  <c r="F67" i="80"/>
  <c r="H67" i="80"/>
  <c r="D49" i="39"/>
  <c r="J37" i="74"/>
  <c r="I173" i="116" s="1"/>
  <c r="N376" i="39"/>
  <c r="D60" i="51"/>
  <c r="D62" i="51"/>
  <c r="D65" i="51"/>
  <c r="D61" i="51"/>
  <c r="D63" i="51"/>
  <c r="D66" i="51"/>
  <c r="D64" i="51"/>
  <c r="D37" i="51"/>
  <c r="D158" i="39"/>
  <c r="D163" i="39"/>
  <c r="D164" i="39"/>
  <c r="D161" i="39"/>
  <c r="D159" i="39"/>
  <c r="D162" i="39"/>
  <c r="J38" i="74"/>
  <c r="I174" i="116" s="1"/>
  <c r="J36" i="74"/>
  <c r="I172" i="116" s="1"/>
  <c r="J35" i="74"/>
  <c r="I171" i="116" s="1"/>
  <c r="J39" i="74"/>
  <c r="I175" i="116" s="1"/>
  <c r="J34" i="74"/>
  <c r="I170" i="116" s="1"/>
  <c r="J40" i="74"/>
  <c r="I176" i="116" s="1"/>
  <c r="F38" i="74"/>
  <c r="E163" i="116" s="1"/>
  <c r="F39" i="74"/>
  <c r="E164" i="116" s="1"/>
  <c r="F34" i="74"/>
  <c r="E159" i="116" s="1"/>
  <c r="F35" i="74"/>
  <c r="E160" i="116" s="1"/>
  <c r="F40" i="74"/>
  <c r="E165" i="116" s="1"/>
  <c r="F37" i="74"/>
  <c r="E162" i="116" s="1"/>
  <c r="F36" i="74"/>
  <c r="E161" i="116" s="1"/>
  <c r="M29" i="74"/>
  <c r="M162" i="116" s="1"/>
  <c r="M26" i="74"/>
  <c r="M159" i="116" s="1"/>
  <c r="M27" i="74"/>
  <c r="M160" i="116" s="1"/>
  <c r="M28" i="74"/>
  <c r="M161" i="116" s="1"/>
  <c r="M20" i="74"/>
  <c r="M143" i="116" s="1"/>
  <c r="F20" i="75"/>
  <c r="F19" i="75"/>
  <c r="M11" i="19"/>
  <c r="M11" i="75"/>
  <c r="M11" i="74"/>
  <c r="M134" i="116" s="1"/>
  <c r="M10" i="19"/>
  <c r="M10" i="75"/>
  <c r="M10" i="74"/>
  <c r="M133" i="116" s="1"/>
  <c r="M12" i="19"/>
  <c r="M12" i="74"/>
  <c r="M135" i="116" s="1"/>
  <c r="M13" i="19"/>
  <c r="M13" i="74"/>
  <c r="M136" i="116" s="1"/>
  <c r="M14" i="19"/>
  <c r="M14" i="74"/>
  <c r="M137" i="116" s="1"/>
  <c r="M9" i="19"/>
  <c r="M9" i="75"/>
  <c r="M9" i="74"/>
  <c r="M132" i="116" s="1"/>
  <c r="M8" i="19"/>
  <c r="M8" i="74"/>
  <c r="M131" i="116" s="1"/>
  <c r="M8" i="75"/>
  <c r="F14" i="74"/>
  <c r="E137" i="116" s="1"/>
  <c r="F12" i="74"/>
  <c r="E135" i="116" s="1"/>
  <c r="F11" i="75"/>
  <c r="F10" i="75"/>
  <c r="F8" i="75"/>
  <c r="F13" i="74"/>
  <c r="E136" i="116" s="1"/>
  <c r="D134" i="39"/>
  <c r="D135" i="39"/>
  <c r="D132" i="39"/>
  <c r="D136" i="39"/>
  <c r="D131" i="39"/>
  <c r="D51" i="39"/>
  <c r="J34" i="19"/>
  <c r="D48" i="39"/>
  <c r="J40" i="19"/>
  <c r="F40" i="19"/>
  <c r="F37" i="19"/>
  <c r="D53" i="39"/>
  <c r="J36" i="19"/>
  <c r="F34" i="19"/>
  <c r="D50" i="39"/>
  <c r="J38" i="19"/>
  <c r="F39" i="19"/>
  <c r="F38" i="19"/>
  <c r="D52" i="39"/>
  <c r="J35" i="19"/>
  <c r="F36" i="19"/>
  <c r="F35" i="19"/>
  <c r="D47" i="39"/>
  <c r="J39" i="19"/>
  <c r="D137" i="39"/>
  <c r="F27" i="19"/>
  <c r="D62" i="39"/>
  <c r="F10" i="19"/>
  <c r="D61" i="39"/>
  <c r="F9" i="19"/>
  <c r="D60" i="39"/>
  <c r="F8" i="19"/>
  <c r="D59" i="39"/>
  <c r="F12" i="19"/>
  <c r="D58" i="39"/>
  <c r="F11" i="19"/>
  <c r="D57" i="39"/>
  <c r="F14" i="19"/>
  <c r="D56" i="39"/>
  <c r="F13" i="19"/>
  <c r="J376" i="39"/>
  <c r="M376" i="39"/>
  <c r="K376" i="39"/>
  <c r="L376" i="39"/>
  <c r="C34" i="39"/>
  <c r="D30" i="39"/>
  <c r="C32" i="39"/>
  <c r="D32" i="39"/>
  <c r="C35" i="39"/>
  <c r="D31" i="39"/>
  <c r="D29" i="39"/>
  <c r="C31" i="39"/>
  <c r="C30" i="39"/>
  <c r="D34" i="39"/>
  <c r="C33" i="39"/>
  <c r="D35" i="39"/>
  <c r="D33" i="39"/>
  <c r="C29" i="39"/>
  <c r="G151" i="39"/>
  <c r="G153" i="39"/>
  <c r="G152" i="39"/>
  <c r="G154" i="39"/>
  <c r="H150" i="39"/>
  <c r="D24" i="39"/>
  <c r="M29" i="19"/>
  <c r="M28" i="19"/>
  <c r="D23" i="39"/>
  <c r="D9" i="39"/>
  <c r="D16" i="39"/>
  <c r="D11" i="39"/>
  <c r="M26" i="19"/>
  <c r="D13" i="39"/>
  <c r="F26" i="19"/>
  <c r="C13" i="39"/>
  <c r="F20" i="19"/>
  <c r="D17" i="39"/>
  <c r="M27" i="19"/>
  <c r="D8" i="39"/>
  <c r="C16" i="39"/>
  <c r="D22" i="39"/>
  <c r="D12" i="39"/>
  <c r="F19" i="19"/>
  <c r="C12" i="39"/>
  <c r="J349" i="39" l="1"/>
  <c r="J348" i="39"/>
  <c r="J350" i="39"/>
  <c r="J346" i="39"/>
  <c r="J344" i="39"/>
  <c r="J345" i="39"/>
  <c r="J347" i="39"/>
  <c r="K349" i="39"/>
  <c r="K344" i="39"/>
  <c r="K348" i="39"/>
  <c r="K350" i="39"/>
  <c r="K345" i="39"/>
  <c r="K346" i="39"/>
  <c r="K347" i="39"/>
  <c r="L264" i="39"/>
  <c r="L320" i="39" s="1"/>
  <c r="X16" i="114"/>
  <c r="T16" i="114"/>
  <c r="S16" i="114"/>
  <c r="D17" i="114"/>
  <c r="AE17" i="114" s="1"/>
  <c r="W15" i="114"/>
  <c r="AC16" i="114"/>
  <c r="Z15" i="114"/>
  <c r="AC15" i="114"/>
  <c r="AB15" i="114"/>
  <c r="U20" i="114"/>
  <c r="U19" i="114"/>
  <c r="U22" i="114"/>
  <c r="U12" i="114"/>
  <c r="U21" i="114"/>
  <c r="U13" i="114"/>
  <c r="V22" i="114"/>
  <c r="V13" i="114"/>
  <c r="V21" i="114"/>
  <c r="V20" i="114"/>
  <c r="AD22" i="114"/>
  <c r="AD12" i="114"/>
  <c r="AD15" i="114"/>
  <c r="AD13" i="114"/>
  <c r="AD14" i="114"/>
  <c r="AD21" i="114"/>
  <c r="AB12" i="114"/>
  <c r="AB13" i="114"/>
  <c r="AB20" i="114"/>
  <c r="AB22" i="114"/>
  <c r="AB21" i="114"/>
  <c r="Y21" i="114"/>
  <c r="Y20" i="114"/>
  <c r="Y22" i="114"/>
  <c r="Q12" i="114"/>
  <c r="Q13" i="114"/>
  <c r="Q21" i="114"/>
  <c r="Q18" i="114"/>
  <c r="Q20" i="114"/>
  <c r="Q17" i="114"/>
  <c r="Q16" i="114"/>
  <c r="Q15" i="114"/>
  <c r="Q22" i="114"/>
  <c r="Q19" i="114"/>
  <c r="U15" i="114"/>
  <c r="O12" i="114"/>
  <c r="O21" i="114"/>
  <c r="O18" i="114"/>
  <c r="O15" i="114"/>
  <c r="O19" i="114"/>
  <c r="O16" i="114"/>
  <c r="O14" i="114"/>
  <c r="O13" i="114"/>
  <c r="O17" i="114"/>
  <c r="O20" i="114"/>
  <c r="O22" i="114"/>
  <c r="AA12" i="114"/>
  <c r="AA20" i="114"/>
  <c r="AA22" i="114"/>
  <c r="AA21" i="114"/>
  <c r="V15" i="114"/>
  <c r="T19" i="114"/>
  <c r="T20" i="114"/>
  <c r="T22" i="114"/>
  <c r="T12" i="114"/>
  <c r="T21" i="114"/>
  <c r="T18" i="114"/>
  <c r="T13" i="114"/>
  <c r="AB16" i="114"/>
  <c r="AE16" i="114"/>
  <c r="AE22" i="114"/>
  <c r="AE15" i="114"/>
  <c r="AE14" i="114"/>
  <c r="AE13" i="114"/>
  <c r="AE12" i="114"/>
  <c r="X21" i="114"/>
  <c r="X20" i="114"/>
  <c r="X22" i="114"/>
  <c r="P19" i="114"/>
  <c r="P12" i="114"/>
  <c r="P15" i="114"/>
  <c r="P16" i="114"/>
  <c r="P14" i="114"/>
  <c r="P21" i="114"/>
  <c r="P18" i="114"/>
  <c r="P13" i="114"/>
  <c r="P17" i="114"/>
  <c r="P20" i="114"/>
  <c r="P22" i="114"/>
  <c r="M20" i="114"/>
  <c r="M12" i="114"/>
  <c r="M22" i="114"/>
  <c r="M19" i="114"/>
  <c r="M21" i="114"/>
  <c r="M18" i="114"/>
  <c r="M13" i="114"/>
  <c r="M17" i="114"/>
  <c r="M16" i="114"/>
  <c r="M15" i="114"/>
  <c r="M14" i="114"/>
  <c r="S17" i="114"/>
  <c r="S18" i="114"/>
  <c r="S22" i="114"/>
  <c r="S20" i="114"/>
  <c r="S19" i="114"/>
  <c r="S12" i="114"/>
  <c r="S21" i="114"/>
  <c r="S13" i="114"/>
  <c r="S15" i="114"/>
  <c r="X15" i="114"/>
  <c r="K17" i="114"/>
  <c r="K16" i="114"/>
  <c r="K15" i="114"/>
  <c r="K14" i="114"/>
  <c r="K22" i="114"/>
  <c r="K20" i="114"/>
  <c r="K18" i="114"/>
  <c r="K19" i="114"/>
  <c r="K12" i="114"/>
  <c r="K21" i="114"/>
  <c r="R21" i="114"/>
  <c r="R18" i="114"/>
  <c r="R13" i="114"/>
  <c r="R17" i="114"/>
  <c r="R22" i="114"/>
  <c r="R16" i="114"/>
  <c r="R20" i="114"/>
  <c r="R12" i="114"/>
  <c r="R19" i="114"/>
  <c r="W21" i="114"/>
  <c r="W20" i="114"/>
  <c r="W22" i="114"/>
  <c r="AC20" i="114"/>
  <c r="AC22" i="114"/>
  <c r="AC12" i="114"/>
  <c r="AC14" i="114"/>
  <c r="AC13" i="114"/>
  <c r="AC21" i="114"/>
  <c r="AA15" i="114"/>
  <c r="Y15" i="114"/>
  <c r="AA16" i="114"/>
  <c r="Z21" i="114"/>
  <c r="Z22" i="114"/>
  <c r="Z20" i="114"/>
  <c r="L14" i="114"/>
  <c r="L20" i="114"/>
  <c r="L19" i="114"/>
  <c r="L17" i="114"/>
  <c r="L15" i="114"/>
  <c r="L22" i="114"/>
  <c r="L12" i="114"/>
  <c r="L21" i="114"/>
  <c r="L18" i="114"/>
  <c r="L13" i="114"/>
  <c r="L16" i="114"/>
  <c r="N22" i="114"/>
  <c r="N12" i="114"/>
  <c r="N21" i="114"/>
  <c r="N18" i="114"/>
  <c r="N20" i="114"/>
  <c r="N19" i="114"/>
  <c r="N13" i="114"/>
  <c r="N17" i="114"/>
  <c r="N16" i="114"/>
  <c r="N15" i="114"/>
  <c r="N14" i="114"/>
  <c r="T15" i="114"/>
  <c r="R15" i="114"/>
  <c r="W16" i="114"/>
  <c r="U16" i="114"/>
  <c r="W13" i="114"/>
  <c r="AA13" i="114"/>
  <c r="Z13" i="114"/>
  <c r="Y13" i="114"/>
  <c r="X13" i="114"/>
  <c r="Y16" i="114"/>
  <c r="V16" i="114"/>
  <c r="Z14" i="114"/>
  <c r="W14" i="114"/>
  <c r="R14" i="114"/>
  <c r="X14" i="114"/>
  <c r="V14" i="114"/>
  <c r="Y14" i="114"/>
  <c r="U14" i="114"/>
  <c r="Q14" i="114"/>
  <c r="AB14" i="114"/>
  <c r="T14" i="114"/>
  <c r="AA14" i="114"/>
  <c r="S14" i="114"/>
  <c r="Z16" i="114"/>
  <c r="AD16" i="114"/>
  <c r="V12" i="114"/>
  <c r="Z12" i="114"/>
  <c r="Y12" i="114"/>
  <c r="W12" i="114"/>
  <c r="X12" i="114"/>
  <c r="M264" i="39"/>
  <c r="M371" i="39"/>
  <c r="AE200" i="39"/>
  <c r="AE202" i="39"/>
  <c r="AE199" i="39"/>
  <c r="AE201" i="39"/>
  <c r="AE203" i="39"/>
  <c r="AE194" i="39"/>
  <c r="F359" i="39"/>
  <c r="I166" i="103"/>
  <c r="I165" i="103" s="1"/>
  <c r="I168" i="103" s="1"/>
  <c r="O221" i="80"/>
  <c r="J221" i="80"/>
  <c r="J250" i="80"/>
  <c r="P221" i="80"/>
  <c r="P250" i="80"/>
  <c r="L221" i="80"/>
  <c r="L250" i="80"/>
  <c r="K250" i="80"/>
  <c r="H166" i="103"/>
  <c r="H165" i="103" s="1"/>
  <c r="H168" i="103" s="1"/>
  <c r="G166" i="103"/>
  <c r="G165" i="103" s="1"/>
  <c r="G168" i="103" s="1"/>
  <c r="F360" i="39"/>
  <c r="H354" i="39"/>
  <c r="F358" i="39"/>
  <c r="F357" i="39"/>
  <c r="H355" i="39"/>
  <c r="F356" i="39"/>
  <c r="Y48" i="103"/>
  <c r="M47" i="103"/>
  <c r="P48" i="103"/>
  <c r="Q48" i="103"/>
  <c r="Q52" i="103"/>
  <c r="G356" i="39"/>
  <c r="G355" i="39"/>
  <c r="H359" i="39"/>
  <c r="X48" i="103"/>
  <c r="Z48" i="103"/>
  <c r="N49" i="103"/>
  <c r="O49" i="103"/>
  <c r="H358" i="39"/>
  <c r="G357" i="39"/>
  <c r="I356" i="39"/>
  <c r="S48" i="103"/>
  <c r="P52" i="103"/>
  <c r="R48" i="103"/>
  <c r="L48" i="103"/>
  <c r="S52" i="103"/>
  <c r="L47" i="103"/>
  <c r="P49" i="103"/>
  <c r="T48" i="103"/>
  <c r="I357" i="39"/>
  <c r="K233" i="39"/>
  <c r="L52" i="103"/>
  <c r="O48" i="103"/>
  <c r="M48" i="103"/>
  <c r="V48" i="103"/>
  <c r="N47" i="103"/>
  <c r="O47" i="103"/>
  <c r="L49" i="103"/>
  <c r="M52" i="103"/>
  <c r="G360" i="39"/>
  <c r="H357" i="39"/>
  <c r="I355" i="39"/>
  <c r="H356" i="39"/>
  <c r="AB48" i="103"/>
  <c r="R52" i="103"/>
  <c r="AF48" i="103"/>
  <c r="W48" i="103"/>
  <c r="U48" i="103"/>
  <c r="AD48" i="103"/>
  <c r="R47" i="103"/>
  <c r="M49" i="103"/>
  <c r="R49" i="103"/>
  <c r="N52" i="103"/>
  <c r="K378" i="39"/>
  <c r="H360" i="39"/>
  <c r="AA48" i="103"/>
  <c r="I358" i="39"/>
  <c r="N48" i="103"/>
  <c r="Q49" i="103"/>
  <c r="AE48" i="103"/>
  <c r="AC48" i="103"/>
  <c r="T52" i="103"/>
  <c r="P47" i="103"/>
  <c r="Q47" i="103"/>
  <c r="O52" i="103"/>
  <c r="I360" i="39"/>
  <c r="F355" i="39"/>
  <c r="F354" i="39"/>
  <c r="I354" i="39"/>
  <c r="G358" i="39"/>
  <c r="G359" i="39"/>
  <c r="I359" i="39"/>
  <c r="G354" i="39"/>
  <c r="J378" i="39"/>
  <c r="M156" i="103"/>
  <c r="AC157" i="103"/>
  <c r="N159" i="103"/>
  <c r="M159" i="103"/>
  <c r="L156" i="103"/>
  <c r="AA157" i="103"/>
  <c r="X155" i="103"/>
  <c r="H211" i="39"/>
  <c r="V46" i="103"/>
  <c r="O46" i="103"/>
  <c r="H210" i="39"/>
  <c r="H212" i="39"/>
  <c r="Q158" i="80"/>
  <c r="D21" i="114"/>
  <c r="D22" i="114"/>
  <c r="W155" i="103"/>
  <c r="O155" i="103"/>
  <c r="Z155" i="103"/>
  <c r="AE155" i="103"/>
  <c r="AE156" i="103"/>
  <c r="O156" i="103"/>
  <c r="R157" i="103"/>
  <c r="S157" i="103"/>
  <c r="Z157" i="103"/>
  <c r="H213" i="39"/>
  <c r="R50" i="103"/>
  <c r="P50" i="103"/>
  <c r="AE46" i="103"/>
  <c r="AD46" i="103"/>
  <c r="X46" i="103"/>
  <c r="Y155" i="103"/>
  <c r="R155" i="103"/>
  <c r="L158" i="80"/>
  <c r="D20" i="114"/>
  <c r="K155" i="103"/>
  <c r="AC155" i="103"/>
  <c r="Y157" i="103"/>
  <c r="H209" i="39"/>
  <c r="N50" i="103"/>
  <c r="K171" i="80"/>
  <c r="U156" i="103"/>
  <c r="AE157" i="103"/>
  <c r="O50" i="103"/>
  <c r="AD155" i="103"/>
  <c r="Q155" i="103"/>
  <c r="W156" i="103"/>
  <c r="P157" i="103"/>
  <c r="M157" i="103"/>
  <c r="L159" i="103"/>
  <c r="L46" i="103"/>
  <c r="U158" i="80"/>
  <c r="D18" i="114"/>
  <c r="AB155" i="103"/>
  <c r="M155" i="103"/>
  <c r="Q156" i="103"/>
  <c r="AA156" i="103"/>
  <c r="K156" i="103"/>
  <c r="Q157" i="103"/>
  <c r="W157" i="103"/>
  <c r="J159" i="103"/>
  <c r="Q159" i="103"/>
  <c r="P159" i="103"/>
  <c r="K158" i="103"/>
  <c r="L50" i="103"/>
  <c r="P46" i="103"/>
  <c r="Y46" i="103"/>
  <c r="R46" i="103"/>
  <c r="T50" i="103"/>
  <c r="AA46" i="103"/>
  <c r="D19" i="114"/>
  <c r="AB156" i="103"/>
  <c r="R159" i="103"/>
  <c r="Q50" i="103"/>
  <c r="AF46" i="103"/>
  <c r="T157" i="103"/>
  <c r="S158" i="80"/>
  <c r="T155" i="103"/>
  <c r="J156" i="103"/>
  <c r="AC156" i="103"/>
  <c r="X157" i="103"/>
  <c r="T159" i="103"/>
  <c r="Q46" i="103"/>
  <c r="R158" i="80"/>
  <c r="P155" i="103"/>
  <c r="J155" i="103"/>
  <c r="U155" i="103"/>
  <c r="S155" i="103"/>
  <c r="AD156" i="103"/>
  <c r="V156" i="103"/>
  <c r="N156" i="103"/>
  <c r="Z156" i="103"/>
  <c r="Y156" i="103"/>
  <c r="V157" i="103"/>
  <c r="U157" i="103"/>
  <c r="H215" i="39"/>
  <c r="J158" i="103"/>
  <c r="M50" i="103"/>
  <c r="S50" i="103"/>
  <c r="M46" i="103"/>
  <c r="Z46" i="103"/>
  <c r="T46" i="103"/>
  <c r="N155" i="103"/>
  <c r="AC46" i="103"/>
  <c r="T156" i="103"/>
  <c r="R156" i="103"/>
  <c r="J157" i="103"/>
  <c r="L157" i="103"/>
  <c r="K159" i="103"/>
  <c r="N46" i="103"/>
  <c r="T158" i="80"/>
  <c r="J63" i="80"/>
  <c r="X156" i="103"/>
  <c r="P156" i="103"/>
  <c r="AB157" i="103"/>
  <c r="V155" i="103"/>
  <c r="O157" i="103"/>
  <c r="W46" i="103"/>
  <c r="AA155" i="103"/>
  <c r="S156" i="103"/>
  <c r="N157" i="103"/>
  <c r="K157" i="103"/>
  <c r="AD157" i="103"/>
  <c r="S159" i="103"/>
  <c r="O159" i="103"/>
  <c r="H214" i="39"/>
  <c r="U46" i="103"/>
  <c r="S46" i="103"/>
  <c r="AB46" i="103"/>
  <c r="K63" i="80"/>
  <c r="O244" i="39"/>
  <c r="R244" i="39"/>
  <c r="K244" i="39"/>
  <c r="L244" i="39"/>
  <c r="Q244" i="39"/>
  <c r="S244" i="39"/>
  <c r="P244" i="39"/>
  <c r="E18" i="114"/>
  <c r="E21" i="114"/>
  <c r="E22" i="114"/>
  <c r="E19" i="114"/>
  <c r="E20" i="114"/>
  <c r="P241" i="39"/>
  <c r="K241" i="39"/>
  <c r="Q241" i="39"/>
  <c r="L241" i="39"/>
  <c r="O241" i="39"/>
  <c r="P240" i="39"/>
  <c r="W240" i="39"/>
  <c r="X240" i="39"/>
  <c r="Z240" i="39"/>
  <c r="R240" i="39"/>
  <c r="Q240" i="39"/>
  <c r="K240" i="39"/>
  <c r="AA240" i="39"/>
  <c r="Y240" i="39"/>
  <c r="AE240" i="39"/>
  <c r="S240" i="39"/>
  <c r="AB240" i="39"/>
  <c r="O240" i="39"/>
  <c r="L240" i="39"/>
  <c r="U240" i="39"/>
  <c r="AD240" i="39"/>
  <c r="V240" i="39"/>
  <c r="T240" i="39"/>
  <c r="AC240" i="39"/>
  <c r="K239" i="39"/>
  <c r="Q239" i="39"/>
  <c r="O239" i="39"/>
  <c r="P239" i="39"/>
  <c r="L239" i="39"/>
  <c r="W238" i="39"/>
  <c r="P238" i="39"/>
  <c r="O238" i="39"/>
  <c r="X238" i="39"/>
  <c r="Q238" i="39"/>
  <c r="AD238" i="39"/>
  <c r="Y238" i="39"/>
  <c r="S238" i="39"/>
  <c r="U238" i="39"/>
  <c r="AC238" i="39"/>
  <c r="K238" i="39"/>
  <c r="T238" i="39"/>
  <c r="R238" i="39"/>
  <c r="AA238" i="39"/>
  <c r="AB238" i="39"/>
  <c r="Z238" i="39"/>
  <c r="V238" i="39"/>
  <c r="AE238" i="39"/>
  <c r="L233" i="39"/>
  <c r="Q233" i="39"/>
  <c r="P233" i="39"/>
  <c r="S233" i="39"/>
  <c r="R233" i="39"/>
  <c r="N233" i="39"/>
  <c r="M233" i="39"/>
  <c r="O233" i="39"/>
  <c r="K371" i="39"/>
  <c r="R242" i="39"/>
  <c r="S242" i="39"/>
  <c r="Q242" i="39"/>
  <c r="L242" i="39"/>
  <c r="O242" i="39"/>
  <c r="K242" i="39"/>
  <c r="P242" i="39"/>
  <c r="N264" i="39"/>
  <c r="P264" i="39"/>
  <c r="P185" i="39" s="1"/>
  <c r="R264" i="39"/>
  <c r="R185" i="39" s="1"/>
  <c r="Q264" i="39"/>
  <c r="Q185" i="39" s="1"/>
  <c r="K264" i="39"/>
  <c r="O264" i="39"/>
  <c r="S264" i="39"/>
  <c r="S185" i="39" s="1"/>
  <c r="M224" i="39"/>
  <c r="L224" i="39"/>
  <c r="S224" i="39"/>
  <c r="K224" i="39"/>
  <c r="R224" i="39"/>
  <c r="Q224" i="39"/>
  <c r="P224" i="39"/>
  <c r="O224" i="39"/>
  <c r="N224" i="39"/>
  <c r="AF150" i="103"/>
  <c r="Y150" i="103"/>
  <c r="X204" i="39"/>
  <c r="O150" i="103"/>
  <c r="O167" i="103" s="1"/>
  <c r="N204" i="39"/>
  <c r="M204" i="39"/>
  <c r="N150" i="103"/>
  <c r="N167" i="103" s="1"/>
  <c r="L150" i="103"/>
  <c r="L167" i="103" s="1"/>
  <c r="K204" i="39"/>
  <c r="AC150" i="103"/>
  <c r="AB204" i="39"/>
  <c r="Z150" i="103"/>
  <c r="Y204" i="39"/>
  <c r="T150" i="103"/>
  <c r="T167" i="103" s="1"/>
  <c r="S204" i="39"/>
  <c r="AD150" i="103"/>
  <c r="AC204" i="39"/>
  <c r="Z204" i="39"/>
  <c r="AA150" i="103"/>
  <c r="P150" i="103"/>
  <c r="P167" i="103" s="1"/>
  <c r="O204" i="39"/>
  <c r="W204" i="39"/>
  <c r="X150" i="103"/>
  <c r="Q150" i="103"/>
  <c r="Q167" i="103" s="1"/>
  <c r="P204" i="39"/>
  <c r="W150" i="103"/>
  <c r="V204" i="39"/>
  <c r="R150" i="103"/>
  <c r="R167" i="103" s="1"/>
  <c r="Q204" i="39"/>
  <c r="AD204" i="39"/>
  <c r="AE150" i="103"/>
  <c r="R204" i="39"/>
  <c r="S150" i="103"/>
  <c r="S167" i="103" s="1"/>
  <c r="AA204" i="39"/>
  <c r="AB150" i="103"/>
  <c r="M150" i="103"/>
  <c r="M167" i="103" s="1"/>
  <c r="L204" i="39"/>
  <c r="L155" i="103"/>
  <c r="K167" i="103"/>
  <c r="J167" i="103"/>
  <c r="T371" i="39"/>
  <c r="R371" i="39"/>
  <c r="U371" i="39"/>
  <c r="V371" i="39"/>
  <c r="P371" i="39"/>
  <c r="Q371" i="39"/>
  <c r="O371" i="39"/>
  <c r="S371" i="39"/>
  <c r="Q89" i="80"/>
  <c r="S89" i="80"/>
  <c r="L89" i="80"/>
  <c r="U89" i="80"/>
  <c r="T89" i="80"/>
  <c r="R89" i="80"/>
  <c r="I206" i="39"/>
  <c r="J206" i="39"/>
  <c r="K60" i="103"/>
  <c r="AA255" i="39"/>
  <c r="R255" i="39"/>
  <c r="AC255" i="39"/>
  <c r="AB255" i="39"/>
  <c r="Y255" i="39"/>
  <c r="U255" i="39"/>
  <c r="W255" i="39"/>
  <c r="Z255" i="39"/>
  <c r="Q255" i="39"/>
  <c r="O255" i="39"/>
  <c r="V255" i="39"/>
  <c r="AD255" i="39"/>
  <c r="T255" i="39"/>
  <c r="X255" i="39"/>
  <c r="P255" i="39"/>
  <c r="AE255" i="39"/>
  <c r="S255" i="39"/>
  <c r="K89" i="80"/>
  <c r="N371" i="39"/>
  <c r="L371" i="39"/>
  <c r="F371" i="39"/>
  <c r="H371" i="39"/>
  <c r="H351" i="39"/>
  <c r="G351" i="39"/>
  <c r="F351" i="39"/>
  <c r="H153" i="39"/>
  <c r="H152" i="39"/>
  <c r="H154" i="39"/>
  <c r="H151" i="39"/>
  <c r="H149" i="39"/>
  <c r="O320" i="39" l="1"/>
  <c r="O185" i="39"/>
  <c r="S320" i="39"/>
  <c r="S321" i="39" s="1"/>
  <c r="Q320" i="39"/>
  <c r="Q321" i="39" s="1"/>
  <c r="K320" i="39"/>
  <c r="R320" i="39"/>
  <c r="R321" i="39" s="1"/>
  <c r="P320" i="39"/>
  <c r="P321" i="39" s="1"/>
  <c r="L185" i="39"/>
  <c r="AC17" i="114"/>
  <c r="V17" i="114"/>
  <c r="AD17" i="114"/>
  <c r="AB17" i="114"/>
  <c r="Y17" i="114"/>
  <c r="U17" i="114"/>
  <c r="Z17" i="114"/>
  <c r="W17" i="114"/>
  <c r="AA17" i="114"/>
  <c r="X17" i="114"/>
  <c r="T17" i="114"/>
  <c r="T11" i="114" s="1"/>
  <c r="Q11" i="114"/>
  <c r="Q172" i="39" s="1"/>
  <c r="S11" i="114"/>
  <c r="S172" i="39" s="1"/>
  <c r="L11" i="114"/>
  <c r="L172" i="39" s="1"/>
  <c r="K11" i="114"/>
  <c r="K172" i="39" s="1"/>
  <c r="P11" i="114"/>
  <c r="P172" i="39" s="1"/>
  <c r="N11" i="114"/>
  <c r="N172" i="39" s="1"/>
  <c r="O11" i="114"/>
  <c r="O172" i="39" s="1"/>
  <c r="R11" i="114"/>
  <c r="R172" i="39" s="1"/>
  <c r="M11" i="114"/>
  <c r="M172" i="39" s="1"/>
  <c r="AE21" i="114"/>
  <c r="Z19" i="114"/>
  <c r="Y19" i="114"/>
  <c r="AE19" i="114"/>
  <c r="X19" i="114"/>
  <c r="W19" i="114"/>
  <c r="AD19" i="114"/>
  <c r="V19" i="114"/>
  <c r="AC19" i="114"/>
  <c r="AB19" i="114"/>
  <c r="AA19" i="114"/>
  <c r="AD20" i="114"/>
  <c r="AE20" i="114"/>
  <c r="AD18" i="114"/>
  <c r="V18" i="114"/>
  <c r="AE18" i="114"/>
  <c r="AC18" i="114"/>
  <c r="U18" i="114"/>
  <c r="AB18" i="114"/>
  <c r="AA18" i="114"/>
  <c r="Z18" i="114"/>
  <c r="Y18" i="114"/>
  <c r="X18" i="114"/>
  <c r="W18" i="114"/>
  <c r="AF155" i="103"/>
  <c r="AF157" i="103"/>
  <c r="AF156" i="103"/>
  <c r="AE204" i="39"/>
  <c r="AE196" i="39"/>
  <c r="F58" i="80"/>
  <c r="K166" i="103"/>
  <c r="K165" i="103" s="1"/>
  <c r="K168" i="103" s="1"/>
  <c r="J166" i="103"/>
  <c r="J165" i="103" s="1"/>
  <c r="J168" i="103" s="1"/>
  <c r="H57" i="80"/>
  <c r="F57" i="80"/>
  <c r="F53" i="80"/>
  <c r="H55" i="80"/>
  <c r="H53" i="80"/>
  <c r="F54" i="80"/>
  <c r="H58" i="80"/>
  <c r="F55" i="80"/>
  <c r="G53" i="80"/>
  <c r="G56" i="80"/>
  <c r="G54" i="80"/>
  <c r="H54" i="80"/>
  <c r="F59" i="80"/>
  <c r="G58" i="80"/>
  <c r="G57" i="80"/>
  <c r="G55" i="80"/>
  <c r="G59" i="80"/>
  <c r="H59" i="80"/>
  <c r="H56" i="80"/>
  <c r="F56" i="80"/>
  <c r="I55" i="80"/>
  <c r="I59" i="80"/>
  <c r="P51" i="103"/>
  <c r="J359" i="39"/>
  <c r="N51" i="103"/>
  <c r="S51" i="103"/>
  <c r="M51" i="103"/>
  <c r="L40" i="103"/>
  <c r="Q51" i="103"/>
  <c r="L51" i="103"/>
  <c r="L42" i="103"/>
  <c r="L41" i="103"/>
  <c r="L57" i="103" s="1"/>
  <c r="J356" i="39"/>
  <c r="O51" i="103"/>
  <c r="J360" i="39"/>
  <c r="R51" i="103"/>
  <c r="T51" i="103"/>
  <c r="K235" i="39"/>
  <c r="J355" i="39"/>
  <c r="I214" i="39"/>
  <c r="J358" i="39"/>
  <c r="J357" i="39"/>
  <c r="M235" i="39"/>
  <c r="Q235" i="39"/>
  <c r="I215" i="39"/>
  <c r="L43" i="103"/>
  <c r="L58" i="103" s="1"/>
  <c r="J354" i="39"/>
  <c r="L235" i="39"/>
  <c r="AF39" i="103"/>
  <c r="X39" i="103"/>
  <c r="L45" i="103"/>
  <c r="L60" i="103" s="1"/>
  <c r="P235" i="39"/>
  <c r="W158" i="103"/>
  <c r="P158" i="103"/>
  <c r="P166" i="103" s="1"/>
  <c r="P165" i="103" s="1"/>
  <c r="P168" i="103" s="1"/>
  <c r="Z158" i="103"/>
  <c r="O158" i="103"/>
  <c r="O166" i="103" s="1"/>
  <c r="O165" i="103" s="1"/>
  <c r="O168" i="103" s="1"/>
  <c r="L39" i="103"/>
  <c r="Z39" i="103"/>
  <c r="Y39" i="103"/>
  <c r="M40" i="103"/>
  <c r="P40" i="103"/>
  <c r="AE41" i="103"/>
  <c r="AE57" i="103" s="1"/>
  <c r="P41" i="103"/>
  <c r="P57" i="103" s="1"/>
  <c r="AF41" i="103"/>
  <c r="AF57" i="103" s="1"/>
  <c r="R41" i="103"/>
  <c r="R57" i="103" s="1"/>
  <c r="X41" i="103"/>
  <c r="X57" i="103" s="1"/>
  <c r="M42" i="103"/>
  <c r="Q42" i="103"/>
  <c r="R45" i="103"/>
  <c r="R60" i="103" s="1"/>
  <c r="N235" i="39"/>
  <c r="R158" i="103"/>
  <c r="R166" i="103" s="1"/>
  <c r="R165" i="103" s="1"/>
  <c r="R168" i="103" s="1"/>
  <c r="R43" i="103"/>
  <c r="R58" i="103" s="1"/>
  <c r="T39" i="103"/>
  <c r="Q40" i="103"/>
  <c r="R42" i="103"/>
  <c r="I209" i="39"/>
  <c r="AB158" i="103"/>
  <c r="AC158" i="103"/>
  <c r="Y158" i="103"/>
  <c r="Q43" i="103"/>
  <c r="Q58" i="103" s="1"/>
  <c r="P43" i="103"/>
  <c r="P58" i="103" s="1"/>
  <c r="T43" i="103"/>
  <c r="T58" i="103" s="1"/>
  <c r="W39" i="103"/>
  <c r="AB39" i="103"/>
  <c r="AD39" i="103"/>
  <c r="M39" i="103"/>
  <c r="P39" i="103"/>
  <c r="AD41" i="103"/>
  <c r="AD57" i="103" s="1"/>
  <c r="V41" i="103"/>
  <c r="V57" i="103" s="1"/>
  <c r="AC41" i="103"/>
  <c r="AC57" i="103" s="1"/>
  <c r="Z41" i="103"/>
  <c r="Z57" i="103" s="1"/>
  <c r="S41" i="103"/>
  <c r="S57" i="103" s="1"/>
  <c r="Q41" i="103"/>
  <c r="Q57" i="103" s="1"/>
  <c r="P42" i="103"/>
  <c r="AE158" i="103"/>
  <c r="S43" i="103"/>
  <c r="S58" i="103" s="1"/>
  <c r="M158" i="103"/>
  <c r="M166" i="103" s="1"/>
  <c r="M165" i="103" s="1"/>
  <c r="M168" i="103" s="1"/>
  <c r="T158" i="103"/>
  <c r="T166" i="103" s="1"/>
  <c r="T165" i="103" s="1"/>
  <c r="T168" i="103" s="1"/>
  <c r="U39" i="103"/>
  <c r="T41" i="103"/>
  <c r="T57" i="103" s="1"/>
  <c r="Q45" i="103"/>
  <c r="Q60" i="103" s="1"/>
  <c r="P45" i="103"/>
  <c r="P60" i="103" s="1"/>
  <c r="I211" i="39"/>
  <c r="S158" i="103"/>
  <c r="S166" i="103" s="1"/>
  <c r="S165" i="103" s="1"/>
  <c r="S168" i="103" s="1"/>
  <c r="AA158" i="103"/>
  <c r="M43" i="103"/>
  <c r="M58" i="103" s="1"/>
  <c r="I212" i="39"/>
  <c r="I210" i="39"/>
  <c r="AC39" i="103"/>
  <c r="R39" i="103"/>
  <c r="W41" i="103"/>
  <c r="W57" i="103" s="1"/>
  <c r="Y41" i="103"/>
  <c r="Y57" i="103" s="1"/>
  <c r="X158" i="103"/>
  <c r="N158" i="103"/>
  <c r="N166" i="103" s="1"/>
  <c r="N165" i="103" s="1"/>
  <c r="N168" i="103" s="1"/>
  <c r="O235" i="39"/>
  <c r="I213" i="39"/>
  <c r="Q158" i="103"/>
  <c r="Q166" i="103" s="1"/>
  <c r="Q165" i="103" s="1"/>
  <c r="Q168" i="103" s="1"/>
  <c r="AD158" i="103"/>
  <c r="L158" i="103"/>
  <c r="L166" i="103" s="1"/>
  <c r="L165" i="103" s="1"/>
  <c r="L168" i="103" s="1"/>
  <c r="K351" i="39"/>
  <c r="AA39" i="103"/>
  <c r="S39" i="103"/>
  <c r="V39" i="103"/>
  <c r="AE39" i="103"/>
  <c r="Q39" i="103"/>
  <c r="R40" i="103"/>
  <c r="U41" i="103"/>
  <c r="U57" i="103" s="1"/>
  <c r="M41" i="103"/>
  <c r="M57" i="103" s="1"/>
  <c r="AB41" i="103"/>
  <c r="AB57" i="103" s="1"/>
  <c r="AA41" i="103"/>
  <c r="AA57" i="103" s="1"/>
  <c r="T45" i="103"/>
  <c r="T60" i="103" s="1"/>
  <c r="M45" i="103"/>
  <c r="M60" i="103" s="1"/>
  <c r="S45" i="103"/>
  <c r="S60" i="103" s="1"/>
  <c r="K185" i="39"/>
  <c r="Q243" i="39"/>
  <c r="O243" i="39"/>
  <c r="R243" i="39"/>
  <c r="L243" i="39"/>
  <c r="P243" i="39"/>
  <c r="S243" i="39"/>
  <c r="K243" i="39"/>
  <c r="K377" i="39" s="1"/>
  <c r="Q206" i="39"/>
  <c r="O206" i="39"/>
  <c r="L206" i="39"/>
  <c r="M206" i="39"/>
  <c r="S206" i="39"/>
  <c r="R206" i="39"/>
  <c r="P206" i="39"/>
  <c r="N206" i="39"/>
  <c r="K206" i="39"/>
  <c r="W371" i="39"/>
  <c r="G371" i="39"/>
  <c r="O186" i="39" l="1"/>
  <c r="O100" i="80" s="1"/>
  <c r="O321" i="39"/>
  <c r="L186" i="39"/>
  <c r="L100" i="80" s="1"/>
  <c r="U11" i="114"/>
  <c r="AA11" i="114"/>
  <c r="Y11" i="114"/>
  <c r="W11" i="114"/>
  <c r="AE11" i="114"/>
  <c r="X11" i="114"/>
  <c r="AB11" i="114"/>
  <c r="V11" i="114"/>
  <c r="AD11" i="114"/>
  <c r="Z11" i="114"/>
  <c r="AC11" i="114"/>
  <c r="AF158" i="103"/>
  <c r="I54" i="80"/>
  <c r="J214" i="39"/>
  <c r="J59" i="80"/>
  <c r="L56" i="103"/>
  <c r="L44" i="103"/>
  <c r="L59" i="103" s="1"/>
  <c r="J215" i="39"/>
  <c r="M56" i="103"/>
  <c r="Q56" i="103"/>
  <c r="T44" i="103"/>
  <c r="T59" i="103" s="1"/>
  <c r="J212" i="39"/>
  <c r="P56" i="103"/>
  <c r="S44" i="103"/>
  <c r="S59" i="103" s="1"/>
  <c r="J211" i="39"/>
  <c r="P44" i="103"/>
  <c r="P59" i="103" s="1"/>
  <c r="Q44" i="103"/>
  <c r="Q59" i="103" s="1"/>
  <c r="R44" i="103"/>
  <c r="R59" i="103" s="1"/>
  <c r="J213" i="39"/>
  <c r="R56" i="103"/>
  <c r="J209" i="39"/>
  <c r="J210" i="39"/>
  <c r="M44" i="103"/>
  <c r="M59" i="103" s="1"/>
  <c r="K186" i="39"/>
  <c r="K100" i="80" s="1"/>
  <c r="X371" i="39"/>
  <c r="F245" i="39"/>
  <c r="K122" i="80" l="1"/>
  <c r="L122" i="80"/>
  <c r="O122" i="80"/>
  <c r="K101" i="80"/>
  <c r="K214" i="39"/>
  <c r="J54" i="80"/>
  <c r="I53" i="80"/>
  <c r="I56" i="80"/>
  <c r="I58" i="80"/>
  <c r="I57" i="80"/>
  <c r="K215" i="39"/>
  <c r="K213" i="39"/>
  <c r="K212" i="39"/>
  <c r="K210" i="39"/>
  <c r="K209" i="39"/>
  <c r="K211" i="39"/>
  <c r="K398" i="39"/>
  <c r="F222" i="80"/>
  <c r="Y371" i="39"/>
  <c r="G10" i="103"/>
  <c r="G12" i="103"/>
  <c r="G11" i="103"/>
  <c r="G27" i="103" s="1"/>
  <c r="G14" i="103"/>
  <c r="G29" i="103" s="1"/>
  <c r="G13" i="103"/>
  <c r="G28" i="103" s="1"/>
  <c r="G15" i="103"/>
  <c r="G30" i="103" s="1"/>
  <c r="F118" i="39"/>
  <c r="F255" i="39"/>
  <c r="G245" i="39"/>
  <c r="F243" i="80" l="1"/>
  <c r="F244" i="80" s="1"/>
  <c r="F225" i="80"/>
  <c r="F92" i="80" s="1"/>
  <c r="L209" i="39"/>
  <c r="L214" i="39"/>
  <c r="L215" i="39"/>
  <c r="J53" i="80"/>
  <c r="J55" i="80"/>
  <c r="J58" i="80"/>
  <c r="L212" i="39"/>
  <c r="L210" i="39"/>
  <c r="L211" i="39"/>
  <c r="L213" i="39"/>
  <c r="G222" i="80"/>
  <c r="Z371" i="39"/>
  <c r="H12" i="103"/>
  <c r="G9" i="103"/>
  <c r="G26" i="103" s="1"/>
  <c r="H10" i="103"/>
  <c r="H11" i="103"/>
  <c r="H27" i="103" s="1"/>
  <c r="H14" i="103"/>
  <c r="H29" i="103" s="1"/>
  <c r="H13" i="103"/>
  <c r="H28" i="103" s="1"/>
  <c r="H15" i="103"/>
  <c r="H30" i="103" s="1"/>
  <c r="F216" i="39"/>
  <c r="H245" i="39"/>
  <c r="G255" i="39"/>
  <c r="F361" i="39"/>
  <c r="F321" i="39"/>
  <c r="G118" i="39"/>
  <c r="G243" i="80" l="1"/>
  <c r="G244" i="80" s="1"/>
  <c r="G225" i="80"/>
  <c r="G92" i="80" s="1"/>
  <c r="F379" i="39"/>
  <c r="M214" i="39"/>
  <c r="M215" i="39"/>
  <c r="J56" i="80"/>
  <c r="J57" i="80"/>
  <c r="M210" i="39"/>
  <c r="M213" i="39"/>
  <c r="M211" i="39"/>
  <c r="M212" i="39"/>
  <c r="M209" i="39"/>
  <c r="F375" i="39"/>
  <c r="J57" i="103"/>
  <c r="J60" i="103"/>
  <c r="H222" i="80"/>
  <c r="AA371" i="39"/>
  <c r="I10" i="103"/>
  <c r="I12" i="103"/>
  <c r="H9" i="103"/>
  <c r="H26" i="103" s="1"/>
  <c r="I11" i="103"/>
  <c r="I27" i="103" s="1"/>
  <c r="I14" i="103"/>
  <c r="I29" i="103" s="1"/>
  <c r="I13" i="103"/>
  <c r="I28" i="103" s="1"/>
  <c r="I15" i="103"/>
  <c r="I30" i="103" s="1"/>
  <c r="G216" i="39"/>
  <c r="G361" i="39"/>
  <c r="G321" i="39"/>
  <c r="H255" i="39"/>
  <c r="H118" i="39"/>
  <c r="H243" i="80" l="1"/>
  <c r="H244" i="80" s="1"/>
  <c r="H225" i="80"/>
  <c r="H92" i="80" s="1"/>
  <c r="F381" i="39"/>
  <c r="G379" i="39"/>
  <c r="N215" i="39"/>
  <c r="N214" i="39"/>
  <c r="K321" i="39"/>
  <c r="N209" i="39"/>
  <c r="N211" i="39"/>
  <c r="N213" i="39"/>
  <c r="N212" i="39"/>
  <c r="N210" i="39"/>
  <c r="G375" i="39"/>
  <c r="J59" i="103"/>
  <c r="J58" i="103"/>
  <c r="J56" i="103"/>
  <c r="AB371" i="39"/>
  <c r="J10" i="103"/>
  <c r="J12" i="103"/>
  <c r="I9" i="103"/>
  <c r="I26" i="103" s="1"/>
  <c r="J11" i="103"/>
  <c r="J27" i="103" s="1"/>
  <c r="J14" i="103"/>
  <c r="J29" i="103" s="1"/>
  <c r="K58" i="103"/>
  <c r="J13" i="103"/>
  <c r="J28" i="103" s="1"/>
  <c r="J15" i="103"/>
  <c r="J30" i="103" s="1"/>
  <c r="H216" i="39"/>
  <c r="H361" i="39"/>
  <c r="H321" i="39"/>
  <c r="G381" i="39" l="1"/>
  <c r="H379" i="39"/>
  <c r="O215" i="39"/>
  <c r="C33" i="51" s="1"/>
  <c r="O214" i="39"/>
  <c r="C32" i="51" s="1"/>
  <c r="L321" i="39"/>
  <c r="O212" i="39"/>
  <c r="C30" i="51" s="1"/>
  <c r="O211" i="39"/>
  <c r="C29" i="51" s="1"/>
  <c r="O210" i="39"/>
  <c r="O209" i="39"/>
  <c r="C27" i="51" s="1"/>
  <c r="O213" i="39"/>
  <c r="C31" i="51" s="1"/>
  <c r="H375" i="39"/>
  <c r="F390" i="39"/>
  <c r="K59" i="103"/>
  <c r="AC371" i="39"/>
  <c r="K12" i="103"/>
  <c r="K10" i="103"/>
  <c r="J9" i="103"/>
  <c r="J26" i="103" s="1"/>
  <c r="K11" i="103"/>
  <c r="K27" i="103" s="1"/>
  <c r="K14" i="103"/>
  <c r="K29" i="103" s="1"/>
  <c r="K13" i="103"/>
  <c r="K28" i="103" s="1"/>
  <c r="K15" i="103"/>
  <c r="K30" i="103" s="1"/>
  <c r="G265" i="39"/>
  <c r="H265" i="39"/>
  <c r="I265" i="39"/>
  <c r="J265" i="39"/>
  <c r="F265" i="39"/>
  <c r="I255" i="39"/>
  <c r="I245" i="39"/>
  <c r="I216" i="39"/>
  <c r="C28" i="51" l="1"/>
  <c r="H381" i="39"/>
  <c r="P215" i="39"/>
  <c r="P214" i="39"/>
  <c r="P210" i="39"/>
  <c r="P213" i="39"/>
  <c r="D31" i="51" s="1"/>
  <c r="H160" i="80"/>
  <c r="P209" i="39"/>
  <c r="D27" i="51" s="1"/>
  <c r="G27" i="51" s="1"/>
  <c r="G60" i="51" s="1"/>
  <c r="F160" i="80"/>
  <c r="P212" i="39"/>
  <c r="G160" i="80"/>
  <c r="P211" i="39"/>
  <c r="D29" i="51" s="1"/>
  <c r="J160" i="80"/>
  <c r="I160" i="80"/>
  <c r="G390" i="39"/>
  <c r="I222" i="80"/>
  <c r="AD371" i="39"/>
  <c r="K9" i="103"/>
  <c r="K26" i="103" s="1"/>
  <c r="L19" i="103"/>
  <c r="L17" i="103"/>
  <c r="L18" i="103"/>
  <c r="L32" i="103" s="1"/>
  <c r="L21" i="103"/>
  <c r="L34" i="103" s="1"/>
  <c r="L63" i="103"/>
  <c r="L20" i="103"/>
  <c r="L33" i="103" s="1"/>
  <c r="L22" i="103"/>
  <c r="L35" i="103" s="1"/>
  <c r="I371" i="39"/>
  <c r="I351" i="39"/>
  <c r="I118" i="39"/>
  <c r="J216" i="39"/>
  <c r="F29" i="51" l="1"/>
  <c r="F62" i="51" s="1"/>
  <c r="H29" i="51"/>
  <c r="H62" i="51" s="1"/>
  <c r="G29" i="51"/>
  <c r="G62" i="51" s="1"/>
  <c r="D30" i="51"/>
  <c r="D32" i="51"/>
  <c r="G32" i="51" s="1"/>
  <c r="G65" i="51" s="1"/>
  <c r="D28" i="51"/>
  <c r="D33" i="51"/>
  <c r="I243" i="80"/>
  <c r="I244" i="80" s="1"/>
  <c r="I225" i="80"/>
  <c r="I92" i="80" s="1"/>
  <c r="Q215" i="39"/>
  <c r="E33" i="51" s="1"/>
  <c r="Q214" i="39"/>
  <c r="E32" i="51" s="1"/>
  <c r="Q209" i="39"/>
  <c r="E27" i="51" s="1"/>
  <c r="O27" i="51" s="1"/>
  <c r="O60" i="51" s="1"/>
  <c r="Q213" i="39"/>
  <c r="E31" i="51" s="1"/>
  <c r="O31" i="51" s="1"/>
  <c r="O64" i="51" s="1"/>
  <c r="Q210" i="39"/>
  <c r="E28" i="51" s="1"/>
  <c r="Q211" i="39"/>
  <c r="E29" i="51" s="1"/>
  <c r="K29" i="51" s="1"/>
  <c r="K62" i="51" s="1"/>
  <c r="Q212" i="39"/>
  <c r="E30" i="51" s="1"/>
  <c r="H390" i="39"/>
  <c r="K357" i="39"/>
  <c r="K355" i="39"/>
  <c r="K358" i="39"/>
  <c r="AE371" i="39"/>
  <c r="L62" i="103"/>
  <c r="H27" i="51"/>
  <c r="H60" i="51" s="1"/>
  <c r="F27" i="51"/>
  <c r="F60" i="51" s="1"/>
  <c r="F31" i="51"/>
  <c r="F64" i="51" s="1"/>
  <c r="G31" i="51"/>
  <c r="G64" i="51" s="1"/>
  <c r="H31" i="51"/>
  <c r="H64" i="51" s="1"/>
  <c r="M17" i="103"/>
  <c r="M19" i="103"/>
  <c r="L16" i="103"/>
  <c r="L31" i="103" s="1"/>
  <c r="M62" i="103"/>
  <c r="M18" i="103"/>
  <c r="M32" i="103" s="1"/>
  <c r="L64" i="103"/>
  <c r="M21" i="103"/>
  <c r="M34" i="103" s="1"/>
  <c r="M63" i="103"/>
  <c r="M20" i="103"/>
  <c r="M33" i="103" s="1"/>
  <c r="L65" i="103"/>
  <c r="M22" i="103"/>
  <c r="M35" i="103" s="1"/>
  <c r="I321" i="39"/>
  <c r="I361" i="39"/>
  <c r="K216" i="39"/>
  <c r="J245" i="39"/>
  <c r="M31" i="51" l="1"/>
  <c r="M64" i="51" s="1"/>
  <c r="L31" i="51"/>
  <c r="L64" i="51" s="1"/>
  <c r="P30" i="51"/>
  <c r="P63" i="51" s="1"/>
  <c r="N30" i="51"/>
  <c r="N63" i="51" s="1"/>
  <c r="F32" i="51"/>
  <c r="F65" i="51" s="1"/>
  <c r="H32" i="51"/>
  <c r="H65" i="51" s="1"/>
  <c r="N32" i="51"/>
  <c r="N65" i="51" s="1"/>
  <c r="O32" i="51"/>
  <c r="O65" i="51" s="1"/>
  <c r="L32" i="51"/>
  <c r="L65" i="51" s="1"/>
  <c r="M32" i="51"/>
  <c r="M65" i="51" s="1"/>
  <c r="P32" i="51"/>
  <c r="P65" i="51" s="1"/>
  <c r="K32" i="51"/>
  <c r="K65" i="51" s="1"/>
  <c r="J32" i="51"/>
  <c r="J65" i="51" s="1"/>
  <c r="I32" i="51"/>
  <c r="I65" i="51" s="1"/>
  <c r="Q32" i="51"/>
  <c r="Q65" i="51" s="1"/>
  <c r="J28" i="51"/>
  <c r="J61" i="51" s="1"/>
  <c r="P28" i="51"/>
  <c r="P61" i="51" s="1"/>
  <c r="N28" i="51"/>
  <c r="N61" i="51" s="1"/>
  <c r="I28" i="51"/>
  <c r="I61" i="51" s="1"/>
  <c r="K28" i="51"/>
  <c r="K61" i="51" s="1"/>
  <c r="Q28" i="51"/>
  <c r="Q61" i="51" s="1"/>
  <c r="L28" i="51"/>
  <c r="L61" i="51" s="1"/>
  <c r="M28" i="51"/>
  <c r="M61" i="51" s="1"/>
  <c r="O28" i="51"/>
  <c r="O61" i="51" s="1"/>
  <c r="J33" i="51"/>
  <c r="J66" i="51" s="1"/>
  <c r="P33" i="51"/>
  <c r="P66" i="51" s="1"/>
  <c r="L33" i="51"/>
  <c r="L66" i="51" s="1"/>
  <c r="I33" i="51"/>
  <c r="I66" i="51" s="1"/>
  <c r="N33" i="51"/>
  <c r="N66" i="51" s="1"/>
  <c r="Q33" i="51"/>
  <c r="Q66" i="51" s="1"/>
  <c r="K33" i="51"/>
  <c r="K66" i="51" s="1"/>
  <c r="O30" i="51"/>
  <c r="O63" i="51" s="1"/>
  <c r="N31" i="51"/>
  <c r="N64" i="51" s="1"/>
  <c r="H30" i="51"/>
  <c r="H63" i="51" s="1"/>
  <c r="G30" i="51"/>
  <c r="G63" i="51" s="1"/>
  <c r="F30" i="51"/>
  <c r="F63" i="51" s="1"/>
  <c r="M30" i="51"/>
  <c r="M63" i="51" s="1"/>
  <c r="I30" i="51"/>
  <c r="I63" i="51" s="1"/>
  <c r="K31" i="51"/>
  <c r="K64" i="51" s="1"/>
  <c r="K30" i="51"/>
  <c r="K63" i="51" s="1"/>
  <c r="Q31" i="51"/>
  <c r="Q64" i="51" s="1"/>
  <c r="I31" i="51"/>
  <c r="I64" i="51" s="1"/>
  <c r="G33" i="51"/>
  <c r="G66" i="51" s="1"/>
  <c r="H33" i="51"/>
  <c r="H66" i="51" s="1"/>
  <c r="F33" i="51"/>
  <c r="F66" i="51" s="1"/>
  <c r="L30" i="51"/>
  <c r="L63" i="51" s="1"/>
  <c r="P31" i="51"/>
  <c r="P64" i="51" s="1"/>
  <c r="J31" i="51"/>
  <c r="J64" i="51" s="1"/>
  <c r="M33" i="51"/>
  <c r="M66" i="51" s="1"/>
  <c r="H28" i="51"/>
  <c r="H61" i="51" s="1"/>
  <c r="F28" i="51"/>
  <c r="F61" i="51" s="1"/>
  <c r="G28" i="51"/>
  <c r="G61" i="51" s="1"/>
  <c r="J30" i="51"/>
  <c r="J63" i="51" s="1"/>
  <c r="Q30" i="51"/>
  <c r="Q63" i="51" s="1"/>
  <c r="O33" i="51"/>
  <c r="O66" i="51" s="1"/>
  <c r="I379" i="39"/>
  <c r="R215" i="39"/>
  <c r="R214" i="39"/>
  <c r="K56" i="80"/>
  <c r="K57" i="80"/>
  <c r="K54" i="80"/>
  <c r="R210" i="39"/>
  <c r="R212" i="39"/>
  <c r="R209" i="39"/>
  <c r="R211" i="39"/>
  <c r="R213" i="39"/>
  <c r="K56" i="103"/>
  <c r="K356" i="39"/>
  <c r="K359" i="39"/>
  <c r="J222" i="80"/>
  <c r="I29" i="51"/>
  <c r="I62" i="51" s="1"/>
  <c r="P29" i="51"/>
  <c r="P62" i="51" s="1"/>
  <c r="N29" i="51"/>
  <c r="N62" i="51" s="1"/>
  <c r="L29" i="51"/>
  <c r="L62" i="51" s="1"/>
  <c r="Q29" i="51"/>
  <c r="Q62" i="51" s="1"/>
  <c r="M29" i="51"/>
  <c r="M62" i="51" s="1"/>
  <c r="O29" i="51"/>
  <c r="O62" i="51" s="1"/>
  <c r="L27" i="51"/>
  <c r="L60" i="51" s="1"/>
  <c r="J29" i="51"/>
  <c r="J62" i="51" s="1"/>
  <c r="P27" i="51"/>
  <c r="P60" i="51" s="1"/>
  <c r="N27" i="51"/>
  <c r="N60" i="51" s="1"/>
  <c r="I27" i="51"/>
  <c r="I60" i="51" s="1"/>
  <c r="J27" i="51"/>
  <c r="J60" i="51" s="1"/>
  <c r="M27" i="51"/>
  <c r="M60" i="51" s="1"/>
  <c r="Q27" i="51"/>
  <c r="Q60" i="51" s="1"/>
  <c r="K27" i="51"/>
  <c r="K60" i="51" s="1"/>
  <c r="N17" i="103"/>
  <c r="M16" i="103"/>
  <c r="M31" i="103" s="1"/>
  <c r="N19" i="103"/>
  <c r="L61" i="103"/>
  <c r="N18" i="103"/>
  <c r="N32" i="103" s="1"/>
  <c r="N64" i="103"/>
  <c r="N21" i="103"/>
  <c r="N34" i="103" s="1"/>
  <c r="M64" i="103"/>
  <c r="N20" i="103"/>
  <c r="N33" i="103" s="1"/>
  <c r="M65" i="103"/>
  <c r="N22" i="103"/>
  <c r="N35" i="103" s="1"/>
  <c r="K62" i="80"/>
  <c r="K157" i="80"/>
  <c r="K265" i="39"/>
  <c r="K90" i="80"/>
  <c r="J351" i="39"/>
  <c r="I375" i="39"/>
  <c r="J321" i="39"/>
  <c r="J118" i="39"/>
  <c r="L216" i="39"/>
  <c r="J255" i="39"/>
  <c r="K245" i="39"/>
  <c r="J243" i="80" l="1"/>
  <c r="J244" i="80" s="1"/>
  <c r="J225" i="80"/>
  <c r="J92" i="80" s="1"/>
  <c r="I381" i="39"/>
  <c r="J379" i="39"/>
  <c r="S215" i="39"/>
  <c r="S214" i="39"/>
  <c r="K55" i="80"/>
  <c r="K58" i="80"/>
  <c r="S212" i="39"/>
  <c r="S209" i="39"/>
  <c r="S213" i="39"/>
  <c r="S211" i="39"/>
  <c r="S210" i="39"/>
  <c r="K160" i="80"/>
  <c r="K360" i="39"/>
  <c r="K354" i="39"/>
  <c r="K222" i="80"/>
  <c r="K225" i="80" s="1"/>
  <c r="N16" i="103"/>
  <c r="N31" i="103" s="1"/>
  <c r="O19" i="103"/>
  <c r="O17" i="103"/>
  <c r="M61" i="103"/>
  <c r="N62" i="103"/>
  <c r="O18" i="103"/>
  <c r="O32" i="103" s="1"/>
  <c r="O64" i="103"/>
  <c r="O21" i="103"/>
  <c r="O34" i="103" s="1"/>
  <c r="N63" i="103"/>
  <c r="O63" i="103"/>
  <c r="O20" i="103"/>
  <c r="O33" i="103" s="1"/>
  <c r="O22" i="103"/>
  <c r="O35" i="103" s="1"/>
  <c r="L62" i="80"/>
  <c r="L90" i="80"/>
  <c r="L265" i="39"/>
  <c r="O65" i="103"/>
  <c r="K88" i="80"/>
  <c r="N65" i="103"/>
  <c r="J371" i="39"/>
  <c r="J361" i="39"/>
  <c r="K255" i="39"/>
  <c r="L245" i="39"/>
  <c r="K118" i="39"/>
  <c r="M216" i="39"/>
  <c r="K165" i="80" l="1"/>
  <c r="K167" i="80" s="1"/>
  <c r="K92" i="80"/>
  <c r="K243" i="80"/>
  <c r="K244" i="80" s="1"/>
  <c r="K53" i="80"/>
  <c r="K59" i="80"/>
  <c r="T213" i="39"/>
  <c r="T209" i="39"/>
  <c r="T210" i="39"/>
  <c r="T211" i="39"/>
  <c r="T212" i="39"/>
  <c r="I390" i="39"/>
  <c r="I393" i="39" s="1"/>
  <c r="L157" i="80"/>
  <c r="L160" i="80"/>
  <c r="K361" i="39"/>
  <c r="L222" i="80"/>
  <c r="L225" i="80" s="1"/>
  <c r="P17" i="103"/>
  <c r="P19" i="103"/>
  <c r="N61" i="103"/>
  <c r="O16" i="103"/>
  <c r="O31" i="103" s="1"/>
  <c r="P18" i="103"/>
  <c r="P32" i="103" s="1"/>
  <c r="O62" i="103"/>
  <c r="P64" i="103"/>
  <c r="P21" i="103"/>
  <c r="P34" i="103" s="1"/>
  <c r="P63" i="103"/>
  <c r="P20" i="103"/>
  <c r="P33" i="103" s="1"/>
  <c r="M265" i="39"/>
  <c r="N265" i="39"/>
  <c r="P65" i="103"/>
  <c r="L88" i="80"/>
  <c r="P22" i="103"/>
  <c r="P35" i="103" s="1"/>
  <c r="N216" i="39"/>
  <c r="J375" i="39"/>
  <c r="J381" i="39" s="1"/>
  <c r="L255" i="39"/>
  <c r="L118" i="39"/>
  <c r="K166" i="80" l="1"/>
  <c r="L165" i="80"/>
  <c r="L167" i="80" s="1"/>
  <c r="L92" i="80"/>
  <c r="L243" i="80"/>
  <c r="L244" i="80" s="1"/>
  <c r="U211" i="39"/>
  <c r="U210" i="39"/>
  <c r="U209" i="39"/>
  <c r="U212" i="39"/>
  <c r="U213" i="39"/>
  <c r="M160" i="80"/>
  <c r="N160" i="80"/>
  <c r="K384" i="39"/>
  <c r="K375" i="39"/>
  <c r="P16" i="103"/>
  <c r="P31" i="103" s="1"/>
  <c r="Q19" i="103"/>
  <c r="O61" i="103"/>
  <c r="Q17" i="103"/>
  <c r="P62" i="103"/>
  <c r="Q62" i="103"/>
  <c r="Q18" i="103"/>
  <c r="Q32" i="103" s="1"/>
  <c r="Q64" i="103"/>
  <c r="Q21" i="103"/>
  <c r="Q34" i="103" s="1"/>
  <c r="Q63" i="103"/>
  <c r="Q20" i="103"/>
  <c r="Q33" i="103" s="1"/>
  <c r="Q65" i="103"/>
  <c r="O62" i="80"/>
  <c r="O90" i="80"/>
  <c r="O265" i="39"/>
  <c r="Q22" i="103"/>
  <c r="Q35" i="103" s="1"/>
  <c r="O216" i="39"/>
  <c r="L166" i="80" l="1"/>
  <c r="V209" i="39"/>
  <c r="V213" i="39"/>
  <c r="V211" i="39"/>
  <c r="V210" i="39"/>
  <c r="V212" i="39"/>
  <c r="O160" i="80"/>
  <c r="O157" i="80"/>
  <c r="K97" i="80"/>
  <c r="O245" i="39"/>
  <c r="P61" i="103"/>
  <c r="R17" i="103"/>
  <c r="R19" i="103"/>
  <c r="Q16" i="103"/>
  <c r="Q31" i="103" s="1"/>
  <c r="R62" i="103"/>
  <c r="R18" i="103"/>
  <c r="R32" i="103" s="1"/>
  <c r="R64" i="103"/>
  <c r="R21" i="103"/>
  <c r="R34" i="103" s="1"/>
  <c r="R63" i="103"/>
  <c r="R20" i="103"/>
  <c r="R33" i="103" s="1"/>
  <c r="R22" i="103"/>
  <c r="R35" i="103" s="1"/>
  <c r="P90" i="80"/>
  <c r="P62" i="80"/>
  <c r="P265" i="39"/>
  <c r="O88" i="80"/>
  <c r="P216" i="39"/>
  <c r="O165" i="80" l="1"/>
  <c r="O167" i="80" s="1"/>
  <c r="W213" i="39"/>
  <c r="W211" i="39"/>
  <c r="W210" i="39"/>
  <c r="W209" i="39"/>
  <c r="W212" i="39"/>
  <c r="J390" i="39"/>
  <c r="J393" i="39" s="1"/>
  <c r="P160" i="80"/>
  <c r="P157" i="80"/>
  <c r="O222" i="80"/>
  <c r="S19" i="103"/>
  <c r="P245" i="39"/>
  <c r="Q61" i="103"/>
  <c r="R61" i="103"/>
  <c r="R16" i="103"/>
  <c r="R31" i="103" s="1"/>
  <c r="S17" i="103"/>
  <c r="S62" i="103"/>
  <c r="S18" i="103"/>
  <c r="S32" i="103" s="1"/>
  <c r="S64" i="103"/>
  <c r="S21" i="103"/>
  <c r="S34" i="103" s="1"/>
  <c r="S63" i="103"/>
  <c r="S20" i="103"/>
  <c r="S33" i="103" s="1"/>
  <c r="S65" i="103"/>
  <c r="P186" i="39"/>
  <c r="P100" i="80" s="1"/>
  <c r="P88" i="80"/>
  <c r="R65" i="103"/>
  <c r="S22" i="103"/>
  <c r="S35" i="103" s="1"/>
  <c r="Q245" i="39"/>
  <c r="Q216" i="39"/>
  <c r="P122" i="80" l="1"/>
  <c r="P165" i="80"/>
  <c r="P167" i="80" s="1"/>
  <c r="O225" i="80"/>
  <c r="O92" i="80" s="1"/>
  <c r="O243" i="80"/>
  <c r="O244" i="80" s="1"/>
  <c r="O166" i="80"/>
  <c r="X210" i="39"/>
  <c r="X211" i="39"/>
  <c r="X212" i="39"/>
  <c r="X213" i="39"/>
  <c r="X209" i="39"/>
  <c r="P222" i="80"/>
  <c r="Q222" i="80"/>
  <c r="Q243" i="80" s="1"/>
  <c r="Q244" i="80" s="1"/>
  <c r="T19" i="103"/>
  <c r="S16" i="103"/>
  <c r="S31" i="103" s="1"/>
  <c r="T17" i="103"/>
  <c r="T62" i="103"/>
  <c r="T18" i="103"/>
  <c r="T32" i="103" s="1"/>
  <c r="T64" i="103"/>
  <c r="T21" i="103"/>
  <c r="T34" i="103" s="1"/>
  <c r="T20" i="103"/>
  <c r="T33" i="103" s="1"/>
  <c r="T22" i="103"/>
  <c r="T35" i="103" s="1"/>
  <c r="Q90" i="80"/>
  <c r="Q62" i="80"/>
  <c r="Q265" i="39"/>
  <c r="R265" i="39"/>
  <c r="R62" i="80"/>
  <c r="R90" i="80"/>
  <c r="T65" i="103"/>
  <c r="R216" i="39"/>
  <c r="P225" i="80" l="1"/>
  <c r="P92" i="80" s="1"/>
  <c r="P243" i="80"/>
  <c r="P244" i="80" s="1"/>
  <c r="P166" i="80"/>
  <c r="Y213" i="39"/>
  <c r="Y212" i="39"/>
  <c r="Y209" i="39"/>
  <c r="Y210" i="39"/>
  <c r="Y211" i="39"/>
  <c r="Q157" i="80"/>
  <c r="Q160" i="80"/>
  <c r="R160" i="80"/>
  <c r="R157" i="80"/>
  <c r="Q225" i="80"/>
  <c r="U17" i="103"/>
  <c r="U19" i="103"/>
  <c r="T16" i="103"/>
  <c r="T31" i="103" s="1"/>
  <c r="U62" i="103"/>
  <c r="U18" i="103"/>
  <c r="U32" i="103" s="1"/>
  <c r="T63" i="103"/>
  <c r="U20" i="103"/>
  <c r="U33" i="103" s="1"/>
  <c r="Q186" i="39"/>
  <c r="Q100" i="80" s="1"/>
  <c r="Q88" i="80"/>
  <c r="S265" i="39"/>
  <c r="S62" i="80"/>
  <c r="S90" i="80"/>
  <c r="R186" i="39"/>
  <c r="R100" i="80" s="1"/>
  <c r="R88" i="80"/>
  <c r="S216" i="39"/>
  <c r="Q122" i="80" l="1"/>
  <c r="R122" i="80"/>
  <c r="R165" i="80"/>
  <c r="R167" i="80" s="1"/>
  <c r="Q165" i="80"/>
  <c r="Q167" i="80" s="1"/>
  <c r="Z209" i="39"/>
  <c r="Z211" i="39"/>
  <c r="Z213" i="39"/>
  <c r="Z212" i="39"/>
  <c r="Z210" i="39"/>
  <c r="Q92" i="80"/>
  <c r="S31" i="75" s="1"/>
  <c r="S157" i="80"/>
  <c r="S160" i="80"/>
  <c r="V17" i="103"/>
  <c r="U16" i="103"/>
  <c r="U31" i="103" s="1"/>
  <c r="V19" i="103"/>
  <c r="V62" i="103"/>
  <c r="V18" i="103"/>
  <c r="V32" i="103" s="1"/>
  <c r="V20" i="103"/>
  <c r="V33" i="103" s="1"/>
  <c r="S186" i="39"/>
  <c r="S100" i="80" s="1"/>
  <c r="S88" i="80"/>
  <c r="E110" i="116" l="1"/>
  <c r="S45" i="74"/>
  <c r="S122" i="80"/>
  <c r="S165" i="80"/>
  <c r="S166" i="80" s="1"/>
  <c r="Q166" i="80"/>
  <c r="R166" i="80"/>
  <c r="AA213" i="39"/>
  <c r="AA211" i="39"/>
  <c r="AA209" i="39"/>
  <c r="AA210" i="39"/>
  <c r="AA212" i="39"/>
  <c r="W17" i="103"/>
  <c r="W19" i="103"/>
  <c r="V16" i="103"/>
  <c r="V31" i="103" s="1"/>
  <c r="W62" i="103"/>
  <c r="W18" i="103"/>
  <c r="W32" i="103" s="1"/>
  <c r="W20" i="103"/>
  <c r="W33" i="103" s="1"/>
  <c r="S167" i="80" l="1"/>
  <c r="AB212" i="39"/>
  <c r="AB209" i="39"/>
  <c r="AB211" i="39"/>
  <c r="AB213" i="39"/>
  <c r="AB210" i="39"/>
  <c r="X19" i="103"/>
  <c r="X17" i="103"/>
  <c r="W16" i="103"/>
  <c r="W31" i="103" s="1"/>
  <c r="X62" i="103"/>
  <c r="X18" i="103"/>
  <c r="X32" i="103" s="1"/>
  <c r="X20" i="103"/>
  <c r="X33" i="103" s="1"/>
  <c r="AC211" i="39" l="1"/>
  <c r="AC209" i="39"/>
  <c r="AC210" i="39"/>
  <c r="AC213" i="39"/>
  <c r="AC212" i="39"/>
  <c r="Y17" i="103"/>
  <c r="X16" i="103"/>
  <c r="X31" i="103" s="1"/>
  <c r="Y19" i="103"/>
  <c r="Y18" i="103"/>
  <c r="Y32" i="103" s="1"/>
  <c r="Y20" i="103"/>
  <c r="Y33" i="103" s="1"/>
  <c r="AD212" i="39" l="1"/>
  <c r="AD209" i="39"/>
  <c r="AD210" i="39"/>
  <c r="AD213" i="39"/>
  <c r="AD211" i="39"/>
  <c r="Y16" i="103"/>
  <c r="Y31" i="103" s="1"/>
  <c r="Z17" i="103"/>
  <c r="Z19" i="103"/>
  <c r="Z18" i="103"/>
  <c r="Z32" i="103" s="1"/>
  <c r="Y62" i="103"/>
  <c r="Z20" i="103"/>
  <c r="Z33" i="103" s="1"/>
  <c r="AE210" i="39" l="1"/>
  <c r="AE209" i="39"/>
  <c r="AE211" i="39"/>
  <c r="AE212" i="39"/>
  <c r="AE213" i="39"/>
  <c r="Z16" i="103"/>
  <c r="Z31" i="103" s="1"/>
  <c r="AA17" i="103"/>
  <c r="AA19" i="103"/>
  <c r="AA62" i="103"/>
  <c r="Z62" i="103"/>
  <c r="AA18" i="103"/>
  <c r="AA32" i="103" s="1"/>
  <c r="AA20" i="103"/>
  <c r="AA33" i="103" s="1"/>
  <c r="I67" i="80"/>
  <c r="AB17" i="103" l="1"/>
  <c r="AA16" i="103"/>
  <c r="AA31" i="103" s="1"/>
  <c r="AB19" i="103"/>
  <c r="AB62" i="103"/>
  <c r="AB18" i="103"/>
  <c r="AB32" i="103" s="1"/>
  <c r="AB20" i="103"/>
  <c r="AB33" i="103" s="1"/>
  <c r="J67" i="80"/>
  <c r="AC19" i="103" l="1"/>
  <c r="AC17" i="103"/>
  <c r="AB16" i="103"/>
  <c r="AB31" i="103" s="1"/>
  <c r="AC62" i="103"/>
  <c r="AC18" i="103"/>
  <c r="AC32" i="103" s="1"/>
  <c r="AC20" i="103"/>
  <c r="AC33" i="103" s="1"/>
  <c r="F13" i="39"/>
  <c r="F159" i="80" s="1"/>
  <c r="H13" i="39"/>
  <c r="H159" i="80" s="1"/>
  <c r="J13" i="39"/>
  <c r="J159" i="80" s="1"/>
  <c r="G13" i="39"/>
  <c r="G159" i="80" s="1"/>
  <c r="I13" i="39"/>
  <c r="I159" i="80" s="1"/>
  <c r="H62" i="80" l="1"/>
  <c r="I62" i="80"/>
  <c r="G62" i="80"/>
  <c r="F62" i="80"/>
  <c r="AD17" i="103"/>
  <c r="AC16" i="103"/>
  <c r="AC31" i="103" s="1"/>
  <c r="AD19" i="103"/>
  <c r="AD62" i="103"/>
  <c r="AD18" i="103"/>
  <c r="AD32" i="103" s="1"/>
  <c r="AD20" i="103"/>
  <c r="AD33" i="103" s="1"/>
  <c r="J185" i="39"/>
  <c r="J62" i="80"/>
  <c r="I185" i="39"/>
  <c r="H185" i="39"/>
  <c r="H90" i="80"/>
  <c r="J90" i="80"/>
  <c r="G90" i="80"/>
  <c r="G185" i="39"/>
  <c r="F185" i="39"/>
  <c r="F90" i="80"/>
  <c r="I90" i="80"/>
  <c r="F157" i="80" l="1"/>
  <c r="F165" i="80" s="1"/>
  <c r="G157" i="80"/>
  <c r="G165" i="80" s="1"/>
  <c r="H157" i="80"/>
  <c r="J157" i="80"/>
  <c r="I157" i="80"/>
  <c r="AD16" i="103"/>
  <c r="AD31" i="103" s="1"/>
  <c r="AF19" i="103"/>
  <c r="AE19" i="103"/>
  <c r="AF17" i="103"/>
  <c r="AE17" i="103"/>
  <c r="AF18" i="103"/>
  <c r="AF32" i="103" s="1"/>
  <c r="AE18" i="103"/>
  <c r="AE32" i="103" s="1"/>
  <c r="AF20" i="103"/>
  <c r="AF33" i="103" s="1"/>
  <c r="AE20" i="103"/>
  <c r="AE33" i="103" s="1"/>
  <c r="H88" i="80"/>
  <c r="F88" i="80"/>
  <c r="J88" i="80"/>
  <c r="G88" i="80"/>
  <c r="I88" i="80"/>
  <c r="H165" i="80" l="1"/>
  <c r="H167" i="80" s="1"/>
  <c r="I165" i="80"/>
  <c r="I167" i="80" s="1"/>
  <c r="J165" i="80"/>
  <c r="J166" i="80" s="1"/>
  <c r="G167" i="80"/>
  <c r="F167" i="80"/>
  <c r="G166" i="80"/>
  <c r="F166" i="80"/>
  <c r="AF16" i="103"/>
  <c r="AF31" i="103" s="1"/>
  <c r="AE16" i="103"/>
  <c r="AE31" i="103" s="1"/>
  <c r="AE62" i="103"/>
  <c r="I103" i="80"/>
  <c r="F17" i="39"/>
  <c r="H17" i="39"/>
  <c r="G17" i="39"/>
  <c r="I166" i="80" l="1"/>
  <c r="J167" i="80"/>
  <c r="H166" i="80"/>
  <c r="F171" i="80"/>
  <c r="G171" i="80"/>
  <c r="H171" i="80"/>
  <c r="G186" i="39"/>
  <c r="H186" i="39"/>
  <c r="F186" i="39"/>
  <c r="AF62" i="103"/>
  <c r="I17" i="39"/>
  <c r="J17" i="39"/>
  <c r="H100" i="80" l="1"/>
  <c r="H101" i="80"/>
  <c r="G100" i="80"/>
  <c r="G101" i="80"/>
  <c r="F100" i="80"/>
  <c r="F101" i="80"/>
  <c r="I171" i="80"/>
  <c r="J171" i="80"/>
  <c r="G398" i="39"/>
  <c r="F398" i="39"/>
  <c r="H398" i="39"/>
  <c r="G102" i="80"/>
  <c r="H102" i="80"/>
  <c r="F102" i="80"/>
  <c r="J186" i="39"/>
  <c r="I186" i="39"/>
  <c r="F99" i="80"/>
  <c r="F97" i="80"/>
  <c r="F96" i="80"/>
  <c r="G99" i="80"/>
  <c r="G97" i="80"/>
  <c r="G96" i="80"/>
  <c r="H99" i="80"/>
  <c r="H97" i="80"/>
  <c r="H96" i="80"/>
  <c r="F122" i="80" l="1"/>
  <c r="J101" i="80"/>
  <c r="J100" i="80"/>
  <c r="G122" i="80"/>
  <c r="I100" i="80"/>
  <c r="I101" i="80"/>
  <c r="H122" i="80"/>
  <c r="I398" i="39"/>
  <c r="J398" i="39"/>
  <c r="J97" i="80"/>
  <c r="J99" i="80"/>
  <c r="J102" i="80"/>
  <c r="I96" i="80"/>
  <c r="I99" i="80"/>
  <c r="I102" i="80"/>
  <c r="J96" i="80"/>
  <c r="I97" i="80"/>
  <c r="J122" i="80" l="1"/>
  <c r="I122" i="80"/>
  <c r="K385" i="39"/>
  <c r="I98" i="80" l="1"/>
  <c r="H98" i="80"/>
  <c r="G98" i="80"/>
  <c r="F98" i="80"/>
  <c r="F103" i="80"/>
  <c r="H103" i="80"/>
  <c r="G103" i="80"/>
  <c r="J103" i="80"/>
  <c r="G396" i="39"/>
  <c r="I396" i="39"/>
  <c r="F396" i="39"/>
  <c r="J396" i="39"/>
  <c r="H393" i="39"/>
  <c r="H396" i="39"/>
  <c r="G397" i="39"/>
  <c r="G393" i="39"/>
  <c r="I397" i="39"/>
  <c r="J98" i="80" l="1"/>
  <c r="J397" i="39"/>
  <c r="I399" i="39"/>
  <c r="F397" i="39"/>
  <c r="F393" i="39"/>
  <c r="H397" i="39"/>
  <c r="H399" i="39"/>
  <c r="G399" i="39"/>
  <c r="I403" i="39" l="1"/>
  <c r="H403" i="39"/>
  <c r="G403" i="39"/>
  <c r="I52" i="80"/>
  <c r="G52" i="80"/>
  <c r="H52" i="80"/>
  <c r="H61" i="80"/>
  <c r="I61" i="80"/>
  <c r="G61" i="80"/>
  <c r="K386" i="39"/>
  <c r="J399" i="39"/>
  <c r="I66" i="80"/>
  <c r="G66" i="80"/>
  <c r="H66" i="80"/>
  <c r="I60" i="80"/>
  <c r="G104" i="80"/>
  <c r="G60" i="80"/>
  <c r="H60" i="80"/>
  <c r="F399" i="39"/>
  <c r="G402" i="39"/>
  <c r="H104" i="80"/>
  <c r="H402" i="39"/>
  <c r="I104" i="80"/>
  <c r="I402" i="39"/>
  <c r="J403" i="39" l="1"/>
  <c r="F403" i="39"/>
  <c r="F52" i="80"/>
  <c r="J52" i="80"/>
  <c r="F61" i="80"/>
  <c r="K387" i="39"/>
  <c r="J61" i="80"/>
  <c r="G65" i="80"/>
  <c r="I65" i="80"/>
  <c r="H65" i="80"/>
  <c r="J66" i="80"/>
  <c r="J402" i="39"/>
  <c r="J104" i="80"/>
  <c r="J60" i="80"/>
  <c r="F104" i="80"/>
  <c r="F402" i="39"/>
  <c r="F60" i="80"/>
  <c r="H64" i="80"/>
  <c r="G64" i="80"/>
  <c r="I64" i="80"/>
  <c r="J65" i="80" l="1"/>
  <c r="F65" i="80"/>
  <c r="F66" i="80"/>
  <c r="J64" i="80"/>
  <c r="F64" i="80"/>
  <c r="K103" i="80" l="1"/>
  <c r="L103" i="80" l="1"/>
  <c r="K66" i="80" l="1"/>
  <c r="M103" i="80" l="1"/>
  <c r="L66" i="80" l="1"/>
  <c r="N103" i="80" l="1"/>
  <c r="O66" i="80" l="1"/>
  <c r="P66" i="80" l="1"/>
  <c r="Q66" i="80" l="1"/>
  <c r="R66" i="80" l="1"/>
  <c r="S66" i="80" l="1"/>
  <c r="K67" i="80" l="1"/>
  <c r="K99" i="80"/>
  <c r="L67" i="80" l="1"/>
  <c r="L398" i="39"/>
  <c r="L99" i="80"/>
  <c r="L181" i="39" l="1"/>
  <c r="L182" i="39"/>
  <c r="L377" i="39" s="1"/>
  <c r="L183" i="39"/>
  <c r="L350" i="39" l="1"/>
  <c r="L349" i="39"/>
  <c r="L348" i="39"/>
  <c r="L344" i="39"/>
  <c r="L345" i="39"/>
  <c r="L346" i="39"/>
  <c r="L347" i="39"/>
  <c r="L378" i="39"/>
  <c r="L101" i="80" s="1"/>
  <c r="L63" i="80"/>
  <c r="L334" i="39"/>
  <c r="L338" i="39"/>
  <c r="L335" i="39"/>
  <c r="L339" i="39"/>
  <c r="L336" i="39"/>
  <c r="L340" i="39"/>
  <c r="L337" i="39"/>
  <c r="L354" i="39" l="1"/>
  <c r="L351" i="39"/>
  <c r="L358" i="39"/>
  <c r="L355" i="39"/>
  <c r="L360" i="39"/>
  <c r="L357" i="39"/>
  <c r="L356" i="39"/>
  <c r="L359" i="39"/>
  <c r="L341" i="39"/>
  <c r="L361" i="39" l="1"/>
  <c r="L57" i="80"/>
  <c r="L56" i="80"/>
  <c r="L53" i="80"/>
  <c r="L59" i="80"/>
  <c r="L55" i="80"/>
  <c r="L375" i="39" l="1"/>
  <c r="L384" i="39"/>
  <c r="L54" i="80"/>
  <c r="L58" i="80"/>
  <c r="L97" i="80" l="1"/>
  <c r="O182" i="39" l="1"/>
  <c r="T172" i="39"/>
  <c r="O377" i="39" l="1"/>
  <c r="W172" i="39"/>
  <c r="U172" i="39"/>
  <c r="V172" i="39"/>
  <c r="AB172" i="39" l="1"/>
  <c r="AA172" i="39"/>
  <c r="X172" i="39"/>
  <c r="Y172" i="39"/>
  <c r="Z172" i="39"/>
  <c r="L150" i="80" l="1"/>
  <c r="L143" i="80"/>
  <c r="AC172" i="39"/>
  <c r="AD172" i="39"/>
  <c r="K150" i="80" l="1"/>
  <c r="K143" i="80"/>
  <c r="AE172" i="39"/>
  <c r="J150" i="80" l="1"/>
  <c r="J143" i="80"/>
  <c r="J149" i="80"/>
  <c r="J144" i="80"/>
  <c r="J151" i="80"/>
  <c r="J132" i="80"/>
  <c r="J177" i="80"/>
  <c r="J184" i="80" l="1"/>
  <c r="J192" i="80" s="1"/>
  <c r="J183" i="80"/>
  <c r="J191" i="80" s="1"/>
  <c r="J182" i="80"/>
  <c r="J190" i="80" s="1"/>
  <c r="J185" i="80"/>
  <c r="J193" i="80" s="1"/>
  <c r="J180" i="80"/>
  <c r="J188" i="80" s="1"/>
  <c r="J181" i="80"/>
  <c r="J189" i="80" s="1"/>
  <c r="I150" i="80"/>
  <c r="I143" i="80"/>
  <c r="I151" i="80"/>
  <c r="I132" i="80"/>
  <c r="I177" i="80"/>
  <c r="I149" i="80"/>
  <c r="I144" i="80"/>
  <c r="H177" i="80" l="1"/>
  <c r="H180" i="80" s="1"/>
  <c r="H188" i="80" s="1"/>
  <c r="H132" i="80"/>
  <c r="H151" i="80"/>
  <c r="H144" i="80"/>
  <c r="H149" i="80"/>
  <c r="J195" i="80"/>
  <c r="J196" i="80" s="1"/>
  <c r="H150" i="80"/>
  <c r="H143" i="80"/>
  <c r="I182" i="80"/>
  <c r="I190" i="80" s="1"/>
  <c r="I180" i="80"/>
  <c r="I188" i="80" s="1"/>
  <c r="I184" i="80"/>
  <c r="I192" i="80" s="1"/>
  <c r="I183" i="80"/>
  <c r="I191" i="80" s="1"/>
  <c r="I181" i="80"/>
  <c r="I189" i="80" s="1"/>
  <c r="I185" i="80"/>
  <c r="I193" i="80" s="1"/>
  <c r="H185" i="80" l="1"/>
  <c r="H193" i="80" s="1"/>
  <c r="H182" i="80"/>
  <c r="H190" i="80" s="1"/>
  <c r="H183" i="80"/>
  <c r="H191" i="80" s="1"/>
  <c r="H181" i="80"/>
  <c r="H189" i="80" s="1"/>
  <c r="H184" i="80"/>
  <c r="H192" i="80" s="1"/>
  <c r="I195" i="80"/>
  <c r="I196" i="80" s="1"/>
  <c r="G151" i="80"/>
  <c r="G132" i="80"/>
  <c r="G177" i="80"/>
  <c r="G150" i="80"/>
  <c r="G143" i="80"/>
  <c r="G149" i="80"/>
  <c r="G144" i="80"/>
  <c r="H195" i="80" l="1"/>
  <c r="H196" i="80" s="1"/>
  <c r="F151" i="80"/>
  <c r="F177" i="80"/>
  <c r="F132" i="80"/>
  <c r="F143" i="80"/>
  <c r="F150" i="80"/>
  <c r="F144" i="80"/>
  <c r="F149" i="80"/>
  <c r="G180" i="80"/>
  <c r="G188" i="80" s="1"/>
  <c r="G183" i="80"/>
  <c r="G191" i="80" s="1"/>
  <c r="G182" i="80"/>
  <c r="G190" i="80" s="1"/>
  <c r="G181" i="80"/>
  <c r="G189" i="80" s="1"/>
  <c r="G184" i="80"/>
  <c r="G192" i="80" s="1"/>
  <c r="G185" i="80"/>
  <c r="G193" i="80" s="1"/>
  <c r="F180" i="80" l="1"/>
  <c r="F188" i="80" s="1"/>
  <c r="F184" i="80"/>
  <c r="F192" i="80" s="1"/>
  <c r="F182" i="80"/>
  <c r="F190" i="80" s="1"/>
  <c r="F181" i="80"/>
  <c r="F189" i="80" s="1"/>
  <c r="F185" i="80"/>
  <c r="F193" i="80" s="1"/>
  <c r="F183" i="80"/>
  <c r="F191" i="80" s="1"/>
  <c r="G195" i="80"/>
  <c r="G196" i="80" s="1"/>
  <c r="F195" i="80" l="1"/>
  <c r="F196" i="80" s="1"/>
  <c r="U62" i="39" l="1"/>
  <c r="X62" i="39"/>
  <c r="AE62" i="39"/>
  <c r="AE205" i="39" s="1"/>
  <c r="V62" i="39"/>
  <c r="W151" i="103" s="1"/>
  <c r="W167" i="103" s="1"/>
  <c r="Z62" i="39"/>
  <c r="AD62" i="39"/>
  <c r="AD205" i="39" s="1"/>
  <c r="W62" i="39"/>
  <c r="Y62" i="39"/>
  <c r="Y205" i="39" s="1"/>
  <c r="AB62" i="39"/>
  <c r="AC62" i="39"/>
  <c r="AC205" i="39" s="1"/>
  <c r="AA62" i="39"/>
  <c r="T62" i="39"/>
  <c r="AC151" i="103" l="1"/>
  <c r="AC167" i="103" s="1"/>
  <c r="AB205" i="39"/>
  <c r="Z225" i="39"/>
  <c r="X225" i="39"/>
  <c r="AC225" i="39"/>
  <c r="AD225" i="39"/>
  <c r="Y225" i="39"/>
  <c r="V225" i="39"/>
  <c r="U151" i="103"/>
  <c r="U167" i="103" s="1"/>
  <c r="T205" i="39"/>
  <c r="AB225" i="39"/>
  <c r="AA225" i="39"/>
  <c r="AE225" i="39"/>
  <c r="U225" i="39"/>
  <c r="W225" i="39"/>
  <c r="T225" i="39"/>
  <c r="T234" i="39"/>
  <c r="U234" i="39"/>
  <c r="V234" i="39"/>
  <c r="AA234" i="39"/>
  <c r="AD234" i="39"/>
  <c r="X234" i="39"/>
  <c r="Y234" i="39"/>
  <c r="AB234" i="39"/>
  <c r="AE234" i="39"/>
  <c r="W234" i="39"/>
  <c r="AC234" i="39"/>
  <c r="Z234" i="39"/>
  <c r="X205" i="39"/>
  <c r="Y151" i="103"/>
  <c r="Y167" i="103" s="1"/>
  <c r="Z205" i="39"/>
  <c r="AA151" i="103"/>
  <c r="AA167" i="103" s="1"/>
  <c r="U205" i="39"/>
  <c r="V151" i="103"/>
  <c r="V167" i="103" s="1"/>
  <c r="Z159" i="103"/>
  <c r="Z166" i="103" s="1"/>
  <c r="Y206" i="39"/>
  <c r="AF159" i="103"/>
  <c r="AF166" i="103" s="1"/>
  <c r="AE206" i="39"/>
  <c r="AB151" i="103"/>
  <c r="AB167" i="103" s="1"/>
  <c r="AA205" i="39"/>
  <c r="W205" i="39"/>
  <c r="X151" i="103"/>
  <c r="X167" i="103" s="1"/>
  <c r="AD159" i="103"/>
  <c r="AD166" i="103" s="1"/>
  <c r="AC206" i="39"/>
  <c r="AE159" i="103"/>
  <c r="AE166" i="103" s="1"/>
  <c r="AD206" i="39"/>
  <c r="Z151" i="103"/>
  <c r="Z167" i="103" s="1"/>
  <c r="AE151" i="103"/>
  <c r="AE167" i="103" s="1"/>
  <c r="V205" i="39"/>
  <c r="AF151" i="103"/>
  <c r="AF167" i="103" s="1"/>
  <c r="AD151" i="103"/>
  <c r="AD167" i="103" s="1"/>
  <c r="AB206" i="39" l="1"/>
  <c r="AC159" i="103"/>
  <c r="AC166" i="103" s="1"/>
  <c r="AC165" i="103" s="1"/>
  <c r="AC168" i="103" s="1"/>
  <c r="AF165" i="103"/>
  <c r="AF168" i="103" s="1"/>
  <c r="Z165" i="103"/>
  <c r="Z168" i="103" s="1"/>
  <c r="AD165" i="103"/>
  <c r="AD168" i="103" s="1"/>
  <c r="Y52" i="103"/>
  <c r="Y65" i="103" s="1"/>
  <c r="X244" i="39"/>
  <c r="X264" i="39"/>
  <c r="X320" i="39" s="1"/>
  <c r="X321" i="39" s="1"/>
  <c r="U159" i="103"/>
  <c r="T215" i="39"/>
  <c r="X206" i="39"/>
  <c r="Y159" i="103"/>
  <c r="Y166" i="103" s="1"/>
  <c r="Y165" i="103" s="1"/>
  <c r="Y168" i="103" s="1"/>
  <c r="U52" i="103"/>
  <c r="U65" i="103" s="1"/>
  <c r="T244" i="39"/>
  <c r="T264" i="39"/>
  <c r="W159" i="103"/>
  <c r="W166" i="103" s="1"/>
  <c r="W165" i="103" s="1"/>
  <c r="W168" i="103" s="1"/>
  <c r="V206" i="39"/>
  <c r="X52" i="103"/>
  <c r="X65" i="103" s="1"/>
  <c r="W244" i="39"/>
  <c r="W264" i="39"/>
  <c r="AE52" i="103"/>
  <c r="AE65" i="103" s="1"/>
  <c r="AD244" i="39"/>
  <c r="AD264" i="39"/>
  <c r="AE165" i="103"/>
  <c r="AE168" i="103" s="1"/>
  <c r="X159" i="103"/>
  <c r="X166" i="103" s="1"/>
  <c r="X165" i="103" s="1"/>
  <c r="X168" i="103" s="1"/>
  <c r="W206" i="39"/>
  <c r="V159" i="103"/>
  <c r="AF52" i="103"/>
  <c r="AF65" i="103" s="1"/>
  <c r="AE244" i="39"/>
  <c r="AE264" i="39"/>
  <c r="AB52" i="103"/>
  <c r="AB65" i="103" s="1"/>
  <c r="AA244" i="39"/>
  <c r="AA264" i="39"/>
  <c r="AA320" i="39" s="1"/>
  <c r="AA321" i="39" s="1"/>
  <c r="AB159" i="103"/>
  <c r="AB166" i="103" s="1"/>
  <c r="AB165" i="103" s="1"/>
  <c r="AB168" i="103" s="1"/>
  <c r="AA206" i="39"/>
  <c r="AA52" i="103"/>
  <c r="AA65" i="103" s="1"/>
  <c r="Z244" i="39"/>
  <c r="Z264" i="39"/>
  <c r="Z320" i="39" s="1"/>
  <c r="Z321" i="39" s="1"/>
  <c r="W52" i="103"/>
  <c r="W65" i="103" s="1"/>
  <c r="V264" i="39"/>
  <c r="V244" i="39"/>
  <c r="AD52" i="103"/>
  <c r="AD65" i="103" s="1"/>
  <c r="AC244" i="39"/>
  <c r="AC264" i="39"/>
  <c r="AC52" i="103"/>
  <c r="AC65" i="103" s="1"/>
  <c r="AB244" i="39"/>
  <c r="AB264" i="39"/>
  <c r="AB320" i="39" s="1"/>
  <c r="AB321" i="39" s="1"/>
  <c r="V52" i="103"/>
  <c r="V65" i="103" s="1"/>
  <c r="U244" i="39"/>
  <c r="U264" i="39"/>
  <c r="Z206" i="39"/>
  <c r="AA159" i="103"/>
  <c r="AA166" i="103" s="1"/>
  <c r="AA165" i="103" s="1"/>
  <c r="AA168" i="103" s="1"/>
  <c r="Z52" i="103"/>
  <c r="Z65" i="103" s="1"/>
  <c r="Y244" i="39"/>
  <c r="Y264" i="39"/>
  <c r="AC320" i="39" l="1"/>
  <c r="AC321" i="39" s="1"/>
  <c r="AE320" i="39"/>
  <c r="AE321" i="39" s="1"/>
  <c r="AD320" i="39"/>
  <c r="AD321" i="39" s="1"/>
  <c r="T320" i="39"/>
  <c r="T321" i="39" s="1"/>
  <c r="U320" i="39"/>
  <c r="U321" i="39" s="1"/>
  <c r="W320" i="39"/>
  <c r="W321" i="39" s="1"/>
  <c r="V320" i="39"/>
  <c r="V321" i="39" s="1"/>
  <c r="Y320" i="39"/>
  <c r="Y321" i="39" s="1"/>
  <c r="AD90" i="80"/>
  <c r="AD62" i="80"/>
  <c r="AD185" i="39"/>
  <c r="AD265" i="39"/>
  <c r="AD160" i="80" s="1"/>
  <c r="AB90" i="80"/>
  <c r="AB62" i="80"/>
  <c r="AB265" i="39"/>
  <c r="AB160" i="80" s="1"/>
  <c r="AB185" i="39"/>
  <c r="AA90" i="80"/>
  <c r="AA62" i="80"/>
  <c r="AA185" i="39"/>
  <c r="AA265" i="39"/>
  <c r="AA160" i="80" s="1"/>
  <c r="AE45" i="103"/>
  <c r="AE60" i="103" s="1"/>
  <c r="X90" i="80"/>
  <c r="X62" i="80"/>
  <c r="X185" i="39"/>
  <c r="X265" i="39"/>
  <c r="X160" i="80" s="1"/>
  <c r="AB45" i="103"/>
  <c r="AB60" i="103" s="1"/>
  <c r="Y45" i="103"/>
  <c r="Y60" i="103" s="1"/>
  <c r="W45" i="103"/>
  <c r="W60" i="103" s="1"/>
  <c r="Z90" i="80"/>
  <c r="Z62" i="80"/>
  <c r="Z265" i="39"/>
  <c r="Z160" i="80" s="1"/>
  <c r="Z185" i="39"/>
  <c r="V90" i="80"/>
  <c r="V62" i="80"/>
  <c r="V265" i="39"/>
  <c r="V160" i="80" s="1"/>
  <c r="V185" i="39"/>
  <c r="AA45" i="103"/>
  <c r="AA60" i="103" s="1"/>
  <c r="W62" i="80"/>
  <c r="W90" i="80"/>
  <c r="W265" i="39"/>
  <c r="W160" i="80" s="1"/>
  <c r="W185" i="39"/>
  <c r="AC45" i="103"/>
  <c r="AC60" i="103" s="1"/>
  <c r="AC90" i="80"/>
  <c r="AC62" i="80"/>
  <c r="AC185" i="39"/>
  <c r="AC265" i="39"/>
  <c r="AC160" i="80" s="1"/>
  <c r="AE90" i="80"/>
  <c r="AE62" i="80"/>
  <c r="AE185" i="39"/>
  <c r="AE265" i="39"/>
  <c r="AE160" i="80" s="1"/>
  <c r="X45" i="103"/>
  <c r="X60" i="103" s="1"/>
  <c r="T62" i="80"/>
  <c r="T90" i="80"/>
  <c r="T265" i="39"/>
  <c r="T160" i="80" s="1"/>
  <c r="T185" i="39"/>
  <c r="U215" i="39"/>
  <c r="U22" i="103"/>
  <c r="U35" i="103" s="1"/>
  <c r="U90" i="80"/>
  <c r="U62" i="80"/>
  <c r="U265" i="39"/>
  <c r="U160" i="80" s="1"/>
  <c r="U185" i="39"/>
  <c r="Y90" i="80"/>
  <c r="Y62" i="80"/>
  <c r="Y185" i="39"/>
  <c r="Y265" i="39"/>
  <c r="Y160" i="80" s="1"/>
  <c r="AD45" i="103"/>
  <c r="AD60" i="103" s="1"/>
  <c r="U45" i="103"/>
  <c r="U60" i="103" s="1"/>
  <c r="V45" i="103"/>
  <c r="V60" i="103" s="1"/>
  <c r="AF45" i="103"/>
  <c r="AF60" i="103" s="1"/>
  <c r="Z45" i="103"/>
  <c r="Z60" i="103" s="1"/>
  <c r="AE66" i="80" l="1"/>
  <c r="V88" i="80"/>
  <c r="V157" i="80"/>
  <c r="V186" i="39"/>
  <c r="V100" i="80" s="1"/>
  <c r="U88" i="80"/>
  <c r="U157" i="80"/>
  <c r="U186" i="39"/>
  <c r="U100" i="80" s="1"/>
  <c r="W88" i="80"/>
  <c r="W186" i="39"/>
  <c r="W100" i="80" s="1"/>
  <c r="W157" i="80"/>
  <c r="T66" i="80"/>
  <c r="V66" i="80"/>
  <c r="U66" i="80"/>
  <c r="AC88" i="80"/>
  <c r="AC186" i="39"/>
  <c r="AC100" i="80" s="1"/>
  <c r="AC157" i="80"/>
  <c r="AC66" i="80"/>
  <c r="W66" i="80"/>
  <c r="Z88" i="80"/>
  <c r="Z186" i="39"/>
  <c r="Z100" i="80" s="1"/>
  <c r="Z157" i="80"/>
  <c r="AB88" i="80"/>
  <c r="AB186" i="39"/>
  <c r="AB100" i="80" s="1"/>
  <c r="AB157" i="80"/>
  <c r="AD88" i="80"/>
  <c r="AD186" i="39"/>
  <c r="AD100" i="80" s="1"/>
  <c r="AD157" i="80"/>
  <c r="V215" i="39"/>
  <c r="V22" i="103"/>
  <c r="V35" i="103" s="1"/>
  <c r="X88" i="80"/>
  <c r="X186" i="39"/>
  <c r="X100" i="80" s="1"/>
  <c r="X157" i="80"/>
  <c r="AD66" i="80"/>
  <c r="Y88" i="80"/>
  <c r="Y157" i="80"/>
  <c r="Y186" i="39"/>
  <c r="Y100" i="80" s="1"/>
  <c r="Z66" i="80"/>
  <c r="X66" i="80"/>
  <c r="AA88" i="80"/>
  <c r="AA186" i="39"/>
  <c r="AA100" i="80" s="1"/>
  <c r="AA157" i="80"/>
  <c r="AB66" i="80"/>
  <c r="Y66" i="80"/>
  <c r="T157" i="80"/>
  <c r="T88" i="80"/>
  <c r="T186" i="39"/>
  <c r="T100" i="80" s="1"/>
  <c r="AE88" i="80"/>
  <c r="AE186" i="39"/>
  <c r="AE100" i="80" s="1"/>
  <c r="AE157" i="80"/>
  <c r="AA66" i="80"/>
  <c r="AA122" i="80" l="1"/>
  <c r="U122" i="80"/>
  <c r="AC122" i="80"/>
  <c r="T122" i="80"/>
  <c r="AB122" i="80"/>
  <c r="Z122" i="80"/>
  <c r="V122" i="80"/>
  <c r="X122" i="80"/>
  <c r="AD122" i="80"/>
  <c r="AE122" i="80"/>
  <c r="Y122" i="80"/>
  <c r="W122" i="80"/>
  <c r="U165" i="80"/>
  <c r="U166" i="80" s="1"/>
  <c r="AB165" i="80"/>
  <c r="AB166" i="80" s="1"/>
  <c r="Z165" i="80"/>
  <c r="Z166" i="80" s="1"/>
  <c r="W165" i="80"/>
  <c r="W166" i="80" s="1"/>
  <c r="AA165" i="80"/>
  <c r="AA166" i="80" s="1"/>
  <c r="X165" i="80"/>
  <c r="X166" i="80" s="1"/>
  <c r="AE165" i="80"/>
  <c r="AE166" i="80" s="1"/>
  <c r="Y165" i="80"/>
  <c r="Y166" i="80" s="1"/>
  <c r="AD165" i="80"/>
  <c r="AD166" i="80" s="1"/>
  <c r="T165" i="80"/>
  <c r="T166" i="80" s="1"/>
  <c r="W22" i="103"/>
  <c r="W35" i="103" s="1"/>
  <c r="W215" i="39"/>
  <c r="AC165" i="80"/>
  <c r="AC166" i="80" s="1"/>
  <c r="V165" i="80"/>
  <c r="V166" i="80" s="1"/>
  <c r="Y167" i="80" l="1"/>
  <c r="X22" i="103"/>
  <c r="X35" i="103" s="1"/>
  <c r="X215" i="39"/>
  <c r="V167" i="80"/>
  <c r="T167" i="80"/>
  <c r="X167" i="80"/>
  <c r="U167" i="80"/>
  <c r="AD167" i="80"/>
  <c r="AB167" i="80"/>
  <c r="AC167" i="80"/>
  <c r="AE167" i="80"/>
  <c r="AA167" i="80"/>
  <c r="W167" i="80"/>
  <c r="Z167" i="80"/>
  <c r="Y215" i="39" l="1"/>
  <c r="Y22" i="103"/>
  <c r="Y35" i="103" s="1"/>
  <c r="Z215" i="39" l="1"/>
  <c r="Z22" i="103"/>
  <c r="Z35" i="103" s="1"/>
  <c r="AA22" i="103" l="1"/>
  <c r="AA35" i="103" s="1"/>
  <c r="AA215" i="39"/>
  <c r="AB215" i="39" l="1"/>
  <c r="AB22" i="103"/>
  <c r="AB35" i="103" s="1"/>
  <c r="AC22" i="103" l="1"/>
  <c r="AC35" i="103" s="1"/>
  <c r="AC215" i="39"/>
  <c r="AD215" i="39" l="1"/>
  <c r="AD22" i="103"/>
  <c r="AD35" i="103" s="1"/>
  <c r="AE22" i="103" l="1"/>
  <c r="AE35" i="103" s="1"/>
  <c r="AE215" i="39"/>
  <c r="AF22" i="103" l="1"/>
  <c r="AF35" i="103" s="1"/>
  <c r="M24" i="39" l="1"/>
  <c r="M183" i="39" s="1"/>
  <c r="M378" i="39" s="1"/>
  <c r="N146" i="39"/>
  <c r="M146" i="39"/>
  <c r="N145" i="39"/>
  <c r="M145" i="39"/>
  <c r="N144" i="39"/>
  <c r="M144" i="39"/>
  <c r="N143" i="39"/>
  <c r="M143" i="39"/>
  <c r="N142" i="39"/>
  <c r="M142" i="39"/>
  <c r="N141" i="39"/>
  <c r="M141" i="39"/>
  <c r="N140" i="39"/>
  <c r="M140" i="39"/>
  <c r="N10" i="39"/>
  <c r="N391" i="39" s="1"/>
  <c r="M10" i="39"/>
  <c r="M391" i="39" s="1"/>
  <c r="N117" i="39"/>
  <c r="M117" i="39"/>
  <c r="N116" i="39"/>
  <c r="M116" i="39"/>
  <c r="N115" i="39"/>
  <c r="M115" i="39"/>
  <c r="N114" i="39"/>
  <c r="M114" i="39"/>
  <c r="N113" i="39"/>
  <c r="M113" i="39"/>
  <c r="N112" i="39"/>
  <c r="M112" i="39"/>
  <c r="N111" i="39"/>
  <c r="M111" i="39"/>
  <c r="N107" i="39"/>
  <c r="N244" i="39" s="1"/>
  <c r="N106" i="39"/>
  <c r="N243" i="39" s="1"/>
  <c r="N105" i="39"/>
  <c r="N242" i="39" s="1"/>
  <c r="N104" i="39"/>
  <c r="N241" i="39" s="1"/>
  <c r="N103" i="39"/>
  <c r="N240" i="39" s="1"/>
  <c r="N102" i="39"/>
  <c r="N239" i="39" s="1"/>
  <c r="N101" i="39"/>
  <c r="M107" i="39"/>
  <c r="M244" i="39" s="1"/>
  <c r="M106" i="39"/>
  <c r="M243" i="39" s="1"/>
  <c r="M105" i="39"/>
  <c r="M242" i="39" s="1"/>
  <c r="M104" i="39"/>
  <c r="M241" i="39" s="1"/>
  <c r="M103" i="39"/>
  <c r="M240" i="39" s="1"/>
  <c r="M102" i="39"/>
  <c r="M239" i="39" s="1"/>
  <c r="M101" i="39"/>
  <c r="N315" i="39" l="1"/>
  <c r="N317" i="39"/>
  <c r="N319" i="39"/>
  <c r="M314" i="39"/>
  <c r="M316" i="39"/>
  <c r="M318" i="39"/>
  <c r="N314" i="39"/>
  <c r="N316" i="39"/>
  <c r="N318" i="39"/>
  <c r="M315" i="39"/>
  <c r="M317" i="39"/>
  <c r="M319" i="39"/>
  <c r="D44" i="51"/>
  <c r="Q44" i="51" s="1"/>
  <c r="Q73" i="51" s="1"/>
  <c r="C45" i="51"/>
  <c r="F45" i="51" s="1"/>
  <c r="F74" i="51" s="1"/>
  <c r="D45" i="51"/>
  <c r="I45" i="51" s="1"/>
  <c r="I74" i="51" s="1"/>
  <c r="C42" i="51"/>
  <c r="F42" i="51" s="1"/>
  <c r="F71" i="51" s="1"/>
  <c r="D42" i="51"/>
  <c r="N42" i="51" s="1"/>
  <c r="N71" i="51" s="1"/>
  <c r="D46" i="51"/>
  <c r="P46" i="51" s="1"/>
  <c r="P75" i="51" s="1"/>
  <c r="C43" i="51"/>
  <c r="G43" i="51" s="1"/>
  <c r="G72" i="51" s="1"/>
  <c r="C47" i="51"/>
  <c r="H47" i="51" s="1"/>
  <c r="H76" i="51" s="1"/>
  <c r="D43" i="51"/>
  <c r="M43" i="51" s="1"/>
  <c r="M72" i="51" s="1"/>
  <c r="D47" i="51"/>
  <c r="Q47" i="51" s="1"/>
  <c r="Q76" i="51" s="1"/>
  <c r="C46" i="51"/>
  <c r="F46" i="51" s="1"/>
  <c r="F75" i="51" s="1"/>
  <c r="C44" i="51"/>
  <c r="H44" i="51" s="1"/>
  <c r="H73" i="51" s="1"/>
  <c r="M254" i="39"/>
  <c r="N254" i="39"/>
  <c r="M15" i="39"/>
  <c r="M161" i="80" s="1"/>
  <c r="N15" i="39"/>
  <c r="N43" i="103"/>
  <c r="N58" i="103" s="1"/>
  <c r="O41" i="103"/>
  <c r="O57" i="103" s="1"/>
  <c r="N45" i="103"/>
  <c r="N60" i="103" s="1"/>
  <c r="N108" i="39"/>
  <c r="N238" i="39"/>
  <c r="M67" i="80"/>
  <c r="D41" i="51"/>
  <c r="C41" i="51"/>
  <c r="M23" i="39"/>
  <c r="M182" i="39" s="1"/>
  <c r="O42" i="103"/>
  <c r="O45" i="103"/>
  <c r="O60" i="103" s="1"/>
  <c r="O40" i="103"/>
  <c r="N41" i="103"/>
  <c r="N57" i="103" s="1"/>
  <c r="N42" i="103"/>
  <c r="O43" i="103"/>
  <c r="O58" i="103" s="1"/>
  <c r="N40" i="103"/>
  <c r="N44" i="103"/>
  <c r="N59" i="103" s="1"/>
  <c r="N118" i="39"/>
  <c r="N24" i="39"/>
  <c r="N183" i="39" s="1"/>
  <c r="N378" i="39" s="1"/>
  <c r="M108" i="39"/>
  <c r="M238" i="39"/>
  <c r="M118" i="39"/>
  <c r="O44" i="103"/>
  <c r="O59" i="103" s="1"/>
  <c r="N9" i="39"/>
  <c r="M9" i="39"/>
  <c r="N35" i="39"/>
  <c r="M35" i="39"/>
  <c r="N34" i="39"/>
  <c r="M34" i="39"/>
  <c r="N33" i="39"/>
  <c r="M33" i="39"/>
  <c r="N32" i="39"/>
  <c r="N330" i="39" s="1"/>
  <c r="M32" i="39"/>
  <c r="M330" i="39" s="1"/>
  <c r="N31" i="39"/>
  <c r="N329" i="39" s="1"/>
  <c r="M31" i="39"/>
  <c r="M329" i="39" s="1"/>
  <c r="N30" i="39"/>
  <c r="N328" i="39" s="1"/>
  <c r="M30" i="39"/>
  <c r="M328" i="39" s="1"/>
  <c r="N29" i="39"/>
  <c r="N327" i="39" s="1"/>
  <c r="M29" i="39"/>
  <c r="M327" i="39" s="1"/>
  <c r="N320" i="39" l="1"/>
  <c r="N321" i="39" s="1"/>
  <c r="M320" i="39"/>
  <c r="M90" i="80"/>
  <c r="N62" i="80"/>
  <c r="N255" i="39"/>
  <c r="D54" i="51"/>
  <c r="O54" i="51" s="1"/>
  <c r="C51" i="51"/>
  <c r="F51" i="51" s="1"/>
  <c r="C55" i="51"/>
  <c r="H55" i="51" s="1"/>
  <c r="C50" i="51"/>
  <c r="G50" i="51" s="1"/>
  <c r="D55" i="51"/>
  <c r="O55" i="51" s="1"/>
  <c r="C56" i="51"/>
  <c r="G56" i="51" s="1"/>
  <c r="D56" i="51"/>
  <c r="M56" i="51" s="1"/>
  <c r="D50" i="51"/>
  <c r="K50" i="51" s="1"/>
  <c r="D51" i="51"/>
  <c r="L51" i="51" s="1"/>
  <c r="C52" i="51"/>
  <c r="H52" i="51" s="1"/>
  <c r="D52" i="51"/>
  <c r="K52" i="51" s="1"/>
  <c r="C53" i="51"/>
  <c r="F53" i="51" s="1"/>
  <c r="D53" i="51"/>
  <c r="P53" i="51" s="1"/>
  <c r="C54" i="51"/>
  <c r="F54" i="51" s="1"/>
  <c r="N161" i="80"/>
  <c r="I42" i="51"/>
  <c r="I71" i="51" s="1"/>
  <c r="O42" i="51"/>
  <c r="O71" i="51" s="1"/>
  <c r="K42" i="51"/>
  <c r="K71" i="51" s="1"/>
  <c r="M44" i="51"/>
  <c r="M73" i="51" s="1"/>
  <c r="M42" i="51"/>
  <c r="M71" i="51" s="1"/>
  <c r="J44" i="51"/>
  <c r="J73" i="51" s="1"/>
  <c r="O43" i="51"/>
  <c r="O72" i="51" s="1"/>
  <c r="L47" i="51"/>
  <c r="L76" i="51" s="1"/>
  <c r="I44" i="51"/>
  <c r="I73" i="51" s="1"/>
  <c r="K44" i="51"/>
  <c r="K73" i="51" s="1"/>
  <c r="N43" i="51"/>
  <c r="N72" i="51" s="1"/>
  <c r="O44" i="51"/>
  <c r="O73" i="51" s="1"/>
  <c r="N44" i="51"/>
  <c r="N73" i="51" s="1"/>
  <c r="P44" i="51"/>
  <c r="P73" i="51" s="1"/>
  <c r="I43" i="51"/>
  <c r="I72" i="51" s="1"/>
  <c r="Q42" i="51"/>
  <c r="Q71" i="51" s="1"/>
  <c r="Q46" i="51"/>
  <c r="Q75" i="51" s="1"/>
  <c r="L42" i="51"/>
  <c r="L71" i="51" s="1"/>
  <c r="J42" i="51"/>
  <c r="J71" i="51" s="1"/>
  <c r="P42" i="51"/>
  <c r="P71" i="51" s="1"/>
  <c r="Q43" i="51"/>
  <c r="Q72" i="51" s="1"/>
  <c r="L43" i="51"/>
  <c r="L72" i="51" s="1"/>
  <c r="I46" i="51"/>
  <c r="I75" i="51" s="1"/>
  <c r="L44" i="51"/>
  <c r="L73" i="51" s="1"/>
  <c r="K43" i="51"/>
  <c r="K72" i="51" s="1"/>
  <c r="P43" i="51"/>
  <c r="P72" i="51" s="1"/>
  <c r="J43" i="51"/>
  <c r="J72" i="51" s="1"/>
  <c r="G45" i="51"/>
  <c r="G74" i="51" s="1"/>
  <c r="N46" i="51"/>
  <c r="N75" i="51" s="1"/>
  <c r="J46" i="51"/>
  <c r="J75" i="51" s="1"/>
  <c r="K46" i="51"/>
  <c r="K75" i="51" s="1"/>
  <c r="H43" i="51"/>
  <c r="H72" i="51" s="1"/>
  <c r="L46" i="51"/>
  <c r="L75" i="51" s="1"/>
  <c r="H45" i="51"/>
  <c r="H74" i="51" s="1"/>
  <c r="O46" i="51"/>
  <c r="O75" i="51" s="1"/>
  <c r="M46" i="51"/>
  <c r="M75" i="51" s="1"/>
  <c r="M47" i="51"/>
  <c r="M76" i="51" s="1"/>
  <c r="P47" i="51"/>
  <c r="P76" i="51" s="1"/>
  <c r="K47" i="51"/>
  <c r="K76" i="51" s="1"/>
  <c r="J47" i="51"/>
  <c r="J76" i="51" s="1"/>
  <c r="I47" i="51"/>
  <c r="I76" i="51" s="1"/>
  <c r="K45" i="51"/>
  <c r="K74" i="51" s="1"/>
  <c r="N45" i="51"/>
  <c r="N74" i="51" s="1"/>
  <c r="G47" i="51"/>
  <c r="G76" i="51" s="1"/>
  <c r="O47" i="51"/>
  <c r="O76" i="51" s="1"/>
  <c r="L45" i="51"/>
  <c r="L74" i="51" s="1"/>
  <c r="N47" i="51"/>
  <c r="N76" i="51" s="1"/>
  <c r="F44" i="51"/>
  <c r="F73" i="51" s="1"/>
  <c r="Q45" i="51"/>
  <c r="Q74" i="51" s="1"/>
  <c r="G42" i="51"/>
  <c r="G71" i="51" s="1"/>
  <c r="H46" i="51"/>
  <c r="H75" i="51" s="1"/>
  <c r="H42" i="51"/>
  <c r="H71" i="51" s="1"/>
  <c r="P45" i="51"/>
  <c r="P74" i="51" s="1"/>
  <c r="G44" i="51"/>
  <c r="G73" i="51" s="1"/>
  <c r="F47" i="51"/>
  <c r="F76" i="51" s="1"/>
  <c r="J45" i="51"/>
  <c r="J74" i="51" s="1"/>
  <c r="G46" i="51"/>
  <c r="G75" i="51" s="1"/>
  <c r="O45" i="51"/>
  <c r="O74" i="51" s="1"/>
  <c r="F43" i="51"/>
  <c r="F72" i="51" s="1"/>
  <c r="M45" i="51"/>
  <c r="M74" i="51" s="1"/>
  <c r="M255" i="39"/>
  <c r="M62" i="80"/>
  <c r="N90" i="80"/>
  <c r="N67" i="80"/>
  <c r="Q41" i="51"/>
  <c r="Q70" i="51" s="1"/>
  <c r="M41" i="51"/>
  <c r="M70" i="51" s="1"/>
  <c r="I41" i="51"/>
  <c r="I70" i="51" s="1"/>
  <c r="O41" i="51"/>
  <c r="O70" i="51" s="1"/>
  <c r="P41" i="51"/>
  <c r="P70" i="51" s="1"/>
  <c r="L41" i="51"/>
  <c r="L70" i="51" s="1"/>
  <c r="N41" i="51"/>
  <c r="N70" i="51" s="1"/>
  <c r="K41" i="51"/>
  <c r="K70" i="51" s="1"/>
  <c r="J41" i="51"/>
  <c r="J70" i="51" s="1"/>
  <c r="M12" i="39"/>
  <c r="O24" i="39"/>
  <c r="O183" i="39" s="1"/>
  <c r="O378" i="39" s="1"/>
  <c r="F8" i="51"/>
  <c r="N12" i="39"/>
  <c r="O39" i="103"/>
  <c r="O56" i="103" s="1"/>
  <c r="N245" i="39"/>
  <c r="N222" i="80" s="1"/>
  <c r="M11" i="39"/>
  <c r="M377" i="39"/>
  <c r="N11" i="39"/>
  <c r="N39" i="103"/>
  <c r="N56" i="103" s="1"/>
  <c r="M245" i="39"/>
  <c r="M222" i="80" s="1"/>
  <c r="N23" i="39"/>
  <c r="N182" i="39" s="1"/>
  <c r="D6" i="22"/>
  <c r="AC7" i="39"/>
  <c r="U7" i="39"/>
  <c r="T7" i="39"/>
  <c r="S7" i="39"/>
  <c r="Z7" i="39"/>
  <c r="X7" i="39"/>
  <c r="V7" i="39"/>
  <c r="AB7" i="39"/>
  <c r="AA7" i="39"/>
  <c r="R7" i="39"/>
  <c r="Y7" i="39"/>
  <c r="W7" i="39"/>
  <c r="AD7" i="39"/>
  <c r="P7" i="39"/>
  <c r="Q7" i="39"/>
  <c r="O7" i="39"/>
  <c r="O181" i="39" s="1"/>
  <c r="N7" i="39"/>
  <c r="G41" i="51"/>
  <c r="G70" i="51" s="1"/>
  <c r="F41" i="51"/>
  <c r="F70" i="51" s="1"/>
  <c r="H41" i="51"/>
  <c r="H70" i="51" s="1"/>
  <c r="O101" i="80" l="1"/>
  <c r="J54" i="51"/>
  <c r="O347" i="39"/>
  <c r="O348" i="39"/>
  <c r="O349" i="39"/>
  <c r="O350" i="39"/>
  <c r="O344" i="39"/>
  <c r="O345" i="39"/>
  <c r="O346" i="39"/>
  <c r="M66" i="80"/>
  <c r="N66" i="80"/>
  <c r="G51" i="51"/>
  <c r="N54" i="51"/>
  <c r="Q51" i="51"/>
  <c r="N51" i="51"/>
  <c r="M51" i="51"/>
  <c r="M54" i="51"/>
  <c r="O51" i="51"/>
  <c r="K54" i="51"/>
  <c r="J51" i="51"/>
  <c r="I54" i="51"/>
  <c r="F52" i="51"/>
  <c r="P54" i="51"/>
  <c r="I51" i="51"/>
  <c r="K51" i="51"/>
  <c r="L54" i="51"/>
  <c r="P51" i="51"/>
  <c r="G55" i="51"/>
  <c r="N52" i="51"/>
  <c r="G52" i="51"/>
  <c r="H51" i="51"/>
  <c r="F55" i="51"/>
  <c r="F50" i="51"/>
  <c r="L52" i="51"/>
  <c r="H50" i="51"/>
  <c r="I52" i="51"/>
  <c r="G53" i="51"/>
  <c r="M53" i="51"/>
  <c r="K55" i="51"/>
  <c r="F56" i="51"/>
  <c r="O53" i="51"/>
  <c r="M55" i="51"/>
  <c r="H53" i="51"/>
  <c r="Q55" i="51"/>
  <c r="M50" i="51"/>
  <c r="I53" i="51"/>
  <c r="K53" i="51"/>
  <c r="H54" i="51"/>
  <c r="N53" i="51"/>
  <c r="J55" i="51"/>
  <c r="Q54" i="51"/>
  <c r="H56" i="51"/>
  <c r="P55" i="51"/>
  <c r="P50" i="51"/>
  <c r="G54" i="51"/>
  <c r="J53" i="51"/>
  <c r="L55" i="51"/>
  <c r="L50" i="51"/>
  <c r="J56" i="51"/>
  <c r="L56" i="51"/>
  <c r="I50" i="51"/>
  <c r="Q53" i="51"/>
  <c r="N55" i="51"/>
  <c r="O50" i="51"/>
  <c r="N56" i="51"/>
  <c r="Q50" i="51"/>
  <c r="N50" i="51"/>
  <c r="I56" i="51"/>
  <c r="I55" i="51"/>
  <c r="J50" i="51"/>
  <c r="L53" i="51"/>
  <c r="O56" i="51"/>
  <c r="O52" i="51"/>
  <c r="K56" i="51"/>
  <c r="P56" i="51"/>
  <c r="M52" i="51"/>
  <c r="J52" i="51"/>
  <c r="Q56" i="51"/>
  <c r="P52" i="51"/>
  <c r="Q52" i="51"/>
  <c r="E72" i="51"/>
  <c r="K101" i="51"/>
  <c r="E73" i="51"/>
  <c r="Q101" i="51"/>
  <c r="I101" i="51"/>
  <c r="E75" i="51"/>
  <c r="H101" i="51"/>
  <c r="E74" i="51"/>
  <c r="E76" i="51"/>
  <c r="N101" i="51"/>
  <c r="E71" i="51"/>
  <c r="J101" i="51"/>
  <c r="L101" i="51"/>
  <c r="M101" i="51"/>
  <c r="G101" i="51"/>
  <c r="P101" i="51"/>
  <c r="O101" i="51"/>
  <c r="M321" i="39"/>
  <c r="N377" i="39"/>
  <c r="N219" i="80"/>
  <c r="N221" i="80" s="1"/>
  <c r="N185" i="39"/>
  <c r="P24" i="39"/>
  <c r="M19" i="74"/>
  <c r="M142" i="116" s="1"/>
  <c r="M19" i="75"/>
  <c r="D7" i="39"/>
  <c r="M19" i="19"/>
  <c r="M89" i="80"/>
  <c r="M158" i="80"/>
  <c r="M7" i="39"/>
  <c r="N158" i="80"/>
  <c r="N89" i="80"/>
  <c r="D36" i="51"/>
  <c r="D38" i="51" s="1"/>
  <c r="N181" i="39"/>
  <c r="M243" i="80"/>
  <c r="M244" i="80" s="1"/>
  <c r="M219" i="80"/>
  <c r="M221" i="80" s="1"/>
  <c r="M185" i="39"/>
  <c r="N243" i="80"/>
  <c r="N244" i="80" s="1"/>
  <c r="F101" i="51"/>
  <c r="E70" i="51"/>
  <c r="N348" i="39" l="1"/>
  <c r="N358" i="39" s="1"/>
  <c r="N57" i="80" s="1"/>
  <c r="N349" i="39"/>
  <c r="N359" i="39" s="1"/>
  <c r="N58" i="80" s="1"/>
  <c r="N345" i="39"/>
  <c r="N355" i="39" s="1"/>
  <c r="N54" i="80" s="1"/>
  <c r="N347" i="39"/>
  <c r="N357" i="39" s="1"/>
  <c r="N56" i="80" s="1"/>
  <c r="N350" i="39"/>
  <c r="N360" i="39" s="1"/>
  <c r="N346" i="39"/>
  <c r="N356" i="39" s="1"/>
  <c r="N55" i="80" s="1"/>
  <c r="N344" i="39"/>
  <c r="E101" i="51"/>
  <c r="N186" i="39"/>
  <c r="N100" i="80" s="1"/>
  <c r="M225" i="80"/>
  <c r="M92" i="80" s="1"/>
  <c r="M250" i="80"/>
  <c r="O339" i="39"/>
  <c r="O336" i="39"/>
  <c r="O340" i="39"/>
  <c r="O338" i="39"/>
  <c r="O337" i="39"/>
  <c r="O357" i="39" s="1"/>
  <c r="O56" i="80" s="1"/>
  <c r="O63" i="80"/>
  <c r="O335" i="39"/>
  <c r="O355" i="39" s="1"/>
  <c r="O54" i="80" s="1"/>
  <c r="O334" i="39"/>
  <c r="R7" i="52"/>
  <c r="Q24" i="39"/>
  <c r="M181" i="39"/>
  <c r="N63" i="80"/>
  <c r="N340" i="39"/>
  <c r="N338" i="39"/>
  <c r="N335" i="39"/>
  <c r="N336" i="39"/>
  <c r="N337" i="39"/>
  <c r="N339" i="39"/>
  <c r="N334" i="39"/>
  <c r="M38" i="51"/>
  <c r="Q38" i="51"/>
  <c r="F38" i="51"/>
  <c r="K38" i="51"/>
  <c r="I38" i="51"/>
  <c r="O38" i="51"/>
  <c r="N38" i="51"/>
  <c r="L38" i="51"/>
  <c r="J38" i="51"/>
  <c r="H38" i="51"/>
  <c r="G38" i="51"/>
  <c r="P38" i="51"/>
  <c r="N157" i="80"/>
  <c r="N88" i="80"/>
  <c r="M186" i="39"/>
  <c r="M88" i="80"/>
  <c r="M157" i="80"/>
  <c r="M165" i="80" s="1"/>
  <c r="M167" i="80" s="1"/>
  <c r="O250" i="80"/>
  <c r="N225" i="80"/>
  <c r="N92" i="80" s="1"/>
  <c r="N250" i="80"/>
  <c r="M100" i="80" l="1"/>
  <c r="M101" i="80"/>
  <c r="N122" i="80"/>
  <c r="N101" i="80"/>
  <c r="O356" i="39"/>
  <c r="O55" i="80" s="1"/>
  <c r="O358" i="39"/>
  <c r="O57" i="80" s="1"/>
  <c r="O359" i="39"/>
  <c r="O58" i="80" s="1"/>
  <c r="O360" i="39"/>
  <c r="O59" i="80" s="1"/>
  <c r="M349" i="39"/>
  <c r="M359" i="39" s="1"/>
  <c r="M58" i="80" s="1"/>
  <c r="M345" i="39"/>
  <c r="M355" i="39" s="1"/>
  <c r="M54" i="80" s="1"/>
  <c r="M346" i="39"/>
  <c r="M356" i="39" s="1"/>
  <c r="M55" i="80" s="1"/>
  <c r="M350" i="39"/>
  <c r="M360" i="39" s="1"/>
  <c r="M348" i="39"/>
  <c r="M358" i="39" s="1"/>
  <c r="M57" i="80" s="1"/>
  <c r="M344" i="39"/>
  <c r="M347" i="39"/>
  <c r="M357" i="39" s="1"/>
  <c r="M56" i="80" s="1"/>
  <c r="N59" i="80"/>
  <c r="N165" i="80"/>
  <c r="N166" i="80" s="1"/>
  <c r="H80" i="51"/>
  <c r="H82" i="51"/>
  <c r="H85" i="51"/>
  <c r="H81" i="51"/>
  <c r="H84" i="51"/>
  <c r="H83" i="51"/>
  <c r="H79" i="51"/>
  <c r="Q82" i="51"/>
  <c r="Q80" i="51"/>
  <c r="Q84" i="51"/>
  <c r="Q85" i="51"/>
  <c r="Q83" i="51"/>
  <c r="Q81" i="51"/>
  <c r="Q79" i="51"/>
  <c r="N99" i="80"/>
  <c r="N398" i="39"/>
  <c r="J80" i="51"/>
  <c r="J83" i="51"/>
  <c r="J84" i="51"/>
  <c r="J85" i="51"/>
  <c r="J82" i="51"/>
  <c r="J81" i="51"/>
  <c r="J79" i="51"/>
  <c r="M80" i="51"/>
  <c r="M83" i="51"/>
  <c r="M84" i="51"/>
  <c r="M85" i="51"/>
  <c r="M82" i="51"/>
  <c r="M79" i="51"/>
  <c r="M81" i="51"/>
  <c r="L84" i="51"/>
  <c r="L85" i="51"/>
  <c r="L80" i="51"/>
  <c r="L83" i="51"/>
  <c r="L82" i="51"/>
  <c r="L79" i="51"/>
  <c r="L81" i="51"/>
  <c r="N354" i="39"/>
  <c r="N351" i="39"/>
  <c r="O354" i="39"/>
  <c r="O341" i="39"/>
  <c r="N82" i="51"/>
  <c r="N85" i="51"/>
  <c r="N80" i="51"/>
  <c r="N83" i="51"/>
  <c r="N84" i="51"/>
  <c r="N81" i="51"/>
  <c r="N79" i="51"/>
  <c r="O83" i="51"/>
  <c r="O84" i="51"/>
  <c r="O85" i="51"/>
  <c r="O80" i="51"/>
  <c r="O82" i="51"/>
  <c r="O79" i="51"/>
  <c r="O81" i="51"/>
  <c r="N341" i="39"/>
  <c r="M63" i="80"/>
  <c r="M340" i="39"/>
  <c r="M337" i="39"/>
  <c r="M335" i="39"/>
  <c r="M338" i="39"/>
  <c r="M339" i="39"/>
  <c r="M336" i="39"/>
  <c r="M334" i="39"/>
  <c r="S7" i="52"/>
  <c r="R24" i="39"/>
  <c r="I84" i="51"/>
  <c r="I85" i="51"/>
  <c r="I82" i="51"/>
  <c r="I83" i="51"/>
  <c r="I80" i="51"/>
  <c r="I79" i="51"/>
  <c r="I81" i="51"/>
  <c r="M166" i="80"/>
  <c r="O351" i="39"/>
  <c r="P82" i="51"/>
  <c r="P83" i="51"/>
  <c r="P80" i="51"/>
  <c r="P85" i="51"/>
  <c r="P84" i="51"/>
  <c r="P79" i="51"/>
  <c r="P81" i="51"/>
  <c r="K81" i="51"/>
  <c r="K85" i="51"/>
  <c r="K84" i="51"/>
  <c r="K83" i="51"/>
  <c r="K82" i="51"/>
  <c r="K80" i="51"/>
  <c r="K79" i="51"/>
  <c r="M99" i="80"/>
  <c r="M398" i="39"/>
  <c r="G85" i="51"/>
  <c r="G82" i="51"/>
  <c r="G80" i="51"/>
  <c r="G79" i="51"/>
  <c r="G81" i="51"/>
  <c r="G84" i="51"/>
  <c r="G83" i="51"/>
  <c r="F81" i="51"/>
  <c r="F85" i="51"/>
  <c r="F80" i="51"/>
  <c r="F82" i="51"/>
  <c r="F79" i="51"/>
  <c r="F84" i="51"/>
  <c r="F83" i="51"/>
  <c r="M122" i="80" l="1"/>
  <c r="O143" i="80"/>
  <c r="N150" i="80"/>
  <c r="M59" i="80"/>
  <c r="N167" i="80"/>
  <c r="N102" i="51"/>
  <c r="G102" i="51"/>
  <c r="P102" i="51"/>
  <c r="E83" i="51"/>
  <c r="E84" i="51"/>
  <c r="K102" i="51"/>
  <c r="Q102" i="51"/>
  <c r="M351" i="39"/>
  <c r="O361" i="39"/>
  <c r="O53" i="80"/>
  <c r="N361" i="39"/>
  <c r="N53" i="80"/>
  <c r="M150" i="80"/>
  <c r="E80" i="51"/>
  <c r="T7" i="52"/>
  <c r="S24" i="39"/>
  <c r="E82" i="51"/>
  <c r="E85" i="51"/>
  <c r="M354" i="39"/>
  <c r="M341" i="39"/>
  <c r="L102" i="51"/>
  <c r="E81" i="51"/>
  <c r="O102" i="51"/>
  <c r="J102" i="51"/>
  <c r="F102" i="51"/>
  <c r="E79" i="51"/>
  <c r="I102" i="51"/>
  <c r="M102" i="51"/>
  <c r="H102" i="51"/>
  <c r="E102" i="51" l="1"/>
  <c r="N384" i="39"/>
  <c r="N375" i="39"/>
  <c r="U7" i="52"/>
  <c r="T24" i="39"/>
  <c r="O375" i="39"/>
  <c r="O384" i="39"/>
  <c r="M361" i="39"/>
  <c r="M53" i="80"/>
  <c r="N97" i="80" l="1"/>
  <c r="M375" i="39"/>
  <c r="M384" i="39"/>
  <c r="O97" i="80"/>
  <c r="V7" i="52"/>
  <c r="U24" i="39"/>
  <c r="W7" i="52" l="1"/>
  <c r="V24" i="39"/>
  <c r="M97" i="80"/>
  <c r="X7" i="52" l="1"/>
  <c r="W24" i="39"/>
  <c r="Y7" i="52" l="1"/>
  <c r="X24" i="39"/>
  <c r="Z7" i="52" l="1"/>
  <c r="Y24" i="39"/>
  <c r="AA7" i="52" l="1"/>
  <c r="Z24" i="39"/>
  <c r="AB7" i="52" l="1"/>
  <c r="AA24" i="39"/>
  <c r="AC7" i="52" l="1"/>
  <c r="AB24" i="39"/>
  <c r="AD7" i="52" l="1"/>
  <c r="AC24" i="39"/>
  <c r="AE7" i="52" l="1"/>
  <c r="AD24" i="39"/>
  <c r="AE24" i="39" l="1"/>
  <c r="O67" i="80" l="1"/>
  <c r="O99" i="80"/>
  <c r="O398" i="39"/>
  <c r="R93" i="39" l="1"/>
  <c r="R229" i="39" s="1"/>
  <c r="R239" i="39" s="1"/>
  <c r="S93" i="39" l="1"/>
  <c r="S220" i="39" s="1"/>
  <c r="W39" i="42"/>
  <c r="X39" i="42" s="1"/>
  <c r="Y39" i="42" s="1"/>
  <c r="Z39" i="42" s="1"/>
  <c r="AA39" i="42" s="1"/>
  <c r="AB39" i="42" s="1"/>
  <c r="AC39" i="42" s="1"/>
  <c r="AD39" i="42" s="1"/>
  <c r="AE39" i="42" s="1"/>
  <c r="AF39" i="42" s="1"/>
  <c r="S47" i="103"/>
  <c r="R220" i="39"/>
  <c r="S229" i="39" l="1"/>
  <c r="T47" i="103" s="1"/>
  <c r="T93" i="39"/>
  <c r="S40" i="103"/>
  <c r="S239" i="39" l="1"/>
  <c r="T40" i="103" s="1"/>
  <c r="T220" i="39"/>
  <c r="T229" i="39"/>
  <c r="U93" i="39"/>
  <c r="U229" i="39" l="1"/>
  <c r="V93" i="39"/>
  <c r="V220" i="39" s="1"/>
  <c r="U47" i="103"/>
  <c r="T239" i="39"/>
  <c r="U220" i="39"/>
  <c r="W93" i="39" l="1"/>
  <c r="W229" i="39" s="1"/>
  <c r="U40" i="103"/>
  <c r="V47" i="103"/>
  <c r="U239" i="39"/>
  <c r="V229" i="39"/>
  <c r="W220" i="39" l="1"/>
  <c r="V40" i="103"/>
  <c r="W47" i="103"/>
  <c r="V239" i="39"/>
  <c r="X93" i="39"/>
  <c r="X47" i="103"/>
  <c r="W239" i="39"/>
  <c r="Y93" i="39" l="1"/>
  <c r="Y229" i="39" s="1"/>
  <c r="X220" i="39"/>
  <c r="X229" i="39"/>
  <c r="X40" i="103"/>
  <c r="W40" i="103"/>
  <c r="Y220" i="39" l="1"/>
  <c r="Y47" i="103"/>
  <c r="X239" i="39"/>
  <c r="Z47" i="103"/>
  <c r="Y239" i="39"/>
  <c r="Z93" i="39"/>
  <c r="Z220" i="39" l="1"/>
  <c r="Z229" i="39"/>
  <c r="Y40" i="103"/>
  <c r="AA93" i="39"/>
  <c r="Z40" i="103"/>
  <c r="AA220" i="39" l="1"/>
  <c r="AB93" i="39"/>
  <c r="AA47" i="103"/>
  <c r="Z239" i="39"/>
  <c r="AA229" i="39"/>
  <c r="AA239" i="39" l="1"/>
  <c r="AB47" i="103"/>
  <c r="AB220" i="39"/>
  <c r="AB229" i="39"/>
  <c r="AC93" i="39"/>
  <c r="AC229" i="39" s="1"/>
  <c r="AA40" i="103"/>
  <c r="AD47" i="103" l="1"/>
  <c r="AC239" i="39"/>
  <c r="AD93" i="39"/>
  <c r="AC220" i="39"/>
  <c r="AB40" i="103"/>
  <c r="AC47" i="103"/>
  <c r="AB239" i="39"/>
  <c r="AE93" i="39" l="1"/>
  <c r="AE220" i="39" s="1"/>
  <c r="AD220" i="39"/>
  <c r="AC40" i="103"/>
  <c r="AD40" i="103"/>
  <c r="AD229" i="39"/>
  <c r="AE229" i="39" l="1"/>
  <c r="AE47" i="103"/>
  <c r="AD239" i="39"/>
  <c r="AE40" i="103" l="1"/>
  <c r="AF47" i="103"/>
  <c r="AE239" i="39"/>
  <c r="AF40" i="103" l="1"/>
  <c r="W41" i="42" l="1"/>
  <c r="X41" i="42" s="1"/>
  <c r="Y41" i="42" s="1"/>
  <c r="Z41" i="42" s="1"/>
  <c r="AA41" i="42" s="1"/>
  <c r="AB41" i="42" s="1"/>
  <c r="AC41" i="42" s="1"/>
  <c r="AD41" i="42" s="1"/>
  <c r="AE41" i="42" s="1"/>
  <c r="AF41" i="42" s="1"/>
  <c r="W42" i="42"/>
  <c r="X42" i="42" s="1"/>
  <c r="Y42" i="42" s="1"/>
  <c r="Z42" i="42" s="1"/>
  <c r="AA42" i="42" s="1"/>
  <c r="AB42" i="42" s="1"/>
  <c r="AC42" i="42" s="1"/>
  <c r="AD42" i="42" s="1"/>
  <c r="AE42" i="42" s="1"/>
  <c r="AF42" i="42" s="1"/>
  <c r="W67" i="42"/>
  <c r="X67" i="42" s="1"/>
  <c r="Y67" i="42" s="1"/>
  <c r="Z67" i="42" s="1"/>
  <c r="AA67" i="42" s="1"/>
  <c r="AB67" i="42" s="1"/>
  <c r="AC67" i="42" s="1"/>
  <c r="AD67" i="42" s="1"/>
  <c r="AE67" i="42" s="1"/>
  <c r="AF67" i="42" s="1"/>
  <c r="W68" i="42"/>
  <c r="X68" i="42" s="1"/>
  <c r="Y68" i="42" s="1"/>
  <c r="Z68" i="42" s="1"/>
  <c r="AA68" i="42" s="1"/>
  <c r="AB68" i="42" s="1"/>
  <c r="AC68" i="42" s="1"/>
  <c r="AD68" i="42" s="1"/>
  <c r="AE68" i="42" s="1"/>
  <c r="AF68" i="42" s="1"/>
  <c r="S95" i="39"/>
  <c r="R95" i="39"/>
  <c r="S222" i="39" l="1"/>
  <c r="R222" i="39"/>
  <c r="S231" i="39"/>
  <c r="R231" i="39"/>
  <c r="T95" i="39" l="1"/>
  <c r="R235" i="39"/>
  <c r="S49" i="103"/>
  <c r="S61" i="103" s="1"/>
  <c r="R241" i="39"/>
  <c r="T49" i="103"/>
  <c r="T61" i="103" s="1"/>
  <c r="S235" i="39"/>
  <c r="S241" i="39"/>
  <c r="T222" i="39" l="1"/>
  <c r="T231" i="39"/>
  <c r="S42" i="103"/>
  <c r="S56" i="103" s="1"/>
  <c r="R245" i="39"/>
  <c r="R222" i="80" s="1"/>
  <c r="T42" i="103"/>
  <c r="T56" i="103" s="1"/>
  <c r="S245" i="39"/>
  <c r="S222" i="80" s="1"/>
  <c r="U95" i="39"/>
  <c r="W91" i="42"/>
  <c r="V95" i="39" l="1"/>
  <c r="V222" i="39" s="1"/>
  <c r="X91" i="42"/>
  <c r="U222" i="39"/>
  <c r="R225" i="80"/>
  <c r="R92" i="80" s="1"/>
  <c r="R243" i="80"/>
  <c r="R244" i="80" s="1"/>
  <c r="U49" i="103"/>
  <c r="U61" i="103" s="1"/>
  <c r="T241" i="39"/>
  <c r="U231" i="39"/>
  <c r="S243" i="80"/>
  <c r="S244" i="80" s="1"/>
  <c r="S225" i="80"/>
  <c r="S92" i="80" s="1"/>
  <c r="T31" i="75" l="1"/>
  <c r="T45" i="74"/>
  <c r="F110" i="116"/>
  <c r="U45" i="74"/>
  <c r="G110" i="116"/>
  <c r="U31" i="75"/>
  <c r="V231" i="39"/>
  <c r="W95" i="39"/>
  <c r="Y91" i="42"/>
  <c r="U42" i="103"/>
  <c r="U56" i="103" s="1"/>
  <c r="V49" i="103"/>
  <c r="V61" i="103" s="1"/>
  <c r="U241" i="39"/>
  <c r="V241" i="39" l="1"/>
  <c r="W49" i="103"/>
  <c r="W61" i="103" s="1"/>
  <c r="V42" i="103"/>
  <c r="V56" i="103" s="1"/>
  <c r="X95" i="39"/>
  <c r="Z91" i="42"/>
  <c r="W231" i="39"/>
  <c r="W222" i="39"/>
  <c r="W42" i="103" l="1"/>
  <c r="W56" i="103" s="1"/>
  <c r="X222" i="39"/>
  <c r="X49" i="103"/>
  <c r="X61" i="103" s="1"/>
  <c r="W241" i="39"/>
  <c r="X231" i="39"/>
  <c r="Y95" i="39"/>
  <c r="Y222" i="39" s="1"/>
  <c r="AA91" i="42"/>
  <c r="X42" i="103" l="1"/>
  <c r="X56" i="103" s="1"/>
  <c r="Z95" i="39"/>
  <c r="AB91" i="42"/>
  <c r="Y231" i="39"/>
  <c r="Y49" i="103"/>
  <c r="Y61" i="103" s="1"/>
  <c r="X241" i="39"/>
  <c r="Z49" i="103" l="1"/>
  <c r="Z61" i="103" s="1"/>
  <c r="Y241" i="39"/>
  <c r="AC91" i="42"/>
  <c r="AA95" i="39"/>
  <c r="Z222" i="39"/>
  <c r="Y42" i="103"/>
  <c r="Y56" i="103" s="1"/>
  <c r="Z231" i="39"/>
  <c r="AA222" i="39" l="1"/>
  <c r="AB95" i="39"/>
  <c r="AD91" i="42"/>
  <c r="Z42" i="103"/>
  <c r="Z56" i="103" s="1"/>
  <c r="AA49" i="103"/>
  <c r="AA61" i="103" s="1"/>
  <c r="Z241" i="39"/>
  <c r="AA231" i="39"/>
  <c r="AC95" i="39" l="1"/>
  <c r="AE91" i="42"/>
  <c r="AB222" i="39"/>
  <c r="AB49" i="103"/>
  <c r="AB61" i="103" s="1"/>
  <c r="AA241" i="39"/>
  <c r="AA42" i="103"/>
  <c r="AA56" i="103" s="1"/>
  <c r="AB231" i="39"/>
  <c r="AB42" i="103" l="1"/>
  <c r="AB56" i="103" s="1"/>
  <c r="AD95" i="39"/>
  <c r="AD231" i="39" s="1"/>
  <c r="AF91" i="42"/>
  <c r="AE95" i="39" s="1"/>
  <c r="AC222" i="39"/>
  <c r="AC49" i="103"/>
  <c r="AC61" i="103" s="1"/>
  <c r="AB241" i="39"/>
  <c r="AC231" i="39"/>
  <c r="AE222" i="39" l="1"/>
  <c r="AC241" i="39"/>
  <c r="AD49" i="103"/>
  <c r="AD61" i="103" s="1"/>
  <c r="AC42" i="103"/>
  <c r="AC56" i="103" s="1"/>
  <c r="AE49" i="103"/>
  <c r="AE61" i="103" s="1"/>
  <c r="AD241" i="39"/>
  <c r="AD222" i="39"/>
  <c r="AE231" i="39"/>
  <c r="AE241" i="39" l="1"/>
  <c r="AF49" i="103"/>
  <c r="AF61" i="103" s="1"/>
  <c r="AE42" i="103"/>
  <c r="AE56" i="103" s="1"/>
  <c r="AD42" i="103"/>
  <c r="AD56" i="103" s="1"/>
  <c r="AF42" i="103" l="1"/>
  <c r="AF56" i="103" s="1"/>
  <c r="W93" i="42" l="1"/>
  <c r="X93" i="42" s="1"/>
  <c r="Y93" i="42" s="1"/>
  <c r="Z93" i="42" s="1"/>
  <c r="AA93" i="42" s="1"/>
  <c r="AB93" i="42" s="1"/>
  <c r="AC93" i="42" s="1"/>
  <c r="AD93" i="42" s="1"/>
  <c r="AE93" i="42" s="1"/>
  <c r="AF93" i="42" s="1"/>
  <c r="W94" i="42"/>
  <c r="X94" i="42" s="1"/>
  <c r="Y94" i="42" s="1"/>
  <c r="Z94" i="42" s="1"/>
  <c r="AA94" i="42" s="1"/>
  <c r="AB94" i="42" s="1"/>
  <c r="AC94" i="42" s="1"/>
  <c r="AD94" i="42" s="1"/>
  <c r="AE94" i="42" s="1"/>
  <c r="AF94" i="42" s="1"/>
  <c r="V96" i="39"/>
  <c r="AE96" i="39"/>
  <c r="X96" i="39"/>
  <c r="AA96" i="39"/>
  <c r="Z96" i="39"/>
  <c r="U96" i="39"/>
  <c r="Y96" i="39"/>
  <c r="AC96" i="39"/>
  <c r="W96" i="39"/>
  <c r="AB96" i="39"/>
  <c r="AD96" i="39"/>
  <c r="T96" i="39"/>
  <c r="Y232" i="39" l="1"/>
  <c r="Y223" i="39"/>
  <c r="T223" i="39"/>
  <c r="V223" i="39"/>
  <c r="AA223" i="39"/>
  <c r="U223" i="39"/>
  <c r="X223" i="39"/>
  <c r="AB223" i="39"/>
  <c r="Z223" i="39"/>
  <c r="AC223" i="39"/>
  <c r="AD223" i="39"/>
  <c r="AE223" i="39"/>
  <c r="AC232" i="39"/>
  <c r="W232" i="39"/>
  <c r="Z232" i="39"/>
  <c r="AD232" i="39"/>
  <c r="V232" i="39"/>
  <c r="W223" i="39"/>
  <c r="T232" i="39"/>
  <c r="X232" i="39"/>
  <c r="AA232" i="39"/>
  <c r="U232" i="39"/>
  <c r="AB232" i="39"/>
  <c r="AE232" i="39"/>
  <c r="Z50" i="103" l="1"/>
  <c r="Z63" i="103" s="1"/>
  <c r="Y242" i="39"/>
  <c r="Y50" i="103"/>
  <c r="Y63" i="103" s="1"/>
  <c r="X242" i="39"/>
  <c r="AC50" i="103"/>
  <c r="AC63" i="103" s="1"/>
  <c r="AB242" i="39"/>
  <c r="AA242" i="39"/>
  <c r="AB50" i="103"/>
  <c r="AB63" i="103" s="1"/>
  <c r="W50" i="103"/>
  <c r="W63" i="103" s="1"/>
  <c r="V242" i="39"/>
  <c r="AD50" i="103"/>
  <c r="AD63" i="103" s="1"/>
  <c r="AC242" i="39"/>
  <c r="AE242" i="39"/>
  <c r="AF50" i="103"/>
  <c r="AF63" i="103" s="1"/>
  <c r="AE50" i="103"/>
  <c r="AE63" i="103" s="1"/>
  <c r="AD242" i="39"/>
  <c r="T242" i="39"/>
  <c r="U50" i="103"/>
  <c r="U63" i="103" s="1"/>
  <c r="Z242" i="39"/>
  <c r="AA50" i="103"/>
  <c r="AA63" i="103" s="1"/>
  <c r="V50" i="103"/>
  <c r="V63" i="103" s="1"/>
  <c r="U242" i="39"/>
  <c r="X50" i="103"/>
  <c r="X63" i="103" s="1"/>
  <c r="W242" i="39"/>
  <c r="Z43" i="103" l="1"/>
  <c r="Z58" i="103" s="1"/>
  <c r="W43" i="103"/>
  <c r="W58" i="103" s="1"/>
  <c r="Y43" i="103"/>
  <c r="Y58" i="103" s="1"/>
  <c r="V43" i="103"/>
  <c r="V58" i="103" s="1"/>
  <c r="AA43" i="103"/>
  <c r="AA58" i="103" s="1"/>
  <c r="X43" i="103"/>
  <c r="X58" i="103" s="1"/>
  <c r="AE43" i="103"/>
  <c r="AE58" i="103" s="1"/>
  <c r="U43" i="103"/>
  <c r="U58" i="103" s="1"/>
  <c r="AD43" i="103"/>
  <c r="AD58" i="103" s="1"/>
  <c r="AC43" i="103"/>
  <c r="AC58" i="103" s="1"/>
  <c r="AB43" i="103"/>
  <c r="AB58" i="103" s="1"/>
  <c r="AF43" i="103"/>
  <c r="AF58" i="103" s="1"/>
  <c r="U61" i="39" l="1"/>
  <c r="T61" i="39"/>
  <c r="X224" i="39" l="1"/>
  <c r="AB224" i="39"/>
  <c r="U150" i="103"/>
  <c r="AE233" i="39"/>
  <c r="AE235" i="39" s="1"/>
  <c r="Y233" i="39"/>
  <c r="Y235" i="39" s="1"/>
  <c r="AA233" i="39"/>
  <c r="AA235" i="39" s="1"/>
  <c r="W233" i="39"/>
  <c r="W235" i="39" s="1"/>
  <c r="T204" i="39"/>
  <c r="T206" i="39" s="1"/>
  <c r="X233" i="39"/>
  <c r="X235" i="39" s="1"/>
  <c r="AC224" i="39"/>
  <c r="AA224" i="39"/>
  <c r="V224" i="39"/>
  <c r="Y224" i="39"/>
  <c r="Z233" i="39"/>
  <c r="Z235" i="39" s="1"/>
  <c r="AB233" i="39"/>
  <c r="AB235" i="39" s="1"/>
  <c r="AC233" i="39"/>
  <c r="AC235" i="39" s="1"/>
  <c r="Z224" i="39"/>
  <c r="AE224" i="39"/>
  <c r="V233" i="39"/>
  <c r="V235" i="39" s="1"/>
  <c r="AD233" i="39"/>
  <c r="AD235" i="39" s="1"/>
  <c r="T233" i="39"/>
  <c r="T235" i="39" s="1"/>
  <c r="W224" i="39"/>
  <c r="U233" i="39"/>
  <c r="U235" i="39" s="1"/>
  <c r="U224" i="39"/>
  <c r="AD224" i="39"/>
  <c r="U204" i="39"/>
  <c r="V150" i="103"/>
  <c r="T224" i="39"/>
  <c r="V158" i="103" l="1"/>
  <c r="V166" i="103" s="1"/>
  <c r="V165" i="103" s="1"/>
  <c r="V168" i="103" s="1"/>
  <c r="U206" i="39"/>
  <c r="X243" i="39"/>
  <c r="X245" i="39" s="1"/>
  <c r="X222" i="80" s="1"/>
  <c r="Y51" i="103"/>
  <c r="Y64" i="103" s="1"/>
  <c r="U158" i="103"/>
  <c r="U166" i="103" s="1"/>
  <c r="U165" i="103" s="1"/>
  <c r="U168" i="103" s="1"/>
  <c r="T214" i="39"/>
  <c r="T216" i="39" s="1"/>
  <c r="Z51" i="103"/>
  <c r="Z64" i="103" s="1"/>
  <c r="Y243" i="39"/>
  <c r="Y245" i="39" s="1"/>
  <c r="Y222" i="80" s="1"/>
  <c r="AA51" i="103"/>
  <c r="AA64" i="103" s="1"/>
  <c r="Z243" i="39"/>
  <c r="Z245" i="39" s="1"/>
  <c r="Z222" i="80" s="1"/>
  <c r="AA243" i="39"/>
  <c r="AA245" i="39" s="1"/>
  <c r="AA222" i="80" s="1"/>
  <c r="AB51" i="103"/>
  <c r="AB64" i="103" s="1"/>
  <c r="V243" i="39"/>
  <c r="V245" i="39" s="1"/>
  <c r="V222" i="80" s="1"/>
  <c r="W51" i="103"/>
  <c r="W64" i="103" s="1"/>
  <c r="AC243" i="39"/>
  <c r="AC245" i="39" s="1"/>
  <c r="AC222" i="80" s="1"/>
  <c r="AD51" i="103"/>
  <c r="AD64" i="103" s="1"/>
  <c r="U243" i="39"/>
  <c r="U245" i="39" s="1"/>
  <c r="U222" i="80" s="1"/>
  <c r="V51" i="103"/>
  <c r="V64" i="103" s="1"/>
  <c r="U51" i="103"/>
  <c r="U64" i="103" s="1"/>
  <c r="T243" i="39"/>
  <c r="T245" i="39" s="1"/>
  <c r="T222" i="80" s="1"/>
  <c r="AE51" i="103"/>
  <c r="AE64" i="103" s="1"/>
  <c r="AD243" i="39"/>
  <c r="AD245" i="39" s="1"/>
  <c r="AD222" i="80" s="1"/>
  <c r="AB243" i="39"/>
  <c r="AB245" i="39" s="1"/>
  <c r="AB222" i="80" s="1"/>
  <c r="AC51" i="103"/>
  <c r="AC64" i="103" s="1"/>
  <c r="X51" i="103"/>
  <c r="X64" i="103" s="1"/>
  <c r="W243" i="39"/>
  <c r="W245" i="39" s="1"/>
  <c r="W222" i="80" s="1"/>
  <c r="AF51" i="103"/>
  <c r="AF64" i="103" s="1"/>
  <c r="AE243" i="39"/>
  <c r="AE245" i="39" s="1"/>
  <c r="AE222" i="80" s="1"/>
  <c r="W243" i="80" l="1"/>
  <c r="W244" i="80" s="1"/>
  <c r="W225" i="80"/>
  <c r="W92" i="80" s="1"/>
  <c r="Z225" i="80"/>
  <c r="Z92" i="80" s="1"/>
  <c r="Y45" i="74" s="1"/>
  <c r="Z243" i="80"/>
  <c r="Z244" i="80" s="1"/>
  <c r="U243" i="80"/>
  <c r="U244" i="80" s="1"/>
  <c r="U225" i="80"/>
  <c r="U92" i="80" s="1"/>
  <c r="AE243" i="80"/>
  <c r="AE244" i="80" s="1"/>
  <c r="AE225" i="80"/>
  <c r="AE92" i="80" s="1"/>
  <c r="AB243" i="80"/>
  <c r="AB244" i="80" s="1"/>
  <c r="AB225" i="80"/>
  <c r="AB92" i="80" s="1"/>
  <c r="AC243" i="80"/>
  <c r="AC244" i="80" s="1"/>
  <c r="AC225" i="80"/>
  <c r="AC92" i="80" s="1"/>
  <c r="AA225" i="80"/>
  <c r="AA92" i="80" s="1"/>
  <c r="AA243" i="80"/>
  <c r="AA244" i="80" s="1"/>
  <c r="Y225" i="80"/>
  <c r="Y92" i="80" s="1"/>
  <c r="Y243" i="80"/>
  <c r="Y244" i="80" s="1"/>
  <c r="X225" i="80"/>
  <c r="X92" i="80" s="1"/>
  <c r="X243" i="80"/>
  <c r="X244" i="80" s="1"/>
  <c r="AD225" i="80"/>
  <c r="AD92" i="80" s="1"/>
  <c r="AD243" i="80"/>
  <c r="AD244" i="80" s="1"/>
  <c r="V243" i="80"/>
  <c r="V244" i="80" s="1"/>
  <c r="V225" i="80"/>
  <c r="V92" i="80" s="1"/>
  <c r="T243" i="80"/>
  <c r="T244" i="80" s="1"/>
  <c r="T225" i="80"/>
  <c r="T92" i="80" s="1"/>
  <c r="V44" i="103"/>
  <c r="V59" i="103" s="1"/>
  <c r="W44" i="103"/>
  <c r="W59" i="103" s="1"/>
  <c r="AB44" i="103"/>
  <c r="AB59" i="103" s="1"/>
  <c r="AF44" i="103"/>
  <c r="AF59" i="103" s="1"/>
  <c r="U44" i="103"/>
  <c r="U59" i="103" s="1"/>
  <c r="Z44" i="103"/>
  <c r="Z59" i="103" s="1"/>
  <c r="AC44" i="103"/>
  <c r="AC59" i="103" s="1"/>
  <c r="AD44" i="103"/>
  <c r="AD59" i="103" s="1"/>
  <c r="X44" i="103"/>
  <c r="X59" i="103" s="1"/>
  <c r="AE44" i="103"/>
  <c r="AE59" i="103" s="1"/>
  <c r="AA44" i="103"/>
  <c r="AA59" i="103" s="1"/>
  <c r="U21" i="103"/>
  <c r="U34" i="103" s="1"/>
  <c r="U214" i="39"/>
  <c r="U216" i="39" s="1"/>
  <c r="Y44" i="103"/>
  <c r="Y59" i="103" s="1"/>
  <c r="V45" i="74" l="1"/>
  <c r="H110" i="116"/>
  <c r="V31" i="75"/>
  <c r="I110" i="116"/>
  <c r="W45" i="74"/>
  <c r="W31" i="75"/>
  <c r="Z45" i="74"/>
  <c r="L110" i="116"/>
  <c r="Z31" i="75"/>
  <c r="X45" i="74"/>
  <c r="J110" i="116"/>
  <c r="X31" i="75"/>
  <c r="Y31" i="75"/>
  <c r="K110" i="116"/>
  <c r="V214" i="39"/>
  <c r="V216" i="39" s="1"/>
  <c r="V21" i="103"/>
  <c r="V34" i="103" s="1"/>
  <c r="W21" i="103" l="1"/>
  <c r="W34" i="103" s="1"/>
  <c r="W214" i="39"/>
  <c r="W216" i="39" s="1"/>
  <c r="X21" i="103" l="1"/>
  <c r="X34" i="103" s="1"/>
  <c r="X214" i="39"/>
  <c r="X216" i="39" s="1"/>
  <c r="Y21" i="103" l="1"/>
  <c r="Y34" i="103" s="1"/>
  <c r="Y214" i="39"/>
  <c r="Y216" i="39" s="1"/>
  <c r="Z21" i="103" l="1"/>
  <c r="Z34" i="103" s="1"/>
  <c r="Z214" i="39"/>
  <c r="Z216" i="39" s="1"/>
  <c r="AA214" i="39" l="1"/>
  <c r="AA216" i="39" s="1"/>
  <c r="AA21" i="103"/>
  <c r="AA34" i="103" s="1"/>
  <c r="AB21" i="103" l="1"/>
  <c r="AB34" i="103" s="1"/>
  <c r="AB214" i="39"/>
  <c r="AB216" i="39" s="1"/>
  <c r="AC214" i="39" l="1"/>
  <c r="AC216" i="39" s="1"/>
  <c r="AC21" i="103"/>
  <c r="AC34" i="103" s="1"/>
  <c r="AD21" i="103" l="1"/>
  <c r="AD34" i="103" s="1"/>
  <c r="AD214" i="39"/>
  <c r="AD216" i="39" s="1"/>
  <c r="AE21" i="103" l="1"/>
  <c r="AE34" i="103" s="1"/>
  <c r="AE214" i="39"/>
  <c r="AF21" i="103" l="1"/>
  <c r="AF34" i="103" s="1"/>
  <c r="AE216" i="39"/>
  <c r="N119" i="80"/>
  <c r="M119" i="80"/>
  <c r="O119" i="80"/>
  <c r="O133" i="80"/>
  <c r="O123" i="80"/>
  <c r="N123" i="80"/>
  <c r="M123" i="80"/>
  <c r="N121" i="80"/>
  <c r="M121" i="80"/>
  <c r="O136" i="80"/>
  <c r="O134" i="80"/>
  <c r="AE142" i="80"/>
  <c r="W124" i="116" s="1"/>
  <c r="AE125" i="80"/>
  <c r="AD125" i="80"/>
  <c r="AD142" i="80"/>
  <c r="AC125" i="80"/>
  <c r="AC142" i="80"/>
  <c r="AB125" i="80"/>
  <c r="AB142" i="80"/>
  <c r="AA125" i="80"/>
  <c r="AA142" i="80"/>
  <c r="Z125" i="80"/>
  <c r="J126" i="80"/>
  <c r="Z142" i="80"/>
  <c r="V124" i="116" s="1"/>
  <c r="Y125" i="80"/>
  <c r="J120" i="80"/>
  <c r="G137" i="103"/>
  <c r="Y142" i="80"/>
  <c r="X125" i="80"/>
  <c r="J118" i="80"/>
  <c r="H137" i="103"/>
  <c r="X142" i="80"/>
  <c r="W125" i="80"/>
  <c r="G141" i="103"/>
  <c r="F125" i="80"/>
  <c r="G125" i="80"/>
  <c r="F139" i="80"/>
  <c r="F120" i="80"/>
  <c r="G120" i="80"/>
  <c r="F124" i="80"/>
  <c r="G124" i="80"/>
  <c r="G140" i="103"/>
  <c r="F136" i="80"/>
  <c r="F137" i="80"/>
  <c r="F142" i="80"/>
  <c r="F134" i="80"/>
  <c r="F133" i="80"/>
  <c r="F126" i="80"/>
  <c r="G126" i="80"/>
  <c r="F138" i="80"/>
  <c r="G139" i="103"/>
  <c r="F135" i="80"/>
  <c r="F123" i="80"/>
  <c r="G123" i="80"/>
  <c r="F141" i="80"/>
  <c r="F118" i="80"/>
  <c r="G118" i="80"/>
  <c r="F119" i="80"/>
  <c r="G119" i="80"/>
  <c r="F121" i="80"/>
  <c r="G121" i="80"/>
  <c r="F140" i="80"/>
  <c r="G138" i="103"/>
  <c r="J124" i="80"/>
  <c r="I137" i="103"/>
  <c r="W142" i="80"/>
  <c r="V125" i="80"/>
  <c r="G141" i="80"/>
  <c r="H120" i="80"/>
  <c r="H141" i="103"/>
  <c r="H118" i="80"/>
  <c r="H126" i="80"/>
  <c r="G137" i="80"/>
  <c r="H139" i="103"/>
  <c r="H124" i="80"/>
  <c r="G133" i="80"/>
  <c r="G136" i="80"/>
  <c r="H140" i="103"/>
  <c r="G139" i="80"/>
  <c r="H138" i="103"/>
  <c r="H125" i="80"/>
  <c r="H119" i="80"/>
  <c r="H123" i="80"/>
  <c r="G138" i="80"/>
  <c r="G134" i="80"/>
  <c r="G140" i="80"/>
  <c r="G142" i="80"/>
  <c r="G135" i="80"/>
  <c r="H121" i="80"/>
  <c r="J121" i="80"/>
  <c r="I121" i="80"/>
  <c r="K121" i="80"/>
  <c r="J137" i="103"/>
  <c r="J125" i="80"/>
  <c r="I125" i="80"/>
  <c r="K125" i="80"/>
  <c r="I118" i="80"/>
  <c r="I124" i="80"/>
  <c r="I120" i="80"/>
  <c r="J123" i="80"/>
  <c r="I123" i="80"/>
  <c r="V142" i="80"/>
  <c r="U125" i="80"/>
  <c r="I141" i="103"/>
  <c r="H135" i="80"/>
  <c r="H140" i="80"/>
  <c r="I140" i="103"/>
  <c r="I126" i="80"/>
  <c r="H134" i="80"/>
  <c r="I139" i="103"/>
  <c r="H141" i="80"/>
  <c r="H138" i="80"/>
  <c r="I138" i="103"/>
  <c r="H136" i="80"/>
  <c r="I119" i="80"/>
  <c r="H139" i="80"/>
  <c r="H133" i="80"/>
  <c r="H142" i="80"/>
  <c r="H137" i="80"/>
  <c r="K137" i="103"/>
  <c r="U142" i="80"/>
  <c r="U124" i="116" s="1"/>
  <c r="T125" i="80"/>
  <c r="I142" i="80"/>
  <c r="I134" i="80"/>
  <c r="I139" i="80"/>
  <c r="I138" i="80"/>
  <c r="I136" i="80"/>
  <c r="I141" i="80"/>
  <c r="J119" i="80"/>
  <c r="J139" i="103"/>
  <c r="I140" i="80"/>
  <c r="J140" i="103"/>
  <c r="I137" i="80"/>
  <c r="J138" i="103"/>
  <c r="I135" i="80"/>
  <c r="I133" i="80"/>
  <c r="J141" i="103"/>
  <c r="K119" i="80"/>
  <c r="L119" i="80"/>
  <c r="K123" i="80"/>
  <c r="L123" i="80"/>
  <c r="T142" i="80"/>
  <c r="S142" i="80"/>
  <c r="S125" i="80"/>
  <c r="R142" i="80"/>
  <c r="J141" i="80"/>
  <c r="J136" i="80"/>
  <c r="J134" i="80"/>
  <c r="K141" i="103"/>
  <c r="J137" i="80"/>
  <c r="J135" i="80"/>
  <c r="K138" i="103"/>
  <c r="J140" i="80"/>
  <c r="K139" i="103"/>
  <c r="J133" i="80"/>
  <c r="J142" i="80"/>
  <c r="J138" i="80"/>
  <c r="K140" i="103"/>
  <c r="J139" i="80"/>
  <c r="Q142" i="80"/>
  <c r="P142" i="80"/>
  <c r="R125" i="80"/>
  <c r="K136" i="80"/>
  <c r="K137" i="80"/>
  <c r="K142" i="80"/>
  <c r="K133" i="80"/>
  <c r="K138" i="80"/>
  <c r="L125" i="80"/>
  <c r="K135" i="80"/>
  <c r="K139" i="80"/>
  <c r="L121" i="80"/>
  <c r="K134" i="80"/>
  <c r="N125" i="80"/>
  <c r="M125" i="80"/>
  <c r="Q125" i="80"/>
  <c r="L142" i="80"/>
  <c r="L133" i="80"/>
  <c r="L134" i="80"/>
  <c r="L139" i="80"/>
  <c r="L136" i="80"/>
  <c r="L138" i="80"/>
  <c r="L135" i="80"/>
  <c r="L137" i="80"/>
  <c r="O142" i="80"/>
  <c r="P125" i="80"/>
  <c r="M133" i="80"/>
  <c r="M139" i="80"/>
  <c r="M143" i="80"/>
  <c r="M135" i="80"/>
  <c r="M138" i="80"/>
  <c r="M136" i="80"/>
  <c r="M134" i="80"/>
  <c r="M137" i="80"/>
  <c r="M142" i="80"/>
  <c r="O331" i="39"/>
  <c r="O125" i="80"/>
  <c r="N133" i="80"/>
  <c r="N139" i="80"/>
  <c r="N135" i="80"/>
  <c r="N137" i="80"/>
  <c r="N143" i="80"/>
  <c r="N136" i="80"/>
  <c r="N138" i="80"/>
  <c r="N134" i="80"/>
  <c r="N142" i="80"/>
  <c r="O121" i="80"/>
  <c r="O135" i="80"/>
  <c r="O139" i="80"/>
  <c r="O137" i="80"/>
  <c r="O138" i="80"/>
  <c r="O150" i="80"/>
  <c r="V237" i="80" l="1"/>
  <c r="J232" i="80"/>
  <c r="P124" i="116"/>
  <c r="J231" i="80"/>
  <c r="I127" i="80"/>
  <c r="G127" i="80"/>
  <c r="F127" i="80"/>
  <c r="H127" i="80"/>
  <c r="J127" i="80"/>
  <c r="R124" i="116"/>
  <c r="H234" i="80"/>
  <c r="S124" i="116"/>
  <c r="T124" i="116"/>
  <c r="H237" i="80"/>
  <c r="Q124" i="116"/>
  <c r="O234" i="80"/>
  <c r="R237" i="80"/>
  <c r="Y237" i="80"/>
  <c r="P182" i="39"/>
  <c r="P377" i="39" s="1"/>
  <c r="C97" i="51" s="1"/>
  <c r="G237" i="80"/>
  <c r="P183" i="39"/>
  <c r="P378" i="39" s="1"/>
  <c r="AA237" i="80"/>
  <c r="M237" i="80"/>
  <c r="J233" i="80"/>
  <c r="P181" i="39"/>
  <c r="P344" i="39" s="1"/>
  <c r="I234" i="80"/>
  <c r="H235" i="80"/>
  <c r="I237" i="80"/>
  <c r="W237" i="80"/>
  <c r="L237" i="80"/>
  <c r="U237" i="80"/>
  <c r="I231" i="80"/>
  <c r="N237" i="80"/>
  <c r="G236" i="80"/>
  <c r="Z237" i="80"/>
  <c r="I232" i="80"/>
  <c r="I236" i="80"/>
  <c r="H233" i="80"/>
  <c r="O237" i="80"/>
  <c r="J237" i="80"/>
  <c r="AC237" i="80"/>
  <c r="AE237" i="80"/>
  <c r="J234" i="80"/>
  <c r="M235" i="80"/>
  <c r="G234" i="80"/>
  <c r="G235" i="80"/>
  <c r="G231" i="80"/>
  <c r="N235" i="80"/>
  <c r="L235" i="80"/>
  <c r="J235" i="80"/>
  <c r="K237" i="80"/>
  <c r="J236" i="80"/>
  <c r="AD237" i="80"/>
  <c r="S237" i="80"/>
  <c r="T237" i="80"/>
  <c r="O235" i="80"/>
  <c r="I235" i="80"/>
  <c r="AB237" i="80"/>
  <c r="X237" i="80"/>
  <c r="Q237" i="80"/>
  <c r="K235" i="80"/>
  <c r="K232" i="80"/>
  <c r="K234" i="80"/>
  <c r="H236" i="80"/>
  <c r="H238" i="80"/>
  <c r="H231" i="80"/>
  <c r="P237" i="80"/>
  <c r="M232" i="80"/>
  <c r="H232" i="80"/>
  <c r="G233" i="80"/>
  <c r="G232" i="80"/>
  <c r="N232" i="80"/>
  <c r="M234" i="80"/>
  <c r="L234" i="80"/>
  <c r="I238" i="80"/>
  <c r="J238" i="80"/>
  <c r="N234" i="80"/>
  <c r="O232" i="80"/>
  <c r="L232" i="80"/>
  <c r="G238" i="80"/>
  <c r="I233" i="80"/>
  <c r="C98" i="51" l="1"/>
  <c r="G97" i="51"/>
  <c r="G104" i="51" s="1"/>
  <c r="H97" i="51"/>
  <c r="H104" i="51" s="1"/>
  <c r="F97" i="51"/>
  <c r="F104" i="51" s="1"/>
  <c r="Q183" i="39"/>
  <c r="Q378" i="39" s="1"/>
  <c r="D98" i="51" s="1"/>
  <c r="Q181" i="39"/>
  <c r="Q338" i="39" s="1"/>
  <c r="Q182" i="39"/>
  <c r="Q377" i="39" s="1"/>
  <c r="D97" i="51" s="1"/>
  <c r="Q97" i="51" s="1"/>
  <c r="Q104" i="51" s="1"/>
  <c r="P101" i="80"/>
  <c r="P123" i="80" s="1"/>
  <c r="P235" i="80" s="1"/>
  <c r="P340" i="39"/>
  <c r="P336" i="39"/>
  <c r="P334" i="39"/>
  <c r="P354" i="39" s="1"/>
  <c r="P348" i="39"/>
  <c r="P338" i="39"/>
  <c r="P335" i="39"/>
  <c r="P63" i="80"/>
  <c r="P347" i="39"/>
  <c r="P337" i="39"/>
  <c r="P349" i="39"/>
  <c r="P339" i="39"/>
  <c r="P345" i="39"/>
  <c r="P350" i="39"/>
  <c r="P360" i="39" s="1"/>
  <c r="P346" i="39"/>
  <c r="P98" i="51" l="1"/>
  <c r="P105" i="51" s="1"/>
  <c r="J98" i="51"/>
  <c r="J105" i="51" s="1"/>
  <c r="K98" i="51"/>
  <c r="K105" i="51" s="1"/>
  <c r="M98" i="51"/>
  <c r="M105" i="51" s="1"/>
  <c r="I98" i="51"/>
  <c r="I105" i="51" s="1"/>
  <c r="Q98" i="51"/>
  <c r="Q105" i="51" s="1"/>
  <c r="N98" i="51"/>
  <c r="N105" i="51" s="1"/>
  <c r="O98" i="51"/>
  <c r="O105" i="51" s="1"/>
  <c r="L98" i="51"/>
  <c r="L105" i="51" s="1"/>
  <c r="E98" i="51"/>
  <c r="E105" i="51" s="1"/>
  <c r="F98" i="51"/>
  <c r="F105" i="51" s="1"/>
  <c r="H98" i="51"/>
  <c r="H105" i="51" s="1"/>
  <c r="G98" i="51"/>
  <c r="G105" i="51" s="1"/>
  <c r="Q101" i="80"/>
  <c r="Q123" i="80" s="1"/>
  <c r="Q235" i="80" s="1"/>
  <c r="Q349" i="39"/>
  <c r="Q347" i="39"/>
  <c r="Q350" i="39"/>
  <c r="Q346" i="39"/>
  <c r="Q340" i="39"/>
  <c r="Q336" i="39"/>
  <c r="Q334" i="39"/>
  <c r="Q339" i="39"/>
  <c r="Q63" i="80"/>
  <c r="Q150" i="80" s="1"/>
  <c r="Q337" i="39"/>
  <c r="Q357" i="39" s="1"/>
  <c r="Q335" i="39"/>
  <c r="Q345" i="39"/>
  <c r="Q348" i="39"/>
  <c r="Q358" i="39" s="1"/>
  <c r="Q344" i="39"/>
  <c r="I97" i="51"/>
  <c r="I104" i="51" s="1"/>
  <c r="E97" i="51"/>
  <c r="E104" i="51" s="1"/>
  <c r="J97" i="51"/>
  <c r="J104" i="51" s="1"/>
  <c r="P97" i="51"/>
  <c r="P104" i="51" s="1"/>
  <c r="O97" i="51"/>
  <c r="O104" i="51" s="1"/>
  <c r="M97" i="51"/>
  <c r="M104" i="51" s="1"/>
  <c r="K97" i="51"/>
  <c r="K104" i="51" s="1"/>
  <c r="L97" i="51"/>
  <c r="L104" i="51" s="1"/>
  <c r="N97" i="51"/>
  <c r="N104" i="51" s="1"/>
  <c r="P355" i="39"/>
  <c r="P358" i="39"/>
  <c r="P357" i="39"/>
  <c r="P356" i="39"/>
  <c r="P359" i="39"/>
  <c r="P351" i="39"/>
  <c r="P341" i="39"/>
  <c r="P143" i="80"/>
  <c r="P150" i="80"/>
  <c r="Q143" i="80" l="1"/>
  <c r="Q356" i="39"/>
  <c r="Q355" i="39"/>
  <c r="Q359" i="39"/>
  <c r="Q354" i="39"/>
  <c r="Q360" i="39"/>
  <c r="Q351" i="39"/>
  <c r="Q341" i="39"/>
  <c r="P361" i="39"/>
  <c r="P384" i="39" s="1"/>
  <c r="Q361" i="39" l="1"/>
  <c r="Q384" i="39" s="1"/>
  <c r="P375" i="39"/>
  <c r="P97" i="80" s="1"/>
  <c r="Q375" i="39" l="1"/>
  <c r="Q97" i="80" s="1"/>
  <c r="Q119" i="80" s="1"/>
  <c r="P54" i="80"/>
  <c r="P58" i="80"/>
  <c r="P59" i="80"/>
  <c r="P55" i="80"/>
  <c r="P53" i="80"/>
  <c r="P56" i="80"/>
  <c r="P57" i="80"/>
  <c r="P119" i="80"/>
  <c r="P137" i="80" l="1"/>
  <c r="P136" i="80"/>
  <c r="P133" i="80"/>
  <c r="P135" i="80"/>
  <c r="P139" i="80"/>
  <c r="P138" i="80"/>
  <c r="P134" i="80"/>
  <c r="P232" i="80"/>
  <c r="Q232" i="80"/>
  <c r="P391" i="39" l="1"/>
  <c r="P99" i="80" l="1"/>
  <c r="P67" i="80"/>
  <c r="P398" i="39"/>
  <c r="P121" i="80" l="1"/>
  <c r="P234" i="80" l="1"/>
  <c r="Q391" i="39" l="1"/>
  <c r="Q99" i="80" s="1"/>
  <c r="Q121" i="80" s="1"/>
  <c r="Q234" i="80" s="1"/>
  <c r="Q58" i="80"/>
  <c r="Q138" i="80" s="1"/>
  <c r="Q59" i="80"/>
  <c r="Q57" i="80"/>
  <c r="Q53" i="80"/>
  <c r="Q133" i="80" s="1"/>
  <c r="Q55" i="80"/>
  <c r="Q135" i="80" s="1"/>
  <c r="Q54" i="80"/>
  <c r="Q134" i="80" s="1"/>
  <c r="Q56" i="80"/>
  <c r="Q136" i="80" s="1"/>
  <c r="P116" i="116" l="1"/>
  <c r="P120" i="116"/>
  <c r="P118" i="116"/>
  <c r="P119" i="116"/>
  <c r="P121" i="116"/>
  <c r="Q137" i="80"/>
  <c r="Q139" i="80"/>
  <c r="Q67" i="80"/>
  <c r="Q398" i="39"/>
  <c r="E117" i="116" l="1"/>
  <c r="P117" i="116"/>
  <c r="P115" i="116"/>
  <c r="P26" i="39" l="1"/>
  <c r="Q26" i="39" s="1"/>
  <c r="Q14" i="97"/>
  <c r="P14" i="97" s="1"/>
  <c r="O14" i="97" s="1"/>
  <c r="N14" i="97" s="1"/>
  <c r="M14" i="97" s="1"/>
  <c r="L14" i="97" s="1"/>
  <c r="R14" i="97"/>
  <c r="S14" i="97" s="1"/>
  <c r="S6" i="97" s="1"/>
  <c r="R324" i="39" s="1"/>
  <c r="Q6" i="97"/>
  <c r="P324" i="39" s="1"/>
  <c r="Q10" i="97"/>
  <c r="P328" i="39" s="1"/>
  <c r="R8" i="97"/>
  <c r="Q326" i="39" s="1"/>
  <c r="R10" i="97"/>
  <c r="Q328" i="39" s="1"/>
  <c r="Q12" i="97"/>
  <c r="P330" i="39" s="1"/>
  <c r="R9" i="97"/>
  <c r="Q327" i="39" s="1"/>
  <c r="Q11" i="97"/>
  <c r="P329" i="39" s="1"/>
  <c r="Q8" i="97"/>
  <c r="P326" i="39" s="1"/>
  <c r="Q7" i="97"/>
  <c r="P325" i="39" s="1"/>
  <c r="R69" i="103"/>
  <c r="R70" i="103"/>
  <c r="R100" i="103" s="1"/>
  <c r="R72" i="103"/>
  <c r="R102" i="103" s="1"/>
  <c r="R71" i="103"/>
  <c r="R87" i="103" s="1"/>
  <c r="R75" i="103"/>
  <c r="R74" i="103"/>
  <c r="R89" i="103" s="1"/>
  <c r="R73" i="103"/>
  <c r="Q69" i="103"/>
  <c r="Q70" i="103"/>
  <c r="Q100" i="103" s="1"/>
  <c r="Q72" i="103"/>
  <c r="Q102" i="103" s="1"/>
  <c r="Q75" i="103"/>
  <c r="Q105" i="103" s="1"/>
  <c r="Q120" i="103" s="1"/>
  <c r="Q136" i="103" s="1"/>
  <c r="Q73" i="103"/>
  <c r="Q88" i="103" s="1"/>
  <c r="Q74" i="103"/>
  <c r="Q71" i="103"/>
  <c r="Q101" i="103" s="1"/>
  <c r="Q117" i="103" s="1"/>
  <c r="Q133" i="103" s="1"/>
  <c r="Q85" i="80"/>
  <c r="Q76" i="80"/>
  <c r="Q71" i="80"/>
  <c r="Q73" i="80"/>
  <c r="Q74" i="80"/>
  <c r="Q110" i="80"/>
  <c r="Q72" i="80"/>
  <c r="Q77" i="80"/>
  <c r="Q75" i="80"/>
  <c r="Q112" i="80"/>
  <c r="Q84" i="80"/>
  <c r="Q108" i="80"/>
  <c r="Q81" i="80"/>
  <c r="Q114" i="80"/>
  <c r="Q111" i="80"/>
  <c r="Q80" i="80"/>
  <c r="P110" i="80"/>
  <c r="P85" i="80"/>
  <c r="P84" i="80"/>
  <c r="P74" i="80"/>
  <c r="P76" i="80"/>
  <c r="P80" i="80"/>
  <c r="P81" i="80"/>
  <c r="P71" i="80"/>
  <c r="P108" i="80"/>
  <c r="P77" i="80"/>
  <c r="P114" i="80"/>
  <c r="P111" i="80"/>
  <c r="P112" i="80"/>
  <c r="P73" i="80"/>
  <c r="P75" i="80"/>
  <c r="P72" i="80"/>
  <c r="P273" i="39" l="1"/>
  <c r="S8" i="97"/>
  <c r="R326" i="39" s="1"/>
  <c r="S9" i="97"/>
  <c r="R327" i="39" s="1"/>
  <c r="Q9" i="97"/>
  <c r="P327" i="39" s="1"/>
  <c r="S7" i="97"/>
  <c r="R325" i="39" s="1"/>
  <c r="R11" i="97"/>
  <c r="Q329" i="39" s="1"/>
  <c r="R7" i="97"/>
  <c r="Q325" i="39" s="1"/>
  <c r="S10" i="97"/>
  <c r="R328" i="39" s="1"/>
  <c r="S11" i="97"/>
  <c r="R329" i="39" s="1"/>
  <c r="R12" i="97"/>
  <c r="Q330" i="39" s="1"/>
  <c r="S12" i="97"/>
  <c r="R330" i="39" s="1"/>
  <c r="Q87" i="103"/>
  <c r="R101" i="103"/>
  <c r="R117" i="103" s="1"/>
  <c r="R133" i="103" s="1"/>
  <c r="T14" i="97"/>
  <c r="T6" i="97" s="1"/>
  <c r="S324" i="39" s="1"/>
  <c r="Q103" i="103"/>
  <c r="Q118" i="103" s="1"/>
  <c r="Q134" i="103" s="1"/>
  <c r="Q90" i="103"/>
  <c r="R86" i="103"/>
  <c r="R99" i="103"/>
  <c r="R116" i="103" s="1"/>
  <c r="R132" i="103" s="1"/>
  <c r="R90" i="103"/>
  <c r="R105" i="103"/>
  <c r="R120" i="103" s="1"/>
  <c r="R136" i="103" s="1"/>
  <c r="Q89" i="103"/>
  <c r="Q104" i="103"/>
  <c r="Q119" i="103" s="1"/>
  <c r="Q135" i="103" s="1"/>
  <c r="R88" i="103"/>
  <c r="R103" i="103"/>
  <c r="R118" i="103" s="1"/>
  <c r="R134" i="103" s="1"/>
  <c r="Q86" i="103"/>
  <c r="Q99" i="103"/>
  <c r="Q116" i="103" s="1"/>
  <c r="Q132" i="103" s="1"/>
  <c r="R104" i="103"/>
  <c r="R119" i="103" s="1"/>
  <c r="R135" i="103" s="1"/>
  <c r="P331" i="39"/>
  <c r="Q271" i="39"/>
  <c r="Q273" i="39"/>
  <c r="R26" i="39"/>
  <c r="Q268" i="39"/>
  <c r="Q274" i="39"/>
  <c r="Q269" i="39"/>
  <c r="Q272" i="39"/>
  <c r="Q270" i="39"/>
  <c r="P269" i="39"/>
  <c r="O26" i="39"/>
  <c r="P271" i="39"/>
  <c r="P274" i="39"/>
  <c r="R6" i="97"/>
  <c r="Q324" i="39" s="1"/>
  <c r="P268" i="39"/>
  <c r="P270" i="39"/>
  <c r="P272" i="39"/>
  <c r="R331" i="39" l="1"/>
  <c r="R379" i="39" s="1"/>
  <c r="R102" i="80" s="1"/>
  <c r="Q331" i="39"/>
  <c r="T12" i="97"/>
  <c r="S330" i="39" s="1"/>
  <c r="T9" i="97"/>
  <c r="S327" i="39" s="1"/>
  <c r="T11" i="97"/>
  <c r="S329" i="39" s="1"/>
  <c r="T7" i="97"/>
  <c r="S325" i="39" s="1"/>
  <c r="T10" i="97"/>
  <c r="S328" i="39" s="1"/>
  <c r="T8" i="97"/>
  <c r="S326" i="39" s="1"/>
  <c r="U14" i="97"/>
  <c r="U8" i="97" s="1"/>
  <c r="T326" i="39" s="1"/>
  <c r="R124" i="80"/>
  <c r="R113" i="80"/>
  <c r="R272" i="39"/>
  <c r="R271" i="39"/>
  <c r="R268" i="39"/>
  <c r="S26" i="39"/>
  <c r="R270" i="39"/>
  <c r="R269" i="39"/>
  <c r="R273" i="39"/>
  <c r="R183" i="39"/>
  <c r="R378" i="39" s="1"/>
  <c r="R274" i="39"/>
  <c r="R181" i="39"/>
  <c r="R182" i="39"/>
  <c r="R377" i="39" s="1"/>
  <c r="S70" i="103"/>
  <c r="S100" i="103" s="1"/>
  <c r="R111" i="80"/>
  <c r="S72" i="103"/>
  <c r="S102" i="103" s="1"/>
  <c r="S75" i="103"/>
  <c r="S74" i="103"/>
  <c r="R80" i="80"/>
  <c r="R84" i="80"/>
  <c r="R114" i="80"/>
  <c r="S69" i="103"/>
  <c r="S73" i="103"/>
  <c r="S71" i="103"/>
  <c r="N26" i="39"/>
  <c r="O274" i="39"/>
  <c r="O271" i="39"/>
  <c r="O272" i="39"/>
  <c r="O268" i="39"/>
  <c r="O273" i="39"/>
  <c r="O270" i="39"/>
  <c r="O269" i="39"/>
  <c r="O114" i="80"/>
  <c r="O110" i="80"/>
  <c r="P71" i="103"/>
  <c r="O112" i="80"/>
  <c r="O72" i="80"/>
  <c r="P69" i="103"/>
  <c r="O74" i="80"/>
  <c r="O81" i="80"/>
  <c r="O108" i="80"/>
  <c r="P73" i="103"/>
  <c r="P70" i="103"/>
  <c r="P100" i="103" s="1"/>
  <c r="P74" i="103"/>
  <c r="O75" i="80"/>
  <c r="O76" i="80"/>
  <c r="O73" i="80"/>
  <c r="O85" i="80"/>
  <c r="P75" i="103"/>
  <c r="O111" i="80"/>
  <c r="O84" i="80"/>
  <c r="O77" i="80"/>
  <c r="P72" i="103"/>
  <c r="P102" i="103" s="1"/>
  <c r="O71" i="80"/>
  <c r="O80" i="80"/>
  <c r="S331" i="39" l="1"/>
  <c r="S379" i="39" s="1"/>
  <c r="S102" i="80" s="1"/>
  <c r="S124" i="80" s="1"/>
  <c r="S236" i="80" s="1"/>
  <c r="U7" i="97"/>
  <c r="T325" i="39" s="1"/>
  <c r="U12" i="97"/>
  <c r="T330" i="39" s="1"/>
  <c r="U10" i="97"/>
  <c r="T328" i="39" s="1"/>
  <c r="U6" i="97"/>
  <c r="T324" i="39" s="1"/>
  <c r="V14" i="97"/>
  <c r="V6" i="97" s="1"/>
  <c r="U324" i="39" s="1"/>
  <c r="U9" i="97"/>
  <c r="T327" i="39" s="1"/>
  <c r="U11" i="97"/>
  <c r="T329" i="39" s="1"/>
  <c r="S273" i="39"/>
  <c r="T26" i="39"/>
  <c r="S272" i="39"/>
  <c r="S182" i="39"/>
  <c r="S377" i="39" s="1"/>
  <c r="S183" i="39"/>
  <c r="S378" i="39" s="1"/>
  <c r="S268" i="39"/>
  <c r="S181" i="39"/>
  <c r="S270" i="39"/>
  <c r="S269" i="39"/>
  <c r="S274" i="39"/>
  <c r="S271" i="39"/>
  <c r="T74" i="103"/>
  <c r="T69" i="103"/>
  <c r="S80" i="80"/>
  <c r="T70" i="103"/>
  <c r="T100" i="103" s="1"/>
  <c r="T75" i="103"/>
  <c r="S111" i="80"/>
  <c r="T72" i="103"/>
  <c r="T102" i="103" s="1"/>
  <c r="S84" i="80"/>
  <c r="S114" i="80"/>
  <c r="T73" i="103"/>
  <c r="T71" i="103"/>
  <c r="R334" i="39"/>
  <c r="R63" i="80"/>
  <c r="R340" i="39"/>
  <c r="R360" i="39" s="1"/>
  <c r="R339" i="39"/>
  <c r="R359" i="39" s="1"/>
  <c r="R338" i="39"/>
  <c r="R358" i="39" s="1"/>
  <c r="R336" i="39"/>
  <c r="R356" i="39" s="1"/>
  <c r="R335" i="39"/>
  <c r="R355" i="39" s="1"/>
  <c r="R344" i="39"/>
  <c r="R346" i="39"/>
  <c r="R349" i="39"/>
  <c r="R347" i="39"/>
  <c r="R348" i="39"/>
  <c r="R350" i="39"/>
  <c r="R345" i="39"/>
  <c r="R337" i="39"/>
  <c r="R357" i="39" s="1"/>
  <c r="P87" i="103"/>
  <c r="P101" i="103"/>
  <c r="P117" i="103" s="1"/>
  <c r="P133" i="103" s="1"/>
  <c r="P88" i="103"/>
  <c r="P103" i="103"/>
  <c r="P118" i="103" s="1"/>
  <c r="P134" i="103" s="1"/>
  <c r="S104" i="103"/>
  <c r="S119" i="103" s="1"/>
  <c r="S135" i="103" s="1"/>
  <c r="S89" i="103"/>
  <c r="P86" i="103"/>
  <c r="P99" i="103"/>
  <c r="P116" i="103" s="1"/>
  <c r="P132" i="103" s="1"/>
  <c r="M26" i="39"/>
  <c r="N271" i="39"/>
  <c r="N269" i="39"/>
  <c r="N272" i="39"/>
  <c r="N270" i="39"/>
  <c r="N273" i="39"/>
  <c r="N268" i="39"/>
  <c r="N274" i="39"/>
  <c r="N324" i="39"/>
  <c r="N331" i="39" s="1"/>
  <c r="N74" i="80"/>
  <c r="N84" i="80"/>
  <c r="O69" i="103"/>
  <c r="O71" i="103"/>
  <c r="N80" i="80"/>
  <c r="N75" i="80"/>
  <c r="O74" i="103"/>
  <c r="O70" i="103"/>
  <c r="O100" i="103" s="1"/>
  <c r="O73" i="103"/>
  <c r="N108" i="80"/>
  <c r="N110" i="80"/>
  <c r="O72" i="103"/>
  <c r="O102" i="103" s="1"/>
  <c r="N112" i="80"/>
  <c r="N81" i="80"/>
  <c r="N77" i="80"/>
  <c r="N111" i="80"/>
  <c r="N71" i="80"/>
  <c r="N85" i="80"/>
  <c r="N73" i="80"/>
  <c r="N114" i="80"/>
  <c r="N72" i="80"/>
  <c r="O75" i="103"/>
  <c r="N76" i="80"/>
  <c r="S90" i="103"/>
  <c r="S105" i="103"/>
  <c r="S120" i="103" s="1"/>
  <c r="S136" i="103" s="1"/>
  <c r="R101" i="80"/>
  <c r="S87" i="103"/>
  <c r="S101" i="103"/>
  <c r="S117" i="103" s="1"/>
  <c r="S133" i="103" s="1"/>
  <c r="S86" i="103"/>
  <c r="S99" i="103"/>
  <c r="S116" i="103" s="1"/>
  <c r="S132" i="103" s="1"/>
  <c r="P89" i="103"/>
  <c r="P104" i="103"/>
  <c r="P119" i="103" s="1"/>
  <c r="P135" i="103" s="1"/>
  <c r="P105" i="103"/>
  <c r="P120" i="103" s="1"/>
  <c r="P136" i="103" s="1"/>
  <c r="P90" i="103"/>
  <c r="S103" i="103"/>
  <c r="S118" i="103" s="1"/>
  <c r="S134" i="103" s="1"/>
  <c r="S88" i="103"/>
  <c r="S113" i="80" l="1"/>
  <c r="T331" i="39"/>
  <c r="T379" i="39" s="1"/>
  <c r="T102" i="80" s="1"/>
  <c r="T113" i="80" s="1"/>
  <c r="V10" i="97"/>
  <c r="U328" i="39" s="1"/>
  <c r="W14" i="97"/>
  <c r="W10" i="97" s="1"/>
  <c r="V328" i="39" s="1"/>
  <c r="V9" i="97"/>
  <c r="U327" i="39" s="1"/>
  <c r="V7" i="97"/>
  <c r="U325" i="39" s="1"/>
  <c r="V11" i="97"/>
  <c r="U329" i="39" s="1"/>
  <c r="V8" i="97"/>
  <c r="U326" i="39" s="1"/>
  <c r="V12" i="97"/>
  <c r="U330" i="39" s="1"/>
  <c r="L26" i="39"/>
  <c r="M272" i="39"/>
  <c r="M75" i="80"/>
  <c r="M85" i="80"/>
  <c r="M271" i="39"/>
  <c r="M73" i="80"/>
  <c r="M72" i="80"/>
  <c r="N71" i="103"/>
  <c r="M269" i="39"/>
  <c r="M81" i="80"/>
  <c r="M74" i="80"/>
  <c r="M111" i="80"/>
  <c r="M274" i="39"/>
  <c r="M108" i="80"/>
  <c r="M80" i="80"/>
  <c r="N70" i="103"/>
  <c r="N100" i="103" s="1"/>
  <c r="M114" i="80"/>
  <c r="M270" i="39"/>
  <c r="M273" i="39"/>
  <c r="N73" i="103"/>
  <c r="M77" i="80"/>
  <c r="M84" i="80"/>
  <c r="M76" i="80"/>
  <c r="M112" i="80"/>
  <c r="N74" i="103"/>
  <c r="N72" i="103"/>
  <c r="N102" i="103" s="1"/>
  <c r="M110" i="80"/>
  <c r="N75" i="103"/>
  <c r="M71" i="80"/>
  <c r="M268" i="39"/>
  <c r="N69" i="103"/>
  <c r="M324" i="39"/>
  <c r="M331" i="39" s="1"/>
  <c r="R354" i="39"/>
  <c r="R361" i="39" s="1"/>
  <c r="R341" i="39"/>
  <c r="T105" i="103"/>
  <c r="T120" i="103" s="1"/>
  <c r="T136" i="103" s="1"/>
  <c r="T90" i="103"/>
  <c r="W6" i="97"/>
  <c r="V324" i="39" s="1"/>
  <c r="X14" i="97"/>
  <c r="W8" i="97"/>
  <c r="V326" i="39" s="1"/>
  <c r="R351" i="39"/>
  <c r="T87" i="103"/>
  <c r="T101" i="103"/>
  <c r="T117" i="103" s="1"/>
  <c r="T133" i="103" s="1"/>
  <c r="S334" i="39"/>
  <c r="S63" i="80"/>
  <c r="S340" i="39"/>
  <c r="S360" i="39" s="1"/>
  <c r="S339" i="39"/>
  <c r="S359" i="39" s="1"/>
  <c r="S338" i="39"/>
  <c r="S358" i="39" s="1"/>
  <c r="S336" i="39"/>
  <c r="S356" i="39" s="1"/>
  <c r="S335" i="39"/>
  <c r="S355" i="39" s="1"/>
  <c r="S337" i="39"/>
  <c r="S357" i="39" s="1"/>
  <c r="S349" i="39"/>
  <c r="S346" i="39"/>
  <c r="S348" i="39"/>
  <c r="S344" i="39"/>
  <c r="S350" i="39"/>
  <c r="S345" i="39"/>
  <c r="S347" i="39"/>
  <c r="O104" i="103"/>
  <c r="O119" i="103" s="1"/>
  <c r="O135" i="103" s="1"/>
  <c r="O89" i="103"/>
  <c r="O90" i="103"/>
  <c r="O105" i="103"/>
  <c r="O120" i="103" s="1"/>
  <c r="O136" i="103" s="1"/>
  <c r="T88" i="103"/>
  <c r="T103" i="103"/>
  <c r="T118" i="103" s="1"/>
  <c r="T134" i="103" s="1"/>
  <c r="T86" i="103"/>
  <c r="T99" i="103"/>
  <c r="T116" i="103" s="1"/>
  <c r="T132" i="103" s="1"/>
  <c r="S101" i="80"/>
  <c r="O87" i="103"/>
  <c r="O101" i="103"/>
  <c r="O117" i="103" s="1"/>
  <c r="O133" i="103" s="1"/>
  <c r="T104" i="103"/>
  <c r="T119" i="103" s="1"/>
  <c r="T135" i="103" s="1"/>
  <c r="T89" i="103"/>
  <c r="O99" i="103"/>
  <c r="O116" i="103" s="1"/>
  <c r="O132" i="103" s="1"/>
  <c r="O86" i="103"/>
  <c r="R112" i="80"/>
  <c r="R123" i="80"/>
  <c r="R235" i="80" s="1"/>
  <c r="T181" i="39"/>
  <c r="U26" i="39"/>
  <c r="T268" i="39"/>
  <c r="T182" i="39"/>
  <c r="T377" i="39" s="1"/>
  <c r="T183" i="39"/>
  <c r="T378" i="39" s="1"/>
  <c r="T269" i="39"/>
  <c r="T270" i="39"/>
  <c r="T271" i="39"/>
  <c r="T272" i="39"/>
  <c r="T274" i="39"/>
  <c r="T273" i="39"/>
  <c r="U75" i="103"/>
  <c r="T114" i="80"/>
  <c r="U70" i="103"/>
  <c r="U100" i="103" s="1"/>
  <c r="U71" i="103"/>
  <c r="U72" i="103"/>
  <c r="U102" i="103" s="1"/>
  <c r="U73" i="103"/>
  <c r="T84" i="80"/>
  <c r="T111" i="80"/>
  <c r="T80" i="80"/>
  <c r="U69" i="103"/>
  <c r="U74" i="103"/>
  <c r="O88" i="103"/>
  <c r="O103" i="103"/>
  <c r="O118" i="103" s="1"/>
  <c r="O134" i="103" s="1"/>
  <c r="R81" i="80"/>
  <c r="R143" i="80"/>
  <c r="R150" i="80"/>
  <c r="W12" i="97" l="1"/>
  <c r="V330" i="39" s="1"/>
  <c r="T124" i="80"/>
  <c r="T236" i="80" s="1"/>
  <c r="U331" i="39"/>
  <c r="U379" i="39" s="1"/>
  <c r="U102" i="80" s="1"/>
  <c r="W9" i="97"/>
  <c r="V327" i="39" s="1"/>
  <c r="W7" i="97"/>
  <c r="V325" i="39" s="1"/>
  <c r="W11" i="97"/>
  <c r="V329" i="39" s="1"/>
  <c r="V331" i="39" s="1"/>
  <c r="V379" i="39" s="1"/>
  <c r="V102" i="80" s="1"/>
  <c r="T101" i="80"/>
  <c r="T112" i="80" s="1"/>
  <c r="Y14" i="97"/>
  <c r="X6" i="97"/>
  <c r="W324" i="39" s="1"/>
  <c r="X9" i="97"/>
  <c r="W327" i="39" s="1"/>
  <c r="X8" i="97"/>
  <c r="W326" i="39" s="1"/>
  <c r="X7" i="97"/>
  <c r="W325" i="39" s="1"/>
  <c r="X11" i="97"/>
  <c r="W329" i="39" s="1"/>
  <c r="X10" i="97"/>
  <c r="W328" i="39" s="1"/>
  <c r="X12" i="97"/>
  <c r="W330" i="39" s="1"/>
  <c r="U105" i="103"/>
  <c r="U120" i="103" s="1"/>
  <c r="U136" i="103" s="1"/>
  <c r="U90" i="103"/>
  <c r="N99" i="103"/>
  <c r="N116" i="103" s="1"/>
  <c r="N132" i="103" s="1"/>
  <c r="N86" i="103"/>
  <c r="S351" i="39"/>
  <c r="U124" i="80"/>
  <c r="U236" i="80" s="1"/>
  <c r="U113" i="80"/>
  <c r="U103" i="103"/>
  <c r="U118" i="103" s="1"/>
  <c r="U134" i="103" s="1"/>
  <c r="U88" i="103"/>
  <c r="N90" i="103"/>
  <c r="N105" i="103"/>
  <c r="N120" i="103" s="1"/>
  <c r="N136" i="103" s="1"/>
  <c r="N88" i="103"/>
  <c r="N103" i="103"/>
  <c r="N118" i="103" s="1"/>
  <c r="N134" i="103" s="1"/>
  <c r="U268" i="39"/>
  <c r="V26" i="39"/>
  <c r="U182" i="39"/>
  <c r="U377" i="39" s="1"/>
  <c r="U181" i="39"/>
  <c r="U183" i="39"/>
  <c r="U378" i="39" s="1"/>
  <c r="U274" i="39"/>
  <c r="U272" i="39"/>
  <c r="U273" i="39"/>
  <c r="U269" i="39"/>
  <c r="U271" i="39"/>
  <c r="U270" i="39"/>
  <c r="U114" i="80"/>
  <c r="U111" i="80"/>
  <c r="V75" i="103"/>
  <c r="U84" i="80"/>
  <c r="V74" i="103"/>
  <c r="V69" i="103"/>
  <c r="V70" i="103"/>
  <c r="V100" i="103" s="1"/>
  <c r="V72" i="103"/>
  <c r="V102" i="103" s="1"/>
  <c r="V71" i="103"/>
  <c r="V73" i="103"/>
  <c r="U80" i="80"/>
  <c r="T334" i="39"/>
  <c r="T63" i="80"/>
  <c r="T337" i="39"/>
  <c r="T357" i="39" s="1"/>
  <c r="T340" i="39"/>
  <c r="T360" i="39" s="1"/>
  <c r="T335" i="39"/>
  <c r="T355" i="39" s="1"/>
  <c r="T336" i="39"/>
  <c r="T356" i="39" s="1"/>
  <c r="T339" i="39"/>
  <c r="T359" i="39" s="1"/>
  <c r="T338" i="39"/>
  <c r="T358" i="39" s="1"/>
  <c r="T347" i="39"/>
  <c r="T344" i="39"/>
  <c r="T348" i="39"/>
  <c r="T350" i="39"/>
  <c r="T345" i="39"/>
  <c r="T346" i="39"/>
  <c r="T349" i="39"/>
  <c r="S143" i="80"/>
  <c r="S150" i="80"/>
  <c r="S81" i="80"/>
  <c r="U87" i="103"/>
  <c r="U101" i="103"/>
  <c r="U117" i="103" s="1"/>
  <c r="U133" i="103" s="1"/>
  <c r="S123" i="80"/>
  <c r="S235" i="80" s="1"/>
  <c r="S112" i="80"/>
  <c r="S354" i="39"/>
  <c r="S361" i="39" s="1"/>
  <c r="S341" i="39"/>
  <c r="U104" i="103"/>
  <c r="U119" i="103" s="1"/>
  <c r="U135" i="103" s="1"/>
  <c r="U89" i="103"/>
  <c r="R375" i="39"/>
  <c r="R97" i="80" s="1"/>
  <c r="R384" i="39"/>
  <c r="N104" i="103"/>
  <c r="N119" i="103" s="1"/>
  <c r="N135" i="103" s="1"/>
  <c r="N89" i="103"/>
  <c r="K26" i="39"/>
  <c r="L84" i="80"/>
  <c r="M75" i="103"/>
  <c r="L77" i="80"/>
  <c r="M74" i="103"/>
  <c r="L274" i="39"/>
  <c r="L324" i="39"/>
  <c r="L331" i="39" s="1"/>
  <c r="L72" i="80"/>
  <c r="M71" i="103"/>
  <c r="L85" i="80"/>
  <c r="L76" i="80"/>
  <c r="L75" i="80"/>
  <c r="L114" i="80"/>
  <c r="M73" i="103"/>
  <c r="L271" i="39"/>
  <c r="M72" i="103"/>
  <c r="M102" i="103" s="1"/>
  <c r="L74" i="80"/>
  <c r="L81" i="80"/>
  <c r="L108" i="80"/>
  <c r="L270" i="39"/>
  <c r="L73" i="80"/>
  <c r="L110" i="80"/>
  <c r="L272" i="39"/>
  <c r="L268" i="39"/>
  <c r="L112" i="80"/>
  <c r="L80" i="80"/>
  <c r="M69" i="103"/>
  <c r="L71" i="80"/>
  <c r="L269" i="39"/>
  <c r="L111" i="80"/>
  <c r="M70" i="103"/>
  <c r="M100" i="103" s="1"/>
  <c r="L273" i="39"/>
  <c r="U99" i="103"/>
  <c r="U116" i="103" s="1"/>
  <c r="U132" i="103" s="1"/>
  <c r="U86" i="103"/>
  <c r="N101" i="103"/>
  <c r="N117" i="103" s="1"/>
  <c r="N133" i="103" s="1"/>
  <c r="N87" i="103"/>
  <c r="T123" i="80" l="1"/>
  <c r="U101" i="80"/>
  <c r="W331" i="39"/>
  <c r="W379" i="39" s="1"/>
  <c r="W102" i="80" s="1"/>
  <c r="W124" i="80" s="1"/>
  <c r="R119" i="80"/>
  <c r="R232" i="80" s="1"/>
  <c r="R108" i="80"/>
  <c r="U334" i="39"/>
  <c r="U63" i="80"/>
  <c r="U335" i="39"/>
  <c r="U355" i="39" s="1"/>
  <c r="U340" i="39"/>
  <c r="U360" i="39" s="1"/>
  <c r="U337" i="39"/>
  <c r="U357" i="39" s="1"/>
  <c r="U336" i="39"/>
  <c r="U356" i="39" s="1"/>
  <c r="U339" i="39"/>
  <c r="U359" i="39" s="1"/>
  <c r="U338" i="39"/>
  <c r="U358" i="39" s="1"/>
  <c r="U344" i="39"/>
  <c r="U348" i="39"/>
  <c r="U347" i="39"/>
  <c r="U350" i="39"/>
  <c r="U349" i="39"/>
  <c r="U346" i="39"/>
  <c r="U345" i="39"/>
  <c r="M104" i="103"/>
  <c r="M119" i="103" s="1"/>
  <c r="M135" i="103" s="1"/>
  <c r="M89" i="103"/>
  <c r="M86" i="103"/>
  <c r="M99" i="103"/>
  <c r="M116" i="103" s="1"/>
  <c r="M132" i="103" s="1"/>
  <c r="V103" i="103"/>
  <c r="V118" i="103" s="1"/>
  <c r="V134" i="103" s="1"/>
  <c r="V88" i="103"/>
  <c r="M87" i="103"/>
  <c r="M101" i="103"/>
  <c r="M117" i="103" s="1"/>
  <c r="M133" i="103" s="1"/>
  <c r="J26" i="39"/>
  <c r="K71" i="80"/>
  <c r="L73" i="103"/>
  <c r="K76" i="80"/>
  <c r="K85" i="80"/>
  <c r="L74" i="103"/>
  <c r="K268" i="39"/>
  <c r="L277" i="39" s="1"/>
  <c r="L304" i="39" s="1"/>
  <c r="K273" i="39"/>
  <c r="V291" i="39" s="1" a="1"/>
  <c r="V291" i="39" s="1"/>
  <c r="V300" i="39" s="1"/>
  <c r="K269" i="39"/>
  <c r="K73" i="80"/>
  <c r="K272" i="39"/>
  <c r="L72" i="103"/>
  <c r="L102" i="103" s="1"/>
  <c r="K80" i="80"/>
  <c r="K84" i="80"/>
  <c r="K108" i="80"/>
  <c r="L70" i="103"/>
  <c r="L100" i="103" s="1"/>
  <c r="K271" i="39"/>
  <c r="K81" i="80"/>
  <c r="K110" i="80"/>
  <c r="K77" i="80"/>
  <c r="K75" i="80"/>
  <c r="L69" i="103"/>
  <c r="K270" i="39"/>
  <c r="L279" i="39" s="1"/>
  <c r="L306" i="39" s="1"/>
  <c r="M108" i="103" s="1"/>
  <c r="K72" i="80"/>
  <c r="L75" i="103"/>
  <c r="L71" i="103"/>
  <c r="K274" i="39"/>
  <c r="K112" i="80"/>
  <c r="K111" i="80"/>
  <c r="K114" i="80"/>
  <c r="K74" i="80"/>
  <c r="V86" i="103"/>
  <c r="V99" i="103"/>
  <c r="V116" i="103" s="1"/>
  <c r="V132" i="103" s="1"/>
  <c r="V183" i="39"/>
  <c r="V378" i="39" s="1"/>
  <c r="V268" i="39"/>
  <c r="W26" i="39"/>
  <c r="V181" i="39"/>
  <c r="V182" i="39"/>
  <c r="V377" i="39" s="1"/>
  <c r="V271" i="39"/>
  <c r="V274" i="39"/>
  <c r="V270" i="39"/>
  <c r="V273" i="39"/>
  <c r="V272" i="39"/>
  <c r="V269" i="39"/>
  <c r="W71" i="103"/>
  <c r="W73" i="103"/>
  <c r="W69" i="103"/>
  <c r="W74" i="103"/>
  <c r="W75" i="103"/>
  <c r="V80" i="80"/>
  <c r="V84" i="80"/>
  <c r="W70" i="103"/>
  <c r="W100" i="103" s="1"/>
  <c r="V111" i="80"/>
  <c r="W72" i="103"/>
  <c r="W102" i="103" s="1"/>
  <c r="V114" i="80"/>
  <c r="V87" i="103"/>
  <c r="V101" i="103"/>
  <c r="V117" i="103" s="1"/>
  <c r="V133" i="103" s="1"/>
  <c r="M90" i="103"/>
  <c r="M105" i="103"/>
  <c r="M120" i="103" s="1"/>
  <c r="M136" i="103" s="1"/>
  <c r="T351" i="39"/>
  <c r="T143" i="80"/>
  <c r="T150" i="80"/>
  <c r="T81" i="80"/>
  <c r="V89" i="103"/>
  <c r="V104" i="103"/>
  <c r="V119" i="103" s="1"/>
  <c r="V135" i="103" s="1"/>
  <c r="L280" i="39"/>
  <c r="L307" i="39" s="1"/>
  <c r="M109" i="103" s="1"/>
  <c r="M79" i="103" s="1"/>
  <c r="T354" i="39"/>
  <c r="T361" i="39" s="1"/>
  <c r="T341" i="39"/>
  <c r="T235" i="80"/>
  <c r="M88" i="103"/>
  <c r="M103" i="103"/>
  <c r="M118" i="103" s="1"/>
  <c r="M134" i="103" s="1"/>
  <c r="S375" i="39"/>
  <c r="S97" i="80" s="1"/>
  <c r="S384" i="39"/>
  <c r="V90" i="103"/>
  <c r="V105" i="103"/>
  <c r="V120" i="103" s="1"/>
  <c r="V136" i="103" s="1"/>
  <c r="U112" i="80"/>
  <c r="U123" i="80"/>
  <c r="U235" i="80" s="1"/>
  <c r="V124" i="80"/>
  <c r="V236" i="80" s="1"/>
  <c r="V113" i="80"/>
  <c r="Z14" i="97"/>
  <c r="Y6" i="97"/>
  <c r="X324" i="39" s="1"/>
  <c r="Y8" i="97"/>
  <c r="X326" i="39" s="1"/>
  <c r="Y10" i="97"/>
  <c r="X328" i="39" s="1"/>
  <c r="Y7" i="97"/>
  <c r="X325" i="39" s="1"/>
  <c r="Y11" i="97"/>
  <c r="X329" i="39" s="1"/>
  <c r="Y12" i="97"/>
  <c r="X330" i="39" s="1"/>
  <c r="Y9" i="97"/>
  <c r="X327" i="39" s="1"/>
  <c r="W113" i="80" l="1"/>
  <c r="W236" i="80"/>
  <c r="M78" i="103"/>
  <c r="M92" i="103" s="1"/>
  <c r="M122" i="103"/>
  <c r="M138" i="103" s="1"/>
  <c r="M106" i="103"/>
  <c r="W103" i="103"/>
  <c r="W118" i="103" s="1"/>
  <c r="W134" i="103" s="1"/>
  <c r="W88" i="103"/>
  <c r="L86" i="103"/>
  <c r="L99" i="103"/>
  <c r="L116" i="103" s="1"/>
  <c r="L132" i="103" s="1"/>
  <c r="L104" i="103"/>
  <c r="L119" i="103" s="1"/>
  <c r="L135" i="103" s="1"/>
  <c r="L89" i="103"/>
  <c r="L282" i="39"/>
  <c r="L309" i="39" s="1"/>
  <c r="M111" i="103" s="1"/>
  <c r="W87" i="103"/>
  <c r="W101" i="103"/>
  <c r="W117" i="103" s="1"/>
  <c r="W133" i="103" s="1"/>
  <c r="V334" i="39"/>
  <c r="V63" i="80"/>
  <c r="V337" i="39"/>
  <c r="V357" i="39" s="1"/>
  <c r="V338" i="39"/>
  <c r="V358" i="39" s="1"/>
  <c r="V339" i="39"/>
  <c r="V359" i="39" s="1"/>
  <c r="V335" i="39"/>
  <c r="V355" i="39" s="1"/>
  <c r="V336" i="39"/>
  <c r="V356" i="39" s="1"/>
  <c r="V340" i="39"/>
  <c r="V360" i="39" s="1"/>
  <c r="V345" i="39"/>
  <c r="V348" i="39"/>
  <c r="V347" i="39"/>
  <c r="V350" i="39"/>
  <c r="V346" i="39"/>
  <c r="V349" i="39"/>
  <c r="V344" i="39"/>
  <c r="X26" i="39"/>
  <c r="W182" i="39"/>
  <c r="W377" i="39" s="1"/>
  <c r="W183" i="39"/>
  <c r="W378" i="39" s="1"/>
  <c r="W181" i="39"/>
  <c r="W268" i="39"/>
  <c r="W272" i="39"/>
  <c r="W281" i="39" s="1"/>
  <c r="W308" i="39" s="1"/>
  <c r="W274" i="39"/>
  <c r="W283" i="39" s="1"/>
  <c r="W310" i="39" s="1"/>
  <c r="W269" i="39"/>
  <c r="W271" i="39"/>
  <c r="W270" i="39"/>
  <c r="W273" i="39"/>
  <c r="W291" i="39" a="1"/>
  <c r="W291" i="39" s="1"/>
  <c r="W300" i="39" s="1"/>
  <c r="X71" i="103"/>
  <c r="X69" i="103"/>
  <c r="X70" i="103"/>
  <c r="X100" i="103" s="1"/>
  <c r="X75" i="103"/>
  <c r="X72" i="103"/>
  <c r="X102" i="103" s="1"/>
  <c r="W84" i="80"/>
  <c r="X73" i="103"/>
  <c r="W111" i="80"/>
  <c r="X74" i="103"/>
  <c r="W114" i="80"/>
  <c r="W80" i="80"/>
  <c r="S119" i="80"/>
  <c r="S232" i="80" s="1"/>
  <c r="S108" i="80"/>
  <c r="L283" i="39"/>
  <c r="L310" i="39" s="1"/>
  <c r="M112" i="103" s="1"/>
  <c r="M292" i="39" a="1"/>
  <c r="M292" i="39" s="1"/>
  <c r="M301" i="39" s="1"/>
  <c r="K283" i="39"/>
  <c r="L292" i="39" a="1"/>
  <c r="L292" i="39" s="1"/>
  <c r="L301" i="39" s="1"/>
  <c r="O283" i="39"/>
  <c r="O310" i="39" s="1"/>
  <c r="P112" i="103" s="1"/>
  <c r="Q283" i="39"/>
  <c r="Q310" i="39" s="1"/>
  <c r="R112" i="103" s="1"/>
  <c r="P283" i="39"/>
  <c r="P310" i="39" s="1"/>
  <c r="Q112" i="103" s="1"/>
  <c r="R283" i="39"/>
  <c r="R310" i="39" s="1"/>
  <c r="N283" i="39"/>
  <c r="N310" i="39" s="1"/>
  <c r="O112" i="103" s="1"/>
  <c r="U283" i="39"/>
  <c r="U310" i="39" s="1"/>
  <c r="V283" i="39"/>
  <c r="V310" i="39" s="1"/>
  <c r="S283" i="39"/>
  <c r="S310" i="39" s="1"/>
  <c r="T283" i="39"/>
  <c r="T310" i="39" s="1"/>
  <c r="W292" i="39" a="1"/>
  <c r="W292" i="39" s="1"/>
  <c r="P292" i="39" a="1"/>
  <c r="P292" i="39" s="1"/>
  <c r="P301" i="39" s="1"/>
  <c r="T292" i="39" a="1"/>
  <c r="T292" i="39" s="1"/>
  <c r="T301" i="39" s="1"/>
  <c r="V292" i="39" a="1"/>
  <c r="V292" i="39" s="1"/>
  <c r="V301" i="39" s="1"/>
  <c r="S292" i="39" a="1"/>
  <c r="S292" i="39" s="1"/>
  <c r="S301" i="39" s="1"/>
  <c r="U292" i="39" a="1"/>
  <c r="U292" i="39" s="1"/>
  <c r="U301" i="39" s="1"/>
  <c r="R292" i="39" a="1"/>
  <c r="R292" i="39" s="1"/>
  <c r="R301" i="39" s="1"/>
  <c r="Q292" i="39" a="1"/>
  <c r="Q292" i="39" s="1"/>
  <c r="Q301" i="39" s="1"/>
  <c r="N292" i="39" a="1"/>
  <c r="N292" i="39" s="1"/>
  <c r="N301" i="39" s="1"/>
  <c r="O292" i="39" a="1"/>
  <c r="O292" i="39" s="1"/>
  <c r="O301" i="39" s="1"/>
  <c r="M283" i="39"/>
  <c r="M310" i="39" s="1"/>
  <c r="N112" i="103" s="1"/>
  <c r="K281" i="39"/>
  <c r="L281" i="39"/>
  <c r="L308" i="39" s="1"/>
  <c r="M110" i="103" s="1"/>
  <c r="L290" i="39" a="1"/>
  <c r="L290" i="39" s="1"/>
  <c r="L299" i="39" s="1"/>
  <c r="M290" i="39" a="1"/>
  <c r="M290" i="39" s="1"/>
  <c r="M299" i="39" s="1"/>
  <c r="R281" i="39"/>
  <c r="R308" i="39" s="1"/>
  <c r="P281" i="39"/>
  <c r="P308" i="39" s="1"/>
  <c r="Q110" i="103" s="1"/>
  <c r="O281" i="39"/>
  <c r="O308" i="39" s="1"/>
  <c r="P110" i="103" s="1"/>
  <c r="N281" i="39"/>
  <c r="N308" i="39" s="1"/>
  <c r="O110" i="103" s="1"/>
  <c r="Q281" i="39"/>
  <c r="Q308" i="39" s="1"/>
  <c r="R110" i="103" s="1"/>
  <c r="S281" i="39"/>
  <c r="S308" i="39" s="1"/>
  <c r="V281" i="39"/>
  <c r="V308" i="39" s="1"/>
  <c r="U281" i="39"/>
  <c r="U308" i="39" s="1"/>
  <c r="T281" i="39"/>
  <c r="T308" i="39" s="1"/>
  <c r="U290" i="39" a="1"/>
  <c r="U290" i="39" s="1"/>
  <c r="U299" i="39" s="1"/>
  <c r="Q290" i="39" a="1"/>
  <c r="Q290" i="39" s="1"/>
  <c r="Q299" i="39" s="1"/>
  <c r="W290" i="39" a="1"/>
  <c r="W290" i="39" s="1"/>
  <c r="O290" i="39" a="1"/>
  <c r="O290" i="39" s="1"/>
  <c r="O299" i="39" s="1"/>
  <c r="V290" i="39" a="1"/>
  <c r="V290" i="39" s="1"/>
  <c r="V299" i="39" s="1"/>
  <c r="N290" i="39" a="1"/>
  <c r="N290" i="39" s="1"/>
  <c r="N299" i="39" s="1"/>
  <c r="S290" i="39" a="1"/>
  <c r="S290" i="39" s="1"/>
  <c r="S299" i="39" s="1"/>
  <c r="R290" i="39" a="1"/>
  <c r="R290" i="39" s="1"/>
  <c r="R299" i="39" s="1"/>
  <c r="P290" i="39" a="1"/>
  <c r="P290" i="39" s="1"/>
  <c r="P299" i="39" s="1"/>
  <c r="T290" i="39" a="1"/>
  <c r="T290" i="39" s="1"/>
  <c r="T299" i="39" s="1"/>
  <c r="M281" i="39"/>
  <c r="M308" i="39" s="1"/>
  <c r="N110" i="103" s="1"/>
  <c r="L103" i="103"/>
  <c r="L118" i="103" s="1"/>
  <c r="L134" i="103" s="1"/>
  <c r="L88" i="103"/>
  <c r="AA14" i="97"/>
  <c r="Z6" i="97"/>
  <c r="Y324" i="39" s="1"/>
  <c r="Z11" i="97"/>
  <c r="Y329" i="39" s="1"/>
  <c r="Z8" i="97"/>
  <c r="Y326" i="39" s="1"/>
  <c r="Z10" i="97"/>
  <c r="Y328" i="39" s="1"/>
  <c r="Z7" i="97"/>
  <c r="Y325" i="39" s="1"/>
  <c r="Z9" i="97"/>
  <c r="Y327" i="39" s="1"/>
  <c r="Z12" i="97"/>
  <c r="Y330" i="39" s="1"/>
  <c r="W90" i="103"/>
  <c r="W105" i="103"/>
  <c r="W120" i="103" s="1"/>
  <c r="W136" i="103" s="1"/>
  <c r="V101" i="80"/>
  <c r="L101" i="103"/>
  <c r="L117" i="103" s="1"/>
  <c r="L133" i="103" s="1"/>
  <c r="L87" i="103"/>
  <c r="U150" i="80"/>
  <c r="U81" i="80"/>
  <c r="U143" i="80"/>
  <c r="L90" i="103"/>
  <c r="L105" i="103"/>
  <c r="L120" i="103" s="1"/>
  <c r="L136" i="103" s="1"/>
  <c r="M289" i="39" a="1"/>
  <c r="M289" i="39" s="1"/>
  <c r="M298" i="39" s="1"/>
  <c r="K280" i="39"/>
  <c r="L289" i="39" a="1"/>
  <c r="L289" i="39" s="1"/>
  <c r="L298" i="39" s="1"/>
  <c r="R280" i="39"/>
  <c r="R307" i="39" s="1"/>
  <c r="Q280" i="39"/>
  <c r="Q307" i="39" s="1"/>
  <c r="R109" i="103" s="1"/>
  <c r="R79" i="103" s="1"/>
  <c r="O280" i="39"/>
  <c r="O307" i="39" s="1"/>
  <c r="P109" i="103" s="1"/>
  <c r="P79" i="103" s="1"/>
  <c r="N280" i="39"/>
  <c r="N307" i="39" s="1"/>
  <c r="O109" i="103" s="1"/>
  <c r="O79" i="103" s="1"/>
  <c r="P280" i="39"/>
  <c r="P307" i="39" s="1"/>
  <c r="Q109" i="103" s="1"/>
  <c r="Q79" i="103" s="1"/>
  <c r="V280" i="39"/>
  <c r="V307" i="39" s="1"/>
  <c r="W280" i="39"/>
  <c r="W307" i="39" s="1"/>
  <c r="S280" i="39"/>
  <c r="S307" i="39" s="1"/>
  <c r="T280" i="39"/>
  <c r="T307" i="39" s="1"/>
  <c r="U280" i="39"/>
  <c r="U307" i="39" s="1"/>
  <c r="V289" i="39" a="1"/>
  <c r="V289" i="39" s="1"/>
  <c r="V298" i="39" s="1"/>
  <c r="U289" i="39" a="1"/>
  <c r="U289" i="39" s="1"/>
  <c r="U298" i="39" s="1"/>
  <c r="S289" i="39" a="1"/>
  <c r="S289" i="39" s="1"/>
  <c r="S298" i="39" s="1"/>
  <c r="X289" i="39" a="1"/>
  <c r="X289" i="39" s="1"/>
  <c r="T289" i="39" a="1"/>
  <c r="T289" i="39" s="1"/>
  <c r="T298" i="39" s="1"/>
  <c r="R289" i="39" a="1"/>
  <c r="R289" i="39" s="1"/>
  <c r="R298" i="39" s="1"/>
  <c r="Q289" i="39" a="1"/>
  <c r="Q289" i="39" s="1"/>
  <c r="Q298" i="39" s="1"/>
  <c r="W289" i="39" a="1"/>
  <c r="W289" i="39" s="1"/>
  <c r="W298" i="39" s="1"/>
  <c r="N289" i="39" a="1"/>
  <c r="N289" i="39" s="1"/>
  <c r="N298" i="39" s="1"/>
  <c r="P289" i="39" a="1"/>
  <c r="P289" i="39" s="1"/>
  <c r="P298" i="39" s="1"/>
  <c r="O289" i="39" a="1"/>
  <c r="O289" i="39" s="1"/>
  <c r="O298" i="39" s="1"/>
  <c r="M280" i="39"/>
  <c r="M307" i="39" s="1"/>
  <c r="N109" i="103" s="1"/>
  <c r="N79" i="103" s="1"/>
  <c r="L287" i="39" a="1"/>
  <c r="L287" i="39" s="1"/>
  <c r="L296" i="39" s="1"/>
  <c r="M287" i="39" a="1"/>
  <c r="M287" i="39" s="1"/>
  <c r="M296" i="39" s="1"/>
  <c r="K278" i="39"/>
  <c r="L278" i="39"/>
  <c r="L305" i="39" s="1"/>
  <c r="M107" i="103" s="1"/>
  <c r="M77" i="103" s="1"/>
  <c r="P278" i="39"/>
  <c r="P305" i="39" s="1"/>
  <c r="Q107" i="103" s="1"/>
  <c r="Q77" i="103" s="1"/>
  <c r="N278" i="39"/>
  <c r="N305" i="39" s="1"/>
  <c r="O107" i="103" s="1"/>
  <c r="O77" i="103" s="1"/>
  <c r="R278" i="39"/>
  <c r="R305" i="39" s="1"/>
  <c r="Q278" i="39"/>
  <c r="Q305" i="39" s="1"/>
  <c r="R107" i="103" s="1"/>
  <c r="R77" i="103" s="1"/>
  <c r="O278" i="39"/>
  <c r="O305" i="39" s="1"/>
  <c r="P107" i="103" s="1"/>
  <c r="P77" i="103" s="1"/>
  <c r="W278" i="39"/>
  <c r="W305" i="39" s="1"/>
  <c r="V278" i="39"/>
  <c r="V305" i="39" s="1"/>
  <c r="T278" i="39"/>
  <c r="T305" i="39" s="1"/>
  <c r="U278" i="39"/>
  <c r="U305" i="39" s="1"/>
  <c r="S278" i="39"/>
  <c r="S305" i="39" s="1"/>
  <c r="S287" i="39" a="1"/>
  <c r="S287" i="39" s="1"/>
  <c r="S296" i="39" s="1"/>
  <c r="X287" i="39" a="1"/>
  <c r="X287" i="39" s="1"/>
  <c r="P287" i="39" a="1"/>
  <c r="P287" i="39" s="1"/>
  <c r="P296" i="39" s="1"/>
  <c r="T287" i="39" a="1"/>
  <c r="T287" i="39" s="1"/>
  <c r="T296" i="39" s="1"/>
  <c r="R287" i="39" a="1"/>
  <c r="R287" i="39" s="1"/>
  <c r="R296" i="39" s="1"/>
  <c r="O287" i="39" a="1"/>
  <c r="O287" i="39" s="1"/>
  <c r="O296" i="39" s="1"/>
  <c r="W287" i="39" a="1"/>
  <c r="W287" i="39" s="1"/>
  <c r="W296" i="39" s="1"/>
  <c r="V287" i="39" a="1"/>
  <c r="V287" i="39" s="1"/>
  <c r="V296" i="39" s="1"/>
  <c r="U287" i="39" a="1"/>
  <c r="U287" i="39" s="1"/>
  <c r="U296" i="39" s="1"/>
  <c r="Q287" i="39" a="1"/>
  <c r="Q287" i="39" s="1"/>
  <c r="Q296" i="39" s="1"/>
  <c r="N287" i="39" a="1"/>
  <c r="N287" i="39" s="1"/>
  <c r="N296" i="39" s="1"/>
  <c r="M278" i="39"/>
  <c r="M305" i="39" s="1"/>
  <c r="N107" i="103" s="1"/>
  <c r="N77" i="103" s="1"/>
  <c r="I26" i="39"/>
  <c r="K78" i="103"/>
  <c r="K92" i="103" s="1"/>
  <c r="K76" i="103"/>
  <c r="K69" i="103"/>
  <c r="J112" i="80"/>
  <c r="J82" i="80"/>
  <c r="K70" i="103"/>
  <c r="K100" i="103" s="1"/>
  <c r="J111" i="80"/>
  <c r="J108" i="80"/>
  <c r="J110" i="80"/>
  <c r="K75" i="103"/>
  <c r="K73" i="103"/>
  <c r="K71" i="103"/>
  <c r="K82" i="103"/>
  <c r="K95" i="103" s="1"/>
  <c r="K72" i="103"/>
  <c r="K102" i="103" s="1"/>
  <c r="J84" i="80"/>
  <c r="K80" i="103"/>
  <c r="K93" i="103" s="1"/>
  <c r="J78" i="80"/>
  <c r="J85" i="80"/>
  <c r="K74" i="103"/>
  <c r="K81" i="103"/>
  <c r="K94" i="103" s="1"/>
  <c r="J81" i="80"/>
  <c r="J83" i="80"/>
  <c r="J80" i="80"/>
  <c r="J76" i="80"/>
  <c r="J71" i="80"/>
  <c r="J70" i="80"/>
  <c r="J77" i="80"/>
  <c r="J79" i="80"/>
  <c r="J107" i="80"/>
  <c r="J113" i="80"/>
  <c r="J74" i="80"/>
  <c r="J75" i="80"/>
  <c r="J73" i="80"/>
  <c r="J115" i="80"/>
  <c r="K79" i="103"/>
  <c r="J72" i="80"/>
  <c r="K77" i="103"/>
  <c r="J109" i="80"/>
  <c r="J114" i="80"/>
  <c r="U351" i="39"/>
  <c r="U354" i="39"/>
  <c r="U361" i="39" s="1"/>
  <c r="U341" i="39"/>
  <c r="W104" i="103"/>
  <c r="W119" i="103" s="1"/>
  <c r="W135" i="103" s="1"/>
  <c r="W89" i="103"/>
  <c r="K282" i="39"/>
  <c r="L291" i="39" a="1"/>
  <c r="L291" i="39" s="1"/>
  <c r="L300" i="39" s="1"/>
  <c r="M291" i="39" a="1"/>
  <c r="M291" i="39" s="1"/>
  <c r="M300" i="39" s="1"/>
  <c r="S282" i="39"/>
  <c r="S309" i="39" s="1"/>
  <c r="P282" i="39"/>
  <c r="P309" i="39" s="1"/>
  <c r="Q111" i="103" s="1"/>
  <c r="Q282" i="39"/>
  <c r="Q309" i="39" s="1"/>
  <c r="R111" i="103" s="1"/>
  <c r="R282" i="39"/>
  <c r="R309" i="39" s="1"/>
  <c r="O282" i="39"/>
  <c r="O309" i="39" s="1"/>
  <c r="P111" i="103" s="1"/>
  <c r="N282" i="39"/>
  <c r="N309" i="39" s="1"/>
  <c r="O111" i="103" s="1"/>
  <c r="W282" i="39"/>
  <c r="W309" i="39" s="1"/>
  <c r="U282" i="39"/>
  <c r="U309" i="39" s="1"/>
  <c r="T282" i="39"/>
  <c r="T309" i="39" s="1"/>
  <c r="V282" i="39"/>
  <c r="V309" i="39" s="1"/>
  <c r="N291" i="39" a="1"/>
  <c r="N291" i="39" s="1"/>
  <c r="N300" i="39" s="1"/>
  <c r="P291" i="39" a="1"/>
  <c r="P291" i="39" s="1"/>
  <c r="P300" i="39" s="1"/>
  <c r="O291" i="39" a="1"/>
  <c r="O291" i="39" s="1"/>
  <c r="O300" i="39" s="1"/>
  <c r="Q291" i="39" a="1"/>
  <c r="Q291" i="39" s="1"/>
  <c r="Q300" i="39" s="1"/>
  <c r="R291" i="39" a="1"/>
  <c r="R291" i="39" s="1"/>
  <c r="R300" i="39" s="1"/>
  <c r="S291" i="39" a="1"/>
  <c r="S291" i="39" s="1"/>
  <c r="S300" i="39" s="1"/>
  <c r="T291" i="39" a="1"/>
  <c r="T291" i="39" s="1"/>
  <c r="T300" i="39" s="1"/>
  <c r="U291" i="39" a="1"/>
  <c r="U291" i="39" s="1"/>
  <c r="U300" i="39" s="1"/>
  <c r="M282" i="39"/>
  <c r="M309" i="39" s="1"/>
  <c r="N111" i="103" s="1"/>
  <c r="X331" i="39"/>
  <c r="X379" i="39" s="1"/>
  <c r="X102" i="80" s="1"/>
  <c r="T375" i="39"/>
  <c r="T97" i="80" s="1"/>
  <c r="T384" i="39"/>
  <c r="W86" i="103"/>
  <c r="W99" i="103"/>
  <c r="W116" i="103" s="1"/>
  <c r="W132" i="103" s="1"/>
  <c r="K279" i="39"/>
  <c r="L288" i="39" a="1"/>
  <c r="L288" i="39" s="1"/>
  <c r="L297" i="39" s="1"/>
  <c r="Q279" i="39"/>
  <c r="Q306" i="39" s="1"/>
  <c r="R108" i="103" s="1"/>
  <c r="P279" i="39"/>
  <c r="P306" i="39" s="1"/>
  <c r="Q108" i="103" s="1"/>
  <c r="R279" i="39"/>
  <c r="R306" i="39" s="1"/>
  <c r="N279" i="39"/>
  <c r="N306" i="39" s="1"/>
  <c r="O108" i="103" s="1"/>
  <c r="O279" i="39"/>
  <c r="O306" i="39" s="1"/>
  <c r="P108" i="103" s="1"/>
  <c r="W279" i="39"/>
  <c r="W306" i="39" s="1"/>
  <c r="S279" i="39"/>
  <c r="S306" i="39" s="1"/>
  <c r="V279" i="39"/>
  <c r="V306" i="39" s="1"/>
  <c r="U279" i="39"/>
  <c r="U306" i="39" s="1"/>
  <c r="T279" i="39"/>
  <c r="T306" i="39" s="1"/>
  <c r="X288" i="39" a="1"/>
  <c r="X288" i="39" s="1"/>
  <c r="T288" i="39" a="1"/>
  <c r="T288" i="39" s="1"/>
  <c r="T297" i="39" s="1"/>
  <c r="P288" i="39" a="1"/>
  <c r="P288" i="39" s="1"/>
  <c r="P297" i="39" s="1"/>
  <c r="N288" i="39" a="1"/>
  <c r="N288" i="39" s="1"/>
  <c r="N297" i="39" s="1"/>
  <c r="W288" i="39" a="1"/>
  <c r="W288" i="39" s="1"/>
  <c r="W297" i="39" s="1"/>
  <c r="U288" i="39" a="1"/>
  <c r="U288" i="39" s="1"/>
  <c r="U297" i="39" s="1"/>
  <c r="O288" i="39" a="1"/>
  <c r="O288" i="39" s="1"/>
  <c r="O297" i="39" s="1"/>
  <c r="V288" i="39" a="1"/>
  <c r="V288" i="39" s="1"/>
  <c r="V297" i="39" s="1"/>
  <c r="Q288" i="39" a="1"/>
  <c r="Q288" i="39" s="1"/>
  <c r="Q297" i="39" s="1"/>
  <c r="R288" i="39" a="1"/>
  <c r="R288" i="39" s="1"/>
  <c r="R297" i="39" s="1"/>
  <c r="S288" i="39" a="1"/>
  <c r="S288" i="39" s="1"/>
  <c r="S297" i="39" s="1"/>
  <c r="M288" i="39" a="1"/>
  <c r="M288" i="39" s="1"/>
  <c r="M297" i="39" s="1"/>
  <c r="M279" i="39"/>
  <c r="M306" i="39" s="1"/>
  <c r="N108" i="103" s="1"/>
  <c r="L286" i="39" a="1"/>
  <c r="L286" i="39" s="1"/>
  <c r="L295" i="39" s="1"/>
  <c r="K277" i="39"/>
  <c r="M286" i="39" a="1"/>
  <c r="M286" i="39" s="1"/>
  <c r="M295" i="39" s="1"/>
  <c r="P277" i="39"/>
  <c r="P304" i="39" s="1"/>
  <c r="O277" i="39"/>
  <c r="O304" i="39" s="1"/>
  <c r="Q277" i="39"/>
  <c r="Q304" i="39" s="1"/>
  <c r="R277" i="39"/>
  <c r="R304" i="39" s="1"/>
  <c r="S277" i="39"/>
  <c r="S304" i="39" s="1"/>
  <c r="U277" i="39"/>
  <c r="U304" i="39" s="1"/>
  <c r="N277" i="39"/>
  <c r="N304" i="39" s="1"/>
  <c r="T277" i="39"/>
  <c r="T304" i="39" s="1"/>
  <c r="V277" i="39"/>
  <c r="V304" i="39" s="1"/>
  <c r="W277" i="39"/>
  <c r="W304" i="39" s="1"/>
  <c r="U286" i="39" a="1"/>
  <c r="U286" i="39" s="1"/>
  <c r="U295" i="39" s="1"/>
  <c r="Q286" i="39" a="1"/>
  <c r="Q286" i="39" s="1"/>
  <c r="Q295" i="39" s="1"/>
  <c r="W286" i="39" a="1"/>
  <c r="W286" i="39" s="1"/>
  <c r="W295" i="39" s="1"/>
  <c r="V286" i="39" a="1"/>
  <c r="V286" i="39" s="1"/>
  <c r="V295" i="39" s="1"/>
  <c r="X286" i="39" a="1"/>
  <c r="X286" i="39" s="1"/>
  <c r="S286" i="39" a="1"/>
  <c r="S286" i="39" s="1"/>
  <c r="S295" i="39" s="1"/>
  <c r="P286" i="39" a="1"/>
  <c r="P286" i="39" s="1"/>
  <c r="P295" i="39" s="1"/>
  <c r="R286" i="39" a="1"/>
  <c r="R286" i="39" s="1"/>
  <c r="R295" i="39" s="1"/>
  <c r="T286" i="39" a="1"/>
  <c r="T286" i="39" s="1"/>
  <c r="T295" i="39" s="1"/>
  <c r="O286" i="39" a="1"/>
  <c r="O286" i="39" s="1"/>
  <c r="O295" i="39" s="1"/>
  <c r="N286" i="39" a="1"/>
  <c r="N286" i="39" s="1"/>
  <c r="N295" i="39" s="1"/>
  <c r="M277" i="39"/>
  <c r="M304" i="39" s="1"/>
  <c r="W299" i="39" l="1"/>
  <c r="X290" i="39" a="1"/>
  <c r="X290" i="39" s="1"/>
  <c r="W301" i="39"/>
  <c r="X292" i="39" a="1"/>
  <c r="X292" i="39" s="1"/>
  <c r="R311" i="39"/>
  <c r="R374" i="39" s="1"/>
  <c r="R53" i="80"/>
  <c r="S106" i="103"/>
  <c r="V311" i="39"/>
  <c r="V374" i="39" s="1"/>
  <c r="W106" i="103"/>
  <c r="Q122" i="103"/>
  <c r="Q138" i="103" s="1"/>
  <c r="Q78" i="103"/>
  <c r="Q92" i="103" s="1"/>
  <c r="T311" i="39"/>
  <c r="T374" i="39" s="1"/>
  <c r="T53" i="80"/>
  <c r="U106" i="103"/>
  <c r="O311" i="39"/>
  <c r="P106" i="103"/>
  <c r="U55" i="80"/>
  <c r="V108" i="103"/>
  <c r="R122" i="103"/>
  <c r="R138" i="103" s="1"/>
  <c r="R78" i="103"/>
  <c r="R92" i="103" s="1"/>
  <c r="N124" i="103"/>
  <c r="N140" i="103" s="1"/>
  <c r="N81" i="103"/>
  <c r="N94" i="103" s="1"/>
  <c r="R81" i="103"/>
  <c r="R94" i="103" s="1"/>
  <c r="R124" i="103"/>
  <c r="R140" i="103" s="1"/>
  <c r="K105" i="103"/>
  <c r="K120" i="103" s="1"/>
  <c r="K136" i="103" s="1"/>
  <c r="K90" i="103"/>
  <c r="K91" i="103"/>
  <c r="T54" i="80"/>
  <c r="U107" i="103"/>
  <c r="U77" i="103" s="1"/>
  <c r="X107" i="103"/>
  <c r="X77" i="103" s="1"/>
  <c r="T56" i="80"/>
  <c r="U109" i="103"/>
  <c r="U79" i="103" s="1"/>
  <c r="S109" i="103"/>
  <c r="S79" i="103" s="1"/>
  <c r="R56" i="80"/>
  <c r="T110" i="103"/>
  <c r="S57" i="80"/>
  <c r="M123" i="103"/>
  <c r="M139" i="103" s="1"/>
  <c r="M80" i="103"/>
  <c r="M93" i="103" s="1"/>
  <c r="X112" i="103"/>
  <c r="K310" i="39"/>
  <c r="L112" i="103" s="1"/>
  <c r="K301" i="39"/>
  <c r="W334" i="39"/>
  <c r="W63" i="80"/>
  <c r="W340" i="39"/>
  <c r="W360" i="39" s="1"/>
  <c r="W59" i="80" s="1"/>
  <c r="W337" i="39"/>
  <c r="W357" i="39" s="1"/>
  <c r="W56" i="80" s="1"/>
  <c r="W336" i="39"/>
  <c r="W356" i="39" s="1"/>
  <c r="W55" i="80" s="1"/>
  <c r="W335" i="39"/>
  <c r="W355" i="39" s="1"/>
  <c r="W54" i="80" s="1"/>
  <c r="W339" i="39"/>
  <c r="W359" i="39" s="1"/>
  <c r="W58" i="80" s="1"/>
  <c r="W338" i="39"/>
  <c r="W358" i="39" s="1"/>
  <c r="W57" i="80" s="1"/>
  <c r="W349" i="39"/>
  <c r="W350" i="39"/>
  <c r="W344" i="39"/>
  <c r="W347" i="39"/>
  <c r="W345" i="39"/>
  <c r="W348" i="39"/>
  <c r="W346" i="39"/>
  <c r="N106" i="103"/>
  <c r="M311" i="39"/>
  <c r="N311" i="39"/>
  <c r="O106" i="103"/>
  <c r="K295" i="39"/>
  <c r="K304" i="39"/>
  <c r="V55" i="80"/>
  <c r="W108" i="103"/>
  <c r="V58" i="80"/>
  <c r="W111" i="103"/>
  <c r="Q81" i="103"/>
  <c r="Q94" i="103" s="1"/>
  <c r="Q124" i="103"/>
  <c r="Q140" i="103" s="1"/>
  <c r="U384" i="39"/>
  <c r="U375" i="39"/>
  <c r="U97" i="80" s="1"/>
  <c r="V54" i="80"/>
  <c r="W107" i="103"/>
  <c r="W77" i="103" s="1"/>
  <c r="K305" i="39"/>
  <c r="L107" i="103" s="1"/>
  <c r="L77" i="103" s="1"/>
  <c r="K296" i="39"/>
  <c r="S56" i="80"/>
  <c r="T109" i="103"/>
  <c r="T79" i="103" s="1"/>
  <c r="N80" i="103"/>
  <c r="N93" i="103" s="1"/>
  <c r="N123" i="103"/>
  <c r="N139" i="103" s="1"/>
  <c r="X110" i="103"/>
  <c r="R80" i="103"/>
  <c r="R93" i="103" s="1"/>
  <c r="R123" i="103"/>
  <c r="R139" i="103" s="1"/>
  <c r="K299" i="39"/>
  <c r="K308" i="39"/>
  <c r="L110" i="103" s="1"/>
  <c r="X88" i="103"/>
  <c r="X103" i="103"/>
  <c r="X118" i="103" s="1"/>
  <c r="X134" i="103" s="1"/>
  <c r="W101" i="80"/>
  <c r="V143" i="80"/>
  <c r="V81" i="80"/>
  <c r="V150" i="80"/>
  <c r="X113" i="80"/>
  <c r="X124" i="80"/>
  <c r="X236" i="80" s="1"/>
  <c r="K297" i="39"/>
  <c r="K306" i="39"/>
  <c r="L108" i="103" s="1"/>
  <c r="T58" i="80"/>
  <c r="U111" i="103"/>
  <c r="T111" i="103"/>
  <c r="S58" i="80"/>
  <c r="H26" i="39"/>
  <c r="J81" i="103"/>
  <c r="J94" i="103" s="1"/>
  <c r="I80" i="80"/>
  <c r="I79" i="80"/>
  <c r="J69" i="103"/>
  <c r="J77" i="103"/>
  <c r="J78" i="103"/>
  <c r="J92" i="103" s="1"/>
  <c r="I111" i="80"/>
  <c r="J79" i="103"/>
  <c r="J82" i="103"/>
  <c r="J95" i="103" s="1"/>
  <c r="I78" i="80"/>
  <c r="J72" i="103"/>
  <c r="J102" i="103" s="1"/>
  <c r="I73" i="80"/>
  <c r="I112" i="80"/>
  <c r="I77" i="80"/>
  <c r="J80" i="103"/>
  <c r="J93" i="103" s="1"/>
  <c r="I82" i="80"/>
  <c r="I109" i="80"/>
  <c r="I114" i="80"/>
  <c r="I71" i="80"/>
  <c r="I83" i="80"/>
  <c r="J70" i="103"/>
  <c r="J100" i="103" s="1"/>
  <c r="I76" i="80"/>
  <c r="J73" i="103"/>
  <c r="I81" i="80"/>
  <c r="J71" i="103"/>
  <c r="I75" i="80"/>
  <c r="I72" i="80"/>
  <c r="I84" i="80"/>
  <c r="I110" i="80"/>
  <c r="I85" i="80"/>
  <c r="I107" i="80"/>
  <c r="I70" i="80"/>
  <c r="I113" i="80"/>
  <c r="J76" i="103"/>
  <c r="I108" i="80"/>
  <c r="J75" i="103"/>
  <c r="J74" i="103"/>
  <c r="I74" i="80"/>
  <c r="I115" i="80"/>
  <c r="X109" i="103"/>
  <c r="X79" i="103" s="1"/>
  <c r="K307" i="39"/>
  <c r="L109" i="103" s="1"/>
  <c r="L79" i="103" s="1"/>
  <c r="K298" i="39"/>
  <c r="O80" i="103"/>
  <c r="O93" i="103" s="1"/>
  <c r="O123" i="103"/>
  <c r="O139" i="103" s="1"/>
  <c r="N82" i="103"/>
  <c r="N95" i="103" s="1"/>
  <c r="N125" i="103"/>
  <c r="N141" i="103" s="1"/>
  <c r="O125" i="103"/>
  <c r="O141" i="103" s="1"/>
  <c r="O82" i="103"/>
  <c r="O95" i="103" s="1"/>
  <c r="M125" i="103"/>
  <c r="M141" i="103" s="1"/>
  <c r="M82" i="103"/>
  <c r="M95" i="103" s="1"/>
  <c r="V354" i="39"/>
  <c r="V361" i="39" s="1"/>
  <c r="V341" i="39"/>
  <c r="X111" i="103"/>
  <c r="U311" i="39"/>
  <c r="U374" i="39" s="1"/>
  <c r="U53" i="80"/>
  <c r="V106" i="103"/>
  <c r="P311" i="39"/>
  <c r="Q106" i="103"/>
  <c r="N122" i="103"/>
  <c r="N138" i="103" s="1"/>
  <c r="N78" i="103"/>
  <c r="N92" i="103" s="1"/>
  <c r="S55" i="80"/>
  <c r="T108" i="103"/>
  <c r="U58" i="80"/>
  <c r="V111" i="103"/>
  <c r="P80" i="103"/>
  <c r="P93" i="103" s="1"/>
  <c r="P123" i="103"/>
  <c r="P139" i="103" s="1"/>
  <c r="S112" i="103"/>
  <c r="R59" i="80"/>
  <c r="Y26" i="39"/>
  <c r="X268" i="39"/>
  <c r="X295" i="39" s="1"/>
  <c r="X182" i="39"/>
  <c r="X377" i="39" s="1"/>
  <c r="X183" i="39"/>
  <c r="X378" i="39" s="1"/>
  <c r="X181" i="39"/>
  <c r="X272" i="39"/>
  <c r="X269" i="39"/>
  <c r="X273" i="39"/>
  <c r="X274" i="39"/>
  <c r="X271" i="39"/>
  <c r="X298" i="39" s="1"/>
  <c r="X270" i="39"/>
  <c r="Y70" i="103"/>
  <c r="Y100" i="103" s="1"/>
  <c r="X84" i="80"/>
  <c r="Y72" i="103"/>
  <c r="Y102" i="103" s="1"/>
  <c r="Y74" i="103"/>
  <c r="X111" i="80"/>
  <c r="X114" i="80"/>
  <c r="Y71" i="103"/>
  <c r="X80" i="80"/>
  <c r="X291" i="39" a="1"/>
  <c r="X291" i="39" s="1"/>
  <c r="X300" i="39" s="1"/>
  <c r="Y73" i="103"/>
  <c r="Y75" i="103"/>
  <c r="Y69" i="103"/>
  <c r="Q311" i="39"/>
  <c r="R106" i="103"/>
  <c r="S311" i="39"/>
  <c r="S374" i="39" s="1"/>
  <c r="S53" i="80"/>
  <c r="T106" i="103"/>
  <c r="T55" i="80"/>
  <c r="U108" i="103"/>
  <c r="P78" i="103"/>
  <c r="P92" i="103" s="1"/>
  <c r="P122" i="103"/>
  <c r="P138" i="103" s="1"/>
  <c r="V56" i="80"/>
  <c r="W109" i="103"/>
  <c r="W79" i="103" s="1"/>
  <c r="V123" i="80"/>
  <c r="V235" i="80" s="1"/>
  <c r="V112" i="80"/>
  <c r="T57" i="80"/>
  <c r="U110" i="103"/>
  <c r="Q123" i="103"/>
  <c r="Q139" i="103" s="1"/>
  <c r="Q80" i="103"/>
  <c r="Q93" i="103" s="1"/>
  <c r="U59" i="80"/>
  <c r="V112" i="103"/>
  <c r="Q82" i="103"/>
  <c r="Q95" i="103" s="1"/>
  <c r="Q125" i="103"/>
  <c r="Q141" i="103" s="1"/>
  <c r="X90" i="103"/>
  <c r="X105" i="103"/>
  <c r="X120" i="103" s="1"/>
  <c r="X136" i="103" s="1"/>
  <c r="V351" i="39"/>
  <c r="L311" i="39"/>
  <c r="W311" i="39"/>
  <c r="W374" i="39" s="1"/>
  <c r="X106" i="103"/>
  <c r="O78" i="103"/>
  <c r="O92" i="103" s="1"/>
  <c r="O122" i="103"/>
  <c r="O138" i="103" s="1"/>
  <c r="O124" i="103"/>
  <c r="O140" i="103" s="1"/>
  <c r="O81" i="103"/>
  <c r="O94" i="103" s="1"/>
  <c r="K309" i="39"/>
  <c r="L111" i="103" s="1"/>
  <c r="K300" i="39"/>
  <c r="R54" i="80"/>
  <c r="S107" i="103"/>
  <c r="S77" i="103" s="1"/>
  <c r="Y331" i="39"/>
  <c r="Y379" i="39" s="1"/>
  <c r="Y102" i="80" s="1"/>
  <c r="S110" i="103"/>
  <c r="R57" i="80"/>
  <c r="T59" i="80"/>
  <c r="U112" i="103"/>
  <c r="R125" i="103"/>
  <c r="R141" i="103" s="1"/>
  <c r="R82" i="103"/>
  <c r="R95" i="103" s="1"/>
  <c r="M81" i="103"/>
  <c r="M94" i="103" s="1"/>
  <c r="M124" i="103"/>
  <c r="M140" i="103" s="1"/>
  <c r="M121" i="103"/>
  <c r="M137" i="103" s="1"/>
  <c r="M76" i="103"/>
  <c r="M91" i="103" s="1"/>
  <c r="X108" i="103"/>
  <c r="S108" i="103"/>
  <c r="R55" i="80"/>
  <c r="T119" i="80"/>
  <c r="T232" i="80" s="1"/>
  <c r="T108" i="80"/>
  <c r="P81" i="103"/>
  <c r="P94" i="103" s="1"/>
  <c r="P124" i="103"/>
  <c r="P140" i="103" s="1"/>
  <c r="K87" i="103"/>
  <c r="K101" i="103"/>
  <c r="K117" i="103" s="1"/>
  <c r="K133" i="103" s="1"/>
  <c r="S54" i="80"/>
  <c r="T107" i="103"/>
  <c r="T77" i="103" s="1"/>
  <c r="AA6" i="97"/>
  <c r="Z324" i="39" s="1"/>
  <c r="AB14" i="97"/>
  <c r="AA7" i="97"/>
  <c r="Z325" i="39" s="1"/>
  <c r="AA11" i="97"/>
  <c r="Z329" i="39" s="1"/>
  <c r="AA9" i="97"/>
  <c r="Z327" i="39" s="1"/>
  <c r="AA12" i="97"/>
  <c r="Z330" i="39" s="1"/>
  <c r="AA10" i="97"/>
  <c r="Z328" i="39" s="1"/>
  <c r="AA8" i="97"/>
  <c r="Z326" i="39" s="1"/>
  <c r="U57" i="80"/>
  <c r="V110" i="103"/>
  <c r="S59" i="80"/>
  <c r="T112" i="103"/>
  <c r="P125" i="103"/>
  <c r="P141" i="103" s="1"/>
  <c r="P82" i="103"/>
  <c r="P95" i="103" s="1"/>
  <c r="X86" i="103"/>
  <c r="X99" i="103"/>
  <c r="X116" i="103" s="1"/>
  <c r="X132" i="103" s="1"/>
  <c r="S111" i="103"/>
  <c r="R58" i="80"/>
  <c r="K104" i="103"/>
  <c r="K119" i="103" s="1"/>
  <c r="K135" i="103" s="1"/>
  <c r="K89" i="103"/>
  <c r="K88" i="103"/>
  <c r="K103" i="103"/>
  <c r="K118" i="103" s="1"/>
  <c r="K134" i="103" s="1"/>
  <c r="K99" i="103"/>
  <c r="K116" i="103" s="1"/>
  <c r="K132" i="103" s="1"/>
  <c r="K86" i="103"/>
  <c r="X296" i="39"/>
  <c r="U54" i="80"/>
  <c r="V107" i="103"/>
  <c r="V77" i="103" s="1"/>
  <c r="U56" i="80"/>
  <c r="V109" i="103"/>
  <c r="V79" i="103" s="1"/>
  <c r="V57" i="80"/>
  <c r="W110" i="103"/>
  <c r="V59" i="80"/>
  <c r="W112" i="103"/>
  <c r="X104" i="103"/>
  <c r="X119" i="103" s="1"/>
  <c r="X135" i="103" s="1"/>
  <c r="X89" i="103"/>
  <c r="X101" i="103"/>
  <c r="X117" i="103" s="1"/>
  <c r="X133" i="103" s="1"/>
  <c r="X87" i="103"/>
  <c r="X301" i="39" l="1"/>
  <c r="X299" i="39"/>
  <c r="Z331" i="39"/>
  <c r="Z379" i="39" s="1"/>
  <c r="Z102" i="80" s="1"/>
  <c r="W72" i="80"/>
  <c r="W134" i="80"/>
  <c r="S124" i="103"/>
  <c r="S140" i="103" s="1"/>
  <c r="S81" i="103"/>
  <c r="S94" i="103" s="1"/>
  <c r="Y113" i="80"/>
  <c r="Y124" i="80"/>
  <c r="Y236" i="80" s="1"/>
  <c r="T135" i="80"/>
  <c r="S118" i="116" s="1"/>
  <c r="T73" i="80"/>
  <c r="Y90" i="103"/>
  <c r="Y105" i="103"/>
  <c r="Y120" i="103" s="1"/>
  <c r="Y136" i="103" s="1"/>
  <c r="X281" i="39"/>
  <c r="X308" i="39" s="1"/>
  <c r="Q121" i="103"/>
  <c r="Q137" i="103" s="1"/>
  <c r="Q76" i="103"/>
  <c r="Q91" i="103" s="1"/>
  <c r="V384" i="39"/>
  <c r="V375" i="39"/>
  <c r="V97" i="80" s="1"/>
  <c r="J90" i="103"/>
  <c r="J105" i="103"/>
  <c r="J120" i="103" s="1"/>
  <c r="J136" i="103" s="1"/>
  <c r="J86" i="103"/>
  <c r="J99" i="103"/>
  <c r="J116" i="103" s="1"/>
  <c r="J132" i="103" s="1"/>
  <c r="T138" i="80"/>
  <c r="S116" i="116" s="1"/>
  <c r="T76" i="80"/>
  <c r="V138" i="80"/>
  <c r="V76" i="80"/>
  <c r="N76" i="103"/>
  <c r="N91" i="103" s="1"/>
  <c r="N121" i="103"/>
  <c r="N137" i="103" s="1"/>
  <c r="R74" i="80"/>
  <c r="R136" i="80"/>
  <c r="Q119" i="116" s="1"/>
  <c r="W82" i="103"/>
  <c r="W95" i="103" s="1"/>
  <c r="W125" i="103"/>
  <c r="W141" i="103" s="1"/>
  <c r="V77" i="80"/>
  <c r="V139" i="80"/>
  <c r="W80" i="103"/>
  <c r="W93" i="103" s="1"/>
  <c r="W123" i="103"/>
  <c r="W139" i="103" s="1"/>
  <c r="R73" i="80"/>
  <c r="R135" i="80"/>
  <c r="Q118" i="116" s="1"/>
  <c r="X121" i="103"/>
  <c r="X137" i="103" s="1"/>
  <c r="X76" i="103"/>
  <c r="X91" i="103" s="1"/>
  <c r="T121" i="103"/>
  <c r="T137" i="103" s="1"/>
  <c r="T76" i="103"/>
  <c r="T91" i="103" s="1"/>
  <c r="Y88" i="103"/>
  <c r="Y103" i="103"/>
  <c r="Y118" i="103" s="1"/>
  <c r="Y134" i="103" s="1"/>
  <c r="X63" i="80"/>
  <c r="X334" i="39"/>
  <c r="X340" i="39"/>
  <c r="X360" i="39" s="1"/>
  <c r="X337" i="39"/>
  <c r="X357" i="39" s="1"/>
  <c r="X336" i="39"/>
  <c r="X356" i="39" s="1"/>
  <c r="X335" i="39"/>
  <c r="X355" i="39" s="1"/>
  <c r="X338" i="39"/>
  <c r="X358" i="39" s="1"/>
  <c r="X339" i="39"/>
  <c r="X359" i="39" s="1"/>
  <c r="X345" i="39"/>
  <c r="X349" i="39"/>
  <c r="X348" i="39"/>
  <c r="X347" i="39"/>
  <c r="X350" i="39"/>
  <c r="X346" i="39"/>
  <c r="X344" i="39"/>
  <c r="P374" i="39"/>
  <c r="P379" i="39"/>
  <c r="P102" i="80" s="1"/>
  <c r="L78" i="103"/>
  <c r="L92" i="103" s="1"/>
  <c r="L122" i="103"/>
  <c r="L138" i="103" s="1"/>
  <c r="X80" i="103"/>
  <c r="X93" i="103" s="1"/>
  <c r="X123" i="103"/>
  <c r="X139" i="103" s="1"/>
  <c r="W78" i="103"/>
  <c r="W92" i="103" s="1"/>
  <c r="W122" i="103"/>
  <c r="W138" i="103" s="1"/>
  <c r="L125" i="103"/>
  <c r="L141" i="103" s="1"/>
  <c r="L82" i="103"/>
  <c r="L95" i="103" s="1"/>
  <c r="V122" i="103"/>
  <c r="V138" i="103" s="1"/>
  <c r="V78" i="103"/>
  <c r="V92" i="103" s="1"/>
  <c r="U78" i="103"/>
  <c r="U92" i="103" s="1"/>
  <c r="U122" i="103"/>
  <c r="U138" i="103" s="1"/>
  <c r="S122" i="103"/>
  <c r="S138" i="103" s="1"/>
  <c r="S78" i="103"/>
  <c r="S92" i="103" s="1"/>
  <c r="R134" i="80"/>
  <c r="Q121" i="116" s="1"/>
  <c r="R72" i="80"/>
  <c r="V82" i="103"/>
  <c r="V95" i="103" s="1"/>
  <c r="V125" i="103"/>
  <c r="V141" i="103" s="1"/>
  <c r="S133" i="80"/>
  <c r="R120" i="116" s="1"/>
  <c r="S71" i="80"/>
  <c r="X101" i="80"/>
  <c r="V81" i="103"/>
  <c r="V94" i="103" s="1"/>
  <c r="V124" i="103"/>
  <c r="V140" i="103" s="1"/>
  <c r="V121" i="103"/>
  <c r="V137" i="103" s="1"/>
  <c r="V76" i="103"/>
  <c r="V91" i="103" s="1"/>
  <c r="J91" i="103"/>
  <c r="W123" i="80"/>
  <c r="W235" i="80" s="1"/>
  <c r="W112" i="80"/>
  <c r="W75" i="80"/>
  <c r="W137" i="80"/>
  <c r="V134" i="80"/>
  <c r="V72" i="80"/>
  <c r="V73" i="80"/>
  <c r="V135" i="80"/>
  <c r="X82" i="103"/>
  <c r="X95" i="103" s="1"/>
  <c r="X125" i="103"/>
  <c r="X141" i="103" s="1"/>
  <c r="U73" i="80"/>
  <c r="U135" i="80"/>
  <c r="W121" i="103"/>
  <c r="W137" i="103" s="1"/>
  <c r="W76" i="103"/>
  <c r="W91" i="103" s="1"/>
  <c r="X278" i="39"/>
  <c r="X305" i="39" s="1"/>
  <c r="X122" i="103"/>
  <c r="X138" i="103" s="1"/>
  <c r="X78" i="103"/>
  <c r="X92" i="103" s="1"/>
  <c r="U125" i="103"/>
  <c r="U141" i="103" s="1"/>
  <c r="U82" i="103"/>
  <c r="U95" i="103" s="1"/>
  <c r="W96" i="80"/>
  <c r="U77" i="80"/>
  <c r="U139" i="80"/>
  <c r="S381" i="39"/>
  <c r="S96" i="80"/>
  <c r="X279" i="39"/>
  <c r="X306" i="39" s="1"/>
  <c r="U76" i="80"/>
  <c r="U138" i="80"/>
  <c r="U133" i="80"/>
  <c r="U71" i="80"/>
  <c r="J87" i="103"/>
  <c r="J101" i="103"/>
  <c r="J117" i="103" s="1"/>
  <c r="J133" i="103" s="1"/>
  <c r="X297" i="39"/>
  <c r="U119" i="80"/>
  <c r="U232" i="80" s="1"/>
  <c r="U108" i="80"/>
  <c r="L106" i="103"/>
  <c r="K311" i="39"/>
  <c r="W139" i="80"/>
  <c r="W77" i="80"/>
  <c r="T136" i="80"/>
  <c r="S119" i="116" s="1"/>
  <c r="T74" i="80"/>
  <c r="P121" i="103"/>
  <c r="P137" i="103" s="1"/>
  <c r="P76" i="103"/>
  <c r="P91" i="103" s="1"/>
  <c r="V53" i="80"/>
  <c r="T137" i="80"/>
  <c r="S115" i="116" s="1"/>
  <c r="T75" i="80"/>
  <c r="V75" i="80"/>
  <c r="V137" i="80"/>
  <c r="U136" i="80"/>
  <c r="U74" i="80"/>
  <c r="T125" i="103"/>
  <c r="T141" i="103" s="1"/>
  <c r="T82" i="103"/>
  <c r="T95" i="103" s="1"/>
  <c r="W135" i="80"/>
  <c r="W73" i="80"/>
  <c r="T77" i="80"/>
  <c r="T139" i="80"/>
  <c r="S117" i="116" s="1"/>
  <c r="L124" i="103"/>
  <c r="L140" i="103" s="1"/>
  <c r="L81" i="103"/>
  <c r="L94" i="103" s="1"/>
  <c r="L379" i="39"/>
  <c r="L102" i="80" s="1"/>
  <c r="L374" i="39"/>
  <c r="V74" i="80"/>
  <c r="V136" i="80"/>
  <c r="R76" i="103"/>
  <c r="R91" i="103" s="1"/>
  <c r="R121" i="103"/>
  <c r="R137" i="103" s="1"/>
  <c r="Y87" i="103"/>
  <c r="Y101" i="103"/>
  <c r="Y117" i="103" s="1"/>
  <c r="Y133" i="103" s="1"/>
  <c r="X280" i="39"/>
  <c r="X307" i="39" s="1"/>
  <c r="X277" i="39"/>
  <c r="X304" i="39" s="1"/>
  <c r="T78" i="103"/>
  <c r="T92" i="103" s="1"/>
  <c r="T122" i="103"/>
  <c r="T138" i="103" s="1"/>
  <c r="U381" i="39"/>
  <c r="U96" i="80"/>
  <c r="W136" i="80"/>
  <c r="W74" i="80"/>
  <c r="G26" i="39"/>
  <c r="I70" i="103"/>
  <c r="I100" i="103" s="1"/>
  <c r="H110" i="80"/>
  <c r="H71" i="80"/>
  <c r="I77" i="103"/>
  <c r="H81" i="80"/>
  <c r="H83" i="80"/>
  <c r="H107" i="80"/>
  <c r="H84" i="80"/>
  <c r="H114" i="80"/>
  <c r="I76" i="103"/>
  <c r="I73" i="103"/>
  <c r="I82" i="103"/>
  <c r="I95" i="103" s="1"/>
  <c r="H80" i="80"/>
  <c r="H115" i="80"/>
  <c r="I75" i="103"/>
  <c r="H108" i="80"/>
  <c r="H82" i="80"/>
  <c r="H72" i="80"/>
  <c r="I80" i="103"/>
  <c r="I93" i="103" s="1"/>
  <c r="H109" i="80"/>
  <c r="H112" i="80"/>
  <c r="I69" i="103"/>
  <c r="H113" i="80"/>
  <c r="H111" i="80"/>
  <c r="I78" i="103"/>
  <c r="I92" i="103" s="1"/>
  <c r="I72" i="103"/>
  <c r="I102" i="103" s="1"/>
  <c r="H75" i="80"/>
  <c r="H74" i="80"/>
  <c r="H78" i="80"/>
  <c r="H79" i="80"/>
  <c r="I74" i="103"/>
  <c r="H85" i="80"/>
  <c r="H73" i="80"/>
  <c r="I81" i="103"/>
  <c r="I94" i="103" s="1"/>
  <c r="H77" i="80"/>
  <c r="I71" i="103"/>
  <c r="H76" i="80"/>
  <c r="H70" i="80"/>
  <c r="I79" i="103"/>
  <c r="O374" i="39"/>
  <c r="O379" i="39"/>
  <c r="O102" i="80" s="1"/>
  <c r="V96" i="80"/>
  <c r="V381" i="39"/>
  <c r="U137" i="80"/>
  <c r="U75" i="80"/>
  <c r="S82" i="103"/>
  <c r="S95" i="103" s="1"/>
  <c r="S125" i="103"/>
  <c r="S141" i="103" s="1"/>
  <c r="S139" i="80"/>
  <c r="R117" i="116" s="1"/>
  <c r="S77" i="80"/>
  <c r="Q379" i="39"/>
  <c r="Q102" i="80" s="1"/>
  <c r="Q374" i="39"/>
  <c r="X283" i="39"/>
  <c r="X310" i="39" s="1"/>
  <c r="Z26" i="39"/>
  <c r="Z113" i="80" s="1"/>
  <c r="Y268" i="39"/>
  <c r="Y277" i="39" s="1"/>
  <c r="Y304" i="39" s="1"/>
  <c r="Y182" i="39"/>
  <c r="Y377" i="39" s="1"/>
  <c r="Y183" i="39"/>
  <c r="Y378" i="39" s="1"/>
  <c r="Y181" i="39"/>
  <c r="Y269" i="39"/>
  <c r="Y271" i="39"/>
  <c r="Y274" i="39"/>
  <c r="Y272" i="39"/>
  <c r="Y273" i="39"/>
  <c r="Y270" i="39"/>
  <c r="Y84" i="80"/>
  <c r="Z69" i="103"/>
  <c r="Y111" i="80"/>
  <c r="Z70" i="103"/>
  <c r="Z100" i="103" s="1"/>
  <c r="Z74" i="103"/>
  <c r="Z75" i="103"/>
  <c r="Y80" i="80"/>
  <c r="Z72" i="103"/>
  <c r="Z102" i="103" s="1"/>
  <c r="Y114" i="80"/>
  <c r="Z73" i="103"/>
  <c r="Z71" i="103"/>
  <c r="Y291" i="39" a="1"/>
  <c r="Y291" i="39" s="1"/>
  <c r="Y300" i="39" s="1"/>
  <c r="Y292" i="39" a="1"/>
  <c r="Y292" i="39" s="1"/>
  <c r="Y301" i="39" s="1"/>
  <c r="Y290" i="39" a="1"/>
  <c r="Y290" i="39" s="1"/>
  <c r="Y299" i="39" s="1"/>
  <c r="Y289" i="39" a="1"/>
  <c r="Y289" i="39" s="1"/>
  <c r="Y287" i="39" a="1"/>
  <c r="Y287" i="39" s="1"/>
  <c r="Y296" i="39" s="1"/>
  <c r="Y288" i="39" a="1"/>
  <c r="Y288" i="39" s="1"/>
  <c r="Y286" i="39" a="1"/>
  <c r="Y286" i="39" s="1"/>
  <c r="S135" i="80"/>
  <c r="R118" i="116" s="1"/>
  <c r="S73" i="80"/>
  <c r="X124" i="103"/>
  <c r="X140" i="103" s="1"/>
  <c r="X81" i="103"/>
  <c r="X94" i="103" s="1"/>
  <c r="J88" i="103"/>
  <c r="J103" i="103"/>
  <c r="J118" i="103" s="1"/>
  <c r="J134" i="103" s="1"/>
  <c r="S76" i="80"/>
  <c r="S138" i="80"/>
  <c r="R116" i="116" s="1"/>
  <c r="L80" i="103"/>
  <c r="L93" i="103" s="1"/>
  <c r="L123" i="103"/>
  <c r="L139" i="103" s="1"/>
  <c r="O121" i="103"/>
  <c r="O137" i="103" s="1"/>
  <c r="O76" i="103"/>
  <c r="O91" i="103" s="1"/>
  <c r="W351" i="39"/>
  <c r="U76" i="103"/>
  <c r="U91" i="103" s="1"/>
  <c r="U121" i="103"/>
  <c r="U137" i="103" s="1"/>
  <c r="S76" i="103"/>
  <c r="S91" i="103" s="1"/>
  <c r="S121" i="103"/>
  <c r="S137" i="103" s="1"/>
  <c r="S80" i="103"/>
  <c r="S93" i="103" s="1"/>
  <c r="S123" i="103"/>
  <c r="S139" i="103" s="1"/>
  <c r="Y104" i="103"/>
  <c r="Y119" i="103" s="1"/>
  <c r="Y135" i="103" s="1"/>
  <c r="Y89" i="103"/>
  <c r="S72" i="80"/>
  <c r="S134" i="80"/>
  <c r="R121" i="116" s="1"/>
  <c r="U134" i="80"/>
  <c r="U72" i="80"/>
  <c r="R76" i="80"/>
  <c r="R138" i="80"/>
  <c r="Q116" i="116" s="1"/>
  <c r="V123" i="103"/>
  <c r="V139" i="103" s="1"/>
  <c r="V80" i="103"/>
  <c r="V93" i="103" s="1"/>
  <c r="AC14" i="97"/>
  <c r="AB6" i="97"/>
  <c r="AA324" i="39" s="1"/>
  <c r="AB7" i="97"/>
  <c r="AA325" i="39" s="1"/>
  <c r="AB12" i="97"/>
  <c r="AA330" i="39" s="1"/>
  <c r="AB10" i="97"/>
  <c r="AA328" i="39" s="1"/>
  <c r="AB11" i="97"/>
  <c r="AA329" i="39" s="1"/>
  <c r="AB8" i="97"/>
  <c r="AA326" i="39" s="1"/>
  <c r="AB9" i="97"/>
  <c r="AA327" i="39" s="1"/>
  <c r="R75" i="80"/>
  <c r="R137" i="80"/>
  <c r="Q115" i="116" s="1"/>
  <c r="U80" i="103"/>
  <c r="U93" i="103" s="1"/>
  <c r="U123" i="103"/>
  <c r="U139" i="103" s="1"/>
  <c r="X282" i="39"/>
  <c r="X309" i="39" s="1"/>
  <c r="Y282" i="39"/>
  <c r="Y309" i="39" s="1"/>
  <c r="R139" i="80"/>
  <c r="Q117" i="116" s="1"/>
  <c r="R77" i="80"/>
  <c r="W138" i="80"/>
  <c r="W76" i="80"/>
  <c r="T124" i="103"/>
  <c r="T140" i="103" s="1"/>
  <c r="T81" i="103"/>
  <c r="T94" i="103" s="1"/>
  <c r="S74" i="80"/>
  <c r="S136" i="80"/>
  <c r="R119" i="116" s="1"/>
  <c r="N374" i="39"/>
  <c r="N379" i="39"/>
  <c r="N102" i="80" s="1"/>
  <c r="W143" i="80"/>
  <c r="W81" i="80"/>
  <c r="W150" i="80"/>
  <c r="S137" i="80"/>
  <c r="R115" i="116" s="1"/>
  <c r="S75" i="80"/>
  <c r="T133" i="80"/>
  <c r="S120" i="116" s="1"/>
  <c r="T71" i="80"/>
  <c r="R133" i="80"/>
  <c r="Q120" i="116" s="1"/>
  <c r="R71" i="80"/>
  <c r="Z124" i="80"/>
  <c r="Y86" i="103"/>
  <c r="Y99" i="103"/>
  <c r="Y116" i="103" s="1"/>
  <c r="Y132" i="103" s="1"/>
  <c r="J104" i="103"/>
  <c r="J119" i="103" s="1"/>
  <c r="J135" i="103" s="1"/>
  <c r="J89" i="103"/>
  <c r="U81" i="103"/>
  <c r="U94" i="103" s="1"/>
  <c r="U124" i="103"/>
  <c r="U140" i="103" s="1"/>
  <c r="W81" i="103"/>
  <c r="W94" i="103" s="1"/>
  <c r="W124" i="103"/>
  <c r="W140" i="103" s="1"/>
  <c r="M374" i="39"/>
  <c r="M379" i="39"/>
  <c r="M102" i="80" s="1"/>
  <c r="W354" i="39"/>
  <c r="W341" i="39"/>
  <c r="T80" i="103"/>
  <c r="T93" i="103" s="1"/>
  <c r="T123" i="103"/>
  <c r="T139" i="103" s="1"/>
  <c r="T134" i="80"/>
  <c r="S121" i="116" s="1"/>
  <c r="T72" i="80"/>
  <c r="T381" i="39"/>
  <c r="T96" i="80"/>
  <c r="R381" i="39"/>
  <c r="R96" i="80"/>
  <c r="Y295" i="39" l="1"/>
  <c r="Z236" i="80"/>
  <c r="I91" i="103"/>
  <c r="Z106" i="103"/>
  <c r="M113" i="80"/>
  <c r="M124" i="80"/>
  <c r="Z111" i="103"/>
  <c r="Z87" i="103"/>
  <c r="Z101" i="103"/>
  <c r="Z117" i="103" s="1"/>
  <c r="Z133" i="103" s="1"/>
  <c r="O124" i="80"/>
  <c r="O113" i="80"/>
  <c r="W118" i="80"/>
  <c r="W107" i="80"/>
  <c r="U118" i="116"/>
  <c r="T118" i="116"/>
  <c r="X351" i="39"/>
  <c r="R107" i="80"/>
  <c r="R118" i="80"/>
  <c r="N381" i="39"/>
  <c r="N96" i="80"/>
  <c r="X311" i="39"/>
  <c r="X374" i="39" s="1"/>
  <c r="Y106" i="103"/>
  <c r="M96" i="80"/>
  <c r="M381" i="39"/>
  <c r="Z88" i="103"/>
  <c r="Z103" i="103"/>
  <c r="Z118" i="103" s="1"/>
  <c r="Z134" i="103" s="1"/>
  <c r="Z86" i="103"/>
  <c r="Z99" i="103"/>
  <c r="Z116" i="103" s="1"/>
  <c r="Z132" i="103" s="1"/>
  <c r="Y334" i="39"/>
  <c r="Y63" i="80"/>
  <c r="Y335" i="39"/>
  <c r="Y355" i="39" s="1"/>
  <c r="Y340" i="39"/>
  <c r="Y360" i="39" s="1"/>
  <c r="Y339" i="39"/>
  <c r="Y359" i="39" s="1"/>
  <c r="Y58" i="80" s="1"/>
  <c r="Y336" i="39"/>
  <c r="Y356" i="39" s="1"/>
  <c r="Y338" i="39"/>
  <c r="Y358" i="39" s="1"/>
  <c r="Y337" i="39"/>
  <c r="Y357" i="39" s="1"/>
  <c r="Y350" i="39"/>
  <c r="Y344" i="39"/>
  <c r="Y349" i="39"/>
  <c r="Y348" i="39"/>
  <c r="Y345" i="39"/>
  <c r="Y347" i="39"/>
  <c r="Y346" i="39"/>
  <c r="O381" i="39"/>
  <c r="O96" i="80"/>
  <c r="H73" i="103"/>
  <c r="G74" i="80"/>
  <c r="F26" i="39"/>
  <c r="G72" i="80"/>
  <c r="G83" i="80"/>
  <c r="H81" i="103"/>
  <c r="H94" i="103" s="1"/>
  <c r="G107" i="80"/>
  <c r="H78" i="103"/>
  <c r="H92" i="103" s="1"/>
  <c r="H80" i="103"/>
  <c r="H93" i="103" s="1"/>
  <c r="H79" i="103"/>
  <c r="G82" i="80"/>
  <c r="G70" i="80"/>
  <c r="G71" i="80"/>
  <c r="H82" i="103"/>
  <c r="H95" i="103" s="1"/>
  <c r="G77" i="80"/>
  <c r="H76" i="103"/>
  <c r="G112" i="80"/>
  <c r="G113" i="80"/>
  <c r="G78" i="80"/>
  <c r="G84" i="80"/>
  <c r="G110" i="80"/>
  <c r="G108" i="80"/>
  <c r="H70" i="103"/>
  <c r="H100" i="103" s="1"/>
  <c r="H69" i="103"/>
  <c r="G114" i="80"/>
  <c r="G109" i="80"/>
  <c r="H77" i="103"/>
  <c r="G79" i="80"/>
  <c r="G73" i="80"/>
  <c r="G81" i="80"/>
  <c r="G111" i="80"/>
  <c r="G75" i="80"/>
  <c r="G115" i="80"/>
  <c r="G76" i="80"/>
  <c r="H74" i="103"/>
  <c r="G85" i="80"/>
  <c r="H75" i="103"/>
  <c r="H71" i="103"/>
  <c r="H72" i="103"/>
  <c r="H102" i="103" s="1"/>
  <c r="G80" i="80"/>
  <c r="X56" i="80"/>
  <c r="Y109" i="103"/>
  <c r="Y79" i="103" s="1"/>
  <c r="K379" i="39"/>
  <c r="K102" i="80" s="1"/>
  <c r="K374" i="39"/>
  <c r="T120" i="116"/>
  <c r="U120" i="116"/>
  <c r="Y279" i="39"/>
  <c r="Y306" i="39" s="1"/>
  <c r="X123" i="80"/>
  <c r="X235" i="80" s="1"/>
  <c r="X112" i="80"/>
  <c r="V119" i="80"/>
  <c r="V232" i="80" s="1"/>
  <c r="V108" i="80"/>
  <c r="Y281" i="39"/>
  <c r="Y308" i="39" s="1"/>
  <c r="X58" i="80"/>
  <c r="Y111" i="103"/>
  <c r="V118" i="80"/>
  <c r="V107" i="80"/>
  <c r="P381" i="39"/>
  <c r="P96" i="80"/>
  <c r="X57" i="80"/>
  <c r="Y110" i="103"/>
  <c r="T118" i="80"/>
  <c r="T107" i="80"/>
  <c r="U385" i="39"/>
  <c r="T390" i="39"/>
  <c r="T396" i="39"/>
  <c r="T121" i="116"/>
  <c r="U121" i="116"/>
  <c r="AA331" i="39"/>
  <c r="AA379" i="39" s="1"/>
  <c r="AA102" i="80" s="1"/>
  <c r="Y297" i="39"/>
  <c r="Y101" i="80"/>
  <c r="I89" i="103"/>
  <c r="I104" i="103"/>
  <c r="I119" i="103" s="1"/>
  <c r="I135" i="103" s="1"/>
  <c r="I90" i="103"/>
  <c r="I105" i="103"/>
  <c r="I120" i="103" s="1"/>
  <c r="I136" i="103" s="1"/>
  <c r="L381" i="39"/>
  <c r="L96" i="80"/>
  <c r="V71" i="80"/>
  <c r="V133" i="80"/>
  <c r="L76" i="103"/>
  <c r="L91" i="103" s="1"/>
  <c r="L121" i="103"/>
  <c r="L137" i="103" s="1"/>
  <c r="T116" i="116"/>
  <c r="U116" i="116"/>
  <c r="X59" i="80"/>
  <c r="Y112" i="103"/>
  <c r="AD14" i="97"/>
  <c r="AC6" i="97"/>
  <c r="AB324" i="39" s="1"/>
  <c r="AC10" i="97"/>
  <c r="AB328" i="39" s="1"/>
  <c r="AC12" i="97"/>
  <c r="AB330" i="39" s="1"/>
  <c r="AC8" i="97"/>
  <c r="AB326" i="39" s="1"/>
  <c r="AC11" i="97"/>
  <c r="AB329" i="39" s="1"/>
  <c r="AC9" i="97"/>
  <c r="AB327" i="39" s="1"/>
  <c r="AC7" i="97"/>
  <c r="AB325" i="39" s="1"/>
  <c r="L124" i="80"/>
  <c r="L113" i="80"/>
  <c r="N124" i="80"/>
  <c r="N113" i="80"/>
  <c r="R390" i="39"/>
  <c r="S385" i="39"/>
  <c r="R396" i="39"/>
  <c r="W361" i="39"/>
  <c r="W53" i="80"/>
  <c r="Q113" i="80"/>
  <c r="Q124" i="80"/>
  <c r="I86" i="103"/>
  <c r="I99" i="103"/>
  <c r="I116" i="103" s="1"/>
  <c r="I132" i="103" s="1"/>
  <c r="Y280" i="39"/>
  <c r="Y307" i="39" s="1"/>
  <c r="Y298" i="39"/>
  <c r="Y283" i="39"/>
  <c r="Y310" i="39" s="1"/>
  <c r="U118" i="80"/>
  <c r="U107" i="80"/>
  <c r="S118" i="80"/>
  <c r="S107" i="80"/>
  <c r="X54" i="80"/>
  <c r="Y107" i="103"/>
  <c r="Y77" i="103" s="1"/>
  <c r="Z90" i="103"/>
  <c r="Z105" i="103"/>
  <c r="Z120" i="103" s="1"/>
  <c r="Z136" i="103" s="1"/>
  <c r="Z183" i="39"/>
  <c r="Z378" i="39" s="1"/>
  <c r="AA26" i="39"/>
  <c r="Z268" i="39"/>
  <c r="Z181" i="39"/>
  <c r="Z182" i="39"/>
  <c r="Z377" i="39" s="1"/>
  <c r="Z271" i="39"/>
  <c r="Z274" i="39"/>
  <c r="Z272" i="39"/>
  <c r="Z270" i="39"/>
  <c r="Z269" i="39"/>
  <c r="Z278" i="39" s="1"/>
  <c r="Z305" i="39" s="1"/>
  <c r="Z273" i="39"/>
  <c r="AA73" i="103"/>
  <c r="AA74" i="103"/>
  <c r="AA75" i="103"/>
  <c r="AA69" i="103"/>
  <c r="Z114" i="80"/>
  <c r="Z111" i="80"/>
  <c r="AA71" i="103"/>
  <c r="Z291" i="39" a="1"/>
  <c r="Z291" i="39" s="1"/>
  <c r="Z300" i="39" s="1"/>
  <c r="AA70" i="103"/>
  <c r="AA100" i="103" s="1"/>
  <c r="Z80" i="80"/>
  <c r="AA72" i="103"/>
  <c r="AA102" i="103" s="1"/>
  <c r="Z84" i="80"/>
  <c r="Z292" i="39" a="1"/>
  <c r="Z292" i="39" s="1"/>
  <c r="Z288" i="39" a="1"/>
  <c r="Z288" i="39" s="1"/>
  <c r="Z290" i="39" a="1"/>
  <c r="Z290" i="39" s="1"/>
  <c r="Z299" i="39" s="1"/>
  <c r="Z286" i="39" a="1"/>
  <c r="Z286" i="39" s="1"/>
  <c r="Z295" i="39" s="1"/>
  <c r="Z287" i="39" a="1"/>
  <c r="Z287" i="39" s="1"/>
  <c r="Z296" i="39" s="1"/>
  <c r="Z289" i="39" a="1"/>
  <c r="Z289" i="39" s="1"/>
  <c r="U115" i="116"/>
  <c r="T115" i="116"/>
  <c r="I101" i="103"/>
  <c r="I117" i="103" s="1"/>
  <c r="I133" i="103" s="1"/>
  <c r="I87" i="103"/>
  <c r="U390" i="39"/>
  <c r="V385" i="39"/>
  <c r="U396" i="39"/>
  <c r="U119" i="116"/>
  <c r="T119" i="116"/>
  <c r="T385" i="39"/>
  <c r="S390" i="39"/>
  <c r="S396" i="39"/>
  <c r="Y278" i="39"/>
  <c r="Y305" i="39" s="1"/>
  <c r="X354" i="39"/>
  <c r="X361" i="39" s="1"/>
  <c r="X341" i="39"/>
  <c r="Z89" i="103"/>
  <c r="Z104" i="103"/>
  <c r="Z119" i="103" s="1"/>
  <c r="Z135" i="103" s="1"/>
  <c r="Q381" i="39"/>
  <c r="Q96" i="80"/>
  <c r="W385" i="39"/>
  <c r="V390" i="39"/>
  <c r="V396" i="39"/>
  <c r="I103" i="103"/>
  <c r="I118" i="103" s="1"/>
  <c r="I134" i="103" s="1"/>
  <c r="I88" i="103"/>
  <c r="X55" i="80"/>
  <c r="Y108" i="103"/>
  <c r="U117" i="116"/>
  <c r="T117" i="116"/>
  <c r="P113" i="80"/>
  <c r="P124" i="80"/>
  <c r="X81" i="80"/>
  <c r="X150" i="80"/>
  <c r="X143" i="80"/>
  <c r="Z298" i="39" l="1"/>
  <c r="N236" i="80"/>
  <c r="Z297" i="39"/>
  <c r="O236" i="80"/>
  <c r="Y311" i="39"/>
  <c r="Y374" i="39" s="1"/>
  <c r="Y96" i="80" s="1"/>
  <c r="Y76" i="80"/>
  <c r="Y138" i="80"/>
  <c r="Y122" i="103"/>
  <c r="Y138" i="103" s="1"/>
  <c r="Y78" i="103"/>
  <c r="Y92" i="103" s="1"/>
  <c r="AA104" i="103"/>
  <c r="AA119" i="103" s="1"/>
  <c r="AA135" i="103" s="1"/>
  <c r="AA89" i="103"/>
  <c r="X135" i="80"/>
  <c r="X73" i="80"/>
  <c r="Q390" i="39"/>
  <c r="Q393" i="39" s="1"/>
  <c r="R385" i="39"/>
  <c r="Q396" i="39"/>
  <c r="AA103" i="103"/>
  <c r="AA118" i="103" s="1"/>
  <c r="AA134" i="103" s="1"/>
  <c r="AA88" i="103"/>
  <c r="Z334" i="39"/>
  <c r="Z63" i="80"/>
  <c r="Z338" i="39"/>
  <c r="Z358" i="39" s="1"/>
  <c r="Z335" i="39"/>
  <c r="Z355" i="39" s="1"/>
  <c r="Z54" i="80" s="1"/>
  <c r="Z339" i="39"/>
  <c r="Z359" i="39" s="1"/>
  <c r="Z337" i="39"/>
  <c r="Z357" i="39" s="1"/>
  <c r="Z340" i="39"/>
  <c r="Z360" i="39" s="1"/>
  <c r="Z336" i="39"/>
  <c r="Z356" i="39" s="1"/>
  <c r="Z346" i="39"/>
  <c r="Z344" i="39"/>
  <c r="Z345" i="39"/>
  <c r="Z347" i="39"/>
  <c r="Z348" i="39"/>
  <c r="Z349" i="39"/>
  <c r="Z350" i="39"/>
  <c r="X134" i="80"/>
  <c r="X72" i="80"/>
  <c r="W384" i="39"/>
  <c r="W375" i="39"/>
  <c r="Z279" i="39"/>
  <c r="Z306" i="39" s="1"/>
  <c r="M385" i="39"/>
  <c r="L396" i="39"/>
  <c r="L390" i="39"/>
  <c r="L393" i="39" s="1"/>
  <c r="T98" i="80"/>
  <c r="T397" i="39"/>
  <c r="Z280" i="39"/>
  <c r="Z307" i="39" s="1"/>
  <c r="N390" i="39"/>
  <c r="N393" i="39" s="1"/>
  <c r="N396" i="39"/>
  <c r="O385" i="39"/>
  <c r="Z282" i="39"/>
  <c r="Z309" i="39" s="1"/>
  <c r="Y56" i="80"/>
  <c r="Z109" i="103"/>
  <c r="Z79" i="103" s="1"/>
  <c r="Y112" i="80"/>
  <c r="Y123" i="80"/>
  <c r="Y235" i="80" s="1"/>
  <c r="X74" i="80"/>
  <c r="X136" i="80"/>
  <c r="H104" i="103"/>
  <c r="H119" i="103" s="1"/>
  <c r="H135" i="103" s="1"/>
  <c r="H89" i="103"/>
  <c r="G75" i="103"/>
  <c r="G79" i="103"/>
  <c r="F80" i="80"/>
  <c r="F75" i="80"/>
  <c r="G82" i="103"/>
  <c r="G95" i="103" s="1"/>
  <c r="G69" i="103"/>
  <c r="F78" i="80"/>
  <c r="F77" i="80"/>
  <c r="F114" i="80"/>
  <c r="F107" i="80"/>
  <c r="F76" i="80"/>
  <c r="G71" i="103"/>
  <c r="F71" i="80"/>
  <c r="F81" i="80"/>
  <c r="G70" i="103"/>
  <c r="G100" i="103" s="1"/>
  <c r="F73" i="80"/>
  <c r="F79" i="80"/>
  <c r="F82" i="80"/>
  <c r="F85" i="80"/>
  <c r="G74" i="103"/>
  <c r="F70" i="80"/>
  <c r="F112" i="80"/>
  <c r="F84" i="80"/>
  <c r="F115" i="80"/>
  <c r="F74" i="80"/>
  <c r="G81" i="103"/>
  <c r="G94" i="103" s="1"/>
  <c r="G73" i="103"/>
  <c r="F109" i="80"/>
  <c r="G78" i="103"/>
  <c r="G92" i="103" s="1"/>
  <c r="F83" i="80"/>
  <c r="G80" i="103"/>
  <c r="G93" i="103" s="1"/>
  <c r="G77" i="103"/>
  <c r="G76" i="103"/>
  <c r="F72" i="80"/>
  <c r="F111" i="80"/>
  <c r="F110" i="80"/>
  <c r="F113" i="80"/>
  <c r="G72" i="103"/>
  <c r="G102" i="103" s="1"/>
  <c r="F108" i="80"/>
  <c r="W231" i="80"/>
  <c r="Z281" i="39"/>
  <c r="Z308" i="39" s="1"/>
  <c r="W133" i="80"/>
  <c r="W71" i="80"/>
  <c r="L118" i="80"/>
  <c r="L107" i="80"/>
  <c r="K113" i="80"/>
  <c r="K124" i="80"/>
  <c r="K236" i="80" s="1"/>
  <c r="U397" i="39"/>
  <c r="U98" i="80"/>
  <c r="AA87" i="103"/>
  <c r="AA101" i="103"/>
  <c r="AA117" i="103" s="1"/>
  <c r="AA133" i="103" s="1"/>
  <c r="AA107" i="103"/>
  <c r="AA77" i="103" s="1"/>
  <c r="AA182" i="39"/>
  <c r="AA377" i="39" s="1"/>
  <c r="AB26" i="39"/>
  <c r="AA183" i="39"/>
  <c r="AA378" i="39" s="1"/>
  <c r="AA268" i="39"/>
  <c r="AA181" i="39"/>
  <c r="AA272" i="39"/>
  <c r="AA273" i="39"/>
  <c r="AA270" i="39"/>
  <c r="AA279" i="39" s="1"/>
  <c r="AA306" i="39" s="1"/>
  <c r="AA271" i="39"/>
  <c r="AA280" i="39" s="1"/>
  <c r="AA307" i="39" s="1"/>
  <c r="AA269" i="39"/>
  <c r="AA278" i="39" s="1"/>
  <c r="AA305" i="39" s="1"/>
  <c r="AA274" i="39"/>
  <c r="AA283" i="39" s="1"/>
  <c r="AA310" i="39" s="1"/>
  <c r="AB71" i="103"/>
  <c r="AB72" i="103"/>
  <c r="AB102" i="103" s="1"/>
  <c r="AB75" i="103"/>
  <c r="AB74" i="103"/>
  <c r="AB73" i="103"/>
  <c r="AA291" i="39" a="1"/>
  <c r="AA291" i="39" s="1"/>
  <c r="AA300" i="39" s="1"/>
  <c r="AB69" i="103"/>
  <c r="AA80" i="80"/>
  <c r="AB70" i="103"/>
  <c r="AB100" i="103" s="1"/>
  <c r="AA114" i="80"/>
  <c r="AA84" i="80"/>
  <c r="AA111" i="80"/>
  <c r="AA287" i="39" a="1"/>
  <c r="AA287" i="39" s="1"/>
  <c r="AA288" i="39" a="1"/>
  <c r="AA288" i="39" s="1"/>
  <c r="AA297" i="39" s="1"/>
  <c r="AA292" i="39" a="1"/>
  <c r="AA292" i="39" s="1"/>
  <c r="AA289" i="39" a="1"/>
  <c r="AA289" i="39" s="1"/>
  <c r="AA298" i="39" s="1"/>
  <c r="AA290" i="39" a="1"/>
  <c r="AA290" i="39" s="1"/>
  <c r="AA299" i="39" s="1"/>
  <c r="AA286" i="39" a="1"/>
  <c r="AA286" i="39" s="1"/>
  <c r="AA295" i="39" s="1"/>
  <c r="S231" i="80"/>
  <c r="AB331" i="39"/>
  <c r="AB379" i="39" s="1"/>
  <c r="AB102" i="80" s="1"/>
  <c r="V231" i="80"/>
  <c r="N385" i="39"/>
  <c r="M390" i="39"/>
  <c r="M393" i="39" s="1"/>
  <c r="M396" i="39"/>
  <c r="Z76" i="103"/>
  <c r="H90" i="103"/>
  <c r="H105" i="103"/>
  <c r="H120" i="103" s="1"/>
  <c r="H136" i="103" s="1"/>
  <c r="N118" i="80"/>
  <c r="N107" i="80"/>
  <c r="S98" i="80"/>
  <c r="S397" i="39"/>
  <c r="P236" i="80"/>
  <c r="Z101" i="80"/>
  <c r="AD6" i="97"/>
  <c r="AC324" i="39" s="1"/>
  <c r="AE14" i="97"/>
  <c r="AD12" i="97"/>
  <c r="AC330" i="39" s="1"/>
  <c r="AD9" i="97"/>
  <c r="AC327" i="39" s="1"/>
  <c r="AD8" i="97"/>
  <c r="AC326" i="39" s="1"/>
  <c r="AD7" i="97"/>
  <c r="AC325" i="39" s="1"/>
  <c r="AD11" i="97"/>
  <c r="AC329" i="39" s="1"/>
  <c r="AD10" i="97"/>
  <c r="AC328" i="39" s="1"/>
  <c r="Z277" i="39"/>
  <c r="Z304" i="39" s="1"/>
  <c r="AA113" i="80"/>
  <c r="AA124" i="80"/>
  <c r="AA236" i="80" s="1"/>
  <c r="T231" i="80"/>
  <c r="Y81" i="103"/>
  <c r="Y94" i="103" s="1"/>
  <c r="Y124" i="103"/>
  <c r="Y140" i="103" s="1"/>
  <c r="Y55" i="80"/>
  <c r="Z108" i="103"/>
  <c r="H88" i="103"/>
  <c r="H103" i="103"/>
  <c r="H118" i="103" s="1"/>
  <c r="H134" i="103" s="1"/>
  <c r="M118" i="80"/>
  <c r="M107" i="80"/>
  <c r="AA281" i="39"/>
  <c r="AA308" i="39" s="1"/>
  <c r="Z81" i="103"/>
  <c r="Z94" i="103" s="1"/>
  <c r="Z124" i="103"/>
  <c r="Z140" i="103" s="1"/>
  <c r="P390" i="39"/>
  <c r="P393" i="39" s="1"/>
  <c r="P396" i="39"/>
  <c r="Q385" i="39"/>
  <c r="V98" i="80"/>
  <c r="V397" i="39"/>
  <c r="Z301" i="39"/>
  <c r="Z283" i="39"/>
  <c r="Z310" i="39" s="1"/>
  <c r="R98" i="80"/>
  <c r="R397" i="39"/>
  <c r="Y82" i="103"/>
  <c r="Y95" i="103" s="1"/>
  <c r="Y125" i="103"/>
  <c r="Y141" i="103" s="1"/>
  <c r="Y123" i="103"/>
  <c r="Y139" i="103" s="1"/>
  <c r="Y80" i="103"/>
  <c r="Y93" i="103" s="1"/>
  <c r="X76" i="80"/>
  <c r="X138" i="80"/>
  <c r="H99" i="103"/>
  <c r="H116" i="103" s="1"/>
  <c r="H132" i="103" s="1"/>
  <c r="H86" i="103"/>
  <c r="H91" i="103"/>
  <c r="O118" i="80"/>
  <c r="O107" i="80"/>
  <c r="Y351" i="39"/>
  <c r="Y81" i="80"/>
  <c r="Y150" i="80"/>
  <c r="Y143" i="80"/>
  <c r="Y121" i="103"/>
  <c r="Y137" i="103" s="1"/>
  <c r="Y76" i="103"/>
  <c r="Y91" i="103" s="1"/>
  <c r="AA277" i="39"/>
  <c r="AA304" i="39" s="1"/>
  <c r="Q118" i="80"/>
  <c r="R231" i="80" s="1"/>
  <c r="Q107" i="80"/>
  <c r="Y57" i="80"/>
  <c r="Z110" i="103"/>
  <c r="O390" i="39"/>
  <c r="O393" i="39" s="1"/>
  <c r="O396" i="39"/>
  <c r="P385" i="39"/>
  <c r="Y354" i="39"/>
  <c r="Y341" i="39"/>
  <c r="M236" i="80"/>
  <c r="Y59" i="80"/>
  <c r="Z112" i="103"/>
  <c r="X384" i="39"/>
  <c r="X375" i="39"/>
  <c r="X97" i="80" s="1"/>
  <c r="AA99" i="103"/>
  <c r="AA116" i="103" s="1"/>
  <c r="AA132" i="103" s="1"/>
  <c r="AA86" i="103"/>
  <c r="Q236" i="80"/>
  <c r="R236" i="80"/>
  <c r="X139" i="80"/>
  <c r="X77" i="80"/>
  <c r="X75" i="80"/>
  <c r="X137" i="80"/>
  <c r="X53" i="80"/>
  <c r="Y54" i="80"/>
  <c r="Z107" i="103"/>
  <c r="Z77" i="103" s="1"/>
  <c r="AA90" i="103"/>
  <c r="AA105" i="103"/>
  <c r="AA120" i="103" s="1"/>
  <c r="AA136" i="103" s="1"/>
  <c r="U231" i="80"/>
  <c r="P107" i="80"/>
  <c r="P118" i="80"/>
  <c r="K381" i="39"/>
  <c r="K96" i="80"/>
  <c r="H87" i="103"/>
  <c r="H101" i="103"/>
  <c r="H117" i="103" s="1"/>
  <c r="H133" i="103" s="1"/>
  <c r="X96" i="80"/>
  <c r="AA101" i="80" l="1"/>
  <c r="AA112" i="80" s="1"/>
  <c r="L236" i="80"/>
  <c r="G91" i="103"/>
  <c r="AA301" i="39"/>
  <c r="AB112" i="103"/>
  <c r="AB109" i="103"/>
  <c r="AB79" i="103" s="1"/>
  <c r="P399" i="39"/>
  <c r="Q386" i="39"/>
  <c r="Q387" i="39" s="1"/>
  <c r="AB106" i="103"/>
  <c r="Y77" i="80"/>
  <c r="Y139" i="80"/>
  <c r="O399" i="39"/>
  <c r="P386" i="39"/>
  <c r="P387" i="39" s="1"/>
  <c r="M231" i="80"/>
  <c r="Z91" i="103"/>
  <c r="G88" i="103"/>
  <c r="G103" i="103"/>
  <c r="G118" i="103" s="1"/>
  <c r="G134" i="103" s="1"/>
  <c r="Z351" i="39"/>
  <c r="Z81" i="80"/>
  <c r="Z150" i="80"/>
  <c r="Z143" i="80"/>
  <c r="V109" i="80"/>
  <c r="V120" i="80"/>
  <c r="K390" i="39"/>
  <c r="K393" i="39" s="1"/>
  <c r="K396" i="39"/>
  <c r="L385" i="39"/>
  <c r="P231" i="80"/>
  <c r="O98" i="80"/>
  <c r="O397" i="39"/>
  <c r="Z121" i="103"/>
  <c r="Z137" i="103" s="1"/>
  <c r="AB99" i="103"/>
  <c r="AB116" i="103" s="1"/>
  <c r="AB132" i="103" s="1"/>
  <c r="AB86" i="103"/>
  <c r="AB268" i="39"/>
  <c r="AB181" i="39"/>
  <c r="AC26" i="39"/>
  <c r="AB182" i="39"/>
  <c r="AB377" i="39" s="1"/>
  <c r="AB183" i="39"/>
  <c r="AB378" i="39" s="1"/>
  <c r="AB270" i="39"/>
  <c r="AB273" i="39"/>
  <c r="AB271" i="39"/>
  <c r="AB269" i="39"/>
  <c r="AB272" i="39"/>
  <c r="AB274" i="39"/>
  <c r="AB283" i="39" s="1"/>
  <c r="AB310" i="39" s="1"/>
  <c r="AC74" i="103"/>
  <c r="AB84" i="80"/>
  <c r="AC69" i="103"/>
  <c r="AB80" i="80"/>
  <c r="AC73" i="103"/>
  <c r="AB291" i="39" a="1"/>
  <c r="AB291" i="39" s="1"/>
  <c r="AB300" i="39" s="1"/>
  <c r="AC70" i="103"/>
  <c r="AC100" i="103" s="1"/>
  <c r="AC72" i="103"/>
  <c r="AC102" i="103" s="1"/>
  <c r="AC71" i="103"/>
  <c r="AC75" i="103"/>
  <c r="AB111" i="80"/>
  <c r="AB114" i="80"/>
  <c r="AB286" i="39" a="1"/>
  <c r="AB286" i="39" s="1"/>
  <c r="AB287" i="39" a="1"/>
  <c r="AB287" i="39" s="1"/>
  <c r="AB296" i="39" s="1"/>
  <c r="AB292" i="39" a="1"/>
  <c r="AB292" i="39" s="1"/>
  <c r="AB301" i="39" s="1"/>
  <c r="AB289" i="39" a="1"/>
  <c r="AB289" i="39" s="1"/>
  <c r="AB298" i="39" s="1"/>
  <c r="AB288" i="39" a="1"/>
  <c r="AB288" i="39" s="1"/>
  <c r="AB297" i="39" s="1"/>
  <c r="AB290" i="39" a="1"/>
  <c r="AB290" i="39" s="1"/>
  <c r="AB299" i="39" s="1"/>
  <c r="AA282" i="39"/>
  <c r="AA309" i="39" s="1"/>
  <c r="M386" i="39"/>
  <c r="M387" i="39" s="1"/>
  <c r="L399" i="39"/>
  <c r="Z354" i="39"/>
  <c r="Z361" i="39" s="1"/>
  <c r="Z341" i="39"/>
  <c r="Z80" i="103"/>
  <c r="Z93" i="103" s="1"/>
  <c r="Z123" i="103"/>
  <c r="Z139" i="103" s="1"/>
  <c r="AB280" i="39"/>
  <c r="AB307" i="39" s="1"/>
  <c r="G90" i="103"/>
  <c r="G105" i="103"/>
  <c r="G120" i="103" s="1"/>
  <c r="G136" i="103" s="1"/>
  <c r="AB108" i="103"/>
  <c r="Z58" i="80"/>
  <c r="AA111" i="103"/>
  <c r="L98" i="80"/>
  <c r="L397" i="39"/>
  <c r="R120" i="80"/>
  <c r="R109" i="80"/>
  <c r="X118" i="80"/>
  <c r="X107" i="80"/>
  <c r="AF14" i="97"/>
  <c r="AE6" i="97"/>
  <c r="AD324" i="39" s="1"/>
  <c r="AE7" i="97"/>
  <c r="AD325" i="39" s="1"/>
  <c r="AE9" i="97"/>
  <c r="AD327" i="39" s="1"/>
  <c r="AE11" i="97"/>
  <c r="AD329" i="39" s="1"/>
  <c r="AE12" i="97"/>
  <c r="AD330" i="39" s="1"/>
  <c r="AE8" i="97"/>
  <c r="AD326" i="39" s="1"/>
  <c r="AE10" i="97"/>
  <c r="AD328" i="39" s="1"/>
  <c r="S120" i="80"/>
  <c r="S109" i="80"/>
  <c r="N386" i="39"/>
  <c r="N387" i="39" s="1"/>
  <c r="M399" i="39"/>
  <c r="AB124" i="80"/>
  <c r="AB236" i="80" s="1"/>
  <c r="AB113" i="80"/>
  <c r="AA296" i="39"/>
  <c r="AB88" i="103"/>
  <c r="AB103" i="103"/>
  <c r="AB118" i="103" s="1"/>
  <c r="AB134" i="103" s="1"/>
  <c r="N399" i="39"/>
  <c r="O386" i="39"/>
  <c r="O387" i="39" s="1"/>
  <c r="Y75" i="80"/>
  <c r="Y137" i="80"/>
  <c r="Z59" i="80"/>
  <c r="AA112" i="103"/>
  <c r="X381" i="39"/>
  <c r="X71" i="80"/>
  <c r="X133" i="80"/>
  <c r="Z122" i="103"/>
  <c r="Z138" i="103" s="1"/>
  <c r="Z78" i="103"/>
  <c r="Z92" i="103" s="1"/>
  <c r="Z311" i="39"/>
  <c r="Z374" i="39" s="1"/>
  <c r="AA106" i="103"/>
  <c r="AC331" i="39"/>
  <c r="AC379" i="39" s="1"/>
  <c r="AC102" i="80" s="1"/>
  <c r="M397" i="39"/>
  <c r="M98" i="80"/>
  <c r="AB89" i="103"/>
  <c r="AB104" i="103"/>
  <c r="AB119" i="103" s="1"/>
  <c r="AB135" i="103" s="1"/>
  <c r="Z72" i="80"/>
  <c r="Z134" i="80"/>
  <c r="V121" i="116" s="1"/>
  <c r="Y136" i="80"/>
  <c r="Y74" i="80"/>
  <c r="AB282" i="39"/>
  <c r="AB309" i="39" s="1"/>
  <c r="N98" i="80"/>
  <c r="N397" i="39"/>
  <c r="AB110" i="103"/>
  <c r="Y72" i="80"/>
  <c r="Y134" i="80"/>
  <c r="P98" i="80"/>
  <c r="P397" i="39"/>
  <c r="X119" i="80"/>
  <c r="X108" i="80"/>
  <c r="Y361" i="39"/>
  <c r="Y53" i="80"/>
  <c r="Q231" i="80"/>
  <c r="Y73" i="80"/>
  <c r="Y135" i="80"/>
  <c r="N231" i="80"/>
  <c r="AB105" i="103"/>
  <c r="AB120" i="103" s="1"/>
  <c r="AB136" i="103" s="1"/>
  <c r="AB90" i="103"/>
  <c r="AB281" i="39"/>
  <c r="AB308" i="39" s="1"/>
  <c r="G99" i="103"/>
  <c r="G116" i="103" s="1"/>
  <c r="G132" i="103" s="1"/>
  <c r="G86" i="103"/>
  <c r="Z56" i="80"/>
  <c r="AA109" i="103"/>
  <c r="AA79" i="103" s="1"/>
  <c r="Z55" i="80"/>
  <c r="AA108" i="103"/>
  <c r="AA334" i="39"/>
  <c r="AA63" i="80"/>
  <c r="AA336" i="39"/>
  <c r="AA356" i="39" s="1"/>
  <c r="AA55" i="80" s="1"/>
  <c r="AA337" i="39"/>
  <c r="AA357" i="39" s="1"/>
  <c r="AA56" i="80" s="1"/>
  <c r="AA335" i="39"/>
  <c r="AA355" i="39" s="1"/>
  <c r="AA54" i="80" s="1"/>
  <c r="AA340" i="39"/>
  <c r="AA360" i="39" s="1"/>
  <c r="AA59" i="80" s="1"/>
  <c r="AA338" i="39"/>
  <c r="AA358" i="39" s="1"/>
  <c r="AA57" i="80" s="1"/>
  <c r="AA339" i="39"/>
  <c r="AA359" i="39" s="1"/>
  <c r="AA347" i="39"/>
  <c r="AA349" i="39"/>
  <c r="AA344" i="39"/>
  <c r="AA348" i="39"/>
  <c r="AA346" i="39"/>
  <c r="AA350" i="39"/>
  <c r="AA345" i="39"/>
  <c r="AB278" i="39"/>
  <c r="AB305" i="39" s="1"/>
  <c r="Q399" i="39"/>
  <c r="R386" i="39"/>
  <c r="R387" i="39" s="1"/>
  <c r="K107" i="80"/>
  <c r="K118" i="80"/>
  <c r="Z82" i="103"/>
  <c r="Z95" i="103" s="1"/>
  <c r="Z125" i="103"/>
  <c r="Z141" i="103" s="1"/>
  <c r="O231" i="80"/>
  <c r="Z123" i="80"/>
  <c r="Z235" i="80" s="1"/>
  <c r="Z112" i="80"/>
  <c r="AB107" i="103"/>
  <c r="AB77" i="103" s="1"/>
  <c r="AB87" i="103"/>
  <c r="AB101" i="103"/>
  <c r="AB117" i="103" s="1"/>
  <c r="AB133" i="103" s="1"/>
  <c r="U120" i="80"/>
  <c r="U109" i="80"/>
  <c r="Z57" i="80"/>
  <c r="AA110" i="103"/>
  <c r="G89" i="103"/>
  <c r="G104" i="103"/>
  <c r="G119" i="103" s="1"/>
  <c r="G135" i="103" s="1"/>
  <c r="G87" i="103"/>
  <c r="G101" i="103"/>
  <c r="G117" i="103" s="1"/>
  <c r="G133" i="103" s="1"/>
  <c r="T120" i="80"/>
  <c r="T109" i="80"/>
  <c r="W97" i="80"/>
  <c r="W381" i="39"/>
  <c r="Q98" i="80"/>
  <c r="Q397" i="39"/>
  <c r="Y118" i="80"/>
  <c r="Y107" i="80"/>
  <c r="AA123" i="80" l="1"/>
  <c r="AB295" i="39"/>
  <c r="AB101" i="80"/>
  <c r="Z53" i="80"/>
  <c r="Z71" i="80" s="1"/>
  <c r="AD331" i="39"/>
  <c r="AD379" i="39" s="1"/>
  <c r="AD102" i="80" s="1"/>
  <c r="AA137" i="80"/>
  <c r="AA75" i="80"/>
  <c r="AA77" i="80"/>
  <c r="AA139" i="80"/>
  <c r="AA72" i="80"/>
  <c r="AA134" i="80"/>
  <c r="L386" i="39"/>
  <c r="L387" i="39" s="1"/>
  <c r="K399" i="39"/>
  <c r="AA136" i="80"/>
  <c r="AA74" i="80"/>
  <c r="AA354" i="39"/>
  <c r="AA341" i="39"/>
  <c r="T233" i="80"/>
  <c r="U233" i="80"/>
  <c r="Z135" i="80"/>
  <c r="V118" i="116" s="1"/>
  <c r="Z73" i="80"/>
  <c r="AA76" i="103"/>
  <c r="AA91" i="103" s="1"/>
  <c r="AA121" i="103"/>
  <c r="AA137" i="103" s="1"/>
  <c r="AA125" i="103"/>
  <c r="AA141" i="103" s="1"/>
  <c r="AA82" i="103"/>
  <c r="AA95" i="103" s="1"/>
  <c r="AB122" i="103"/>
  <c r="AB138" i="103" s="1"/>
  <c r="AB78" i="103"/>
  <c r="AB92" i="103" s="1"/>
  <c r="AC112" i="103"/>
  <c r="AC268" i="39"/>
  <c r="AC277" i="39" s="1"/>
  <c r="AC304" i="39" s="1"/>
  <c r="AD26" i="39"/>
  <c r="AC182" i="39"/>
  <c r="AC377" i="39" s="1"/>
  <c r="AC183" i="39"/>
  <c r="AC378" i="39" s="1"/>
  <c r="AC181" i="39"/>
  <c r="AC270" i="39"/>
  <c r="AC272" i="39"/>
  <c r="AC281" i="39" s="1"/>
  <c r="AC308" i="39" s="1"/>
  <c r="AC273" i="39"/>
  <c r="AC282" i="39" s="1"/>
  <c r="AC309" i="39" s="1"/>
  <c r="AC274" i="39"/>
  <c r="AC283" i="39" s="1"/>
  <c r="AC310" i="39" s="1"/>
  <c r="AC271" i="39"/>
  <c r="AC280" i="39" s="1"/>
  <c r="AC307" i="39" s="1"/>
  <c r="AC269" i="39"/>
  <c r="AD74" i="103"/>
  <c r="AD70" i="103"/>
  <c r="AD100" i="103" s="1"/>
  <c r="AD72" i="103"/>
  <c r="AD102" i="103" s="1"/>
  <c r="AC80" i="80"/>
  <c r="AC84" i="80"/>
  <c r="AD75" i="103"/>
  <c r="AD71" i="103"/>
  <c r="AD69" i="103"/>
  <c r="AD73" i="103"/>
  <c r="AC291" i="39" a="1"/>
  <c r="AC291" i="39" s="1"/>
  <c r="AC114" i="80"/>
  <c r="AC111" i="80"/>
  <c r="AC292" i="39" a="1"/>
  <c r="AC292" i="39" s="1"/>
  <c r="AC290" i="39" a="1"/>
  <c r="AC290" i="39" s="1"/>
  <c r="AC288" i="39" a="1"/>
  <c r="AC288" i="39" s="1"/>
  <c r="AC289" i="39" a="1"/>
  <c r="AC289" i="39" s="1"/>
  <c r="AC287" i="39" a="1"/>
  <c r="AC287" i="39" s="1"/>
  <c r="AC296" i="39" s="1"/>
  <c r="AC286" i="39" a="1"/>
  <c r="AC286" i="39" s="1"/>
  <c r="AC295" i="39" s="1"/>
  <c r="V233" i="80"/>
  <c r="AB80" i="103"/>
  <c r="AB93" i="103" s="1"/>
  <c r="AB123" i="103"/>
  <c r="AB139" i="103" s="1"/>
  <c r="Z77" i="80"/>
  <c r="Z139" i="80"/>
  <c r="V117" i="116" s="1"/>
  <c r="X231" i="80"/>
  <c r="AA135" i="80"/>
  <c r="AA73" i="80"/>
  <c r="Z384" i="39"/>
  <c r="Z375" i="39"/>
  <c r="Z97" i="80" s="1"/>
  <c r="AB334" i="39"/>
  <c r="AB63" i="80"/>
  <c r="AB339" i="39"/>
  <c r="AB359" i="39" s="1"/>
  <c r="AB58" i="80" s="1"/>
  <c r="AB337" i="39"/>
  <c r="AB357" i="39" s="1"/>
  <c r="AB56" i="80" s="1"/>
  <c r="AB335" i="39"/>
  <c r="AB355" i="39" s="1"/>
  <c r="AB54" i="80" s="1"/>
  <c r="AB338" i="39"/>
  <c r="AB358" i="39" s="1"/>
  <c r="AB57" i="80" s="1"/>
  <c r="AB340" i="39"/>
  <c r="AB360" i="39" s="1"/>
  <c r="AB59" i="80" s="1"/>
  <c r="AB336" i="39"/>
  <c r="AB356" i="39" s="1"/>
  <c r="AB348" i="39"/>
  <c r="AB346" i="39"/>
  <c r="AB345" i="39"/>
  <c r="AB347" i="39"/>
  <c r="AB349" i="39"/>
  <c r="AB350" i="39"/>
  <c r="AB344" i="39"/>
  <c r="O120" i="80"/>
  <c r="O109" i="80"/>
  <c r="W108" i="80"/>
  <c r="W119" i="80"/>
  <c r="X232" i="80" s="1"/>
  <c r="D88" i="51"/>
  <c r="Q104" i="80"/>
  <c r="Q52" i="80"/>
  <c r="D90" i="51"/>
  <c r="D89" i="51"/>
  <c r="D91" i="51"/>
  <c r="Q60" i="80"/>
  <c r="D93" i="51"/>
  <c r="Q61" i="80"/>
  <c r="D94" i="51"/>
  <c r="D92" i="51"/>
  <c r="P109" i="80"/>
  <c r="P120" i="80"/>
  <c r="Y231" i="80"/>
  <c r="AC278" i="39"/>
  <c r="AC305" i="39" s="1"/>
  <c r="AB277" i="39"/>
  <c r="AB304" i="39" s="1"/>
  <c r="O104" i="80"/>
  <c r="O61" i="80"/>
  <c r="O52" i="80"/>
  <c r="O60" i="80"/>
  <c r="O403" i="39"/>
  <c r="O402" i="39"/>
  <c r="C88" i="51"/>
  <c r="C91" i="51"/>
  <c r="C93" i="51"/>
  <c r="C92" i="51"/>
  <c r="P104" i="80"/>
  <c r="C94" i="51"/>
  <c r="P402" i="39"/>
  <c r="P61" i="80"/>
  <c r="P60" i="80"/>
  <c r="C89" i="51"/>
  <c r="P52" i="80"/>
  <c r="C90" i="51"/>
  <c r="P403" i="39"/>
  <c r="Z74" i="80"/>
  <c r="Z136" i="80"/>
  <c r="V119" i="116" s="1"/>
  <c r="Y384" i="39"/>
  <c r="Y375" i="39"/>
  <c r="AC88" i="103"/>
  <c r="AC103" i="103"/>
  <c r="AC118" i="103" s="1"/>
  <c r="AC134" i="103" s="1"/>
  <c r="Y133" i="80"/>
  <c r="Y71" i="80"/>
  <c r="Z96" i="80"/>
  <c r="L61" i="80"/>
  <c r="L52" i="80"/>
  <c r="L402" i="39"/>
  <c r="L403" i="39"/>
  <c r="L104" i="80"/>
  <c r="L60" i="80"/>
  <c r="L231" i="80"/>
  <c r="K231" i="80"/>
  <c r="Q120" i="80"/>
  <c r="Q109" i="80"/>
  <c r="AA351" i="39"/>
  <c r="N120" i="80"/>
  <c r="N109" i="80"/>
  <c r="M104" i="80"/>
  <c r="M403" i="39"/>
  <c r="M52" i="80"/>
  <c r="M402" i="39"/>
  <c r="M60" i="80"/>
  <c r="M61" i="80"/>
  <c r="AA58" i="80"/>
  <c r="AB111" i="103"/>
  <c r="Z137" i="80"/>
  <c r="V115" i="116" s="1"/>
  <c r="Z75" i="80"/>
  <c r="X385" i="39"/>
  <c r="W390" i="39"/>
  <c r="W396" i="39"/>
  <c r="AA123" i="103"/>
  <c r="AA139" i="103" s="1"/>
  <c r="AA80" i="103"/>
  <c r="AA93" i="103" s="1"/>
  <c r="AA150" i="80"/>
  <c r="AA143" i="80"/>
  <c r="AA81" i="80"/>
  <c r="AC111" i="103"/>
  <c r="M109" i="80"/>
  <c r="M120" i="80"/>
  <c r="N60" i="80"/>
  <c r="N61" i="80"/>
  <c r="N52" i="80"/>
  <c r="N104" i="80"/>
  <c r="N402" i="39"/>
  <c r="N403" i="39"/>
  <c r="L120" i="80"/>
  <c r="L109" i="80"/>
  <c r="AC109" i="103"/>
  <c r="AC79" i="103" s="1"/>
  <c r="AC86" i="103"/>
  <c r="AC99" i="103"/>
  <c r="AC116" i="103" s="1"/>
  <c r="AC132" i="103" s="1"/>
  <c r="AB279" i="39"/>
  <c r="AB306" i="39" s="1"/>
  <c r="AC279" i="39"/>
  <c r="AC306" i="39" s="1"/>
  <c r="AA235" i="80"/>
  <c r="AB121" i="103"/>
  <c r="AB137" i="103" s="1"/>
  <c r="AB76" i="103"/>
  <c r="AB91" i="103" s="1"/>
  <c r="AA81" i="103"/>
  <c r="AA94" i="103" s="1"/>
  <c r="AA124" i="103"/>
  <c r="AA140" i="103" s="1"/>
  <c r="AC105" i="103"/>
  <c r="AC120" i="103" s="1"/>
  <c r="AC136" i="103" s="1"/>
  <c r="AC90" i="103"/>
  <c r="AB123" i="80"/>
  <c r="AB235" i="80" s="1"/>
  <c r="AB112" i="80"/>
  <c r="AB125" i="103"/>
  <c r="AB141" i="103" s="1"/>
  <c r="AB82" i="103"/>
  <c r="AB95" i="103" s="1"/>
  <c r="AC107" i="103"/>
  <c r="AC77" i="103" s="1"/>
  <c r="AA78" i="103"/>
  <c r="AA92" i="103" s="1"/>
  <c r="AA122" i="103"/>
  <c r="AA138" i="103" s="1"/>
  <c r="AC110" i="103"/>
  <c r="AC113" i="80"/>
  <c r="AC124" i="80"/>
  <c r="AC236" i="80" s="1"/>
  <c r="X390" i="39"/>
  <c r="Y385" i="39"/>
  <c r="X396" i="39"/>
  <c r="S233" i="80"/>
  <c r="AF6" i="97"/>
  <c r="AE324" i="39" s="1"/>
  <c r="AF12" i="97"/>
  <c r="AE330" i="39" s="1"/>
  <c r="AF8" i="97"/>
  <c r="AE326" i="39" s="1"/>
  <c r="AF7" i="97"/>
  <c r="AE325" i="39" s="1"/>
  <c r="AF10" i="97"/>
  <c r="AE328" i="39" s="1"/>
  <c r="AF9" i="97"/>
  <c r="AE327" i="39" s="1"/>
  <c r="AF11" i="97"/>
  <c r="AE329" i="39" s="1"/>
  <c r="Z76" i="80"/>
  <c r="Z138" i="80"/>
  <c r="V116" i="116" s="1"/>
  <c r="AC87" i="103"/>
  <c r="AC101" i="103"/>
  <c r="AC117" i="103" s="1"/>
  <c r="AC133" i="103" s="1"/>
  <c r="AC89" i="103"/>
  <c r="AC104" i="103"/>
  <c r="AC119" i="103" s="1"/>
  <c r="AC135" i="103" s="1"/>
  <c r="K397" i="39"/>
  <c r="K98" i="80"/>
  <c r="AA311" i="39"/>
  <c r="AA374" i="39" s="1"/>
  <c r="AD113" i="80" l="1"/>
  <c r="AD124" i="80"/>
  <c r="AC299" i="39"/>
  <c r="Z133" i="80"/>
  <c r="V120" i="116" s="1"/>
  <c r="AC301" i="39"/>
  <c r="AC298" i="39"/>
  <c r="AC300" i="39"/>
  <c r="Z381" i="39"/>
  <c r="AA385" i="39" s="1"/>
  <c r="AB77" i="80"/>
  <c r="AB139" i="80"/>
  <c r="AB72" i="80"/>
  <c r="AB134" i="80"/>
  <c r="AB138" i="80"/>
  <c r="AB76" i="80"/>
  <c r="W98" i="80"/>
  <c r="W397" i="39"/>
  <c r="AA138" i="80"/>
  <c r="AA76" i="80"/>
  <c r="N233" i="80"/>
  <c r="L140" i="80"/>
  <c r="L78" i="80"/>
  <c r="F89" i="51"/>
  <c r="H89" i="51"/>
  <c r="E89" i="51"/>
  <c r="G89" i="51"/>
  <c r="H91" i="51"/>
  <c r="G91" i="51"/>
  <c r="F91" i="51"/>
  <c r="E91" i="51"/>
  <c r="AB311" i="39"/>
  <c r="AB374" i="39" s="1"/>
  <c r="AC106" i="103"/>
  <c r="P233" i="80"/>
  <c r="M89" i="51"/>
  <c r="L89" i="51"/>
  <c r="J89" i="51"/>
  <c r="I89" i="51"/>
  <c r="P89" i="51"/>
  <c r="O89" i="51"/>
  <c r="N89" i="51"/>
  <c r="Q89" i="51"/>
  <c r="K89" i="51"/>
  <c r="O233" i="80"/>
  <c r="AD88" i="103"/>
  <c r="AD103" i="103"/>
  <c r="AD118" i="103" s="1"/>
  <c r="AD134" i="103" s="1"/>
  <c r="AD89" i="103"/>
  <c r="AD104" i="103"/>
  <c r="AD119" i="103" s="1"/>
  <c r="AD135" i="103" s="1"/>
  <c r="AC101" i="80"/>
  <c r="AD236" i="80"/>
  <c r="N126" i="80"/>
  <c r="N115" i="80"/>
  <c r="M141" i="80"/>
  <c r="M65" i="80"/>
  <c r="M83" i="80" s="1"/>
  <c r="M79" i="80"/>
  <c r="L115" i="80"/>
  <c r="L126" i="80"/>
  <c r="P78" i="80"/>
  <c r="P140" i="80"/>
  <c r="G88" i="51"/>
  <c r="F88" i="51"/>
  <c r="H88" i="51"/>
  <c r="E88" i="51"/>
  <c r="J90" i="51"/>
  <c r="O90" i="51"/>
  <c r="L90" i="51"/>
  <c r="N90" i="51"/>
  <c r="I90" i="51"/>
  <c r="Q90" i="51"/>
  <c r="K90" i="51"/>
  <c r="P90" i="51"/>
  <c r="M90" i="51"/>
  <c r="AB351" i="39"/>
  <c r="AD110" i="103"/>
  <c r="AD86" i="103"/>
  <c r="AD99" i="103"/>
  <c r="AD116" i="103" s="1"/>
  <c r="AD132" i="103" s="1"/>
  <c r="AD109" i="103"/>
  <c r="AD79" i="103" s="1"/>
  <c r="N132" i="80"/>
  <c r="N177" i="80"/>
  <c r="N151" i="80"/>
  <c r="N64" i="80"/>
  <c r="N70" i="80"/>
  <c r="M140" i="80"/>
  <c r="M78" i="80"/>
  <c r="P141" i="80"/>
  <c r="P79" i="80"/>
  <c r="P65" i="80"/>
  <c r="P83" i="80" s="1"/>
  <c r="M92" i="51"/>
  <c r="N92" i="51"/>
  <c r="I92" i="51"/>
  <c r="P92" i="51"/>
  <c r="O92" i="51"/>
  <c r="K92" i="51"/>
  <c r="L92" i="51"/>
  <c r="J92" i="51"/>
  <c r="Q92" i="51"/>
  <c r="Q64" i="80"/>
  <c r="Q132" i="80"/>
  <c r="Q70" i="80"/>
  <c r="Q177" i="80"/>
  <c r="Q151" i="80"/>
  <c r="Z108" i="80"/>
  <c r="Z119" i="80"/>
  <c r="AC297" i="39"/>
  <c r="AD101" i="103"/>
  <c r="AD117" i="103" s="1"/>
  <c r="AD133" i="103" s="1"/>
  <c r="AD87" i="103"/>
  <c r="AD183" i="39"/>
  <c r="AD378" i="39" s="1"/>
  <c r="AE26" i="39"/>
  <c r="AD182" i="39"/>
  <c r="AD377" i="39" s="1"/>
  <c r="AD268" i="39"/>
  <c r="AD181" i="39"/>
  <c r="AD272" i="39"/>
  <c r="AD281" i="39" s="1"/>
  <c r="AD308" i="39" s="1"/>
  <c r="AD270" i="39"/>
  <c r="AD279" i="39" s="1"/>
  <c r="AD306" i="39" s="1"/>
  <c r="AD271" i="39"/>
  <c r="AD269" i="39"/>
  <c r="AD278" i="39" s="1"/>
  <c r="AD305" i="39" s="1"/>
  <c r="AD273" i="39"/>
  <c r="AD274" i="39"/>
  <c r="AD283" i="39" s="1"/>
  <c r="AD310" i="39" s="1"/>
  <c r="AE70" i="103"/>
  <c r="AE100" i="103" s="1"/>
  <c r="AE75" i="103"/>
  <c r="AE71" i="103"/>
  <c r="AD111" i="80"/>
  <c r="AE72" i="103"/>
  <c r="AE102" i="103" s="1"/>
  <c r="AD291" i="39" a="1"/>
  <c r="AD291" i="39" s="1"/>
  <c r="AD84" i="80"/>
  <c r="AE73" i="103"/>
  <c r="AD114" i="80"/>
  <c r="AE74" i="103"/>
  <c r="AD80" i="80"/>
  <c r="AE69" i="103"/>
  <c r="AD290" i="39" a="1"/>
  <c r="AD290" i="39" s="1"/>
  <c r="AD287" i="39" a="1"/>
  <c r="AD287" i="39" s="1"/>
  <c r="AD289" i="39" a="1"/>
  <c r="AD289" i="39" s="1"/>
  <c r="AD298" i="39" s="1"/>
  <c r="AD286" i="39" a="1"/>
  <c r="AD286" i="39" s="1"/>
  <c r="AD292" i="39" a="1"/>
  <c r="AD292" i="39" s="1"/>
  <c r="AD288" i="39" a="1"/>
  <c r="AD288" i="39" s="1"/>
  <c r="AD297" i="39" s="1"/>
  <c r="AD112" i="103"/>
  <c r="AC123" i="103"/>
  <c r="AC139" i="103" s="1"/>
  <c r="AC80" i="103"/>
  <c r="AC93" i="103" s="1"/>
  <c r="N65" i="80"/>
  <c r="N83" i="80" s="1"/>
  <c r="N79" i="80"/>
  <c r="N141" i="80"/>
  <c r="N94" i="51"/>
  <c r="J94" i="51"/>
  <c r="L94" i="51"/>
  <c r="K94" i="51"/>
  <c r="Q94" i="51"/>
  <c r="P94" i="51"/>
  <c r="O94" i="51"/>
  <c r="M94" i="51"/>
  <c r="I94" i="51"/>
  <c r="Q126" i="80"/>
  <c r="Q127" i="80" s="1"/>
  <c r="Q115" i="80"/>
  <c r="AD90" i="103"/>
  <c r="AD105" i="103"/>
  <c r="AD120" i="103" s="1"/>
  <c r="AD136" i="103" s="1"/>
  <c r="AA361" i="39"/>
  <c r="AA53" i="80"/>
  <c r="X98" i="80"/>
  <c r="X397" i="39"/>
  <c r="AA96" i="80"/>
  <c r="AE331" i="39"/>
  <c r="AE379" i="39" s="1"/>
  <c r="AE102" i="80" s="1"/>
  <c r="K120" i="80"/>
  <c r="L233" i="80" s="1"/>
  <c r="K109" i="80"/>
  <c r="AB75" i="80"/>
  <c r="AB137" i="80"/>
  <c r="AB74" i="80"/>
  <c r="AB136" i="80"/>
  <c r="N140" i="80"/>
  <c r="N78" i="80"/>
  <c r="M132" i="80"/>
  <c r="M64" i="80"/>
  <c r="M151" i="80"/>
  <c r="M70" i="80"/>
  <c r="M177" i="80"/>
  <c r="Q233" i="80"/>
  <c r="L177" i="80"/>
  <c r="L70" i="80"/>
  <c r="L64" i="80"/>
  <c r="L151" i="80"/>
  <c r="L132" i="80"/>
  <c r="E94" i="51"/>
  <c r="H94" i="51"/>
  <c r="F94" i="51"/>
  <c r="G94" i="51"/>
  <c r="O140" i="80"/>
  <c r="O78" i="80"/>
  <c r="Q65" i="80"/>
  <c r="Q83" i="80" s="1"/>
  <c r="Q141" i="80"/>
  <c r="P123" i="116" s="1"/>
  <c r="Q79" i="80"/>
  <c r="L88" i="51"/>
  <c r="N88" i="51"/>
  <c r="K88" i="51"/>
  <c r="P88" i="51"/>
  <c r="M88" i="51"/>
  <c r="I88" i="51"/>
  <c r="J88" i="51"/>
  <c r="O88" i="51"/>
  <c r="Q88" i="51"/>
  <c r="AC311" i="39"/>
  <c r="AC374" i="39" s="1"/>
  <c r="AD106" i="103"/>
  <c r="AD282" i="39"/>
  <c r="AD309" i="39" s="1"/>
  <c r="AC125" i="103"/>
  <c r="AC141" i="103" s="1"/>
  <c r="AC82" i="103"/>
  <c r="AC95" i="103" s="1"/>
  <c r="M233" i="80"/>
  <c r="L65" i="80"/>
  <c r="L83" i="80" s="1"/>
  <c r="L79" i="80"/>
  <c r="L141" i="80"/>
  <c r="P126" i="80"/>
  <c r="P115" i="80"/>
  <c r="O177" i="80"/>
  <c r="O70" i="80"/>
  <c r="O151" i="80"/>
  <c r="O64" i="80"/>
  <c r="O132" i="80"/>
  <c r="AD107" i="103"/>
  <c r="AD77" i="103" s="1"/>
  <c r="L93" i="51"/>
  <c r="J93" i="51"/>
  <c r="K93" i="51"/>
  <c r="M93" i="51"/>
  <c r="I93" i="51"/>
  <c r="P93" i="51"/>
  <c r="O93" i="51"/>
  <c r="Q93" i="51"/>
  <c r="N93" i="51"/>
  <c r="W232" i="80"/>
  <c r="L127" i="80"/>
  <c r="M115" i="80"/>
  <c r="M126" i="80"/>
  <c r="M238" i="80" s="1"/>
  <c r="Z118" i="80"/>
  <c r="Z107" i="80"/>
  <c r="R233" i="80"/>
  <c r="F90" i="51"/>
  <c r="G90" i="51"/>
  <c r="E90" i="51"/>
  <c r="H90" i="51"/>
  <c r="G92" i="51"/>
  <c r="F92" i="51"/>
  <c r="H92" i="51"/>
  <c r="E92" i="51"/>
  <c r="O79" i="80"/>
  <c r="O65" i="80"/>
  <c r="O83" i="80" s="1"/>
  <c r="O141" i="80"/>
  <c r="Q78" i="80"/>
  <c r="Q140" i="80"/>
  <c r="P122" i="116" s="1"/>
  <c r="AB150" i="80"/>
  <c r="AB143" i="80"/>
  <c r="AB81" i="80"/>
  <c r="AD111" i="103"/>
  <c r="AD108" i="103"/>
  <c r="AB55" i="80"/>
  <c r="AC108" i="103"/>
  <c r="AC124" i="103"/>
  <c r="AC140" i="103" s="1"/>
  <c r="AC81" i="103"/>
  <c r="AC94" i="103" s="1"/>
  <c r="AB124" i="103"/>
  <c r="AB140" i="103" s="1"/>
  <c r="AB81" i="103"/>
  <c r="AB94" i="103" s="1"/>
  <c r="Z390" i="39"/>
  <c r="Y97" i="80"/>
  <c r="Y381" i="39"/>
  <c r="P177" i="80"/>
  <c r="P64" i="80"/>
  <c r="P132" i="80"/>
  <c r="P70" i="80"/>
  <c r="P151" i="80"/>
  <c r="G93" i="51"/>
  <c r="F93" i="51"/>
  <c r="E93" i="51"/>
  <c r="H93" i="51"/>
  <c r="O126" i="80"/>
  <c r="O115" i="80"/>
  <c r="N91" i="51"/>
  <c r="M91" i="51"/>
  <c r="Q91" i="51"/>
  <c r="P91" i="51"/>
  <c r="K91" i="51"/>
  <c r="O91" i="51"/>
  <c r="J91" i="51"/>
  <c r="L91" i="51"/>
  <c r="I91" i="51"/>
  <c r="AB354" i="39"/>
  <c r="AB361" i="39" s="1"/>
  <c r="AB341" i="39"/>
  <c r="AC334" i="39"/>
  <c r="AC63" i="80"/>
  <c r="AC335" i="39"/>
  <c r="AC355" i="39" s="1"/>
  <c r="AC54" i="80" s="1"/>
  <c r="AC338" i="39"/>
  <c r="AC358" i="39" s="1"/>
  <c r="AC57" i="80" s="1"/>
  <c r="AC340" i="39"/>
  <c r="AC360" i="39" s="1"/>
  <c r="AC59" i="80" s="1"/>
  <c r="AC337" i="39"/>
  <c r="AC357" i="39" s="1"/>
  <c r="AC56" i="80" s="1"/>
  <c r="AC339" i="39"/>
  <c r="AC359" i="39" s="1"/>
  <c r="AC58" i="80" s="1"/>
  <c r="AC336" i="39"/>
  <c r="AC356" i="39" s="1"/>
  <c r="AC55" i="80" s="1"/>
  <c r="AC349" i="39"/>
  <c r="AC344" i="39"/>
  <c r="AC346" i="39"/>
  <c r="AC347" i="39"/>
  <c r="AC348" i="39"/>
  <c r="AC350" i="39"/>
  <c r="AC345" i="39"/>
  <c r="K403" i="39"/>
  <c r="K104" i="80"/>
  <c r="K60" i="80"/>
  <c r="K61" i="80"/>
  <c r="K402" i="39"/>
  <c r="K52" i="80"/>
  <c r="AD300" i="39" l="1"/>
  <c r="AD295" i="39"/>
  <c r="Z396" i="39"/>
  <c r="O238" i="80"/>
  <c r="AD301" i="39"/>
  <c r="AD299" i="39"/>
  <c r="AD296" i="39"/>
  <c r="AC351" i="39"/>
  <c r="N103" i="51"/>
  <c r="N106" i="51" s="1"/>
  <c r="N10" i="51" s="1"/>
  <c r="AD101" i="80"/>
  <c r="AD123" i="80" s="1"/>
  <c r="AC75" i="80"/>
  <c r="AC137" i="80"/>
  <c r="AC135" i="80"/>
  <c r="AC73" i="80"/>
  <c r="AC74" i="80"/>
  <c r="AC136" i="80"/>
  <c r="AC139" i="80"/>
  <c r="AC77" i="80"/>
  <c r="AE107" i="103"/>
  <c r="AE77" i="103" s="1"/>
  <c r="AC143" i="80"/>
  <c r="AC81" i="80"/>
  <c r="AC150" i="80"/>
  <c r="AC354" i="39"/>
  <c r="AC341" i="39"/>
  <c r="Y119" i="80"/>
  <c r="Z232" i="80" s="1"/>
  <c r="Y108" i="80"/>
  <c r="O149" i="80"/>
  <c r="O144" i="80"/>
  <c r="O82" i="80"/>
  <c r="AA118" i="80"/>
  <c r="AA107" i="80"/>
  <c r="AE110" i="103"/>
  <c r="Q103" i="51"/>
  <c r="Q106" i="51" s="1"/>
  <c r="Q10" i="51" s="1"/>
  <c r="AD280" i="39"/>
  <c r="AD307" i="39" s="1"/>
  <c r="E108" i="116"/>
  <c r="S29" i="75"/>
  <c r="S43" i="74"/>
  <c r="H103" i="51"/>
  <c r="H106" i="51" s="1"/>
  <c r="H10" i="51" s="1"/>
  <c r="AB53" i="80"/>
  <c r="AB73" i="80"/>
  <c r="AB135" i="80"/>
  <c r="M127" i="80"/>
  <c r="L103" i="51"/>
  <c r="L106" i="51" s="1"/>
  <c r="L10" i="51" s="1"/>
  <c r="O103" i="51"/>
  <c r="O106" i="51" s="1"/>
  <c r="O10" i="51" s="1"/>
  <c r="M180" i="80"/>
  <c r="M188" i="80" s="1"/>
  <c r="M182" i="80"/>
  <c r="M190" i="80" s="1"/>
  <c r="M183" i="80"/>
  <c r="M191" i="80" s="1"/>
  <c r="M184" i="80"/>
  <c r="M192" i="80" s="1"/>
  <c r="M185" i="80"/>
  <c r="M193" i="80" s="1"/>
  <c r="M181" i="80"/>
  <c r="M189" i="80" s="1"/>
  <c r="AD82" i="103"/>
  <c r="AD95" i="103" s="1"/>
  <c r="AD125" i="103"/>
  <c r="AD141" i="103" s="1"/>
  <c r="AE99" i="103"/>
  <c r="AE116" i="103" s="1"/>
  <c r="AE132" i="103" s="1"/>
  <c r="AE86" i="103"/>
  <c r="Q144" i="80"/>
  <c r="Q149" i="80"/>
  <c r="Q82" i="80"/>
  <c r="F103" i="51"/>
  <c r="F106" i="51" s="1"/>
  <c r="F10" i="51" s="1"/>
  <c r="AB96" i="80"/>
  <c r="W109" i="80"/>
  <c r="W120" i="80"/>
  <c r="AC96" i="80"/>
  <c r="AB375" i="39"/>
  <c r="AB97" i="80" s="1"/>
  <c r="AB384" i="39"/>
  <c r="Z98" i="80"/>
  <c r="Z397" i="39"/>
  <c r="K132" i="80"/>
  <c r="K177" i="80"/>
  <c r="K151" i="80"/>
  <c r="K70" i="80"/>
  <c r="K64" i="80"/>
  <c r="AD78" i="103"/>
  <c r="AD92" i="103" s="1"/>
  <c r="AD122" i="103"/>
  <c r="AD138" i="103" s="1"/>
  <c r="Z231" i="80"/>
  <c r="O181" i="80"/>
  <c r="O189" i="80" s="1"/>
  <c r="O185" i="80"/>
  <c r="O193" i="80" s="1"/>
  <c r="O180" i="80"/>
  <c r="O188" i="80" s="1"/>
  <c r="O184" i="80"/>
  <c r="O192" i="80" s="1"/>
  <c r="O183" i="80"/>
  <c r="O191" i="80" s="1"/>
  <c r="O182" i="80"/>
  <c r="O190" i="80" s="1"/>
  <c r="J103" i="51"/>
  <c r="J106" i="51" s="1"/>
  <c r="J10" i="51" s="1"/>
  <c r="X120" i="80"/>
  <c r="X109" i="80"/>
  <c r="Q238" i="80"/>
  <c r="AE101" i="103"/>
  <c r="AE117" i="103" s="1"/>
  <c r="AE133" i="103" s="1"/>
  <c r="AE87" i="103"/>
  <c r="N149" i="80"/>
  <c r="N144" i="80"/>
  <c r="N82" i="80"/>
  <c r="G103" i="51"/>
  <c r="G106" i="51" s="1"/>
  <c r="G10" i="51" s="1"/>
  <c r="O127" i="80"/>
  <c r="AE108" i="103"/>
  <c r="P144" i="80"/>
  <c r="P149" i="80"/>
  <c r="P82" i="80"/>
  <c r="I103" i="51"/>
  <c r="I106" i="51" s="1"/>
  <c r="I10" i="51" s="1"/>
  <c r="AA133" i="80"/>
  <c r="AA71" i="80"/>
  <c r="AE104" i="103"/>
  <c r="AE119" i="103" s="1"/>
  <c r="AE135" i="103" s="1"/>
  <c r="AE89" i="103"/>
  <c r="AE105" i="103"/>
  <c r="AE120" i="103" s="1"/>
  <c r="AE136" i="103" s="1"/>
  <c r="AE90" i="103"/>
  <c r="AD334" i="39"/>
  <c r="AD63" i="80"/>
  <c r="AD340" i="39"/>
  <c r="AD360" i="39" s="1"/>
  <c r="AD59" i="80" s="1"/>
  <c r="AD335" i="39"/>
  <c r="AD355" i="39" s="1"/>
  <c r="AD54" i="80" s="1"/>
  <c r="AD338" i="39"/>
  <c r="AD358" i="39" s="1"/>
  <c r="AD57" i="80" s="1"/>
  <c r="AD337" i="39"/>
  <c r="AD357" i="39" s="1"/>
  <c r="AD336" i="39"/>
  <c r="AD356" i="39" s="1"/>
  <c r="AD55" i="80" s="1"/>
  <c r="AD339" i="39"/>
  <c r="AD359" i="39" s="1"/>
  <c r="AD58" i="80" s="1"/>
  <c r="AD345" i="39"/>
  <c r="AD347" i="39"/>
  <c r="AD344" i="39"/>
  <c r="AD350" i="39"/>
  <c r="AD348" i="39"/>
  <c r="AD346" i="39"/>
  <c r="AD349" i="39"/>
  <c r="AD80" i="103"/>
  <c r="AD93" i="103" s="1"/>
  <c r="AD123" i="103"/>
  <c r="AD139" i="103" s="1"/>
  <c r="N238" i="80"/>
  <c r="Y390" i="39"/>
  <c r="Z385" i="39"/>
  <c r="Y396" i="39"/>
  <c r="AC78" i="103"/>
  <c r="AC92" i="103" s="1"/>
  <c r="AC122" i="103"/>
  <c r="AC138" i="103" s="1"/>
  <c r="K79" i="80"/>
  <c r="K141" i="80"/>
  <c r="K65" i="80"/>
  <c r="K83" i="80" s="1"/>
  <c r="P180" i="80"/>
  <c r="P188" i="80" s="1"/>
  <c r="P183" i="80"/>
  <c r="P191" i="80" s="1"/>
  <c r="P181" i="80"/>
  <c r="P189" i="80" s="1"/>
  <c r="P184" i="80"/>
  <c r="P192" i="80" s="1"/>
  <c r="P182" i="80"/>
  <c r="P190" i="80" s="1"/>
  <c r="P185" i="80"/>
  <c r="P193" i="80" s="1"/>
  <c r="AD124" i="103"/>
  <c r="AD140" i="103" s="1"/>
  <c r="AD81" i="103"/>
  <c r="AD94" i="103" s="1"/>
  <c r="P238" i="80"/>
  <c r="AE111" i="103"/>
  <c r="M103" i="51"/>
  <c r="M106" i="51" s="1"/>
  <c r="M10" i="51" s="1"/>
  <c r="L149" i="80"/>
  <c r="L82" i="80"/>
  <c r="L144" i="80"/>
  <c r="M82" i="80"/>
  <c r="M144" i="80"/>
  <c r="M149" i="80"/>
  <c r="AA384" i="39"/>
  <c r="AA375" i="39"/>
  <c r="AD277" i="39"/>
  <c r="AD304" i="39" s="1"/>
  <c r="N180" i="80"/>
  <c r="N188" i="80" s="1"/>
  <c r="N184" i="80"/>
  <c r="N192" i="80" s="1"/>
  <c r="N182" i="80"/>
  <c r="N190" i="80" s="1"/>
  <c r="N185" i="80"/>
  <c r="N193" i="80" s="1"/>
  <c r="N181" i="80"/>
  <c r="N189" i="80" s="1"/>
  <c r="N183" i="80"/>
  <c r="N191" i="80" s="1"/>
  <c r="N127" i="80"/>
  <c r="K78" i="80"/>
  <c r="K140" i="80"/>
  <c r="AC76" i="80"/>
  <c r="AC138" i="80"/>
  <c r="AC72" i="80"/>
  <c r="AC134" i="80"/>
  <c r="AD121" i="103"/>
  <c r="AD137" i="103" s="1"/>
  <c r="AD76" i="103"/>
  <c r="AD91" i="103" s="1"/>
  <c r="P103" i="51"/>
  <c r="P106" i="51" s="1"/>
  <c r="P10" i="51" s="1"/>
  <c r="K233" i="80"/>
  <c r="AE88" i="103"/>
  <c r="AE103" i="103"/>
  <c r="AE118" i="103" s="1"/>
  <c r="AE134" i="103" s="1"/>
  <c r="AC123" i="80"/>
  <c r="AC235" i="80" s="1"/>
  <c r="AC112" i="80"/>
  <c r="P127" i="80"/>
  <c r="K115" i="80"/>
  <c r="K126" i="80"/>
  <c r="K103" i="51"/>
  <c r="K106" i="51" s="1"/>
  <c r="K10" i="51" s="1"/>
  <c r="L183" i="80"/>
  <c r="L191" i="80" s="1"/>
  <c r="L180" i="80"/>
  <c r="L188" i="80" s="1"/>
  <c r="L185" i="80"/>
  <c r="L193" i="80" s="1"/>
  <c r="L181" i="80"/>
  <c r="L189" i="80" s="1"/>
  <c r="L182" i="80"/>
  <c r="L190" i="80" s="1"/>
  <c r="L184" i="80"/>
  <c r="L192" i="80" s="1"/>
  <c r="AE113" i="80"/>
  <c r="AE124" i="80"/>
  <c r="AE236" i="80" s="1"/>
  <c r="AE112" i="103"/>
  <c r="AE268" i="39"/>
  <c r="AI286" i="39" s="1" a="1"/>
  <c r="AI286" i="39" s="1"/>
  <c r="AE183" i="39"/>
  <c r="AE378" i="39" s="1"/>
  <c r="AE181" i="39"/>
  <c r="AE182" i="39"/>
  <c r="AE377" i="39" s="1"/>
  <c r="AE270" i="39"/>
  <c r="AE279" i="39" s="1"/>
  <c r="AE306" i="39" s="1"/>
  <c r="AE269" i="39"/>
  <c r="AE278" i="39" s="1"/>
  <c r="AE305" i="39" s="1"/>
  <c r="AE271" i="39"/>
  <c r="AE280" i="39" s="1"/>
  <c r="AE307" i="39" s="1"/>
  <c r="AE274" i="39"/>
  <c r="AE283" i="39" s="1"/>
  <c r="AE310" i="39" s="1"/>
  <c r="AE273" i="39"/>
  <c r="AE282" i="39" s="1"/>
  <c r="AE309" i="39" s="1"/>
  <c r="AE272" i="39"/>
  <c r="AE281" i="39" s="1"/>
  <c r="AE308" i="39" s="1"/>
  <c r="AF74" i="103"/>
  <c r="AF69" i="103"/>
  <c r="AE111" i="80"/>
  <c r="AF75" i="103"/>
  <c r="AE291" i="39" a="1"/>
  <c r="AE291" i="39" s="1"/>
  <c r="AF70" i="103"/>
  <c r="AF100" i="103" s="1"/>
  <c r="AF72" i="103"/>
  <c r="AF102" i="103" s="1"/>
  <c r="AE80" i="80"/>
  <c r="AF71" i="103"/>
  <c r="AF73" i="103"/>
  <c r="AE84" i="80"/>
  <c r="AE114" i="80"/>
  <c r="AE288" i="39" a="1"/>
  <c r="AE288" i="39" s="1"/>
  <c r="AE297" i="39" s="1"/>
  <c r="AE292" i="39" a="1"/>
  <c r="AE292" i="39" s="1"/>
  <c r="AE290" i="39" a="1"/>
  <c r="AE290" i="39" s="1"/>
  <c r="AE289" i="39" a="1"/>
  <c r="AE289" i="39" s="1"/>
  <c r="AE287" i="39" a="1"/>
  <c r="AE287" i="39" s="1"/>
  <c r="AE286" i="39" a="1"/>
  <c r="AE286" i="39" s="1"/>
  <c r="Q180" i="80"/>
  <c r="Q188" i="80" s="1"/>
  <c r="Q184" i="80"/>
  <c r="Q192" i="80" s="1"/>
  <c r="Q181" i="80"/>
  <c r="Q189" i="80" s="1"/>
  <c r="Q183" i="80"/>
  <c r="Q191" i="80" s="1"/>
  <c r="Q182" i="80"/>
  <c r="Q190" i="80" s="1"/>
  <c r="Q185" i="80"/>
  <c r="Q193" i="80" s="1"/>
  <c r="E103" i="51"/>
  <c r="E106" i="51" s="1"/>
  <c r="AC121" i="103"/>
  <c r="AC137" i="103" s="1"/>
  <c r="AC76" i="103"/>
  <c r="AC91" i="103" s="1"/>
  <c r="AE301" i="39" l="1"/>
  <c r="AD112" i="80"/>
  <c r="AE298" i="39"/>
  <c r="M195" i="80"/>
  <c r="M196" i="80" s="1"/>
  <c r="AE299" i="39"/>
  <c r="AE101" i="80"/>
  <c r="AE123" i="80" s="1"/>
  <c r="AE235" i="80" s="1"/>
  <c r="AD134" i="80"/>
  <c r="AD72" i="80"/>
  <c r="AF109" i="103"/>
  <c r="AF79" i="103" s="1"/>
  <c r="AF107" i="103"/>
  <c r="AF77" i="103" s="1"/>
  <c r="AF112" i="103"/>
  <c r="AD138" i="80"/>
  <c r="AD76" i="80"/>
  <c r="AF108" i="103"/>
  <c r="AD135" i="80"/>
  <c r="AD73" i="80"/>
  <c r="AF110" i="103"/>
  <c r="AD75" i="80"/>
  <c r="AD137" i="80"/>
  <c r="AE300" i="39"/>
  <c r="AE82" i="103"/>
  <c r="AE95" i="103" s="1"/>
  <c r="AE125" i="103"/>
  <c r="AE141" i="103" s="1"/>
  <c r="L195" i="80"/>
  <c r="L196" i="80" s="1"/>
  <c r="AE277" i="39"/>
  <c r="AE304" i="39" s="1"/>
  <c r="AD354" i="39"/>
  <c r="AD361" i="39" s="1"/>
  <c r="AD341" i="39"/>
  <c r="AF111" i="103"/>
  <c r="AC361" i="39"/>
  <c r="AC53" i="80"/>
  <c r="Q195" i="80"/>
  <c r="Q196" i="80" s="1"/>
  <c r="AE124" i="103"/>
  <c r="AE140" i="103" s="1"/>
  <c r="AE81" i="103"/>
  <c r="AE94" i="103" s="1"/>
  <c r="Z109" i="80"/>
  <c r="Z120" i="80"/>
  <c r="AB381" i="39"/>
  <c r="AA231" i="80"/>
  <c r="AF105" i="103"/>
  <c r="AF120" i="103" s="1"/>
  <c r="AF136" i="103" s="1"/>
  <c r="AF90" i="103"/>
  <c r="AA97" i="80"/>
  <c r="AA381" i="39"/>
  <c r="AB118" i="80"/>
  <c r="AB107" i="80"/>
  <c r="AD235" i="80"/>
  <c r="AE295" i="39"/>
  <c r="AF103" i="103"/>
  <c r="AF118" i="103" s="1"/>
  <c r="AF134" i="103" s="1"/>
  <c r="AF88" i="103"/>
  <c r="AF86" i="103"/>
  <c r="AF99" i="103"/>
  <c r="AF116" i="103" s="1"/>
  <c r="AF132" i="103" s="1"/>
  <c r="L238" i="80"/>
  <c r="K238" i="80"/>
  <c r="K127" i="80"/>
  <c r="AE122" i="103"/>
  <c r="AE138" i="103" s="1"/>
  <c r="AE78" i="103"/>
  <c r="AE92" i="103" s="1"/>
  <c r="G9" i="51"/>
  <c r="G8" i="51"/>
  <c r="AD139" i="80"/>
  <c r="AD77" i="80"/>
  <c r="AE296" i="39"/>
  <c r="AF101" i="103"/>
  <c r="AF117" i="103" s="1"/>
  <c r="AF133" i="103" s="1"/>
  <c r="AF87" i="103"/>
  <c r="AF89" i="103"/>
  <c r="AF104" i="103"/>
  <c r="AF119" i="103" s="1"/>
  <c r="AF135" i="103" s="1"/>
  <c r="AE63" i="80"/>
  <c r="AE334" i="39"/>
  <c r="AE337" i="39"/>
  <c r="AE357" i="39" s="1"/>
  <c r="AE56" i="80" s="1"/>
  <c r="AE340" i="39"/>
  <c r="AE360" i="39" s="1"/>
  <c r="AE59" i="80" s="1"/>
  <c r="AE339" i="39"/>
  <c r="AE359" i="39" s="1"/>
  <c r="AE58" i="80" s="1"/>
  <c r="AE336" i="39"/>
  <c r="AE356" i="39" s="1"/>
  <c r="AE55" i="80" s="1"/>
  <c r="AE338" i="39"/>
  <c r="AE358" i="39" s="1"/>
  <c r="AE57" i="80" s="1"/>
  <c r="AE335" i="39"/>
  <c r="AE355" i="39" s="1"/>
  <c r="AE54" i="80" s="1"/>
  <c r="AE347" i="39"/>
  <c r="AE350" i="39"/>
  <c r="AE344" i="39"/>
  <c r="AE346" i="39"/>
  <c r="AE349" i="39"/>
  <c r="AE345" i="39"/>
  <c r="AE348" i="39"/>
  <c r="N195" i="80"/>
  <c r="N196" i="80" s="1"/>
  <c r="P195" i="80"/>
  <c r="P196" i="80" s="1"/>
  <c r="O195" i="80"/>
  <c r="O196" i="80" s="1"/>
  <c r="K144" i="80"/>
  <c r="K149" i="80"/>
  <c r="K82" i="80"/>
  <c r="AB108" i="80"/>
  <c r="AB119" i="80"/>
  <c r="AD56" i="80"/>
  <c r="AE109" i="103"/>
  <c r="AE79" i="103" s="1"/>
  <c r="Y98" i="80"/>
  <c r="Y397" i="39"/>
  <c r="AH286" i="39" a="1"/>
  <c r="AH286" i="39" s="1"/>
  <c r="AG286" i="39" a="1"/>
  <c r="AG286" i="39" s="1"/>
  <c r="AF286" i="39" a="1"/>
  <c r="AF286" i="39" s="1"/>
  <c r="AD351" i="39"/>
  <c r="AC118" i="80"/>
  <c r="AC107" i="80"/>
  <c r="E109" i="116"/>
  <c r="S30" i="75"/>
  <c r="S44" i="74"/>
  <c r="AD311" i="39"/>
  <c r="AD374" i="39" s="1"/>
  <c r="AE106" i="103"/>
  <c r="AD150" i="80"/>
  <c r="AD81" i="80"/>
  <c r="AD143" i="80"/>
  <c r="X233" i="80"/>
  <c r="K182" i="80"/>
  <c r="K190" i="80" s="1"/>
  <c r="K184" i="80"/>
  <c r="K192" i="80" s="1"/>
  <c r="K185" i="80"/>
  <c r="K193" i="80" s="1"/>
  <c r="K180" i="80"/>
  <c r="K188" i="80" s="1"/>
  <c r="K183" i="80"/>
  <c r="K191" i="80" s="1"/>
  <c r="K181" i="80"/>
  <c r="K189" i="80" s="1"/>
  <c r="W233" i="80"/>
  <c r="AB133" i="80"/>
  <c r="AB71" i="80"/>
  <c r="AE80" i="103"/>
  <c r="AE93" i="103" s="1"/>
  <c r="AE123" i="103"/>
  <c r="AE139" i="103" s="1"/>
  <c r="Y232" i="80"/>
  <c r="AE112" i="80" l="1"/>
  <c r="AD53" i="80"/>
  <c r="AE73" i="80"/>
  <c r="AE135" i="80"/>
  <c r="W118" i="116" s="1"/>
  <c r="AE134" i="80"/>
  <c r="W121" i="116" s="1"/>
  <c r="AE72" i="80"/>
  <c r="AE137" i="80"/>
  <c r="W115" i="116" s="1"/>
  <c r="AE75" i="80"/>
  <c r="AE76" i="80"/>
  <c r="AE138" i="80"/>
  <c r="W116" i="116" s="1"/>
  <c r="AE77" i="80"/>
  <c r="AE139" i="80"/>
  <c r="W117" i="116" s="1"/>
  <c r="AE74" i="80"/>
  <c r="AE136" i="80"/>
  <c r="W119" i="116" s="1"/>
  <c r="K195" i="80"/>
  <c r="K196" i="80" s="1"/>
  <c r="AE311" i="39"/>
  <c r="AE374" i="39" s="1"/>
  <c r="AF106" i="103"/>
  <c r="AF123" i="103"/>
  <c r="AF139" i="103" s="1"/>
  <c r="AF80" i="103"/>
  <c r="AF93" i="103" s="1"/>
  <c r="AF82" i="103"/>
  <c r="AF95" i="103" s="1"/>
  <c r="AF125" i="103"/>
  <c r="AF141" i="103" s="1"/>
  <c r="AC231" i="80"/>
  <c r="Y120" i="80"/>
  <c r="Z233" i="80" s="1"/>
  <c r="Y109" i="80"/>
  <c r="AC133" i="80"/>
  <c r="AC71" i="80"/>
  <c r="AE121" i="103"/>
  <c r="AE137" i="103" s="1"/>
  <c r="AE76" i="103"/>
  <c r="AE91" i="103" s="1"/>
  <c r="AC385" i="39"/>
  <c r="AB390" i="39"/>
  <c r="AB396" i="39"/>
  <c r="AC384" i="39"/>
  <c r="AC375" i="39"/>
  <c r="AD71" i="80"/>
  <c r="AD133" i="80"/>
  <c r="AE351" i="39"/>
  <c r="AB231" i="80"/>
  <c r="AE354" i="39"/>
  <c r="AE361" i="39" s="1"/>
  <c r="AE341" i="39"/>
  <c r="AB385" i="39"/>
  <c r="AA390" i="39"/>
  <c r="AA396" i="39"/>
  <c r="AF124" i="103"/>
  <c r="AF140" i="103" s="1"/>
  <c r="AF81" i="103"/>
  <c r="AF94" i="103" s="1"/>
  <c r="AF122" i="103"/>
  <c r="AF138" i="103" s="1"/>
  <c r="AF78" i="103"/>
  <c r="AF92" i="103" s="1"/>
  <c r="AD96" i="80"/>
  <c r="AD74" i="80"/>
  <c r="AD136" i="80"/>
  <c r="AE143" i="80"/>
  <c r="AE150" i="80"/>
  <c r="AE81" i="80"/>
  <c r="AA119" i="80"/>
  <c r="AB232" i="80" s="1"/>
  <c r="AA108" i="80"/>
  <c r="H9" i="51"/>
  <c r="H8" i="51"/>
  <c r="AD375" i="39"/>
  <c r="AD97" i="80" s="1"/>
  <c r="AD384" i="39"/>
  <c r="AF76" i="103" l="1"/>
  <c r="AF91" i="103" s="1"/>
  <c r="AF121" i="103"/>
  <c r="AF137" i="103" s="1"/>
  <c r="I9" i="51"/>
  <c r="I8" i="51"/>
  <c r="AA98" i="80"/>
  <c r="AA397" i="39"/>
  <c r="Y233" i="80"/>
  <c r="AE53" i="80"/>
  <c r="AC97" i="80"/>
  <c r="AC381" i="39"/>
  <c r="AD118" i="80"/>
  <c r="AD107" i="80"/>
  <c r="AB397" i="39"/>
  <c r="AB98" i="80"/>
  <c r="AE96" i="80"/>
  <c r="AD108" i="80"/>
  <c r="AD119" i="80"/>
  <c r="AA232" i="80"/>
  <c r="AD381" i="39"/>
  <c r="AE375" i="39"/>
  <c r="AE97" i="80" s="1"/>
  <c r="AE384" i="39"/>
  <c r="AE385" i="39" l="1"/>
  <c r="AD390" i="39"/>
  <c r="AD396" i="39"/>
  <c r="AB109" i="80"/>
  <c r="AB120" i="80"/>
  <c r="AA120" i="80"/>
  <c r="AA109" i="80"/>
  <c r="AD231" i="80"/>
  <c r="AD385" i="39"/>
  <c r="AC390" i="39"/>
  <c r="AC396" i="39"/>
  <c r="J9" i="51"/>
  <c r="J8" i="51"/>
  <c r="AC119" i="80"/>
  <c r="AC108" i="80"/>
  <c r="AE118" i="80"/>
  <c r="AE107" i="80"/>
  <c r="AE133" i="80"/>
  <c r="W120" i="116" s="1"/>
  <c r="AE71" i="80"/>
  <c r="AE119" i="80"/>
  <c r="AE232" i="80" s="1"/>
  <c r="AE108" i="80"/>
  <c r="AE381" i="39"/>
  <c r="AA233" i="80" l="1"/>
  <c r="AB233" i="80"/>
  <c r="AC397" i="39"/>
  <c r="AC98" i="80"/>
  <c r="AE231" i="80"/>
  <c r="K9" i="51"/>
  <c r="K8" i="51"/>
  <c r="AD397" i="39"/>
  <c r="AD98" i="80"/>
  <c r="AE390" i="39"/>
  <c r="AE396" i="39"/>
  <c r="AC232" i="80"/>
  <c r="AD232" i="80"/>
  <c r="AE397" i="39" l="1"/>
  <c r="AE98" i="80"/>
  <c r="AC109" i="80"/>
  <c r="AC120" i="80"/>
  <c r="AD109" i="80"/>
  <c r="AD120" i="80"/>
  <c r="L9" i="51"/>
  <c r="L8" i="51"/>
  <c r="AD233" i="80" l="1"/>
  <c r="M9" i="51"/>
  <c r="M8" i="51"/>
  <c r="AC233" i="80"/>
  <c r="AE109" i="80"/>
  <c r="AE120" i="80"/>
  <c r="AE233" i="80" l="1"/>
  <c r="N9" i="51"/>
  <c r="N8" i="51"/>
  <c r="O8" i="51" l="1"/>
  <c r="O9" i="51"/>
  <c r="P9" i="51" l="1"/>
  <c r="P8" i="51"/>
  <c r="Q9" i="51" l="1"/>
  <c r="R391" i="39" s="1"/>
  <c r="Q8" i="51"/>
  <c r="R398" i="39" l="1"/>
  <c r="R99" i="80"/>
  <c r="R67" i="80"/>
  <c r="R393" i="39"/>
  <c r="S386" i="39" l="1"/>
  <c r="S387" i="39" s="1"/>
  <c r="S391" i="39" s="1"/>
  <c r="R399" i="39"/>
  <c r="F117" i="116"/>
  <c r="R85" i="80"/>
  <c r="R110" i="80"/>
  <c r="R121" i="80"/>
  <c r="R234" i="80" l="1"/>
  <c r="R60" i="80"/>
  <c r="R104" i="80"/>
  <c r="R52" i="80"/>
  <c r="R61" i="80"/>
  <c r="S398" i="39"/>
  <c r="S99" i="80"/>
  <c r="S67" i="80"/>
  <c r="S393" i="39"/>
  <c r="R65" i="80" l="1"/>
  <c r="R83" i="80" s="1"/>
  <c r="R79" i="80"/>
  <c r="R141" i="80"/>
  <c r="Q123" i="116" s="1"/>
  <c r="R132" i="80"/>
  <c r="R177" i="80"/>
  <c r="R70" i="80"/>
  <c r="R151" i="80"/>
  <c r="R64" i="80"/>
  <c r="R126" i="80"/>
  <c r="R115" i="80"/>
  <c r="T386" i="39"/>
  <c r="T387" i="39" s="1"/>
  <c r="T391" i="39" s="1"/>
  <c r="S399" i="39"/>
  <c r="R140" i="80"/>
  <c r="Q122" i="116" s="1"/>
  <c r="R78" i="80"/>
  <c r="G117" i="116"/>
  <c r="S85" i="80"/>
  <c r="S110" i="80"/>
  <c r="S121" i="80"/>
  <c r="R149" i="80" l="1"/>
  <c r="R144" i="80"/>
  <c r="R82" i="80"/>
  <c r="R181" i="80"/>
  <c r="R189" i="80" s="1"/>
  <c r="R182" i="80"/>
  <c r="R190" i="80" s="1"/>
  <c r="R185" i="80"/>
  <c r="R193" i="80" s="1"/>
  <c r="R180" i="80"/>
  <c r="R188" i="80" s="1"/>
  <c r="R184" i="80"/>
  <c r="R192" i="80" s="1"/>
  <c r="R183" i="80"/>
  <c r="R191" i="80" s="1"/>
  <c r="T43" i="74"/>
  <c r="T29" i="75"/>
  <c r="F108" i="116"/>
  <c r="S60" i="80"/>
  <c r="S61" i="80"/>
  <c r="S52" i="80"/>
  <c r="S104" i="80"/>
  <c r="S234" i="80"/>
  <c r="T398" i="39"/>
  <c r="T99" i="80"/>
  <c r="T67" i="80"/>
  <c r="T393" i="39"/>
  <c r="R238" i="80"/>
  <c r="R127" i="80"/>
  <c r="R195" i="80" l="1"/>
  <c r="S126" i="80"/>
  <c r="S115" i="80"/>
  <c r="U386" i="39"/>
  <c r="U387" i="39" s="1"/>
  <c r="U391" i="39" s="1"/>
  <c r="T399" i="39"/>
  <c r="S132" i="80"/>
  <c r="S177" i="80"/>
  <c r="S151" i="80"/>
  <c r="S70" i="80"/>
  <c r="S64" i="80"/>
  <c r="T85" i="80"/>
  <c r="H117" i="116"/>
  <c r="S141" i="80"/>
  <c r="R123" i="116" s="1"/>
  <c r="S79" i="80"/>
  <c r="S65" i="80"/>
  <c r="S83" i="80" s="1"/>
  <c r="T110" i="80"/>
  <c r="T121" i="80"/>
  <c r="S78" i="80"/>
  <c r="S140" i="80"/>
  <c r="R122" i="116" s="1"/>
  <c r="R196" i="80"/>
  <c r="F109" i="116"/>
  <c r="T30" i="75"/>
  <c r="T44" i="74"/>
  <c r="T234" i="80" l="1"/>
  <c r="S184" i="80"/>
  <c r="S192" i="80" s="1"/>
  <c r="S183" i="80"/>
  <c r="S191" i="80" s="1"/>
  <c r="S181" i="80"/>
  <c r="S189" i="80" s="1"/>
  <c r="S182" i="80"/>
  <c r="S190" i="80" s="1"/>
  <c r="S180" i="80"/>
  <c r="S188" i="80" s="1"/>
  <c r="S185" i="80"/>
  <c r="S193" i="80" s="1"/>
  <c r="U43" i="74"/>
  <c r="G108" i="116"/>
  <c r="U29" i="75"/>
  <c r="T104" i="80"/>
  <c r="T60" i="80"/>
  <c r="T61" i="80"/>
  <c r="T52" i="80"/>
  <c r="U99" i="80"/>
  <c r="U398" i="39"/>
  <c r="U67" i="80"/>
  <c r="U393" i="39"/>
  <c r="S144" i="80"/>
  <c r="S149" i="80"/>
  <c r="S82" i="80"/>
  <c r="S238" i="80"/>
  <c r="S127" i="80"/>
  <c r="U121" i="80" l="1"/>
  <c r="U110" i="80"/>
  <c r="T177" i="80"/>
  <c r="T151" i="80"/>
  <c r="T70" i="80"/>
  <c r="T132" i="80"/>
  <c r="T64" i="80"/>
  <c r="S195" i="80"/>
  <c r="S196" i="80" s="1"/>
  <c r="T65" i="80"/>
  <c r="T83" i="80" s="1"/>
  <c r="T79" i="80"/>
  <c r="T141" i="80"/>
  <c r="S123" i="116" s="1"/>
  <c r="U30" i="75"/>
  <c r="G109" i="116"/>
  <c r="U44" i="74"/>
  <c r="T78" i="80"/>
  <c r="T140" i="80"/>
  <c r="S122" i="116" s="1"/>
  <c r="T126" i="80"/>
  <c r="T115" i="80"/>
  <c r="J117" i="116"/>
  <c r="U85" i="80"/>
  <c r="I117" i="116"/>
  <c r="U399" i="39"/>
  <c r="V386" i="39"/>
  <c r="V387" i="39" s="1"/>
  <c r="V391" i="39" s="1"/>
  <c r="V398" i="39" l="1"/>
  <c r="V67" i="80"/>
  <c r="V85" i="80" s="1"/>
  <c r="V99" i="80"/>
  <c r="V393" i="39"/>
  <c r="H108" i="116"/>
  <c r="V43" i="74"/>
  <c r="V29" i="75"/>
  <c r="T144" i="80"/>
  <c r="T82" i="80"/>
  <c r="T149" i="80"/>
  <c r="T180" i="80"/>
  <c r="T188" i="80" s="1"/>
  <c r="T181" i="80"/>
  <c r="T189" i="80" s="1"/>
  <c r="T184" i="80"/>
  <c r="T192" i="80" s="1"/>
  <c r="T183" i="80"/>
  <c r="T191" i="80" s="1"/>
  <c r="T185" i="80"/>
  <c r="T193" i="80" s="1"/>
  <c r="T182" i="80"/>
  <c r="T190" i="80" s="1"/>
  <c r="U52" i="80"/>
  <c r="U104" i="80"/>
  <c r="U61" i="80"/>
  <c r="U60" i="80"/>
  <c r="T238" i="80"/>
  <c r="T127" i="80"/>
  <c r="U234" i="80"/>
  <c r="W386" i="39" l="1"/>
  <c r="W387" i="39" s="1"/>
  <c r="W391" i="39" s="1"/>
  <c r="V399" i="39"/>
  <c r="T195" i="80"/>
  <c r="T196" i="80" s="1"/>
  <c r="V121" i="80"/>
  <c r="V110" i="80"/>
  <c r="U141" i="80"/>
  <c r="U79" i="80"/>
  <c r="U65" i="80"/>
  <c r="U83" i="80" s="1"/>
  <c r="U115" i="80"/>
  <c r="U126" i="80"/>
  <c r="U78" i="80"/>
  <c r="U140" i="80"/>
  <c r="U177" i="80"/>
  <c r="U132" i="80"/>
  <c r="U70" i="80"/>
  <c r="U151" i="80"/>
  <c r="U64" i="80"/>
  <c r="V44" i="74"/>
  <c r="V30" i="75"/>
  <c r="H109" i="116"/>
  <c r="I108" i="116" l="1"/>
  <c r="W29" i="75"/>
  <c r="X29" i="75"/>
  <c r="J108" i="116"/>
  <c r="X43" i="74"/>
  <c r="W43" i="74"/>
  <c r="T123" i="116"/>
  <c r="U123" i="116"/>
  <c r="U183" i="80"/>
  <c r="U191" i="80" s="1"/>
  <c r="U182" i="80"/>
  <c r="U190" i="80" s="1"/>
  <c r="U185" i="80"/>
  <c r="U193" i="80" s="1"/>
  <c r="U181" i="80"/>
  <c r="U189" i="80" s="1"/>
  <c r="U180" i="80"/>
  <c r="U188" i="80" s="1"/>
  <c r="U184" i="80"/>
  <c r="U192" i="80" s="1"/>
  <c r="V234" i="80"/>
  <c r="U238" i="80"/>
  <c r="U127" i="80"/>
  <c r="V52" i="80"/>
  <c r="V60" i="80"/>
  <c r="V104" i="80"/>
  <c r="V61" i="80"/>
  <c r="U122" i="116"/>
  <c r="T122" i="116"/>
  <c r="U144" i="80"/>
  <c r="U82" i="80"/>
  <c r="U149" i="80"/>
  <c r="W67" i="80"/>
  <c r="W85" i="80" s="1"/>
  <c r="W398" i="39"/>
  <c r="W99" i="80"/>
  <c r="W393" i="39"/>
  <c r="W121" i="80" l="1"/>
  <c r="W110" i="80"/>
  <c r="V79" i="80"/>
  <c r="V65" i="80"/>
  <c r="V83" i="80" s="1"/>
  <c r="V141" i="80"/>
  <c r="V115" i="80"/>
  <c r="V126" i="80"/>
  <c r="U195" i="80"/>
  <c r="U196" i="80" s="1"/>
  <c r="V78" i="80"/>
  <c r="V140" i="80"/>
  <c r="X386" i="39"/>
  <c r="X387" i="39" s="1"/>
  <c r="X391" i="39" s="1"/>
  <c r="W399" i="39"/>
  <c r="V177" i="80"/>
  <c r="V151" i="80"/>
  <c r="V132" i="80"/>
  <c r="V70" i="80"/>
  <c r="V64" i="80"/>
  <c r="W44" i="74"/>
  <c r="X44" i="74"/>
  <c r="X30" i="75"/>
  <c r="J109" i="116"/>
  <c r="W30" i="75"/>
  <c r="I109" i="116"/>
  <c r="V238" i="80" l="1"/>
  <c r="V127" i="80"/>
  <c r="V182" i="80"/>
  <c r="V190" i="80" s="1"/>
  <c r="V185" i="80"/>
  <c r="V193" i="80" s="1"/>
  <c r="V183" i="80"/>
  <c r="V191" i="80" s="1"/>
  <c r="V181" i="80"/>
  <c r="V189" i="80" s="1"/>
  <c r="V184" i="80"/>
  <c r="V192" i="80" s="1"/>
  <c r="V180" i="80"/>
  <c r="V188" i="80" s="1"/>
  <c r="X99" i="80"/>
  <c r="X398" i="39"/>
  <c r="X67" i="80"/>
  <c r="X85" i="80" s="1"/>
  <c r="X393" i="39"/>
  <c r="W60" i="80"/>
  <c r="W104" i="80"/>
  <c r="W52" i="80"/>
  <c r="W61" i="80"/>
  <c r="V144" i="80"/>
  <c r="V149" i="80"/>
  <c r="V82" i="80"/>
  <c r="W234" i="80"/>
  <c r="W177" i="80" l="1"/>
  <c r="W70" i="80"/>
  <c r="W132" i="80"/>
  <c r="W151" i="80"/>
  <c r="W64" i="80"/>
  <c r="V195" i="80"/>
  <c r="V196" i="80" s="1"/>
  <c r="W115" i="80"/>
  <c r="W126" i="80"/>
  <c r="W140" i="80"/>
  <c r="W78" i="80"/>
  <c r="Y386" i="39"/>
  <c r="Y387" i="39" s="1"/>
  <c r="Y391" i="39" s="1"/>
  <c r="X399" i="39"/>
  <c r="X121" i="80"/>
  <c r="X110" i="80"/>
  <c r="W65" i="80"/>
  <c r="W83" i="80" s="1"/>
  <c r="W79" i="80"/>
  <c r="W141" i="80"/>
  <c r="W238" i="80" l="1"/>
  <c r="W127" i="80"/>
  <c r="X234" i="80"/>
  <c r="X104" i="80"/>
  <c r="X52" i="80"/>
  <c r="X61" i="80"/>
  <c r="X60" i="80"/>
  <c r="W149" i="80"/>
  <c r="W144" i="80"/>
  <c r="W82" i="80"/>
  <c r="Y99" i="80"/>
  <c r="Y398" i="39"/>
  <c r="Y67" i="80"/>
  <c r="Y85" i="80" s="1"/>
  <c r="Y393" i="39"/>
  <c r="W181" i="80"/>
  <c r="W189" i="80" s="1"/>
  <c r="W185" i="80"/>
  <c r="W193" i="80" s="1"/>
  <c r="W180" i="80"/>
  <c r="W188" i="80" s="1"/>
  <c r="W183" i="80"/>
  <c r="W191" i="80" s="1"/>
  <c r="W182" i="80"/>
  <c r="W190" i="80" s="1"/>
  <c r="W184" i="80"/>
  <c r="W192" i="80" s="1"/>
  <c r="X141" i="80" l="1"/>
  <c r="X65" i="80"/>
  <c r="X83" i="80" s="1"/>
  <c r="X79" i="80"/>
  <c r="X78" i="80"/>
  <c r="X140" i="80"/>
  <c r="X132" i="80"/>
  <c r="X177" i="80"/>
  <c r="X70" i="80"/>
  <c r="X151" i="80"/>
  <c r="X64" i="80"/>
  <c r="X126" i="80"/>
  <c r="X115" i="80"/>
  <c r="Z386" i="39"/>
  <c r="Z387" i="39" s="1"/>
  <c r="Z391" i="39" s="1"/>
  <c r="Y399" i="39"/>
  <c r="Y110" i="80"/>
  <c r="Y121" i="80"/>
  <c r="W195" i="80"/>
  <c r="W196" i="80" s="1"/>
  <c r="X182" i="80" l="1"/>
  <c r="X190" i="80" s="1"/>
  <c r="X181" i="80"/>
  <c r="X189" i="80" s="1"/>
  <c r="X184" i="80"/>
  <c r="X192" i="80" s="1"/>
  <c r="X185" i="80"/>
  <c r="X193" i="80" s="1"/>
  <c r="X183" i="80"/>
  <c r="X191" i="80" s="1"/>
  <c r="X180" i="80"/>
  <c r="X188" i="80" s="1"/>
  <c r="Z398" i="39"/>
  <c r="Z99" i="80"/>
  <c r="Z67" i="80"/>
  <c r="Z393" i="39"/>
  <c r="Y234" i="80"/>
  <c r="Y61" i="80"/>
  <c r="Y60" i="80"/>
  <c r="Y104" i="80"/>
  <c r="Y52" i="80"/>
  <c r="X238" i="80"/>
  <c r="X127" i="80"/>
  <c r="X82" i="80"/>
  <c r="X149" i="80"/>
  <c r="X144" i="80"/>
  <c r="K117" i="116" l="1"/>
  <c r="Z85" i="80"/>
  <c r="Y78" i="80"/>
  <c r="Y140" i="80"/>
  <c r="Y141" i="80"/>
  <c r="Y65" i="80"/>
  <c r="Y83" i="80" s="1"/>
  <c r="Y79" i="80"/>
  <c r="X195" i="80"/>
  <c r="X196" i="80" s="1"/>
  <c r="Y126" i="80"/>
  <c r="Y115" i="80"/>
  <c r="AA386" i="39"/>
  <c r="AA387" i="39" s="1"/>
  <c r="AA391" i="39" s="1"/>
  <c r="Z399" i="39"/>
  <c r="Y177" i="80"/>
  <c r="Y70" i="80"/>
  <c r="Y151" i="80"/>
  <c r="Y132" i="80"/>
  <c r="Y64" i="80"/>
  <c r="Z121" i="80"/>
  <c r="Z110" i="80"/>
  <c r="Y181" i="80" l="1"/>
  <c r="Y189" i="80" s="1"/>
  <c r="Y182" i="80"/>
  <c r="Y190" i="80" s="1"/>
  <c r="Y180" i="80"/>
  <c r="Y188" i="80" s="1"/>
  <c r="Y183" i="80"/>
  <c r="Y191" i="80" s="1"/>
  <c r="Y184" i="80"/>
  <c r="Y192" i="80" s="1"/>
  <c r="Y185" i="80"/>
  <c r="Y193" i="80" s="1"/>
  <c r="AA99" i="80"/>
  <c r="AA398" i="39"/>
  <c r="AA67" i="80"/>
  <c r="AA85" i="80" s="1"/>
  <c r="AA393" i="39"/>
  <c r="Z234" i="80"/>
  <c r="Y149" i="80"/>
  <c r="Y144" i="80"/>
  <c r="Y82" i="80"/>
  <c r="Z104" i="80"/>
  <c r="Z52" i="80"/>
  <c r="Z60" i="80"/>
  <c r="Z61" i="80"/>
  <c r="Y238" i="80"/>
  <c r="Y127" i="80"/>
  <c r="AA121" i="80" l="1"/>
  <c r="AA110" i="80"/>
  <c r="Z78" i="80"/>
  <c r="Z140" i="80"/>
  <c r="V122" i="116" s="1"/>
  <c r="Y195" i="80"/>
  <c r="Y196" i="80" s="1"/>
  <c r="Z79" i="80"/>
  <c r="Z141" i="80"/>
  <c r="V123" i="116" s="1"/>
  <c r="Z65" i="80"/>
  <c r="Z83" i="80" s="1"/>
  <c r="AA399" i="39"/>
  <c r="AB386" i="39"/>
  <c r="AB387" i="39" s="1"/>
  <c r="AB391" i="39" s="1"/>
  <c r="Z177" i="80"/>
  <c r="Z132" i="80"/>
  <c r="Z151" i="80"/>
  <c r="Z70" i="80"/>
  <c r="Z64" i="80"/>
  <c r="Z126" i="80"/>
  <c r="Z115" i="80"/>
  <c r="Z82" i="80" l="1"/>
  <c r="Z149" i="80"/>
  <c r="Z144" i="80"/>
  <c r="Z185" i="80"/>
  <c r="Z193" i="80" s="1"/>
  <c r="Z180" i="80"/>
  <c r="Z188" i="80" s="1"/>
  <c r="Z183" i="80"/>
  <c r="Z191" i="80" s="1"/>
  <c r="Z184" i="80"/>
  <c r="Z192" i="80" s="1"/>
  <c r="Z181" i="80"/>
  <c r="Z189" i="80" s="1"/>
  <c r="Z182" i="80"/>
  <c r="Z190" i="80" s="1"/>
  <c r="Z238" i="80"/>
  <c r="Z127" i="80"/>
  <c r="AB99" i="80"/>
  <c r="AB67" i="80"/>
  <c r="AB85" i="80" s="1"/>
  <c r="AB398" i="39"/>
  <c r="AB393" i="39"/>
  <c r="K108" i="116"/>
  <c r="Y43" i="74"/>
  <c r="Y29" i="75"/>
  <c r="AA104" i="80"/>
  <c r="AA52" i="80"/>
  <c r="AA60" i="80"/>
  <c r="AA61" i="80"/>
  <c r="AA234" i="80"/>
  <c r="AC386" i="39" l="1"/>
  <c r="AC387" i="39" s="1"/>
  <c r="AC391" i="39" s="1"/>
  <c r="AB399" i="39"/>
  <c r="AA140" i="80"/>
  <c r="AA78" i="80"/>
  <c r="AA141" i="80"/>
  <c r="AA79" i="80"/>
  <c r="AA65" i="80"/>
  <c r="AA83" i="80" s="1"/>
  <c r="AA151" i="80"/>
  <c r="AA70" i="80"/>
  <c r="AA132" i="80"/>
  <c r="AA177" i="80"/>
  <c r="AA64" i="80"/>
  <c r="AB110" i="80"/>
  <c r="AB121" i="80"/>
  <c r="Z195" i="80"/>
  <c r="Z196" i="80" s="1"/>
  <c r="AA115" i="80"/>
  <c r="AA126" i="80"/>
  <c r="Y30" i="75"/>
  <c r="K109" i="116"/>
  <c r="Y44" i="74"/>
  <c r="AB234" i="80" l="1"/>
  <c r="AA144" i="80"/>
  <c r="AA82" i="80"/>
  <c r="AA149" i="80"/>
  <c r="AA180" i="80"/>
  <c r="AA188" i="80" s="1"/>
  <c r="AA185" i="80"/>
  <c r="AA193" i="80" s="1"/>
  <c r="AA183" i="80"/>
  <c r="AA191" i="80" s="1"/>
  <c r="AA182" i="80"/>
  <c r="AA190" i="80" s="1"/>
  <c r="AA181" i="80"/>
  <c r="AA189" i="80" s="1"/>
  <c r="AA184" i="80"/>
  <c r="AA192" i="80" s="1"/>
  <c r="AB104" i="80"/>
  <c r="AB52" i="80"/>
  <c r="AB61" i="80"/>
  <c r="AB60" i="80"/>
  <c r="AA238" i="80"/>
  <c r="AA127" i="80"/>
  <c r="AC99" i="80"/>
  <c r="AC67" i="80"/>
  <c r="AC85" i="80" s="1"/>
  <c r="AC398" i="39"/>
  <c r="AC393" i="39"/>
  <c r="AC399" i="39" l="1"/>
  <c r="AD386" i="39"/>
  <c r="AD387" i="39" s="1"/>
  <c r="AD391" i="39" s="1"/>
  <c r="AA195" i="80"/>
  <c r="AA196" i="80" s="1"/>
  <c r="AB79" i="80"/>
  <c r="AB141" i="80"/>
  <c r="AB65" i="80"/>
  <c r="AB83" i="80" s="1"/>
  <c r="AB70" i="80"/>
  <c r="AB151" i="80"/>
  <c r="AB132" i="80"/>
  <c r="AB177" i="80"/>
  <c r="AB64" i="80"/>
  <c r="AB78" i="80"/>
  <c r="AB140" i="80"/>
  <c r="AB126" i="80"/>
  <c r="AB115" i="80"/>
  <c r="AC110" i="80"/>
  <c r="AC121" i="80"/>
  <c r="AC234" i="80" l="1"/>
  <c r="AB238" i="80"/>
  <c r="AB127" i="80"/>
  <c r="AB184" i="80"/>
  <c r="AB192" i="80" s="1"/>
  <c r="AB183" i="80"/>
  <c r="AB191" i="80" s="1"/>
  <c r="AB181" i="80"/>
  <c r="AB189" i="80" s="1"/>
  <c r="AB180" i="80"/>
  <c r="AB188" i="80" s="1"/>
  <c r="AB185" i="80"/>
  <c r="AB193" i="80" s="1"/>
  <c r="AB182" i="80"/>
  <c r="AB190" i="80" s="1"/>
  <c r="AB82" i="80"/>
  <c r="AB144" i="80"/>
  <c r="AB149" i="80"/>
  <c r="AD67" i="80"/>
  <c r="AD85" i="80" s="1"/>
  <c r="AD99" i="80"/>
  <c r="AD398" i="39"/>
  <c r="AD393" i="39"/>
  <c r="AC60" i="80"/>
  <c r="AC104" i="80"/>
  <c r="AC61" i="80"/>
  <c r="AC52" i="80"/>
  <c r="AB195" i="80" l="1"/>
  <c r="AB196" i="80" s="1"/>
  <c r="AD399" i="39"/>
  <c r="AE386" i="39"/>
  <c r="AE387" i="39" s="1"/>
  <c r="AE391" i="39" s="1"/>
  <c r="AC132" i="80"/>
  <c r="AC151" i="80"/>
  <c r="AC70" i="80"/>
  <c r="AC177" i="80"/>
  <c r="AC64" i="80"/>
  <c r="AD110" i="80"/>
  <c r="AD121" i="80"/>
  <c r="AC65" i="80"/>
  <c r="AC83" i="80" s="1"/>
  <c r="AC79" i="80"/>
  <c r="AC141" i="80"/>
  <c r="AC126" i="80"/>
  <c r="AC115" i="80"/>
  <c r="AC78" i="80"/>
  <c r="AC140" i="80"/>
  <c r="AC181" i="80" l="1"/>
  <c r="AC189" i="80" s="1"/>
  <c r="AC184" i="80"/>
  <c r="AC192" i="80" s="1"/>
  <c r="AC180" i="80"/>
  <c r="AC188" i="80" s="1"/>
  <c r="AC185" i="80"/>
  <c r="AC193" i="80" s="1"/>
  <c r="AC182" i="80"/>
  <c r="AC190" i="80" s="1"/>
  <c r="AC183" i="80"/>
  <c r="AC191" i="80" s="1"/>
  <c r="AC238" i="80"/>
  <c r="AC127" i="80"/>
  <c r="AC82" i="80"/>
  <c r="AC144" i="80"/>
  <c r="AC149" i="80"/>
  <c r="AD234" i="80"/>
  <c r="AE99" i="80"/>
  <c r="AE398" i="39"/>
  <c r="AE67" i="80"/>
  <c r="AE393" i="39"/>
  <c r="AE399" i="39" s="1"/>
  <c r="AD60" i="80"/>
  <c r="AD52" i="80"/>
  <c r="AD61" i="80"/>
  <c r="AD104" i="80"/>
  <c r="AD140" i="80" l="1"/>
  <c r="AD78" i="80"/>
  <c r="L117" i="116"/>
  <c r="AE85" i="80"/>
  <c r="AE110" i="80"/>
  <c r="AE121" i="80"/>
  <c r="AE52" i="80"/>
  <c r="AE104" i="80"/>
  <c r="AE60" i="80"/>
  <c r="AE61" i="80"/>
  <c r="AD115" i="80"/>
  <c r="AD126" i="80"/>
  <c r="AD79" i="80"/>
  <c r="AD65" i="80"/>
  <c r="AD83" i="80" s="1"/>
  <c r="AD141" i="80"/>
  <c r="AD70" i="80"/>
  <c r="AD177" i="80"/>
  <c r="AD132" i="80"/>
  <c r="AD151" i="80"/>
  <c r="AD64" i="80"/>
  <c r="AC195" i="80"/>
  <c r="AC196" i="80" s="1"/>
  <c r="AE126" i="80" l="1"/>
  <c r="AE238" i="80" s="1"/>
  <c r="AE115" i="80"/>
  <c r="AE234" i="80"/>
  <c r="AD238" i="80"/>
  <c r="AD127" i="80"/>
  <c r="AD149" i="80"/>
  <c r="AD82" i="80"/>
  <c r="AD144" i="80"/>
  <c r="AD185" i="80"/>
  <c r="AD193" i="80" s="1"/>
  <c r="AD183" i="80"/>
  <c r="AD191" i="80" s="1"/>
  <c r="AD184" i="80"/>
  <c r="AD192" i="80" s="1"/>
  <c r="AD181" i="80"/>
  <c r="AD189" i="80" s="1"/>
  <c r="AD180" i="80"/>
  <c r="AD188" i="80" s="1"/>
  <c r="AD182" i="80"/>
  <c r="AD190" i="80" s="1"/>
  <c r="AE65" i="80"/>
  <c r="AE83" i="80" s="1"/>
  <c r="AE141" i="80"/>
  <c r="W123" i="116" s="1"/>
  <c r="AE79" i="80"/>
  <c r="AE177" i="80"/>
  <c r="AE132" i="80"/>
  <c r="AE151" i="80"/>
  <c r="AE70" i="80"/>
  <c r="AE64" i="80"/>
  <c r="AE140" i="80"/>
  <c r="W122" i="116" s="1"/>
  <c r="AE78" i="80"/>
  <c r="AE185" i="80" l="1"/>
  <c r="AE193" i="80" s="1"/>
  <c r="AE181" i="80"/>
  <c r="AE189" i="80" s="1"/>
  <c r="AE180" i="80"/>
  <c r="AE188" i="80" s="1"/>
  <c r="AE184" i="80"/>
  <c r="AE192" i="80" s="1"/>
  <c r="AE182" i="80"/>
  <c r="AE190" i="80" s="1"/>
  <c r="AE183" i="80"/>
  <c r="AE191" i="80" s="1"/>
  <c r="AD195" i="80"/>
  <c r="AD196" i="80" s="1"/>
  <c r="AE82" i="80"/>
  <c r="AE149" i="80"/>
  <c r="AE144" i="80"/>
  <c r="L108" i="116"/>
  <c r="Z43" i="74"/>
  <c r="Z29" i="75"/>
  <c r="AE127" i="80"/>
  <c r="L109" i="116" l="1"/>
  <c r="Z44" i="74"/>
  <c r="Z30" i="75"/>
  <c r="AE195" i="80"/>
  <c r="AE196" i="8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Q5" authorId="0" shapeId="0" xr:uid="{00000000-0006-0000-0000-000001000000}">
      <text>
        <r>
          <rPr>
            <sz val="9"/>
            <color indexed="81"/>
            <rFont val="Tahoma"/>
            <family val="2"/>
          </rPr>
          <t xml:space="preserve">Lorsqu'on examine les flux financiers sur une période de 25 ans, la valeur temporelle de l'argent doit être prise en compte. Par défaut, toutes les données monétaires du calculateur EEG sont données en termes nominaux (c'est-à-dire sans ajustement pour l'inflation). Alternativement, les résultats peuvent également être présentés en termes réels, c'est-à-dire que la valeur monétaire est ajustée en fonction de l'inflation et convertie sur l'année en cours. Vous pouvez basculer entre la représentation nominale et réelle en cliquant sur le bouton correspondant. </t>
        </r>
      </text>
    </comment>
    <comment ref="D6" authorId="0" shapeId="0" xr:uid="{00000000-0006-0000-0000-000002000000}">
      <text>
        <r>
          <rPr>
            <sz val="9"/>
            <color indexed="81"/>
            <rFont val="Tahoma"/>
            <family val="2"/>
          </rPr>
          <t>Hier wird festgelegt, wie schnell der Ausbau erneuerbarer Erzeugungskapazitäten stattfinden soll. Ein stärkerer Ausbau führt zu höheren Vergütungszahlen und damit zu einem Anstieg der EEG-Umlage. Eingegeben wird, wie viel Erzeugungskapazität pro Jahr zugebaut wird („Brutto-Zubau“). Das Ausscheiden alter Anlagen aus dem EEG nach Ende der 20 Jahre dauernden Förderperiode wird hierbei also nicht berücksichtigt.</t>
        </r>
      </text>
    </comment>
    <comment ref="J6" authorId="0" shapeId="0" xr:uid="{00000000-0006-0000-0000-000003000000}">
      <text>
        <r>
          <rPr>
            <sz val="9"/>
            <color indexed="81"/>
            <rFont val="Tahoma"/>
            <family val="2"/>
          </rPr>
          <t xml:space="preserve">Les exploitants d'installations reçoivent ce taux de rémunération par kilowattheure d'électricité produite. En raison des progrès technologiques, les taux tarifaires diminuent avec le temps, mais l'ampleur de la baisse est incertaine. Dans le scénario de référence, des réductions de coûts modérées sont supposées. </t>
        </r>
      </text>
    </comment>
    <comment ref="C8" authorId="0" shapeId="0" xr:uid="{75B8FA6A-2D7E-4222-9B15-FC17F9177577}">
      <text>
        <r>
          <rPr>
            <sz val="9"/>
            <color indexed="81"/>
            <rFont val="Tahoma"/>
            <family val="2"/>
          </rPr>
          <t xml:space="preserve">Dans l'EEG 2014, un objectif d'expansion de 2,5 GW / a (net) est prévu pour l'éolien terrestre . </t>
        </r>
      </text>
    </comment>
    <comment ref="C9" authorId="0" shapeId="0" xr:uid="{E1D863A4-3571-47AE-8BBE-75D42BB53699}">
      <text>
        <r>
          <rPr>
            <sz val="9"/>
            <color indexed="81"/>
            <rFont val="Tahoma"/>
            <family val="2"/>
          </rPr>
          <t xml:space="preserve">Fin 2014, environ 1 GW d'éoliennes offshore ont été installées en Allemagne. L'EEG 2014 définit une capacité totale de 15 GW en 2030 comme objectif d'expansion. Cela correspond à un taux d'expansion constant d'environ 0,9 GW / an. </t>
        </r>
      </text>
    </comment>
    <comment ref="I9" authorId="0" shapeId="0" xr:uid="{F11A7BE7-82C6-4FB7-8E4D-B4E71B0C4049}">
      <text>
        <r>
          <rPr>
            <sz val="9"/>
            <color indexed="81"/>
            <rFont val="Tahoma"/>
            <family val="2"/>
          </rPr>
          <t xml:space="preserve">Pour l'éolien offshore, le tarif initial est donné selon le modèle de compression (EEG 2014). Celui-ci est accordé pour huit ou 12 ans (selon que le système est construit avant ou après 2019). Par la suite, les frais (selon que le système est construit avant ou après 2019) tombent à 20% ou 25% des frais initiaux. </t>
        </r>
      </text>
    </comment>
    <comment ref="C10" authorId="0" shapeId="0" xr:uid="{58E48A3B-D890-4CC2-97F5-6AE62C71F69A}">
      <text>
        <r>
          <rPr>
            <sz val="9"/>
            <color indexed="81"/>
            <rFont val="Tahoma"/>
            <family val="2"/>
          </rPr>
          <t xml:space="preserve">Fin 2014, environ 38 GW de photovoltaïque ont été installés en Allemagne. Les taux d'expansion maximaux étaient d'environ 8 GW / an pendant le boom solaire 2010-2012. L'objectif d'expansion défini dans l'EEG 2014 est de 2,5 GW / an. </t>
        </r>
      </text>
    </comment>
    <comment ref="C11" authorId="0" shapeId="0" xr:uid="{7A2C5BB3-13F1-46E2-8D47-CC63B709F73D}">
      <text>
        <r>
          <rPr>
            <sz val="9"/>
            <color indexed="81"/>
            <rFont val="Tahoma"/>
            <family val="2"/>
          </rPr>
          <t xml:space="preserve">Fin 2014, la capacité installée des systèmes de production d'électricité à partir de la biomasse était d'environ 6,3 GW. Selon l'EEG 2014, l'expansion annuelle doit être réduite à 0,1 GW / an et donc quasiment arrêtée. </t>
        </r>
      </text>
    </comment>
    <comment ref="C12" authorId="0" shapeId="0" xr:uid="{89BE4C0B-CDF7-40B3-A170-2FDA9F02DC29}">
      <text>
        <r>
          <rPr>
            <sz val="9"/>
            <color indexed="81"/>
            <rFont val="Tahoma"/>
            <family val="2"/>
          </rPr>
          <t xml:space="preserve">Cette technologie joue un rôle plutôt subordonné dans l'image globale. En mode décideur, un seul scénario de référence avec des taux d'expansion très faibles est stocké pour l'expansion. Cependant, tous les scénarios définis par l'utilisateur peuvent être entrés en mode expert. </t>
        </r>
      </text>
    </comment>
    <comment ref="I12" authorId="0" shapeId="0" xr:uid="{52F9797E-CD68-41A6-B82D-E6FAC932B537}">
      <text>
        <r>
          <rPr>
            <sz val="9"/>
            <color indexed="81"/>
            <rFont val="Tahoma"/>
            <family val="2"/>
          </rPr>
          <t xml:space="preserve">Cette technologie joue un rôle plutôt subordonné dans l'image globale. En mode décideur, un seul scénario de référence est stocké pour l'évolution des taux de rémunération. Cependant, tous les scénarios définis par l'utilisateur peuvent être entrés en mode expert. </t>
        </r>
      </text>
    </comment>
    <comment ref="C13" authorId="0" shapeId="0" xr:uid="{EC3AB617-7477-4E6B-89DB-0059E1E9B4FA}">
      <text>
        <r>
          <rPr>
            <sz val="9"/>
            <color indexed="81"/>
            <rFont val="Tahoma"/>
            <family val="2"/>
          </rPr>
          <t xml:space="preserve">Cette technologie joue un rôle plutôt subordonné dans l'image globale. En mode décideur, un seul scénario de référence avec des taux d'expansion faibles est stocké pour l'expansion. Cependant, tous les scénarios définis par l'utilisateur peuvent être entrés en mode expert. </t>
        </r>
      </text>
    </comment>
    <comment ref="I13" authorId="0" shapeId="0" xr:uid="{6084CF82-6A67-4F7F-86FC-3854944666CE}">
      <text>
        <r>
          <rPr>
            <sz val="9"/>
            <color indexed="81"/>
            <rFont val="Tahoma"/>
            <family val="2"/>
          </rPr>
          <t xml:space="preserve">Cette technologie joue un rôle plutôt subordonné dans l'image globale. En mode décideur, un seul scénario de référence est stocké pour l'évolution des taux de rémunération. Cependant, tous les scénarios définis par l'utilisateur peuvent être entrés en mode expert. </t>
        </r>
      </text>
    </comment>
    <comment ref="C14" authorId="0" shapeId="0" xr:uid="{F7FB4E39-70F7-4C09-99F3-FDC9A16C0881}">
      <text>
        <r>
          <rPr>
            <sz val="9"/>
            <color indexed="81"/>
            <rFont val="Tahoma"/>
            <family val="2"/>
          </rPr>
          <t xml:space="preserve">Cette technologie joue un rôle plutôt subordonné dans l'image globale. En mode décideur, un seul scénario de référence avec des taux d'expansion très faibles est stocké pour l'expansion. Cependant, tous les scénarios définis par l'utilisateur peuvent être entrés en mode expert. </t>
        </r>
      </text>
    </comment>
    <comment ref="I14" authorId="0" shapeId="0" xr:uid="{9CF5DD65-BFA5-4802-BE25-DB8DE54E67BF}">
      <text>
        <r>
          <rPr>
            <sz val="9"/>
            <color indexed="81"/>
            <rFont val="Tahoma"/>
            <family val="2"/>
          </rPr>
          <t xml:space="preserve">Cette technologie joue un rôle plutôt subordonné dans l'image globale. En mode décideur, un seul scénario de référence est stocké pour l'évolution des taux de rémunération. Cependant, tous les scénarios définis par l'utilisateur peuvent être entrés en mode expert. </t>
        </r>
      </text>
    </comment>
    <comment ref="D17" authorId="0" shapeId="0" xr:uid="{00000000-0006-0000-0000-000009000000}">
      <text>
        <r>
          <rPr>
            <sz val="9"/>
            <color indexed="81"/>
            <rFont val="Tahoma"/>
            <family val="2"/>
          </rPr>
          <t>Für stromintensive Unternehmen gibt es Ausnahmeregelungen, die verhindern sollen, dass sie im internationalen Wettbewerb benachteiligt werden. Wenn die Unternehmen bestimmte Bedingungen erfüllen, müssen sie nur einen geringen Teil der Umlage zahlen. Der Gesetzestext, der diese Regelungen enthält, wird als „Besondere Ausgleichsregelung“ (BesAR) bezeichnet.</t>
        </r>
      </text>
    </comment>
    <comment ref="C19" authorId="0" shapeId="0" xr:uid="{7EC5229D-9625-4E32-81C4-91140E65041D}">
      <text>
        <r>
          <rPr>
            <sz val="9"/>
            <color indexed="81"/>
            <rFont val="Arial"/>
            <family val="2"/>
          </rPr>
          <t xml:space="preserve">La quantité totale d'électricité pour laquelle des exemptions peuvent être utilisées.  </t>
        </r>
      </text>
    </comment>
    <comment ref="I19" authorId="0" shapeId="0" xr:uid="{00000000-0006-0000-0000-00000B000000}">
      <text>
        <r>
          <rPr>
            <sz val="9"/>
            <color indexed="81"/>
            <rFont val="Tahoma"/>
            <family val="2"/>
          </rPr>
          <t>Der durchschnittliche Preis, zu dem Strom an der Börse gehandelt wird. EEG-Strom wird an der Börse verkauft. Die Höhe der EEG-Umlage wird bestimmt durch die Differenz zwischen Vergütungszahlungen an die Anlagenbetreiber und den Erlösen durch den Verkauf des EEG-Stroms an der Börse. Je größer der Großhandelsstrompreis, desto größer ist auch der Marktwert des EEG-Stroms, und desto niedriger ist die EEG-Umlage.</t>
        </r>
      </text>
    </comment>
    <comment ref="C20" authorId="0" shapeId="0" xr:uid="{97B1D635-4571-4588-9FC3-9AF7C8D5D437}">
      <text>
        <r>
          <rPr>
            <sz val="9"/>
            <color indexed="81"/>
            <rFont val="Tahoma"/>
            <family val="2"/>
          </rPr>
          <t xml:space="preserve">La part du prélèvement que les entreprises privilégiées doivent généralement payer pour l'électricité qu'elles consomment (si aucune exception supplémentaire et règles transitoires ne leur sont applicables). Dans l'EEG 2014, cette part a été fixée à 15% (20% pour les chemins de fer). </t>
        </r>
      </text>
    </comment>
    <comment ref="I20" authorId="0" shapeId="0" xr:uid="{00000000-0006-0000-0000-00000D000000}">
      <text>
        <r>
          <rPr>
            <sz val="9"/>
            <color indexed="81"/>
            <rFont val="Tahoma"/>
            <family val="2"/>
          </rPr>
          <t xml:space="preserve">Um negative Kontosalden als Folge von Prognosefehlern zu vermeiden, können die ÜNBs einen Sicherheitspuffer von bis zu 10% der Deckungslücke bei der Berechnung der Umlage berücksichtigen. Dieser Puffer wird als Liquiditätsreserve bezeichnet. </t>
        </r>
      </text>
    </comment>
    <comment ref="C21" authorId="0" shapeId="0" xr:uid="{76606EC5-A381-47DD-8ED3-9C933A9411B1}">
      <text>
        <r>
          <rPr>
            <sz val="9"/>
            <color indexed="81"/>
            <rFont val="Tahoma"/>
            <family val="2"/>
          </rPr>
          <t xml:space="preserve">Ce facteur comprend les nombreuses exceptions supplémentaires et les réglementations transitoires, ce qui signifie que de nombreuses entreprises paient encore moins que la part régulière pour des quantités d'électricité privilégiées. En 2015, ce facteur avait une valeur de 53%. Les exonérations supplémentaires agissent ainsi comme si 53% des volumes d'électricité privilégiés étaient totalement exonérés du prélèvement (15% du prélèvement doivent être payés pour les 47% restants des volumes d'électricité). </t>
        </r>
      </text>
    </comment>
    <comment ref="I21" authorId="0" shapeId="0" xr:uid="{00000000-0006-0000-0000-00000F000000}">
      <text>
        <r>
          <rPr>
            <sz val="9"/>
            <color indexed="81"/>
            <rFont val="Tahoma"/>
            <family val="2"/>
          </rPr>
          <t xml:space="preserve">Der Kontostand am 30.9., der für die Berechnung der Umlage im folgenden Jahr relevant ist, kann entweder endogen berechnet oder explizit festgelegt werden. </t>
        </r>
      </text>
    </comment>
    <comment ref="I22" authorId="0" shapeId="0" xr:uid="{00000000-0006-0000-0000-000010000000}">
      <text>
        <r>
          <rPr>
            <sz val="9"/>
            <color indexed="81"/>
            <rFont val="Tahoma"/>
            <family val="2"/>
          </rPr>
          <t xml:space="preserve">Jeweils am 15.10. eines Jahres wird die Höhe der Umlage für das kommende Jahr berechnet. Dabei wird der aktuelle Stand des EEG-Kontos berücksichtigt. Ist der Kontostand negativ, steigt die Umlage, ist er positiv, sinkt sie entsprechend. Im EEG-Rechner wird eine Prognose für den Kontostand am 30.9. durchgeführt. An dieser Stelle kann eingegeben werden, dass der reale Kontostand von dieser Prognose abweichen kann (z.B. weil im Sommer besonders viel Sonne scheint und deshalb viele Vergütungssätze gezahlt werden müssen). </t>
        </r>
      </text>
    </comment>
    <comment ref="C26" authorId="0" shapeId="0" xr:uid="{00000000-0006-0000-0000-000011000000}">
      <text>
        <r>
          <rPr>
            <sz val="9"/>
            <color indexed="81"/>
            <rFont val="Tahoma"/>
            <family val="2"/>
          </rPr>
          <t>Quantité d'électricité provenant des centrales de cogénération construites à partir de 2015. Selon l'EEG 2014, une partie de la surtaxe doit être payée pour cette quantité d'électricité.</t>
        </r>
      </text>
    </comment>
    <comment ref="I26" authorId="0" shapeId="0" xr:uid="{00000000-0006-0000-0000-000012000000}">
      <text>
        <r>
          <rPr>
            <sz val="9"/>
            <color indexed="81"/>
            <rFont val="Tahoma"/>
            <family val="2"/>
          </rPr>
          <t xml:space="preserve">La consommation nette d'électricité correspond à l'électricité totale consommée en Allemagne - qu'elle provienne du réseau public ou qu'elle soit produite dans nos propres usines. La consommation nette d'électricité a légèrement diminué au cours des quatre dernières années. Le développement futur est incertain - l'augmentation de l'efficacité conduit à une diminution de la consommation d'électricité, la diffusion croissante des applications électriques conduit à une augmentation. Dans le scénario de référence, la consommation nette d'électricité restera constante à partir de 2021. </t>
        </r>
      </text>
    </comment>
    <comment ref="C27" authorId="0" shapeId="0" xr:uid="{00000000-0006-0000-0000-000013000000}">
      <text>
        <r>
          <rPr>
            <sz val="9"/>
            <color indexed="81"/>
            <rFont val="Tahoma"/>
            <family val="2"/>
          </rPr>
          <t xml:space="preserve">Part de l'électricité des systèmes solaires construits à partir de 2015 qui est consommée par le propriétaire du système lui-même. Selon l'EEG 2014, une partie de la surtaxe doit également être payée pour ces quantités d'électricité si le système dépasse une certaine taille. </t>
        </r>
      </text>
    </comment>
    <comment ref="I27" authorId="0" shapeId="0" xr:uid="{00000000-0006-0000-0000-000014000000}">
      <text>
        <r>
          <rPr>
            <sz val="9"/>
            <color indexed="81"/>
            <rFont val="Tahoma"/>
            <family val="2"/>
          </rPr>
          <t xml:space="preserve">Ce facteur indique la relation entre le prix futur de l'électricité (Phelix Base Year Future) et le prix du marché au comptant (Day Ahead). Dans le passé, le prix du marché au comptant était généralement inférieur au prix futur. Lors du calcul du prélèvement, le prix futur est utilisé pour calculer les revenus marketing attendus. Cependant, l'électricité est vendue sur le marché du jour d'avance. S'il y a un écart de prix, cela conduit à une erreur de prévision systématique. Un écart de 10% est supposé dans le scénario de référence. </t>
        </r>
      </text>
    </comment>
    <comment ref="C28" authorId="0" shapeId="0" xr:uid="{00000000-0006-0000-0000-000015000000}">
      <text>
        <r>
          <rPr>
            <sz val="9"/>
            <color indexed="81"/>
            <rFont val="Tahoma"/>
            <family val="2"/>
          </rPr>
          <t>Ce paramètre décrit la proportion de la redevance à payer pour l'électricité autoconsommée provenant des systèmes solaires et de cogénération construits à partir de 2015.</t>
        </r>
      </text>
    </comment>
    <comment ref="I28" authorId="0" shapeId="0" xr:uid="{00000000-0006-0000-0000-000016000000}">
      <text>
        <r>
          <rPr>
            <sz val="9"/>
            <color indexed="81"/>
            <rFont val="Tahoma"/>
            <family val="2"/>
          </rPr>
          <t xml:space="preserve"> L'idée de base derrière les frais d'utilisation du réseau évités est que l'injection et l'utilisation d'énergie décentralisées signifient qu'une partie de l'utilisation du réseau des niveaux de réseau en amont est éliminée et que les coûts peuvent ainsi être évités. Il en résulte un poste de revenus dans le bilan EEG. Dans le scénario de référence, on suppose que les redevances d'utilisation du réseau évitées par kWh payé restent constantes. </t>
        </r>
      </text>
    </comment>
    <comment ref="C29" authorId="0" shapeId="0" xr:uid="{00000000-0006-0000-0000-000017000000}">
      <text>
        <r>
          <rPr>
            <sz val="9"/>
            <color indexed="81"/>
            <rFont val="Tahoma"/>
            <family val="2"/>
          </rPr>
          <t xml:space="preserve">Cette part décrit la part du prélèvement à payer pour l'électricité autoconsommée provenant des centrales à combustibles fossiles existantes. Selon l'EEG 2014, ces systèmes sont totalement exonérés de la taxe. </t>
        </r>
      </text>
    </comment>
    <comment ref="I29" authorId="0" shapeId="0" xr:uid="{00000000-0006-0000-0000-000018000000}">
      <text>
        <r>
          <rPr>
            <sz val="9"/>
            <color indexed="81"/>
            <rFont val="Tahoma"/>
            <family val="2"/>
          </rPr>
          <t xml:space="preserve">Cela comprend divers postes de dépenses plus petits (par exemple, les intérêts et les coûts prévisionnels). Ils sont supposés constants dans le scénario de référence. </t>
        </r>
      </text>
    </comment>
    <comment ref="I30" authorId="0" shapeId="0" xr:uid="{00000000-0006-0000-0000-000019000000}">
      <text>
        <r>
          <rPr>
            <sz val="9"/>
            <color indexed="81"/>
            <rFont val="Tahoma"/>
            <family val="2"/>
          </rPr>
          <t xml:space="preserve">Le taux d'inflation est utilisé pour déterminer la valeur actuelle des paiements futurs et passés (conversion entre les paiements réels et nominaux). Dans la mesure où elles sont disponibles, des données empiriques de l'Office fédéral de la statistique sont utilisées. Pour l'avenir, un taux d'inflation de 1,5% / an est supposé dans le scénario de référence. </t>
        </r>
      </text>
    </comment>
    <comment ref="E32" authorId="0" shapeId="0" xr:uid="{00000000-0006-0000-0000-00001A000000}">
      <text>
        <r>
          <rPr>
            <sz val="9"/>
            <color indexed="81"/>
            <rFont val="Tahoma"/>
            <family val="2"/>
          </rPr>
          <t xml:space="preserve">L'utilisation standard (heures à pleine charge) décrit le niveau d'utilisation moyen d'un système dans la moyenne annuelle. Les valeurs sont spécifiques à la technologie et dépendent également de la qualité de l'emplacement et de la conception du système. </t>
        </r>
      </text>
    </comment>
    <comment ref="I32" authorId="0" shapeId="0" xr:uid="{00000000-0006-0000-0000-00001B000000}">
      <text>
        <r>
          <rPr>
            <sz val="9"/>
            <color indexed="81"/>
            <rFont val="Tahoma"/>
            <family val="2"/>
          </rPr>
          <t xml:space="preserve">Le facteur d'offre est utilisé pour mettre à l'échelle la production d'électricité pour des groupes technologiques individuels au cours de certaines années. De cette manière, différentes conditions météorologiques peuvent être simulées (année de vent bon / mauvais). </t>
        </r>
      </text>
    </comment>
    <comment ref="L32" authorId="0" shapeId="0" xr:uid="{00000000-0006-0000-0000-00001C000000}">
      <text>
        <r>
          <rPr>
            <sz val="9"/>
            <color indexed="81"/>
            <rFont val="Tahoma"/>
            <family val="2"/>
          </rPr>
          <t xml:space="preserve">Le facteur de profil décrit la relation entre le prix annuel moyen de l'électricité et la valeur marchande moyenne de l'électricité renouvelable. Pour la production d'électricité renouvelable dépendante de l'offre (éolienne et photovoltaïque), la valeur de marché est généralement inférieure au prix moyen de l'électricité, car le prix de l'électricité est particulièrement bas en raison de l'injection fortement corrélée des systèmes lorsque les systèmes renouvelables alimentent beaucoup d'électricité. </t>
        </r>
      </text>
    </comment>
    <comment ref="E43" authorId="0" shapeId="0" xr:uid="{00000000-0006-0000-0000-00001D000000}">
      <text>
        <r>
          <rPr>
            <sz val="9"/>
            <color indexed="81"/>
            <rFont val="Tahoma"/>
            <family val="2"/>
          </rPr>
          <t xml:space="preserve">Hier kann definiert werden, für wie viele Jahre nach Ende der zwanzigjährigen Förderperiode EE-Anlagen weiterhin Strom ins Netz einspeisen, ohne dafür Vergütungszahlungen zu erhalten. Dieser Parameter beeinflusst nicht die Zahlungsströme innerhalb des EEGs. Der außerhalb des EEG erzeugte EE-Strom wird jedoch bei der Berechnung des EE-Anteils am Bruttostromverbrauch berücksichtigt.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C4" authorId="0" shapeId="0" xr:uid="{00000000-0006-0000-0100-000001000000}">
      <text>
        <r>
          <rPr>
            <b/>
            <sz val="8"/>
            <color indexed="81"/>
            <rFont val="Tahoma"/>
            <family val="2"/>
          </rPr>
          <t>Markus Haller:</t>
        </r>
        <r>
          <rPr>
            <sz val="8"/>
            <color indexed="81"/>
            <rFont val="Tahoma"/>
            <family val="2"/>
          </rPr>
          <t xml:space="preserve">
Il dit ici si nous sommes actuellement en mode expert ou en mode décisionnel. En fonction du contenu de ce champ, soit la position de l'interrupteur depuis «Décideur paramètre» ou «Début expert» est reprise sur cette fiche. </t>
        </r>
      </text>
    </comment>
    <comment ref="D59" authorId="0" shapeId="0" xr:uid="{00000000-0006-0000-0100-000002000000}">
      <text>
        <r>
          <rPr>
            <b/>
            <sz val="8"/>
            <color indexed="81"/>
            <rFont val="Tahoma"/>
            <family val="2"/>
          </rPr>
          <t>Markus Haller:</t>
        </r>
        <r>
          <rPr>
            <sz val="8"/>
            <color indexed="81"/>
            <rFont val="Tahoma"/>
            <family val="2"/>
          </rPr>
          <t xml:space="preserve">
L'année à partir de laquelle une prévision annuelle GRT ne doit plus être recalculée, mais une prévision distincte doit être saisie ici. Si le 15 octobre Une nouvelle prévision annuelle a été saisie, donc une année doit être comptée ici.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Q5" authorId="0" shapeId="0" xr:uid="{00000000-0006-0000-0300-000001000000}">
      <text>
        <r>
          <rPr>
            <sz val="9"/>
            <color indexed="81"/>
            <rFont val="Tahoma"/>
            <family val="2"/>
          </rPr>
          <t xml:space="preserve">Wenn Finanzströme über einen Zeitraum von 25 Jahren hinweg betrachtet werden, muss der Zeitwert des Geldes berücksichtigt werden. Standardmässig werden alle monetären Daten im EEG-Rechner nominal angegeben (also ohne Inflationsbereinigung). Alternativ dazu können die Ergebnisse auch real dargestellt werden, d.h. der Geldwert wird inflationsbereinigt und auf das aktuelle Jahr umgerechnet. Durch Anklicken der entsprechenden Schaltfläche kann zwischen nominaler und realer Darstellung gewechselt werden. </t>
        </r>
      </text>
    </comment>
    <comment ref="D6" authorId="0" shapeId="0" xr:uid="{00000000-0006-0000-0300-000002000000}">
      <text>
        <r>
          <rPr>
            <sz val="9"/>
            <color indexed="81"/>
            <rFont val="Tahoma"/>
            <family val="2"/>
          </rPr>
          <t>Ici, il est déterminé à quelle vitesse l'expansion des capacités de production d'énergie renouvelable doit avoir lieu. Une expansion plus forte conduit à des chiffres de rémunération plus élevés et donc à une augmentation de la surcharge EEG. On saisit la quantité de capacité de production ajoutée par an («expansion brute»). Le retrait des anciens systèmes de l'EEG à l'issue de la période de financement de 20 ans n'est donc pas pris en compte.</t>
        </r>
      </text>
    </comment>
    <comment ref="J6" authorId="0" shapeId="0" xr:uid="{00000000-0006-0000-0300-000003000000}">
      <text>
        <r>
          <rPr>
            <sz val="9"/>
            <color indexed="81"/>
            <rFont val="Tahoma"/>
            <family val="2"/>
          </rPr>
          <t xml:space="preserve">Diesen Vergütungssatz erhalten Anlagenbetreiber pro Kilowattstunde produzierten Stroms. Auf Grund des technologischen Fortschrittes sinken die Vergütungssätze im Verlauf der Zeit, das Ausmaß des Absinkens ist jedoch unsicher. Im Referenzszenario werden moderate Kostensenkungen angenommen. </t>
        </r>
      </text>
    </comment>
    <comment ref="C8" authorId="0" shapeId="0" xr:uid="{00000000-0006-0000-0300-000004000000}">
      <text>
        <r>
          <rPr>
            <sz val="9"/>
            <color indexed="81"/>
            <rFont val="Tahoma"/>
            <family val="2"/>
          </rPr>
          <t xml:space="preserve">Dans l'EEG 2014, un objectif d'expansion de 2,5 GW / a (net) est prévu pour l'éolien terrestre . </t>
        </r>
      </text>
    </comment>
    <comment ref="C9" authorId="0" shapeId="0" xr:uid="{00000000-0006-0000-0300-000005000000}">
      <text>
        <r>
          <rPr>
            <sz val="9"/>
            <color indexed="81"/>
            <rFont val="Tahoma"/>
            <family val="2"/>
          </rPr>
          <t xml:space="preserve">Fin 2014, environ 1 GW d'éoliennes offshore ont été installées en Allemagne. L'EEG 2014 définit une capacité totale de 15 GW en 2030 comme objectif d'expansion. Cela correspond à un taux d'expansion constant d'environ 0,9 GW / an. </t>
        </r>
      </text>
    </comment>
    <comment ref="I9" authorId="0" shapeId="0" xr:uid="{00000000-0006-0000-0300-000006000000}">
      <text>
        <r>
          <rPr>
            <sz val="9"/>
            <color indexed="81"/>
            <rFont val="Tahoma"/>
            <family val="2"/>
          </rPr>
          <t xml:space="preserve">Pour l'éolien offshore, le tarif initial est donné selon le modèle de compression (EEG 2014). Celui-ci est accordé pour huit ou 12 ans (selon que le système est construit avant ou après 2019). Par la suite, les frais (selon que le système est construit avant ou après 2019) tombent à 20% ou 25% des frais initiaux. </t>
        </r>
      </text>
    </comment>
    <comment ref="C10" authorId="0" shapeId="0" xr:uid="{00000000-0006-0000-0300-000007000000}">
      <text>
        <r>
          <rPr>
            <sz val="9"/>
            <color indexed="81"/>
            <rFont val="Tahoma"/>
            <family val="2"/>
          </rPr>
          <t xml:space="preserve">Fin 2014, environ 38 GW de photovoltaïque ont été installés en Allemagne. Les taux d'expansion maximaux étaient d'environ 8 GW / an pendant le boom solaire 2010-2012. L'objectif d'expansion défini dans l'EEG 2014 est de 2,5 GW / an. </t>
        </r>
      </text>
    </comment>
    <comment ref="C11" authorId="0" shapeId="0" xr:uid="{00000000-0006-0000-0300-000008000000}">
      <text>
        <r>
          <rPr>
            <sz val="9"/>
            <color indexed="81"/>
            <rFont val="Tahoma"/>
            <family val="2"/>
          </rPr>
          <t xml:space="preserve">Fin 2014, la capacité installée des systèmes de production d'électricité à partir de la biomasse était d'environ 6,3 GW. Selon l'EEG 2014, l'expansion annuelle doit être réduite à 0,1 GW / an et donc quasiment arrêtée. </t>
        </r>
      </text>
    </comment>
    <comment ref="C12" authorId="0" shapeId="0" xr:uid="{00000000-0006-0000-0300-000009000000}">
      <text>
        <r>
          <rPr>
            <sz val="9"/>
            <color indexed="81"/>
            <rFont val="Tahoma"/>
            <family val="2"/>
          </rPr>
          <t xml:space="preserve">Cette technologie joue un rôle plutôt subordonné dans l'image globale. En mode décideur, un seul scénario de référence avec des taux d'expansion très faibles est stocké pour l'expansion. Cependant, tous les scénarios définis par l'utilisateur peuvent être entrés en mode expert. </t>
        </r>
      </text>
    </comment>
    <comment ref="I12" authorId="0" shapeId="0" xr:uid="{00000000-0006-0000-0300-00000A000000}">
      <text>
        <r>
          <rPr>
            <sz val="9"/>
            <color indexed="81"/>
            <rFont val="Tahoma"/>
            <family val="2"/>
          </rPr>
          <t xml:space="preserve">Cette technologie joue un rôle plutôt subordonné dans l'image globale. En mode décideur, un seul scénario de référence est stocké pour l'évolution des taux de rémunération. Cependant, tous les scénarios définis par l'utilisateur peuvent être entrés en mode expert. </t>
        </r>
      </text>
    </comment>
    <comment ref="C13" authorId="0" shapeId="0" xr:uid="{00000000-0006-0000-0300-00000B000000}">
      <text>
        <r>
          <rPr>
            <sz val="9"/>
            <color indexed="81"/>
            <rFont val="Tahoma"/>
            <family val="2"/>
          </rPr>
          <t xml:space="preserve">Cette technologie joue un rôle plutôt subordonné dans l'image globale. En mode décideur, un seul scénario de référence avec des taux d'expansion faibles est stocké pour l'expansion. Cependant, tous les scénarios définis par l'utilisateur peuvent être entrés en mode expert. </t>
        </r>
      </text>
    </comment>
    <comment ref="I13" authorId="0" shapeId="0" xr:uid="{00000000-0006-0000-0300-00000C000000}">
      <text>
        <r>
          <rPr>
            <sz val="9"/>
            <color indexed="81"/>
            <rFont val="Tahoma"/>
            <family val="2"/>
          </rPr>
          <t xml:space="preserve">Cette technologie joue un rôle plutôt subordonné dans l'image globale. En mode décideur, un seul scénario de référence est stocké pour l'évolution des taux de rémunération. Cependant, tous les scénarios définis par l'utilisateur peuvent être entrés en mode expert. </t>
        </r>
      </text>
    </comment>
    <comment ref="C14" authorId="0" shapeId="0" xr:uid="{00000000-0006-0000-0300-00000D000000}">
      <text>
        <r>
          <rPr>
            <sz val="9"/>
            <color indexed="81"/>
            <rFont val="Tahoma"/>
            <family val="2"/>
          </rPr>
          <t xml:space="preserve">Cette technologie joue un rôle plutôt subordonné dans l'image globale. En mode décideur, un seul scénario de référence avec des taux d'expansion très faibles est stocké pour l'expansion. Cependant, tous les scénarios définis par l'utilisateur peuvent être entrés en mode expert. </t>
        </r>
      </text>
    </comment>
    <comment ref="I14" authorId="0" shapeId="0" xr:uid="{00000000-0006-0000-0300-00000E000000}">
      <text>
        <r>
          <rPr>
            <sz val="9"/>
            <color indexed="81"/>
            <rFont val="Tahoma"/>
            <family val="2"/>
          </rPr>
          <t xml:space="preserve">Cette technologie joue un rôle plutôt subordonné dans l'image globale. En mode décideur, un seul scénario de référence est stocké pour l'évolution des taux de rémunération. Cependant, tous les scénarios définis par l'utilisateur peuvent être entrés en mode expert. </t>
        </r>
      </text>
    </comment>
    <comment ref="D17" authorId="0" shapeId="0" xr:uid="{00000000-0006-0000-0300-00000F000000}">
      <text>
        <r>
          <rPr>
            <sz val="9"/>
            <color indexed="81"/>
            <rFont val="Tahoma"/>
            <family val="2"/>
          </rPr>
          <t>Für stromintensive Unternehmen gibt es Ausnahmeregelungen, die verhindern sollen, dass sie im internationalen Wettbewerb benachteiligt werden. Wenn die Unternehmen bestimmte Bedingungen erfüllen, müssen sie nur einen geringen Teil der Umlage zahlen. Der Gesetzestext, der diese Regelungen enthält, wird als „Besondere Ausgleichsregelung“ (BesAR) bezeichnet.</t>
        </r>
      </text>
    </comment>
    <comment ref="C19" authorId="0" shapeId="0" xr:uid="{00000000-0006-0000-0300-000010000000}">
      <text>
        <r>
          <rPr>
            <sz val="9"/>
            <color indexed="81"/>
            <rFont val="Arial"/>
            <family val="2"/>
          </rPr>
          <t xml:space="preserve">La quantité totale d'électricité pour laquelle des exemptions peuvent être utilisées.  </t>
        </r>
      </text>
    </comment>
    <comment ref="I19" authorId="0" shapeId="0" xr:uid="{00000000-0006-0000-0300-000011000000}">
      <text>
        <r>
          <rPr>
            <sz val="9"/>
            <color indexed="81"/>
            <rFont val="Tahoma"/>
            <family val="2"/>
          </rPr>
          <t>Le prix moyen auquel l'électricité est négociée en bourse. L'électricité EEG est vendue en bourse. Le montant de la surtaxe EEG est déterminé par la différence entre les paiements de rémunération au gestionnaire du réseau et le produit de la vente de l'électricité EEG sur la bourse. Plus le prix de gros de l'électricité est élevé, plus la valeur marchande de l'électricité EEG est élevée et plus la surtaxe EEG est faible.</t>
        </r>
      </text>
    </comment>
    <comment ref="C20" authorId="0" shapeId="0" xr:uid="{00000000-0006-0000-0300-000012000000}">
      <text>
        <r>
          <rPr>
            <sz val="9"/>
            <color indexed="81"/>
            <rFont val="Tahoma"/>
            <family val="2"/>
          </rPr>
          <t xml:space="preserve">La part du prélèvement que les entreprises privilégiées doivent généralement payer pour l'électricité qu'elles consomment (si aucune exception supplémentaire et règles transitoires ne leur sont applicables). Dans l'EEG 2014, cette part a été fixée à 15% (20% pour les chemins de fer). </t>
        </r>
      </text>
    </comment>
    <comment ref="I20" authorId="0" shapeId="0" xr:uid="{00000000-0006-0000-0300-000013000000}">
      <text>
        <r>
          <rPr>
            <sz val="9"/>
            <color indexed="81"/>
            <rFont val="Tahoma"/>
            <family val="2"/>
          </rPr>
          <t>Tous les 15.10. de l'an, le montant de la cotisation est calculé pour l'année à venir. L'état actuel du compte EEG est pris en compte. Si le solde du compte est négatif, le supplément augmente, s'il est positif, il diminue en conséquence. Dans le calculateur EEG, une prévision pour le solde du compte au 30.9. effectuée. À ce stade, vous pouvez indiquer que le solde réel du compte peut s'écarter de cette prévision (par exemple parce que beaucoup de soleil brille en été et que de nombreux taux de rémunération doivent donc être payés).</t>
        </r>
      </text>
    </comment>
    <comment ref="C21" authorId="0" shapeId="0" xr:uid="{00000000-0006-0000-0300-000014000000}">
      <text>
        <r>
          <rPr>
            <sz val="9"/>
            <color indexed="81"/>
            <rFont val="Tahoma"/>
            <family val="2"/>
          </rPr>
          <t xml:space="preserve">Ce facteur comprend les nombreuses exceptions supplémentaires et les réglementations transitoires, ce qui signifie que de nombreuses entreprises paient encore moins que la part régulière pour des quantités d'électricité privilégiées. En 2015, ce facteur avait une valeur de 53%. Les exonérations supplémentaires agissent ainsi comme si 53% des volumes d'électricité privilégiés étaient totalement exonérés du prélèvement (15% du prélèvement doivent être payés pour les 47% restants des volumes d'électricité). </t>
        </r>
      </text>
    </comment>
    <comment ref="D24" authorId="0" shapeId="0" xr:uid="{00000000-0006-0000-0300-000015000000}">
      <text>
        <r>
          <rPr>
            <sz val="9"/>
            <color indexed="81"/>
            <rFont val="Tahoma"/>
            <family val="2"/>
          </rPr>
          <t xml:space="preserve">Von Eigenverbrauch spricht man, wenn der Besitzer einer Anlage den von ihm erzeugten Strom selbst verbraucht. In diese Kategorie fallen vor allem fossile Kraftwerke in großen Industrie-Unternehmen – diese Kraftwerke decken im Jahr 2015 etwa 12% des gesamten Stromverbrauchs. Eine heute noch sehr kleine, in Zukunft aber wachsende Rolle spielt der der Eigenverbrauch von Strom, der in Photovoltaikanlagen oder Anlagen zu Kraft-Wärme-Kopplung (KWK) erzeugt werden. Der größte Teil des Eigenverbrauchs ist vollständig von der EEG-Umlage befreit. Erst seit 2014 muss für einige Eigenverbrauchs-Kategorien ein Teil der Umlage gezahlt werden. </t>
        </r>
      </text>
    </comment>
    <comment ref="C26" authorId="0" shapeId="0" xr:uid="{00000000-0006-0000-0300-000016000000}">
      <text>
        <r>
          <rPr>
            <sz val="9"/>
            <color indexed="81"/>
            <rFont val="Tahoma"/>
            <family val="2"/>
          </rPr>
          <t xml:space="preserve">Quantité d'électricité provenant des centrales de cogénération construites à partir de 2015. Selon l'EEG 2014, une partie de la surtaxe doit être payée pour cette quantité d'électricité. </t>
        </r>
      </text>
    </comment>
    <comment ref="C27" authorId="0" shapeId="0" xr:uid="{00000000-0006-0000-0300-000017000000}">
      <text>
        <r>
          <rPr>
            <sz val="9"/>
            <color indexed="81"/>
            <rFont val="Tahoma"/>
            <family val="2"/>
          </rPr>
          <t>Part de l'électricité des systèmes solaires construits à partir de 2015 qui est consommée par le propriétaire du système lui-même. Selon l'EEG 2014, une partie de la surtaxe doit également être payée pour ces quantités d'électricité si le système dépasse une certaine taille.</t>
        </r>
      </text>
    </comment>
    <comment ref="C28" authorId="0" shapeId="0" xr:uid="{00000000-0006-0000-0300-000018000000}">
      <text>
        <r>
          <rPr>
            <sz val="9"/>
            <color indexed="81"/>
            <rFont val="Tahoma"/>
            <family val="2"/>
          </rPr>
          <t xml:space="preserve">Ce paramètre décrit la proportion de la redevance à payer pour l'électricité autoconsommée provenant de systèmes solaires et de cogénération construits à partir de 2015. </t>
        </r>
      </text>
    </comment>
    <comment ref="C29" authorId="0" shapeId="0" xr:uid="{00000000-0006-0000-0300-000019000000}">
      <text>
        <r>
          <rPr>
            <sz val="9"/>
            <color indexed="81"/>
            <rFont val="Tahoma"/>
            <family val="2"/>
          </rPr>
          <t xml:space="preserve">Cette part décrit la part de la redevance qui doit être payée pour l'électricité autoconsommée provenant des centrales électriques à combustibles fossiles existantes. Selon l'EEG 2014, ces systèmes sont totalement exonérés de la taxe. </t>
        </r>
      </text>
    </comment>
    <comment ref="C34" authorId="0" shapeId="0" xr:uid="{00000000-0006-0000-0300-00001A000000}">
      <text>
        <r>
          <rPr>
            <sz val="9"/>
            <color indexed="81"/>
            <rFont val="Tahoma"/>
            <family val="2"/>
          </rPr>
          <t xml:space="preserve">La consommation nette d'électricité correspond à l'électricité totale consommée en Allemagne - qu'elle provienne du réseau public ou qu'elle soit produite dans nos propres usines. La consommation nette d'électricité a légèrement diminué au cours des quatre dernières années. Le développement futur est incertain - l'augmentation de l'efficacité conduit à une diminution de la consommation d'électricité, la diffusion croissante des applications électriques conduit à une augmentation. Dans le scénario de référence, la consommation nette d'électricité restera constante à partir de 2021.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U6" authorId="0" shapeId="0" xr:uid="{00000000-0006-0000-0400-000001000000}">
      <text>
        <r>
          <rPr>
            <sz val="9"/>
            <color indexed="81"/>
            <rFont val="Tahoma"/>
            <family val="2"/>
          </rPr>
          <t xml:space="preserve">Lorsqu'on examine les flux financiers sur une période de 25 ans, la valeur temporelle de l'argent doit être prise en compte. Par défaut, toutes les données monétaires du calculateur EEG sont données en termes nominaux (c'est-à-dire sans ajustement pour l'inflation). Alternativement, les résultats peuvent également être présentés en termes réels, c'est-à-dire que la valeur monétaire est ajustée en fonction de l'inflation et convertie sur l'année en cours. Vous pouvez basculer entre la représentation nominale et réelle en cliquant sur le bouton correspondant. </t>
        </r>
      </text>
    </comment>
    <comment ref="N104" authorId="0" shapeId="0" xr:uid="{00000000-0006-0000-0400-000002000000}">
      <text>
        <r>
          <rPr>
            <sz val="9"/>
            <color indexed="81"/>
            <rFont val="Tahoma"/>
            <family val="2"/>
          </rPr>
          <t xml:space="preserve">Total des paiements de rémunération, prime de marché et prime de gestion, moins les revenus marketing </t>
        </r>
      </text>
    </comment>
    <comment ref="N115" authorId="0" shapeId="0" xr:uid="{00000000-0006-0000-0400-000003000000}">
      <text>
        <r>
          <rPr>
            <sz val="9"/>
            <color indexed="81"/>
            <rFont val="Tahoma"/>
            <family val="2"/>
          </rPr>
          <t>Total des paiements de rémunération, prime de marché et prime de gestion, moins les revenus marketing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E3" authorId="0" shapeId="0" xr:uid="{00000000-0006-0000-0900-000001000000}">
      <text>
        <r>
          <rPr>
            <sz val="9"/>
            <color indexed="81"/>
            <rFont val="Tahoma"/>
            <family val="2"/>
          </rPr>
          <t xml:space="preserve">Die Daten zu den in der Benutzeroberfläche ausgewählten Szenarien werden hier aus den Bibliotheks-Sheets ausgelesen. </t>
        </r>
      </text>
    </comment>
    <comment ref="A5" authorId="0" shapeId="0" xr:uid="{00000000-0006-0000-0900-000002000000}">
      <text>
        <r>
          <rPr>
            <sz val="9"/>
            <color indexed="81"/>
            <rFont val="Tahoma"/>
            <family val="2"/>
          </rPr>
          <t>Zeilennummer in v3.0.0</t>
        </r>
      </text>
    </comment>
    <comment ref="E403" authorId="0" shapeId="0" xr:uid="{00000000-0006-0000-0900-000003000000}">
      <text>
        <r>
          <rPr>
            <sz val="9"/>
            <color indexed="81"/>
            <rFont val="Tahoma"/>
            <family val="2"/>
          </rPr>
          <t>Um diesen Betrag muss die prognostizierte Deckungslücke korrigiert werden, um (bei unverändertem anzulegendem Letztverbrauch) die von den ÜNB berechnete Umlage exakt zu treffen.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A5" authorId="0" shapeId="0" xr:uid="{00000000-0006-0000-0A00-000001000000}">
      <text>
        <r>
          <rPr>
            <sz val="9"/>
            <color indexed="81"/>
            <rFont val="Tahoma"/>
            <family val="2"/>
          </rPr>
          <t>Zeilennummer in v3.0.0</t>
        </r>
      </text>
    </comment>
    <comment ref="B6" authorId="0" shapeId="0" xr:uid="{00000000-0006-0000-0A00-000002000000}">
      <text>
        <r>
          <rPr>
            <b/>
            <sz val="8"/>
            <color indexed="81"/>
            <rFont val="Tahoma"/>
            <family val="2"/>
          </rPr>
          <t>Markus Haller:</t>
        </r>
        <r>
          <rPr>
            <sz val="8"/>
            <color indexed="81"/>
            <rFont val="Tahoma"/>
            <family val="2"/>
          </rPr>
          <t xml:space="preserve">
Les soldes des comptes des PDF publiés par les GRT peuvent être saisis directement ici.
https://www.netztransparenz.de/de/EEG-Konten-übersicht.htm </t>
        </r>
      </text>
    </comment>
    <comment ref="B9" authorId="0" shapeId="0" xr:uid="{00000000-0006-0000-0A00-000003000000}">
      <text>
        <r>
          <rPr>
            <b/>
            <sz val="8"/>
            <color indexed="81"/>
            <rFont val="Tahoma"/>
            <family val="2"/>
          </rPr>
          <t>Si le solde réel du compte (voir ci-dessus) est disponible, il sera utilisé. Si le solde réel du compte n'est pas disponible, les coûts et les revenus sont calculés</t>
        </r>
      </text>
    </comment>
    <comment ref="E10" authorId="0" shapeId="0" xr:uid="{00000000-0006-0000-0A00-000004000000}">
      <text>
        <r>
          <rPr>
            <sz val="8"/>
            <color indexed="81"/>
            <rFont val="Tahoma"/>
            <family val="2"/>
          </rPr>
          <t>Bei der monatlichen Kontostandsberechnung ist, wenn eine Zeitverschiebung zwischen Einspeisung und Buchung von einem Monat eingestellt ist, auch ein Saldo für den September des Vorjahres erforderlich. Hierfür wird der Saldo des Septembers im aktuellen Jahr kopiert</t>
        </r>
      </text>
    </comment>
    <comment ref="B12" authorId="0" shapeId="0" xr:uid="{00000000-0006-0000-0A00-000005000000}">
      <text>
        <r>
          <rPr>
            <b/>
            <sz val="8"/>
            <color indexed="81"/>
            <rFont val="Tahoma"/>
            <family val="2"/>
          </rPr>
          <t>Markus Haller:</t>
        </r>
        <r>
          <rPr>
            <sz val="8"/>
            <color indexed="81"/>
            <rFont val="Tahoma"/>
            <family val="2"/>
          </rPr>
          <t xml:space="preserve">
En réalité, les paiements n'apparaissent dans le solde du compte qu'avec un retard de 1 à 2 mois.  </t>
        </r>
      </text>
    </comment>
    <comment ref="B15" authorId="0" shapeId="0" xr:uid="{00000000-0006-0000-0A00-000006000000}">
      <text>
        <r>
          <rPr>
            <sz val="9"/>
            <color indexed="81"/>
            <rFont val="Tahoma"/>
            <family val="2"/>
          </rPr>
          <t xml:space="preserve">Calculé à partir des données de charge de 2011 (EEX, calculs de l'Öko-Institut) </t>
        </r>
      </text>
    </comment>
    <comment ref="B17" authorId="0" shapeId="0" xr:uid="{00000000-0006-0000-0A00-000007000000}">
      <text>
        <r>
          <rPr>
            <sz val="9"/>
            <color indexed="81"/>
            <rFont val="Tahoma"/>
            <family val="2"/>
          </rPr>
          <t xml:space="preserve">Source: prévision annuelle du GRT 2015, scénario de tendance, prévisions d'heures de pleine charge par mois pour 2015. Pour octobre - décembre 2014, les données r2b pour octobre - décembre 2015 ont été utilisées.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A5" authorId="0" shapeId="0" xr:uid="{00000000-0006-0000-0B00-000001000000}">
      <text>
        <r>
          <rPr>
            <sz val="9"/>
            <color indexed="81"/>
            <rFont val="Tahoma"/>
            <family val="2"/>
          </rPr>
          <t>Zeilennummer in v3.0.0</t>
        </r>
      </text>
    </comment>
    <comment ref="F199" authorId="0" shapeId="0" xr:uid="{00000000-0006-0000-0B00-000002000000}">
      <text>
        <r>
          <rPr>
            <b/>
            <sz val="9"/>
            <color indexed="81"/>
            <rFont val="Tahoma"/>
            <family val="2"/>
          </rPr>
          <t>Markus Haller:</t>
        </r>
        <r>
          <rPr>
            <sz val="9"/>
            <color indexed="81"/>
            <rFont val="Tahoma"/>
            <family val="2"/>
          </rPr>
          <t xml:space="preserve">
Historische Wert: Nicht berechnet, sondern gleich Null gesetzt
</t>
        </r>
      </text>
    </comment>
    <comment ref="F210" authorId="0" shapeId="0" xr:uid="{00000000-0006-0000-0B00-000003000000}">
      <text>
        <r>
          <rPr>
            <b/>
            <sz val="9"/>
            <color indexed="81"/>
            <rFont val="Tahoma"/>
            <family val="2"/>
          </rPr>
          <t>Markus Haller:</t>
        </r>
        <r>
          <rPr>
            <sz val="9"/>
            <color indexed="81"/>
            <rFont val="Tahoma"/>
            <family val="2"/>
          </rPr>
          <t xml:space="preserve">
Historische Wert: Nicht berechnet, sondern gleich Null gesetzt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A5" authorId="0" shapeId="0" xr:uid="{00000000-0006-0000-0C00-000001000000}">
      <text>
        <r>
          <rPr>
            <sz val="9"/>
            <color indexed="81"/>
            <rFont val="Tahoma"/>
            <family val="2"/>
          </rPr>
          <t>Zeilennummer in v3.0.0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E16" authorId="0" shapeId="0" xr:uid="{00000000-0006-0000-0D00-000001000000}">
      <text>
        <r>
          <rPr>
            <b/>
            <sz val="9"/>
            <color indexed="81"/>
            <rFont val="Tahoma"/>
            <family val="2"/>
          </rPr>
          <t>Markus Haller:</t>
        </r>
        <r>
          <rPr>
            <sz val="9"/>
            <color indexed="81"/>
            <rFont val="Tahoma"/>
            <family val="2"/>
          </rPr>
          <t xml:space="preserve">
Annahme: Volllaststunden für Anlagen Inbetriebnahmejahr 2010-2015 konstant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Markus Haller</author>
  </authors>
  <commentList>
    <comment ref="B85" authorId="0" shapeId="0" xr:uid="{00000000-0006-0000-0E00-000001000000}">
      <text>
        <r>
          <rPr>
            <sz val="8"/>
            <color indexed="81"/>
            <rFont val="Tahoma"/>
            <family val="2"/>
          </rPr>
          <t xml:space="preserve">Diese Szenarien werden automatisch gemäß dem gewählten Zubauszenario gewählt. Sie spiegeln die Regelungen des atmenden Deckels wider.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fabian.hein</author>
  </authors>
  <commentList>
    <comment ref="P10" authorId="0" shapeId="0" xr:uid="{00000000-0006-0000-0F00-000001000000}">
      <text>
        <r>
          <rPr>
            <b/>
            <sz val="11"/>
            <color indexed="81"/>
            <rFont val="Segoe UI"/>
            <family val="2"/>
          </rPr>
          <t>fabian.hein:</t>
        </r>
        <r>
          <rPr>
            <sz val="11"/>
            <color indexed="81"/>
            <rFont val="Segoe UI"/>
            <family val="2"/>
          </rPr>
          <t xml:space="preserve">
corrigé de 1,9 à 1,5 GW selon la prévision BWE
https://www.wind-energie.de/presse/pressemitteilungen/detail/halbjahreszahlen-windenergie-an-land-historisch-niedriger-zubau-trotz-sehr-guter-wachstumsperspekti/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cl</author>
  </authors>
  <commentList>
    <comment ref="D7" authorId="0" shapeId="0" xr:uid="{00000000-0006-0000-1900-000001000000}">
      <text>
        <r>
          <rPr>
            <b/>
            <sz val="9"/>
            <color indexed="81"/>
            <rFont val="Tahoma"/>
            <family val="2"/>
          </rPr>
          <t>cl:</t>
        </r>
        <r>
          <rPr>
            <sz val="9"/>
            <color indexed="81"/>
            <rFont val="Tahoma"/>
            <family val="2"/>
          </rPr>
          <t xml:space="preserve">
Taux de prélèvements historiques convertis en pourcentages (revenu d'une utilisation finale privilégiée / quantité d'électricité d'utilisation finale privilégiée / surcharge EEG)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Markus Haller</author>
    <author>cl</author>
  </authors>
  <commentList>
    <comment ref="B1" authorId="0" shapeId="0" xr:uid="{00000000-0006-0000-1F00-000001000000}">
      <text>
        <r>
          <rPr>
            <b/>
            <sz val="9"/>
            <color indexed="81"/>
            <rFont val="Tahoma"/>
            <family val="2"/>
          </rPr>
          <t>Markus Haller:</t>
        </r>
        <r>
          <rPr>
            <sz val="9"/>
            <color indexed="81"/>
            <rFont val="Tahoma"/>
            <family val="2"/>
          </rPr>
          <t xml:space="preserve">
* Frais de service de profil
* Frais d'admission à la bourse et de connexion à la négociation
* Frais d'intérêt
* Bonus EEG
* en 2013: frais de rééquipement pour fixer 50,2 Hz </t>
        </r>
      </text>
    </comment>
    <comment ref="D7" authorId="1" shapeId="0" xr:uid="{00000000-0006-0000-1F00-000002000000}">
      <text>
        <r>
          <rPr>
            <b/>
            <sz val="9"/>
            <color indexed="81"/>
            <rFont val="Tahoma"/>
            <family val="2"/>
          </rPr>
          <t>cl:</t>
        </r>
        <r>
          <rPr>
            <sz val="9"/>
            <color indexed="81"/>
            <rFont val="Tahoma"/>
            <family val="2"/>
          </rPr>
          <t xml:space="preserve">
 Contient les coûts du service de profil, les frais d'admission à la bourse et la connexion commerciale, les intérêts, les bonus EEG, les revenus des enchères de capacités offshore, les revenus selon la section 103 (6) EEG en conjonction avec la section 75 EEG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cl</author>
  </authors>
  <commentList>
    <comment ref="B6" authorId="0" shapeId="0" xr:uid="{00000000-0006-0000-2300-000001000000}">
      <text>
        <r>
          <rPr>
            <sz val="9"/>
            <color indexed="81"/>
            <rFont val="Tahoma"/>
            <family val="2"/>
          </rPr>
          <t xml:space="preserve">nicht variierbar
</t>
        </r>
      </text>
    </comment>
    <comment ref="B7" authorId="0" shapeId="0" xr:uid="{00000000-0006-0000-2300-000002000000}">
      <text>
        <r>
          <rPr>
            <sz val="9"/>
            <color indexed="81"/>
            <rFont val="Tahoma"/>
            <family val="2"/>
          </rPr>
          <t xml:space="preserve">nicht variierbar
</t>
        </r>
      </text>
    </comment>
    <comment ref="B8" authorId="0" shapeId="0" xr:uid="{00000000-0006-0000-2300-000003000000}">
      <text>
        <r>
          <rPr>
            <sz val="9"/>
            <color indexed="81"/>
            <rFont val="Tahoma"/>
            <family val="2"/>
          </rPr>
          <t>nicht variierbar</t>
        </r>
        <r>
          <rPr>
            <b/>
            <sz val="9"/>
            <color indexed="81"/>
            <rFont val="Tahoma"/>
            <family val="2"/>
          </rPr>
          <t xml:space="preserve">
</t>
        </r>
        <r>
          <rPr>
            <sz val="9"/>
            <color indexed="81"/>
            <rFont val="Tahoma"/>
            <family val="2"/>
          </rPr>
          <t xml:space="preserve">
</t>
        </r>
      </text>
    </comment>
    <comment ref="B9" authorId="0" shapeId="0" xr:uid="{00000000-0006-0000-2300-000004000000}">
      <text>
        <r>
          <rPr>
            <sz val="9"/>
            <color indexed="81"/>
            <rFont val="Tahoma"/>
            <family val="2"/>
          </rPr>
          <t>nicht variierbar</t>
        </r>
        <r>
          <rPr>
            <b/>
            <sz val="9"/>
            <color indexed="81"/>
            <rFont val="Tahoma"/>
            <family val="2"/>
          </rPr>
          <t xml:space="preserve">
</t>
        </r>
        <r>
          <rPr>
            <sz val="9"/>
            <color indexed="81"/>
            <rFont val="Tahoma"/>
            <family val="2"/>
          </rPr>
          <t xml:space="preserve">
</t>
        </r>
      </text>
    </comment>
    <comment ref="B10" authorId="0" shapeId="0" xr:uid="{00000000-0006-0000-2300-000005000000}">
      <text>
        <r>
          <rPr>
            <sz val="9"/>
            <color indexed="81"/>
            <rFont val="Tahoma"/>
            <family val="2"/>
          </rPr>
          <t>nicht variierbar</t>
        </r>
        <r>
          <rPr>
            <b/>
            <sz val="9"/>
            <color indexed="81"/>
            <rFont val="Tahoma"/>
            <family val="2"/>
          </rPr>
          <t xml:space="preserve">
</t>
        </r>
        <r>
          <rPr>
            <sz val="9"/>
            <color indexed="81"/>
            <rFont val="Tahoma"/>
            <family val="2"/>
          </rPr>
          <t xml:space="preserve">
</t>
        </r>
      </text>
    </comment>
    <comment ref="B11" authorId="0" shapeId="0" xr:uid="{00000000-0006-0000-2300-000006000000}">
      <text>
        <r>
          <rPr>
            <sz val="9"/>
            <color indexed="81"/>
            <rFont val="Tahoma"/>
            <family val="2"/>
          </rPr>
          <t>nicht variierbar</t>
        </r>
        <r>
          <rPr>
            <b/>
            <sz val="9"/>
            <color indexed="81"/>
            <rFont val="Tahoma"/>
            <family val="2"/>
          </rPr>
          <t xml:space="preserve">
</t>
        </r>
        <r>
          <rPr>
            <sz val="9"/>
            <color indexed="81"/>
            <rFont val="Tahoma"/>
            <family val="2"/>
          </rPr>
          <t xml:space="preserve">
</t>
        </r>
      </text>
    </comment>
  </commentList>
</comments>
</file>

<file path=xl/sharedStrings.xml><?xml version="1.0" encoding="utf-8"?>
<sst xmlns="http://schemas.openxmlformats.org/spreadsheetml/2006/main" count="5517" uniqueCount="1050">
  <si>
    <t>Version</t>
  </si>
  <si>
    <t>Name</t>
  </si>
  <si>
    <t>Index</t>
  </si>
  <si>
    <t>Table of contents</t>
  </si>
  <si>
    <t>Felix Chr. Matthes</t>
  </si>
  <si>
    <t>For Update of Index</t>
  </si>
  <si>
    <t>click this button</t>
  </si>
  <si>
    <t>(Macros must be enabled)</t>
  </si>
  <si>
    <t>No.</t>
  </si>
  <si>
    <t>Table</t>
  </si>
  <si>
    <t>Geothermie</t>
  </si>
  <si>
    <t>Biomasse</t>
  </si>
  <si>
    <t>PV</t>
  </si>
  <si>
    <t>unit</t>
  </si>
  <si>
    <t>Beschreibung</t>
  </si>
  <si>
    <t>Szenario</t>
  </si>
  <si>
    <t>Markus Haller</t>
  </si>
  <si>
    <t>Euro/MWh</t>
  </si>
  <si>
    <t>Wind Onshore</t>
  </si>
  <si>
    <t>Wind Offshore</t>
  </si>
  <si>
    <t>none</t>
  </si>
  <si>
    <t>D-Profilfaktoren</t>
  </si>
  <si>
    <t>D-Future Strompreis</t>
  </si>
  <si>
    <t>D-Spot-Skalierungsfaktor</t>
  </si>
  <si>
    <t>D-Liquiditätspuffer</t>
  </si>
  <si>
    <t>D-Kontostand September</t>
  </si>
  <si>
    <t>TWh</t>
  </si>
  <si>
    <t>D-Gesamtstromverbrauch</t>
  </si>
  <si>
    <t>D-Privilegierter Letztverbrauch</t>
  </si>
  <si>
    <t>D-Eigenstromverbrauch</t>
  </si>
  <si>
    <t>D-Umlage Grünstromprivileg</t>
  </si>
  <si>
    <t>D-Umlage Eigenstromverbrauch</t>
  </si>
  <si>
    <t>D-Umlage priv. Letztverbrauch</t>
  </si>
  <si>
    <t>D-Grünstromprivileg</t>
  </si>
  <si>
    <t>GW</t>
  </si>
  <si>
    <t>h</t>
  </si>
  <si>
    <t>D-Dargebotsfaktor</t>
  </si>
  <si>
    <t>D-Standardauslastung</t>
  </si>
  <si>
    <t>D-Anteil Direktvermarktung</t>
  </si>
  <si>
    <t>D-Managementprämie</t>
  </si>
  <si>
    <t>D-Mittlerer Vergütungssatz</t>
  </si>
  <si>
    <t>Dargebotsfaktor [-]</t>
  </si>
  <si>
    <t>Gesamt</t>
  </si>
  <si>
    <t>D-Stromerzeugung</t>
  </si>
  <si>
    <t>Mrd. Euro</t>
  </si>
  <si>
    <t>D-Anteil Eigenverbrauch</t>
  </si>
  <si>
    <t>D-vermiedene Netzentgelte</t>
  </si>
  <si>
    <t>Bearbeiter</t>
  </si>
  <si>
    <t>mh</t>
  </si>
  <si>
    <t>-</t>
  </si>
  <si>
    <t>Übersicht der ausgewählten Eingangsparameter (blau) und Berechnungen (grün)</t>
  </si>
  <si>
    <t>D-Anteil Sonstige DV</t>
  </si>
  <si>
    <t>D-Profilfaktoren-Marktprämie</t>
  </si>
  <si>
    <t>D-Vergütung Eigenverbrauch</t>
  </si>
  <si>
    <t>D-Sonstige Kosten</t>
  </si>
  <si>
    <t>D-Vergütungssatz Neuanlagen</t>
  </si>
  <si>
    <t>D-Profilfaktoren-real</t>
  </si>
  <si>
    <t>EEG Calculator</t>
  </si>
  <si>
    <t>MOD-Berechnungen</t>
  </si>
  <si>
    <t>0%</t>
  </si>
  <si>
    <t>Start</t>
  </si>
  <si>
    <t>TWh/a</t>
  </si>
  <si>
    <t>Referenz</t>
  </si>
  <si>
    <t>gewähltes Szenario</t>
  </si>
  <si>
    <t>Expertenmodus</t>
  </si>
  <si>
    <t>Technologie</t>
  </si>
  <si>
    <t>MOD-Output</t>
  </si>
  <si>
    <t>D-Jahreszubau</t>
  </si>
  <si>
    <t>Start-Experte</t>
  </si>
  <si>
    <t>Parameter-Entscheider</t>
  </si>
  <si>
    <t>ControlPanel</t>
  </si>
  <si>
    <t>Umlage [ct/kWh]</t>
  </si>
  <si>
    <t>&gt;</t>
  </si>
  <si>
    <t>Strompreis + Umlage [ct/kWh]</t>
  </si>
  <si>
    <t xml:space="preserve"> </t>
  </si>
  <si>
    <t>Impressum</t>
  </si>
  <si>
    <t>Manual</t>
  </si>
  <si>
    <t>Öko-Institut e.V.</t>
  </si>
  <si>
    <t>Autoren:</t>
  </si>
  <si>
    <t>Charlotte Loreck</t>
  </si>
  <si>
    <t>Agora Energiewende</t>
  </si>
  <si>
    <t>Modellversion:</t>
  </si>
  <si>
    <t xml:space="preserve">erarbeitet durch: </t>
  </si>
  <si>
    <t>Kontakt:</t>
  </si>
  <si>
    <t>im Auftrag von:</t>
  </si>
  <si>
    <t>10178 Berlin</t>
  </si>
  <si>
    <t>www.agora-energiewende.de</t>
  </si>
  <si>
    <t>Schicklerstr. 5-7</t>
  </si>
  <si>
    <t>10179 Berlin</t>
  </si>
  <si>
    <t>www.oeko.de</t>
  </si>
  <si>
    <t>info@agora-energiewende.de</t>
  </si>
  <si>
    <t>MOD-Jahresgang</t>
  </si>
  <si>
    <t>Zitiervorschlag:</t>
  </si>
  <si>
    <t>zur Ermittlung der EEG-Umlage. Erstellt im Auftrag von Agora Energiewende.</t>
  </si>
  <si>
    <t xml:space="preserve">© Öko-Institut und Agora Energiewende. Alle Rechte vorbehalten. Nutzung der Methoden, </t>
  </si>
  <si>
    <t>Standarddaten und Ergebnisse nur mit Verweis auf die Autoren und Agora Energiewende gestattet.</t>
  </si>
  <si>
    <t>GrD-Grafikdaten</t>
  </si>
  <si>
    <t>IndexComplete</t>
  </si>
  <si>
    <t>EEG-Rechner</t>
  </si>
  <si>
    <t>EEG-Rechner: Berechnungs- und Szenarienmodell zur Ermittlung der EEG-Umlage</t>
  </si>
  <si>
    <t>90%</t>
  </si>
  <si>
    <t>Wert</t>
  </si>
  <si>
    <t>-2 Mrd. Euro</t>
  </si>
  <si>
    <t>-1 Mrd. Euro</t>
  </si>
  <si>
    <t>+1 Mrd. Euro</t>
  </si>
  <si>
    <t>+2 Mrd. Euro</t>
  </si>
  <si>
    <t>cl</t>
  </si>
  <si>
    <t>dr</t>
  </si>
  <si>
    <t>None</t>
  </si>
  <si>
    <t>0 TWh</t>
  </si>
  <si>
    <t>25%</t>
  </si>
  <si>
    <t>50%</t>
  </si>
  <si>
    <t>75%</t>
  </si>
  <si>
    <t>100%</t>
  </si>
  <si>
    <t>D-Umlage Eigenverbrauch PV+KWK</t>
  </si>
  <si>
    <t>D-Prognosefehler Kontostand</t>
  </si>
  <si>
    <t>D-Kontostand aktuelles Jahr</t>
  </si>
  <si>
    <t>D-Kontostand Vorjahr</t>
  </si>
  <si>
    <t>D-Eigenverbrauch fossil Bestand</t>
  </si>
  <si>
    <t>D-Eigenverbrauch fossile Neue</t>
  </si>
  <si>
    <t>D-Eigenverbrauch EE-Bestand</t>
  </si>
  <si>
    <t>D-Umlagereduktion Grünstrom</t>
  </si>
  <si>
    <t>D-Umlage Eigenverb fossile Neue</t>
  </si>
  <si>
    <t>aktuelles Jahr von Oktober bis September</t>
  </si>
  <si>
    <t>0,5 GW/a</t>
  </si>
  <si>
    <t>1,0 GW/a</t>
  </si>
  <si>
    <t>1,5 GW/a</t>
  </si>
  <si>
    <t>2 GW/a</t>
  </si>
  <si>
    <t xml:space="preserve">Differenz zum Referenz-Szenario </t>
  </si>
  <si>
    <t>Ergebnis: EEG-Umlage und Summe aus Strompreis und Umlage [ct/kWh]</t>
  </si>
  <si>
    <t xml:space="preserve">Referenz-Szenario </t>
  </si>
  <si>
    <t>Referenzszenario [Mrd. Euro]</t>
  </si>
  <si>
    <t>Differenz zum Referenz-Szenario [Mrd. Euro]</t>
  </si>
  <si>
    <t>zu den Szenariendaten:   &gt;</t>
  </si>
  <si>
    <t>Dargebotsfaktor 110%</t>
  </si>
  <si>
    <t>David Ritter</t>
  </si>
  <si>
    <t>D-Eigenverbrauch KWK Neue</t>
  </si>
  <si>
    <t>D-Faktor Zusatzprivilegierung</t>
  </si>
  <si>
    <t>D-Anteil Eigenverbrauch EE neu</t>
  </si>
  <si>
    <t>D-Managementprämie_Bestand</t>
  </si>
  <si>
    <t>15% (gem. EEG 2014)</t>
  </si>
  <si>
    <t>nominal</t>
  </si>
  <si>
    <t>v2.1.14</t>
  </si>
  <si>
    <t>zuletzt geändert</t>
  </si>
  <si>
    <t>v2.1.13</t>
  </si>
  <si>
    <t>zuletzt verändert</t>
  </si>
  <si>
    <t>v.2.1.9</t>
  </si>
  <si>
    <t>v2.1.9</t>
  </si>
  <si>
    <t>v2.1.4</t>
  </si>
  <si>
    <t>v2.1.7</t>
  </si>
  <si>
    <t>v2.1.11</t>
  </si>
  <si>
    <t>v2.1.6</t>
  </si>
  <si>
    <t>Sonderfall: 2015: Mittlerer Vergütungssatz = Vergütungssatz für Neuanlagen 2015</t>
  </si>
  <si>
    <t>v2.1.15</t>
  </si>
  <si>
    <t>v2.1.16</t>
  </si>
  <si>
    <t>v2.1.17</t>
  </si>
  <si>
    <t>wann hinzugefügt</t>
  </si>
  <si>
    <t>ID</t>
  </si>
  <si>
    <t>v2.1.19</t>
  </si>
  <si>
    <t>x</t>
  </si>
  <si>
    <t>EE-Anteil an Bruttostromverbrauch</t>
  </si>
  <si>
    <t>v2.1.25</t>
  </si>
  <si>
    <t>110%</t>
  </si>
  <si>
    <t>v2.1.26</t>
  </si>
  <si>
    <t>80%</t>
  </si>
  <si>
    <t>70%</t>
  </si>
  <si>
    <t>1,5%</t>
  </si>
  <si>
    <t>1,0%</t>
  </si>
  <si>
    <t>2,0%</t>
  </si>
  <si>
    <t>0 Mrd. Euro</t>
  </si>
  <si>
    <t>2 Mrd. Euro</t>
  </si>
  <si>
    <t>4 Mrd. Euro</t>
  </si>
  <si>
    <t>6 Mrd. Euro</t>
  </si>
  <si>
    <t>v2.1.27</t>
  </si>
  <si>
    <t>v2.1.29</t>
  </si>
  <si>
    <t>0,01GW/a</t>
  </si>
  <si>
    <t>v2.1.30</t>
  </si>
  <si>
    <t>v2.1.31</t>
  </si>
  <si>
    <t>0 GW/a</t>
  </si>
  <si>
    <t>v2.1.33</t>
  </si>
  <si>
    <t>v2.1.35</t>
  </si>
  <si>
    <t>0,1 GW/a</t>
  </si>
  <si>
    <t>0,2 GW/a</t>
  </si>
  <si>
    <t>0,3 GW/a</t>
  </si>
  <si>
    <t>0,4 GW/a</t>
  </si>
  <si>
    <t>3,0 GW/a</t>
  </si>
  <si>
    <t>4,5 GW/a</t>
  </si>
  <si>
    <t>6,0 GW/a</t>
  </si>
  <si>
    <t>v2.1.37</t>
  </si>
  <si>
    <t>v2.1.38</t>
  </si>
  <si>
    <t>v2.1.40</t>
  </si>
  <si>
    <t>http://www.agora-energiewende.de/de/service/eeg-rechner/</t>
  </si>
  <si>
    <t>Ergebnisse</t>
  </si>
  <si>
    <t>GrD-Grafikdaten (2)</t>
  </si>
  <si>
    <t>MOD_Absenkung_Wind_offshore</t>
  </si>
  <si>
    <t>D-Bruttozubau</t>
  </si>
  <si>
    <t>D-Dauer Goldenes Ende</t>
  </si>
  <si>
    <t>D-Nettostromverbrauch</t>
  </si>
  <si>
    <t>D-Umlage EV Bestand</t>
  </si>
  <si>
    <t>D-Inflationsrate</t>
  </si>
  <si>
    <t>D-Strommenge ges.</t>
  </si>
  <si>
    <t>D-Strommenge FV+DM</t>
  </si>
  <si>
    <t>D-Bestand Kapazität</t>
  </si>
  <si>
    <t>D-Bestand Strommenge</t>
  </si>
  <si>
    <t>D-Bestand Zahlungen</t>
  </si>
  <si>
    <t>D-Netzverl. u. KW-Eigenverbr.</t>
  </si>
  <si>
    <t>D-Kapazitäten 2009</t>
  </si>
  <si>
    <t>D-Rückbau vor 2015</t>
  </si>
  <si>
    <t>D-EE-Strommengen nicht EEG</t>
  </si>
  <si>
    <t>v2.1.43</t>
  </si>
  <si>
    <t>v3.0</t>
  </si>
  <si>
    <t>v3.0.1</t>
  </si>
  <si>
    <r>
      <t>Sonderfall: 
   Wenn:  Summe(t)</t>
    </r>
    <r>
      <rPr>
        <vertAlign val="subscript"/>
        <sz val="10"/>
        <color rgb="FF0070C0"/>
        <rFont val="Arial"/>
        <family val="2"/>
      </rPr>
      <t>2015-&gt;aktuelles Vorjahr</t>
    </r>
    <r>
      <rPr>
        <sz val="10"/>
        <color rgb="FF0070C0"/>
        <rFont val="Arial"/>
        <family val="2"/>
      </rPr>
      <t xml:space="preserve"> (Zubau brutto (t)) + Zubau brutto (aktuelles Jahr)/2) = 0, 
   dann:    verwende mittleren Vergütungssatz aus dem Vorjahr 
  (um Division durch Null zu vermeiden)</t>
    </r>
  </si>
  <si>
    <t>wann hinzu-gefügt</t>
  </si>
  <si>
    <t>Mrd. €</t>
  </si>
  <si>
    <t>14,65 TWh/a</t>
  </si>
  <si>
    <t>a</t>
  </si>
  <si>
    <t>v3.0.8</t>
  </si>
  <si>
    <t>Entwicklerkommentar</t>
  </si>
  <si>
    <t>v.3.0.9</t>
  </si>
  <si>
    <t>v3.0.9</t>
  </si>
  <si>
    <t>ist jetzt nicht mehr Differenz zwischen Gesamt und Bestand, sondern direkt die in MOD-Berechnungen bestimmte Erzeugung durch Neuanlagen</t>
  </si>
  <si>
    <t>ist jetzt für alle Jahre Strommenge gesamt minus Strommenge Neuanlagen</t>
  </si>
  <si>
    <t>v3.1.0a</t>
  </si>
  <si>
    <t>MFP hoch</t>
  </si>
  <si>
    <t>MFP niedrig</t>
  </si>
  <si>
    <t>v3.1.3</t>
  </si>
  <si>
    <t>159_01</t>
  </si>
  <si>
    <t>4,1GW</t>
  </si>
  <si>
    <t>1,5GW</t>
  </si>
  <si>
    <t>192.1</t>
  </si>
  <si>
    <t>192.2</t>
  </si>
  <si>
    <t>192.3</t>
  </si>
  <si>
    <t>192.4</t>
  </si>
  <si>
    <t>192.5</t>
  </si>
  <si>
    <t>192.6</t>
  </si>
  <si>
    <t>192.7</t>
  </si>
  <si>
    <t>192.8</t>
  </si>
  <si>
    <t>192.9</t>
  </si>
  <si>
    <t>192.10</t>
  </si>
  <si>
    <t>192.11</t>
  </si>
  <si>
    <t>D-EE-Kapazitäten nicht EEG</t>
  </si>
  <si>
    <t>D-Korrekt. Strommenge akt. Jahr</t>
  </si>
  <si>
    <t>%</t>
  </si>
  <si>
    <t>15%</t>
  </si>
  <si>
    <t>Letzte Aktualisierung:</t>
  </si>
  <si>
    <t>fix</t>
  </si>
  <si>
    <t>gem. EEG 2017 (0,5%/a Degression)</t>
  </si>
  <si>
    <t>gem. EEG 2017 (1,5%/a Degression)</t>
  </si>
  <si>
    <t>EEG 2017</t>
  </si>
  <si>
    <t>gem. EEG 2017 (ab 2021 5%/a Degression)</t>
  </si>
  <si>
    <t>257_01</t>
  </si>
  <si>
    <t>258_01</t>
  </si>
  <si>
    <t>259_01</t>
  </si>
  <si>
    <t>260_01</t>
  </si>
  <si>
    <t>261_01</t>
  </si>
  <si>
    <t>262_01</t>
  </si>
  <si>
    <t>263_01</t>
  </si>
  <si>
    <t>264_01</t>
  </si>
  <si>
    <t>265_01</t>
  </si>
  <si>
    <t>257_02</t>
  </si>
  <si>
    <t>258_02</t>
  </si>
  <si>
    <t>259_02</t>
  </si>
  <si>
    <t>260_02</t>
  </si>
  <si>
    <t>261_02</t>
  </si>
  <si>
    <t>262_02</t>
  </si>
  <si>
    <t>263_02</t>
  </si>
  <si>
    <t>264_02</t>
  </si>
  <si>
    <t>265_02</t>
  </si>
  <si>
    <t>aj/fp/mmk</t>
  </si>
  <si>
    <t>342.1</t>
  </si>
  <si>
    <t>0,01 GW/a</t>
  </si>
  <si>
    <t>MFP Trend</t>
  </si>
  <si>
    <t>Strommenge Festvergütung</t>
  </si>
  <si>
    <t>Strommenge Marktprämie</t>
  </si>
  <si>
    <t>36.01</t>
  </si>
  <si>
    <t>36.02</t>
  </si>
  <si>
    <t>36.03</t>
  </si>
  <si>
    <t>36.04</t>
  </si>
  <si>
    <t>36.05</t>
  </si>
  <si>
    <t>36.06</t>
  </si>
  <si>
    <t>36.07</t>
  </si>
  <si>
    <t>36.08</t>
  </si>
  <si>
    <t>36.09</t>
  </si>
  <si>
    <t>110.01</t>
  </si>
  <si>
    <t>110.02</t>
  </si>
  <si>
    <t>110.03</t>
  </si>
  <si>
    <t>110.04</t>
  </si>
  <si>
    <t>110.05</t>
  </si>
  <si>
    <t>110.06</t>
  </si>
  <si>
    <t>110.07</t>
  </si>
  <si>
    <t>110.08</t>
  </si>
  <si>
    <t>110.09</t>
  </si>
  <si>
    <t>110.10</t>
  </si>
  <si>
    <t>Anna-Louisa-Karsch-Straße 2</t>
  </si>
  <si>
    <t>as</t>
  </si>
  <si>
    <t>65% EE bis 2030</t>
  </si>
  <si>
    <t>as/pl</t>
  </si>
  <si>
    <t>steigt auf 2600h in 2035; höhere Ausgangsauslastung</t>
  </si>
  <si>
    <t>5 Jahe</t>
  </si>
  <si>
    <t>fh</t>
  </si>
  <si>
    <t>NOMINAL</t>
  </si>
  <si>
    <t>0,06Mrd. €</t>
  </si>
  <si>
    <t>6%</t>
  </si>
  <si>
    <t>fh/pl</t>
  </si>
  <si>
    <t>as/pl/fh</t>
  </si>
  <si>
    <t>10 Mrd€/a</t>
  </si>
  <si>
    <t>5 Mrd€/a</t>
  </si>
  <si>
    <t>353.01</t>
  </si>
  <si>
    <t>test</t>
  </si>
  <si>
    <t>Öko-Institut (2020): EEG-Rechner. Berechnungs- und Szenarienmodell</t>
  </si>
  <si>
    <t>bis 2025 wie MFP unteres Szenario, danach lineare Anpassung auf 850h in 2035</t>
  </si>
  <si>
    <t>7.17€/MWh</t>
  </si>
  <si>
    <t>fp/as/fh</t>
  </si>
  <si>
    <t>4.1.1</t>
  </si>
  <si>
    <t xml:space="preserve">Paramètres d'entrée:
Expansion annuelle de la capacité (brute) </t>
  </si>
  <si>
    <t xml:space="preserve">Calculatrice EEG: brèves instructions </t>
  </si>
  <si>
    <t xml:space="preserve">Instructions importantes: </t>
  </si>
  <si>
    <t xml:space="preserve">1. Les macros doivent être autorisées à utiliser la calculatrice EEG! </t>
  </si>
  <si>
    <r>
      <t>2. Par défaut, tous les résultats sont donnés en valeurs nominales</t>
    </r>
    <r>
      <rPr>
        <sz val="10"/>
        <rFont val="Arial"/>
        <family val="2"/>
      </rPr>
      <t xml:space="preserve"> (c'est-à-dire sans ajustement pour l'inflation). Pour passer aux valeurs réelles (basées sur l'année en cours), veuillez cliquer sur le champ correspondant sous "Démarrer". </t>
    </r>
  </si>
  <si>
    <r>
      <t>3. Le calculateur EEG n'effectue pas de contrôle de plausibilité des scénarios sélectionnés.</t>
    </r>
    <r>
      <rPr>
        <sz val="10"/>
        <rFont val="Arial"/>
        <family val="2"/>
      </rPr>
      <t xml:space="preserve"> L'utilisateur est responsable de la saisie de scénarios cohérents (par exemple en vue du volume d'énergies renouvelables, du niveau tarifaire et des prévisions de prix de l'électricité). Cela s'applique en particulier aux éventuelles offres à 0 centime dans les appels d'offres, étant donné que le prix de l'électricité attendu doit être supérieur au niveau du taux de rémunération EEG pour les nouveaux systèmes. </t>
    </r>
  </si>
  <si>
    <t xml:space="preserve">La loi sur les sources d'énergie renouvelables (EEG) est l'instrument central pour soutenir la production d'électricité à partir d'énergies renouvelables en Allemagne. Il réglemente entre autres les tarifs de rachat des différentes classes de systèmes et la forme sous laquelle le déficit de couverture qui survient après la commercialisation de l'électricité produite est répercuté sur les différents consommateurs d'électricité. </t>
  </si>
  <si>
    <t xml:space="preserve">La surcharge EEG, qui s'ajoute à la consommation électrique des clients finaux et qui couvre une grande partie des coûts nets de l'EEG, est un paramètre clé. Le montant de la surcharge EEG est ajusté une fois par an en fonction de l'écart de couverture attendu. Le montant du prélèvement est influencé par de nombreux paramètres. Le calculateur EEG permet de faire varier ces paramètres et d'estimer l'évolution de la surtaxe EEG et des flux de paiement sous-jacents jusqu'en 2035. </t>
  </si>
  <si>
    <t>Utilisation:</t>
  </si>
  <si>
    <t xml:space="preserve">La calculatrice EEG peut être utilisée dans deux modes différents: </t>
  </si>
  <si>
    <r>
      <t>En</t>
    </r>
    <r>
      <rPr>
        <b/>
        <sz val="10"/>
        <rFont val="Arial"/>
        <family val="2"/>
      </rPr>
      <t xml:space="preserve"> mode décideur</t>
    </r>
    <r>
      <rPr>
        <sz val="10"/>
        <rFont val="Arial"/>
        <family val="2"/>
      </rPr>
      <t xml:space="preserve">, les variables manipulées les plus importantes peuvent être modifiées sur une interface conviviale. Différents scénarios prédéfinis sont disponibles pour chaque paramètr  </t>
    </r>
  </si>
  <si>
    <r>
      <t xml:space="preserve">En </t>
    </r>
    <r>
      <rPr>
        <b/>
        <sz val="10"/>
        <rFont val="Arial"/>
        <family val="2"/>
      </rPr>
      <t>mode expert</t>
    </r>
    <r>
      <rPr>
        <sz val="10"/>
        <rFont val="Arial"/>
        <family val="2"/>
      </rPr>
      <t xml:space="preserve">, il y a beaucoup plus de paramètres d'entrée (tous pertinents) disponibles pour les variations. En plus des scénarios prédéfinis, des scénarios individuels peuvent également être définis pour chaque paramètre et stockés dans une structure de base de données. Toutes les données et calculs sont accessibles à l'utilisateur en mode expert.  </t>
    </r>
  </si>
  <si>
    <t xml:space="preserve">Le bouton correspondant sur l'interface utilisateur peut être utilisé pour basculer entre les deux modes; les feuilles de calcul qui peuvent être utilisées pour le mode respectif sont affichées ou masquées.  </t>
  </si>
  <si>
    <t>Fonctionnement en mode décideur  (Tab "Start"):</t>
  </si>
  <si>
    <t xml:space="preserve">Tous les paramètres modifiables sont affichés sur l'interface utilisateur dans la feuille "Start". La valeur sélectionnée s'affiche pour chaque paramètre, ainsi que la plage de valeurs possibles à sélectionner. Une valeur de référence est prédéfinie pour chaque paramètre - ce scénario de référence représente l'évolution de la surtaxe EEG en supposant qu'aucun changement significatif ne sera apporté au mécanisme EEG et que l'expansion de la capacité, le prix de l'électricité et la demande évolueront modérément.  </t>
  </si>
  <si>
    <t>Les chiffres de la feuille «Start» donnent un aperçu des résultats les plus importants (évolution de la surtaxe EEG et somme du prix de l'électricité en bourse et de la surtaxe). D'autres résultats sous forme de figures et de tableaux sont compilés dans la feuille "Résultats". Cette feuille de travail peut également être imprimée afin d'enregistrer tous les résultats et de changer de position pour un scénario.</t>
  </si>
  <si>
    <t xml:space="preserve">Pour chaque paramètre, le scénario souhaité peut être sélectionné dans une liste de sélection en cliquant dessus. Les graphiques et les tableaux montrent comment la modification d'un paramètre affecte la surcharge EEG et les flux de paiement, etc.  </t>
  </si>
  <si>
    <t xml:space="preserve">Tous les paramètres peuvent être réinitialisés à leur valeur de référence à l'aide du bouton «Reinitialisation». </t>
  </si>
  <si>
    <t xml:space="preserve">Ces brèves instructions peuvent être sélectionnées à partir de l'interface utilisateur à l'aide du bouton "Aide". </t>
  </si>
  <si>
    <t>Fonctionnement en mode expert  (Tab "Expert"):</t>
  </si>
  <si>
    <t xml:space="preserve">En mode expert, un nombre significativement plus grand de paramètres d'entrée peut être modifié via l'interface utilisateur dans la feuille de travail "Démarrer l'expert". De plus, vous pouvez définir vos propres scénarios dans les bibliothèques stockées pour les paramètres individuels. Cependant, les scénarios standard fournis ne peuvent pas être modifiés. Un lien (&gt;) vers la fiche technique de la bibliothèque correspondante est inséré à côté de chaque paramètre sur l'interface utilisateur. Jusqu'à 20 scénarios peuvent être définis pour chaque paramètre, y compris les scénarios standards fournis. Une fois les scénarios créés dans la fiche technique de la bibliothèque, ils peuvent être sélectionnés dans l'interface utilisateur à l'aide des menus déroulants respectifs. Les utilisateurs sont responsables de la cohérence des scénarios nouvellement créés. </t>
  </si>
  <si>
    <t xml:space="preserve">Tous les paramètres peuvent être réinitialisés à leur valeur de référence à l'aide du bouton «Reinitialisation».  </t>
  </si>
  <si>
    <t xml:space="preserve">Une documentation détaillée du calculateur EEG est disponible sur le site Web d'Agora Energiewende (en allemand): </t>
  </si>
  <si>
    <t xml:space="preserve">Mode décideur </t>
  </si>
  <si>
    <t>Eolien Onshore</t>
  </si>
  <si>
    <t>Eolien Offshore</t>
  </si>
  <si>
    <t xml:space="preserve">Scénario sélectionnable -&gt; </t>
  </si>
  <si>
    <t xml:space="preserve">fixé </t>
  </si>
  <si>
    <t xml:space="preserve">Augmentation annuelle de la capacité des énergies renouvelables (brut) </t>
  </si>
  <si>
    <t xml:space="preserve">Scénario </t>
  </si>
  <si>
    <t xml:space="preserve">Editeur </t>
  </si>
  <si>
    <t xml:space="preserve">Description </t>
  </si>
  <si>
    <t xml:space="preserve">Commentaire </t>
  </si>
  <si>
    <t>Eau</t>
  </si>
  <si>
    <t>Gaz</t>
  </si>
  <si>
    <t xml:space="preserve">Valeurs possibles </t>
  </si>
  <si>
    <t xml:space="preserve">Scénario choisi </t>
  </si>
  <si>
    <t>Mode décideur</t>
  </si>
  <si>
    <t>Valeurs possibles</t>
  </si>
  <si>
    <t>65% Scénario</t>
  </si>
  <si>
    <t>Faible</t>
  </si>
  <si>
    <t>Moyen</t>
  </si>
  <si>
    <t>Haut</t>
  </si>
  <si>
    <t>Très haut</t>
  </si>
  <si>
    <t>1,5 GW jusqu´à 2021, à partir de 2023 2,5 GW/a</t>
  </si>
  <si>
    <t xml:space="preserve">Poursuite des chiffres d'expansion actuellement faibles jusqu'en 2021, puis augmentation à 2,5 GW en 2023; à partir de 2023 constante 2,5 GW </t>
  </si>
  <si>
    <t xml:space="preserve">Offres spéciales; 90% de réalisation </t>
  </si>
  <si>
    <t xml:space="preserve">Jusqu'en 2024 comme le scénario de tendance MFP plus appels d'offres spéciaux en 2020 (1,4 GW), 2021 (1,6 GW) avec 1 an de retard et 90% de réalisation; à partir de 2025 3,5 GW / a </t>
  </si>
  <si>
    <t xml:space="preserve"> Tendance MFP</t>
  </si>
  <si>
    <t xml:space="preserve">Jusqu'en 2025 comme scénario de tendance MFP, par la suite comme appels d'offres spéciaux; Mise en œuvre EEG 2017 90% </t>
  </si>
  <si>
    <t>Scénario choisi</t>
  </si>
  <si>
    <t xml:space="preserve">Paramètres d'entrée: durée de vie des systèmes après la fin du financement </t>
  </si>
  <si>
    <t>Paramètres d'entrée: subventions du budget fédéral</t>
  </si>
  <si>
    <t xml:space="preserve">Paramètres d'entrée: utilisation standard </t>
  </si>
  <si>
    <t>Paramètres d'entrée: facteur d'alimentation</t>
  </si>
  <si>
    <t xml:space="preserve"> Paramètres d'entrée: facteur de profil </t>
  </si>
  <si>
    <t xml:space="preserve">que signifient les couleurs? </t>
  </si>
  <si>
    <t xml:space="preserve">bleu: peut être modifié en mode décideur </t>
  </si>
  <si>
    <t xml:space="preserve">gris: ne peut être modifié qu'en mode expert. La valeur par défaut du mode décideur est saisie ici. </t>
  </si>
  <si>
    <t xml:space="preserve">Utilisation finale privilégiée </t>
  </si>
  <si>
    <t xml:space="preserve">Part de la redevance pour les consommateurs finaux privilégiés </t>
  </si>
  <si>
    <t>Facteur d'enregistrement de privilèges supplémentaires</t>
  </si>
  <si>
    <t xml:space="preserve">Prix ​​de gros de l'électricité (futur) </t>
  </si>
  <si>
    <t xml:space="preserve">Réserve de liquidité </t>
  </si>
  <si>
    <t xml:space="preserve">Catégories autoconsommation 
et participation respective </t>
  </si>
  <si>
    <t xml:space="preserve">propre consommation  
(Nouveaux systèmes de cogénération) </t>
  </si>
  <si>
    <t>Part d'autoconsommation dans les nouveaux systèmes PV</t>
  </si>
  <si>
    <t xml:space="preserve">Part de la taxe pour la nouvelle autoconsommation (PV et CHP) </t>
  </si>
  <si>
    <t xml:space="preserve">Réduction des délocalisations pour consommation propre (systèmes existants) </t>
  </si>
  <si>
    <t xml:space="preserve">Consommation nette d'électricité </t>
  </si>
  <si>
    <t xml:space="preserve">Facteur de mise à l'échelle du spot </t>
  </si>
  <si>
    <t xml:space="preserve">Frais de réseau évités </t>
  </si>
  <si>
    <t>D'autres coûts</t>
  </si>
  <si>
    <t>Première année de prévision</t>
  </si>
  <si>
    <t>Année de base pour les données monétaires réelles</t>
  </si>
  <si>
    <t>Paramètres d'entrée: utilisation standard</t>
  </si>
  <si>
    <t xml:space="preserve"> Paramètres d'entrée: facteur d'alimentation</t>
  </si>
  <si>
    <t xml:space="preserve"> Paramètres d'entrée: facteur de profil</t>
  </si>
  <si>
    <t>Consommation nette d'électricité</t>
  </si>
  <si>
    <t>Facteur de mise à l'échelle du spot</t>
  </si>
  <si>
    <t>Autres coûts</t>
  </si>
  <si>
    <t>Taux d'inflation</t>
  </si>
  <si>
    <t>Présenter les données monétaires en termes nominaux ou réels?</t>
  </si>
  <si>
    <t>Sélection pour les commutateurs nominaux / réels:</t>
  </si>
  <si>
    <t>réel</t>
  </si>
  <si>
    <t>Étiquetage des axes pour les unités monétaires:</t>
  </si>
  <si>
    <t>Paramètres d'entrée:
Evolution des taux de rémunération (évolution par an)</t>
  </si>
  <si>
    <t>Paramètres d'entrée: 
Prix ​​de l'électricité, réserve de liquidité et solde du compte</t>
  </si>
  <si>
    <t>Paramètres d'entrée: 
Divers</t>
  </si>
  <si>
    <t xml:space="preserve"> Paramètres d'entrée: subventions du budget fédéral</t>
  </si>
  <si>
    <t>Paramètres d'entrée: 
Extension annuelle de la capacité</t>
  </si>
  <si>
    <t>Paramètres d'entrée: durée de vie des systèmes après la fin du financement</t>
  </si>
  <si>
    <t>Paramètres d'entrée: 
propre consommation</t>
  </si>
  <si>
    <t>Paramètres d'entrée: 
Privilèges</t>
  </si>
  <si>
    <t>Référence</t>
  </si>
  <si>
    <t>Pas d'extension</t>
  </si>
  <si>
    <t>Haut MFP</t>
  </si>
  <si>
    <t>Faible MFP</t>
  </si>
  <si>
    <t xml:space="preserve">Scénario de référence </t>
  </si>
  <si>
    <t xml:space="preserve">Différence par rapport au scénario de référence </t>
  </si>
  <si>
    <t>Paramètres d'entrée: consommation d'énergie</t>
  </si>
  <si>
    <t>Paramètres d'entrée: 
Exceptions pour les entreprises à forte intensité d'électricité (BesAR)</t>
  </si>
  <si>
    <t>Paramètres d'entrée: 
Prix ​​de l'électricité et solde du compte</t>
  </si>
  <si>
    <t>Scénario sélectionnable -&gt;</t>
  </si>
  <si>
    <t>fixé</t>
  </si>
  <si>
    <t>Catégories autoconsommation
et participation respective</t>
  </si>
  <si>
    <t>propre consommation
(Nouveaux systèmes de cogénération)</t>
  </si>
  <si>
    <t>Part de la taxe pour la nouvelle autoconsommation (PV et CHP)</t>
  </si>
  <si>
    <t>Part de la redevance pour l'autoconsommation
(Systèmes existants)</t>
  </si>
  <si>
    <t>Présentation des données monétaires:</t>
  </si>
  <si>
    <t>Écart par rapport aux prévisions de solde du compte au 30 septembre 2019</t>
  </si>
  <si>
    <t>Subventions du budget fédéral</t>
  </si>
  <si>
    <t>Prélèvement</t>
  </si>
  <si>
    <t>Prix ​​de l'électricité + taxe [ct / kWh]</t>
  </si>
  <si>
    <t>Part des ER dans la consommation brute d'électricité</t>
  </si>
  <si>
    <t>Redevance [ct / kWh]</t>
  </si>
  <si>
    <t>Résultat: surcharge EEG et somme du prix de l'électricité et de la surtaxe [ct / kWh]</t>
  </si>
  <si>
    <t>Résultat: flux de trésorerie [milliards Euro]</t>
  </si>
  <si>
    <t>Résultat: solde du compte le jour où le prélèvement a été recalculé
(30.9. De l'année précédente) [projet de loi. Euro]</t>
  </si>
  <si>
    <t>Pour contribution annuelle</t>
  </si>
  <si>
    <t>Solde du compte</t>
  </si>
  <si>
    <t>Scénario de référence</t>
  </si>
  <si>
    <t>nouveau scénario</t>
  </si>
  <si>
    <t>Non privilégié</t>
  </si>
  <si>
    <t>Privilégié</t>
  </si>
  <si>
    <t>Propre consommation</t>
  </si>
  <si>
    <t>Paiements nets aux exploitants d'usine</t>
  </si>
  <si>
    <t>Charger la consommation finale</t>
  </si>
  <si>
    <t>Paramètre</t>
  </si>
  <si>
    <t>Paramètres d'entrée:
Expansion annuelle de la capacité (brute)</t>
  </si>
  <si>
    <t>Paramètres d'entrée:
Prix ​​de l'électricité, réserve de liquidité et solde du compte</t>
  </si>
  <si>
    <t>Paramètres d'entrée:
Privilèges</t>
  </si>
  <si>
    <t>Paramètres d'entrée:
propre consommation</t>
  </si>
  <si>
    <t>Paramètres d'entrée sélectionnés (mode expert)</t>
  </si>
  <si>
    <t>Paramètres d'entrée sélectionnés</t>
  </si>
  <si>
    <t>Tableaux de résultats</t>
  </si>
  <si>
    <t>Résultats</t>
  </si>
  <si>
    <t>Paramètres d'entrée:
Divers</t>
  </si>
  <si>
    <t>Paramètres d'entrée: facteur de profil</t>
  </si>
  <si>
    <t xml:space="preserve">Jusqu'en 2025: prévision à moyen terme (scénario tendanciel). Puis constant </t>
  </si>
  <si>
    <t>Jusqu'en 2025 comme le scénario supérieur MFP, par la suite comme référence</t>
  </si>
  <si>
    <t>Jusqu'en 2025 comme le scénario inférieur de MFP, par la suite comme référence</t>
  </si>
  <si>
    <t xml:space="preserve">Jusqu'en 2025: prévision à moyen terme (scénario tendanciel). Par la suite 0,01 GW / a </t>
  </si>
  <si>
    <t>Corridor EEG</t>
  </si>
  <si>
    <t>Similaire Corridor EEG</t>
  </si>
  <si>
    <t>Tendance MFP jusqu'en 2025, puis 0,2 GW / a</t>
  </si>
  <si>
    <t>jusqu'en 2025 comme le scénario supérieur MFP, par la suite comme référence</t>
  </si>
  <si>
    <t>jusqu'en 2025 comme le scénario inférieur de MFP, par la suite comme référence</t>
  </si>
  <si>
    <t>Selon les chiffres du corridor d'expansion EEG (2021) (projet du gouvernement)</t>
  </si>
  <si>
    <t>jusqu'en 2025: prévision à moyen terme (scénario tendanciel). Par la suite 0,01 GW / a</t>
  </si>
  <si>
    <t>EEG 2017; Réalisation à 100%</t>
  </si>
  <si>
    <t>jusqu'en 2025 comme le scénario supérieur MFP, par la suite comme les appels d'offres spéciaux; Mise en œuvre EEG 2017 90%</t>
  </si>
  <si>
    <t>jusqu'en 2025 comme scénario inférieur de la PMF, par la suite comme appels d'offres spéciaux; Mise en œuvre EEG 2017 90%</t>
  </si>
  <si>
    <t xml:space="preserve">jusqu'en 2030 comme MFP Trend; puis soumettez les quantités selon EEG; Délai de 2 ans, réalisation à 100% </t>
  </si>
  <si>
    <t>Couloir d'expansion EEG</t>
  </si>
  <si>
    <t>Tendance MFP</t>
  </si>
  <si>
    <t>Systèmes attendus et couloir d'expansion EEG</t>
  </si>
  <si>
    <t>jusqu'en 2025 comme le scénario de tendance MFP, puis comme les systèmes attendus et le couloir d'expansion EEG</t>
  </si>
  <si>
    <t xml:space="preserve">jusqu'en 2025 comme pour le scénario supérieur MFP, ensuite comme pour les systèmes attendus et le corridor d'expansion EEG </t>
  </si>
  <si>
    <t>jusqu'en 2025 comme pour le scénario inférieur de MFP, puis comme pour les systèmes attendus et le corridor d'expansion EEG</t>
  </si>
  <si>
    <t>comme le scénario de tendance de la PMF jusqu'en 2025, ensuite comme les appels d'offres spéciaux; Couloir EEG</t>
  </si>
  <si>
    <t>Tendence MFP</t>
  </si>
  <si>
    <t>Offres spéciales, réalisation à 90%</t>
  </si>
  <si>
    <t>jusqu'en 2025 comme scénario de tendance MFP plus appels d'offres spéciaux en 2021 (1,6 GW) avec 1 an de retard et 90% de réalisation; 2 GW supplémentaires en 2023 et 2024; à partir de 2025 6 GW / a</t>
  </si>
  <si>
    <t>Comme le couloir d'expansion EEG</t>
  </si>
  <si>
    <t xml:space="preserve">comme le scénario de tendance de la PMF jusqu'en 2025, ensuite comme les appels d'offres spéciaux; Couloir EEG </t>
  </si>
  <si>
    <t>comme le scénario inférieur de la PMF jusqu'en 2025, ensuite comme les appels d'offres spéciaux; Couloir EEG</t>
  </si>
  <si>
    <t>Conformément aux objectifs du couloir d'expansion EEG</t>
  </si>
  <si>
    <t>Dans cette feuille de calcul, tous les calculs sont effectués sur une base annuelle.</t>
  </si>
  <si>
    <t>vert: paramètres d'entrée</t>
  </si>
  <si>
    <t>bleu: calculs</t>
  </si>
  <si>
    <t>Paramètres d'entrée</t>
  </si>
  <si>
    <t>Prix ​​de l'électricité futur (nominal pour les années historiques, réel pour les années de prévision) [Euro / MWh]</t>
  </si>
  <si>
    <t>Facteur de mise à l'échelle du spot [-]</t>
  </si>
  <si>
    <t>Solde du compte en septembre (nominal) [Euro]</t>
  </si>
  <si>
    <t>Consommation nette d’électricité [TWh]</t>
  </si>
  <si>
    <t>Consommation finale privilégiée [TWh]</t>
  </si>
  <si>
    <t>Consommation propre des systèmes à combustibles fossiles existants [TWh]</t>
  </si>
  <si>
    <t>Consommation propre de nouveaux systèmes de cogénération [TWh]</t>
  </si>
  <si>
    <t>Consommation propre de nouvelles installations fossiles non cogénérées [TWh]</t>
  </si>
  <si>
    <t>Volume d'électricité Privilège électricité verte [TWh]</t>
  </si>
  <si>
    <t>Part du prélèvement pour les consommateurs finaux privilégiés [-]</t>
  </si>
  <si>
    <t>Facteur de mécanismes de privilèges supplémentaires [-]</t>
  </si>
  <si>
    <t>Part du prélèvement pour l'autoconsommation des systèmes existants [-]</t>
  </si>
  <si>
    <t>Part de la redevance pour l'autoconsommation des nouveaux systèmes solaires et de cogénération [-]</t>
  </si>
  <si>
    <t>Part du prélèvement pour la consommation propre provenant des nouveaux systèmes fossiles non cogénérés [-]</t>
  </si>
  <si>
    <t>Privilège de réduction de la redistribution de l'électricité verte (nominal) [Euro / MWh]</t>
  </si>
  <si>
    <t>Frais de réseau évités (nominaux pour les années historiques, réel pour les années de prévision) [EUR / MWh]</t>
  </si>
  <si>
    <t>autres coûts (nominaux pour les années historiques, réels pour les années de prévision) [milliards Euro]</t>
  </si>
  <si>
    <t>taux d'inflation annuel [-]</t>
  </si>
  <si>
    <t>Facteur de conversion réel en nominal [-]</t>
  </si>
  <si>
    <t>Facteurs de profil [-]</t>
  </si>
  <si>
    <t>Facteurs de profil Prime de marché TSO [-]</t>
  </si>
  <si>
    <t>Facteur d'approvisionnement [-]</t>
  </si>
  <si>
    <t>Expansion annuelle (brute) [GW]</t>
  </si>
  <si>
    <t>Capacités restantes des usines construites jusqu'à fin 2014 [GW]</t>
  </si>
  <si>
    <t>Volumes d'électricité restants des systèmes construits d'ici la fin de 2014 [TWh / a]</t>
  </si>
  <si>
    <t>Paiements restants pour les usines construites à la fin de 2014 (valeur nominale) [milliards Euro / a]</t>
  </si>
  <si>
    <t>Utilisation standard de nouveaux systèmes [h]</t>
  </si>
  <si>
    <t>Production totale d'électricité à partir des prévisions GRT [TWh]</t>
  </si>
  <si>
    <t>Tarif fixe de l'électricité (§23-33 EEG) à partir des prévisions GRT [TWh]</t>
  </si>
  <si>
    <t>Commercialisation directe de l'électricité selon § 33b Zif. 1 (prime de marché) d'après les prévisions TSO [TWh]</t>
  </si>
  <si>
    <t>Part de la consommation propre des nouveaux systèmes [-]</t>
  </si>
  <si>
    <t>Taux de rémunération moyen pour les années historiques et le taux actuel (nominal) [Euro / MWh]</t>
  </si>
  <si>
    <t>Taux de paiement pour les nouveaux systèmes (réel) [Euro / MWh]</t>
  </si>
  <si>
    <t>Rémunération pour consommation propre [Euro / MWh]</t>
  </si>
  <si>
    <t>Paiements évités en abaissant la rémunération (éolien offshore) (nominal) [milliards Euro]</t>
  </si>
  <si>
    <t xml:space="preserve">Calculs </t>
  </si>
  <si>
    <t>Prix ​​futur de l'électricité (nominal) [Euro / MWh]</t>
  </si>
  <si>
    <t>Frais de réseau évités (nominaux) [Euro / MWh]</t>
  </si>
  <si>
    <t>autres coûts (nominaux) [milliards Euro]</t>
  </si>
  <si>
    <t>Consommation finale non privilégiée [TWh]</t>
  </si>
  <si>
    <t>Consommation finale à appliquer pour le supplément EEG [TWh]</t>
  </si>
  <si>
    <t>Retrait annuel d'EEG [GW / a]</t>
  </si>
  <si>
    <t>Hydro</t>
  </si>
  <si>
    <t>Solaire</t>
  </si>
  <si>
    <t>Total</t>
  </si>
  <si>
    <t>MFP Référence</t>
  </si>
  <si>
    <t>Référence - 20 TWh/a</t>
  </si>
  <si>
    <t>Référence + 20 TWh/a</t>
  </si>
  <si>
    <t xml:space="preserve">Les calculs sont effectués dans la feuille de travail "Calculs MOD" et "Cycle annuel MOD". Toutes les méthodes et les résultats intermédiaires peuvent être retracés ici. Les données des figures et des tableaux sont résumées sur les fiches techniques "Grd graphics data" et "Grd graphics data (2)". La feuille de calcul «Index» contient une liste de toutes les feuilles de calcul avec une brève description. </t>
  </si>
  <si>
    <t>Expansion annuelle (nette) [GW / a]</t>
  </si>
  <si>
    <t>Capacités installées à la fin de l’année [GW]</t>
  </si>
  <si>
    <t>Utilisation standard moyenne des systèmes construits après 2014 [h]</t>
  </si>
  <si>
    <t>Production d'électricité pour les systèmes construits après 2014 (TWh)</t>
  </si>
  <si>
    <t>Production totale d'électricité (TWh)</t>
  </si>
  <si>
    <t>Quantité d'autoconsommation - stock [TWh]</t>
  </si>
  <si>
    <t>Quantité d'autoconsommation - nouveaux systèmes [TWh]</t>
  </si>
  <si>
    <t>Taux de paiement pour les nouveaux systèmes (nominaux) [Euro / kWh]</t>
  </si>
  <si>
    <t>Taux tarifaire moyen pour les systèmes construits à partir de 2015 (nominal) [Euro / MWh] (pour contrôle)</t>
  </si>
  <si>
    <t>Taux tarifaire moyen pour les systèmes construits à partir de 2015 (nominal) [Euro / MWh] (calcul intermédiaire pour les demandes de prix de l'électricité)</t>
  </si>
  <si>
    <t>Taux tarifaire moyen pour les centrales construites à partir de 2015 (nominal) [Euro / MWh]</t>
  </si>
  <si>
    <t>Revenu de l'exploitant du réseau (année de construction après 2014) selon le taux tarifaire (nominal) [milliards Euro]</t>
  </si>
  <si>
    <t>Revenu de l'exploitant de l'usine (toutes les années de construction) selon le taux de rémunération, calcul pour les années historiques (nominal) [milliards Euro]</t>
  </si>
  <si>
    <t>Paiements pour primes de gestion pour les usines existantes (calcul pour les années de prévision) (nominal) [milliards Euro]</t>
  </si>
  <si>
    <t>Revenus de commercialisation (calcul pour les années de prévision) (nominal) [milliards Euro]</t>
  </si>
  <si>
    <t>Revenus de commercialisation (recalcul des prévisions GRT) (nominal) [milliards Euro]</t>
  </si>
  <si>
    <t>Revenus de commercialisation (nominaux) [milliards Euro]</t>
  </si>
  <si>
    <t>Paiements restants pour les systèmes existants, corrigés du facteur d'offre (nominal) [milliards Euro / a]</t>
  </si>
  <si>
    <t>Écart de couverture projeté (nominal) [milliards Euro]</t>
  </si>
  <si>
    <t>Revenu du gestionnaire de réseau (année de construction&gt; 2014) provenant du taux de rémunération et du bonus de gestion (nominal) [milliards Euro]</t>
  </si>
  <si>
    <t>Effet du privilège de l'électricité verte (nominal) [milliards Euro]</t>
  </si>
  <si>
    <t>Frais de réseau évités (nominaux) [milliards Euro]</t>
  </si>
  <si>
    <t>Autres coûts (nominaux) [milliards Euro]</t>
  </si>
  <si>
    <t>Revenu du gestionnaire de réseau (année de construction &lt;2015) provenant du taux de rémunération et de la prime de gestion (nominale) [milliards Euro]</t>
  </si>
  <si>
    <t>Facteur de correction [milliards Euro]</t>
  </si>
  <si>
    <t>Calcul du solde du compte au 30 septembre pour les années de prévision</t>
  </si>
  <si>
    <t>Réduction des revenus marketing due à Différence entre les prix à terme et les prix au comptant (nominal) [milliards Euro]</t>
  </si>
  <si>
    <t>Dépenses de l'année dernière (nominales) [milliards Euro]</t>
  </si>
  <si>
    <t>Revenus d'affectation de l'année dernière, sans diffusion mensuelle (valeur nominale) [milliards Euro]</t>
  </si>
  <si>
    <t>Solde total (nominal) [milliards Euro]</t>
  </si>
  <si>
    <t>Calcul du taux de cotisation</t>
  </si>
  <si>
    <t>Supplément de base (nominal) [ct / kWh]</t>
  </si>
  <si>
    <t>Part d’allocation de la réserve de liquidité (nominale) [ct / kWh]</t>
  </si>
  <si>
    <t>Part de contribution provenant du solde du compte (nominal) [ct / kWh]</t>
  </si>
  <si>
    <t>Supplément EEG total (nominal) [ct / kWh]</t>
  </si>
  <si>
    <t>surcharge EEG historique (nominale) [ct / kWh]</t>
  </si>
  <si>
    <t>Écart entre le calcul et l'historique (%)</t>
  </si>
  <si>
    <t>Montant de la correction [milliards Euro]</t>
  </si>
  <si>
    <t>Commentaire</t>
  </si>
  <si>
    <t xml:space="preserve">Ce facteur est utilisé pour multiplier les paiements réels (année de référence 2015) afin de les convertir en paiements nominaux. </t>
  </si>
  <si>
    <t xml:space="preserve">nouvel ajout </t>
  </si>
  <si>
    <t xml:space="preserve">renommé </t>
  </si>
  <si>
    <t>Cet effet est dû au fait que la rémunération initiale accordée pour les éoliennes offshore n'est accordée que pour 8 ans (jusqu'en 2019) ou 12 ans (à partir de 2020). Les valeurs sont calculées dans "MOD_Absenken_Wind_Offshore".</t>
  </si>
  <si>
    <t>Pour les années de prévision, les données d'entrée réelles sont ici converties en valeurs nominales. Pour les années historiques, les données d'entrée sont déjà nominales.</t>
  </si>
  <si>
    <t>NPL = consommation nette d'électricité
- Consommation finale privilégiée
- Consommation propre de stocks fossiles
- Consommation propre CHP nouveau
- Consommation propre de fossile non-CHP neuf
- Privilège électricité verte
- Inventaire PV d'autoconsommation
- Nouvelle autoconsommation PV</t>
  </si>
  <si>
    <t xml:space="preserve">Consommation finale à créer pour le calcul de l'allocation =
  NPL
+ consommation finale privilégiée * Part du supplément pour consommation finale privilégiée * (1- facteur pour les mécanismes de privilèges supplémentaires)
+ (Consommation propre CHP nouveau + propre consommation PV nouveau) * part supplémentaire CHP et RE nouveau
+ Consommation propre de fossile non-CHP nouveau
+ Privilège électricité verte </t>
  </si>
  <si>
    <t>jusqu'en 2014: prendre les données D-Ruckbau avant 2015</t>
  </si>
  <si>
    <t>2015-2034: Différence des capacités restantes année de construction &lt;2015 par rapport à l'année précédente et à l'année en cours</t>
  </si>
  <si>
    <t>après 2034: extension (modèle endogène) il y a 20 ans -&gt; en 2035, soit l'extension en 2015</t>
  </si>
  <si>
    <t>Expansion nette = expansion brute - capacités sortantes</t>
  </si>
  <si>
    <t>Capacité = capacité de l'année précédente + expansion nette de l'année en cours.</t>
  </si>
  <si>
    <t xml:space="preserve">Pour les capacités en 2009, les données de D-Kapazität 2009 sont utilisées </t>
  </si>
  <si>
    <t>Occupation standard = valeur moyenne de l'occupation standard de toutes les années à partir de 2015, pondérée avec la construction supplémentaire brute.
Pour éviter la division par zéro: Si la somme de toutes les additions brutes est égale à zéro, l'utilisation standard est également définie sur zéro.</t>
  </si>
  <si>
    <t xml:space="preserve">pour 2015: Production d'électricité = 0,5 * ajout brut en 2015 * occupation standard en 2015 * facteur de provision en 2015
pour toutes les autres années:
Production d'énergie =
   (Total des années précédentes (ajout brut * utilisation standard)
   + 0,5 * construction supplémentaire brute année en cours * utilisation standard année en cours)
   * Facteur d'approvisionnement de l'année en cours </t>
  </si>
  <si>
    <t>Production d'électricité = stock de production d'électricité (année de construction &lt;2015) * facteur d'offre
+ Quantité d'électricité pour les nouveaux systèmes construits&gt; 2014</t>
  </si>
  <si>
    <t>Quantité d'autoconsommation existante = pour les années historiques: autoconsommation historique; pour les années de scénario: autoconsommation historique * facteur d'offre</t>
  </si>
  <si>
    <t>à partir de 2015: quantité d'autoconsommation électrique =
Production d'électricité à partir de nouveaux systèmes * Part d'autoconsommation dans l'année en cours</t>
  </si>
  <si>
    <t xml:space="preserve">= Taux de rémunération pour les nouveaux systèmes (réel) * facteur de conversion réel en nominal (2015) </t>
  </si>
  <si>
    <t xml:space="preserve">Taux de rémunération moyen =
Total (t) 2015-&gt; année précédente en cours (ajout brut (t) * taux de redevance nominale pour les nouveaux systèmes (t)) + construction supplémentaire brute (année en cours) / 2 * taux de redevance nominale pour les nouveaux systèmes (année en cours))
/ (Total (t) 2015-&gt; année précédente en cours (ajout brut (t)) + expansion brute (année en cours) / 2) </t>
  </si>
  <si>
    <t>Attention formule matricielle: appuyez sur Ctrl + Maj Entrée pour activer</t>
  </si>
  <si>
    <t xml:space="preserve">Revenu de l'exploitant du système =
Taux de rémunération moyen * (
Quantité d'électricité des systèmes construits&gt; 2014
- consommation propre neuve)
- Paiements évités en abaissant la rémunération </t>
  </si>
  <si>
    <t xml:space="preserve">Facteur de correction inséré pour le volume d'électricité en 2015 (en raison de l'ajustement du nombre de nouvelles installations aux statistiques actuelles afin que la surtaxe ne change pas en 2015) </t>
  </si>
  <si>
    <r>
      <t>Revenu de l'exploitant du système =
Taux tarifaire moyen * (</t>
    </r>
    <r>
      <rPr>
        <sz val="10"/>
        <color rgb="FFFF0000"/>
        <rFont val="Arial"/>
        <family val="2"/>
      </rPr>
      <t>montant du tarif fixe d'électricité + montant de la prime de marché de l'électricité</t>
    </r>
    <r>
      <rPr>
        <sz val="10"/>
        <color rgb="FF0070C0"/>
        <rFont val="Arial"/>
        <family val="2"/>
      </rPr>
      <t xml:space="preserve">)
+ Taux tarifaire pour l'autoconsommation * (quantité d'autoconsommation de l'existant + quantité d'autoconsommation des nouveaux systèmes) </t>
    </r>
  </si>
  <si>
    <t>Calcul des frais de gestion des usines qui sont entrées en marketing direct entre 2012 et 2014 et y resteront pendant les années de prévision.</t>
  </si>
  <si>
    <t xml:space="preserve">= Bonus de gestion (réel) * facteur de conversion réel -&gt; nominal </t>
  </si>
  <si>
    <t>C'est là que sont calculés les revenus de commercialisation pour rémunération fixe et électricité directement commercialisée.
Revenu marketing =
(Production totale d'électricité
-Inventaire d'autoconsommation d'électricité
- Montant d'autoconsommation neuf) * Prix de l'électricité (nominal) * Facteur de profil pour les calculs de prévision</t>
  </si>
  <si>
    <t xml:space="preserve">Revenus de commercialisation (historiques) = ((montant du tarif fixe d'électricité * facteur de profil) + (montant de la prime de marché de l'électricité * prime de marché de facteur de profil) * prix de l'électricité </t>
  </si>
  <si>
    <t>Les résultats des années historiques et prévisionnelles sont rassemblés ici.</t>
  </si>
  <si>
    <t>Paiements restants pour les systèmes existants multipliés par le facteur d'offre de l'année de prévision respective
(pour tenir compte de l'effet des différentes années météorologiques)</t>
  </si>
  <si>
    <t xml:space="preserve">= paiements restants pour les systèmes existants * facteur d'offre </t>
  </si>
  <si>
    <t>Facteur de correction = consommation finale à appliquer * (prélèvement réel - prélèvement calculé) / (1 - réserve de liquidité)</t>
  </si>
  <si>
    <t>Supplément de base = déficit prévu de couverture / consommation finale à appliquer pour le supplément EEG</t>
  </si>
  <si>
    <t>Allocation à partir de la réserve de liquidité = réserve de liquidité / consommation finale à appliquer pour la surcharge EEG</t>
  </si>
  <si>
    <t>Part de contribution du solde du compte = - solde du compte au 30.9. de l'année précédente / consommation finale à appliquer pour la surtaxe EEG</t>
  </si>
  <si>
    <t>Supplément EEG total = montant du supplément / consommation finale à appliquer pour le supplément EEG</t>
  </si>
  <si>
    <t>Réduction des revenus marketing due à Différence entre prix futur et prix spot = revenus du marketing * (1 - facteur d'échelle spot)</t>
  </si>
  <si>
    <t>Dépenses de l'année précédente = déficit de couverture prévu l'année précédente + réduction des revenus marketing l'année précédente</t>
  </si>
  <si>
    <t>Montant de la cotisation de l'année précédente</t>
  </si>
  <si>
    <t>Solde total = revenu d'allocation de l'année dernière - dépenses de l'année dernière</t>
  </si>
  <si>
    <t>Réserve de liquidité en Md € = réserve de liquidité en% * déficit de financement</t>
  </si>
  <si>
    <t>Solde du compte au 30/09 de l'année précédente à partir du calcul mensuel sur la feuille Mod-Jahresgang</t>
  </si>
  <si>
    <r>
      <t>Montant de la contribution = déficit de couverture prévu + réserve de liquidité - solde du compte -</t>
    </r>
    <r>
      <rPr>
        <sz val="10"/>
        <color rgb="FFFF0000"/>
        <rFont val="Arial"/>
        <family val="2"/>
      </rPr>
      <t xml:space="preserve"> subventions du budget fédéral </t>
    </r>
  </si>
  <si>
    <t>= Droits à rémunération + prime de gestion pour les systèmes existants</t>
  </si>
  <si>
    <t xml:space="preserve"> =  Privilège de consommation d'électricité verte * Réduction du taux de cotisation pour le privilège électricité verte (inscrit en tant que poste négatif au bilan) </t>
  </si>
  <si>
    <t xml:space="preserve">= Quantité de production d'électricité fluctuante * frais de réseau évités par kWh * facteur d'échelle
+ Quantité d'électricité, production non fluctuante * Frais de réseau évités par kWh </t>
  </si>
  <si>
    <r>
      <t xml:space="preserve">S'il s'agit d'une année historique, utilisez les chiffres du recalcul TSO. Sinon, utilisez les paiements restants pour les systèmes existants + </t>
    </r>
    <r>
      <rPr>
        <sz val="10"/>
        <color rgb="FFFF0000"/>
        <rFont val="Arial"/>
        <family val="2"/>
      </rPr>
      <t xml:space="preserve">bonus de gestion pour les systèmes existants </t>
    </r>
  </si>
  <si>
    <t xml:space="preserve">Écart de couverture projeté =
Revenu de l'exploitant de l'usine
- Revenus du marketing
+ Effet du privilège de l'électricité verte
- Frais de réseau évités
+ autres frais
+ Revenu du gestionnaire de réseau (année de construction &lt;2015) provenant du taux de rémunération et de la prime de gestion
+ Frais de gestion des systèmes existants
+ Facteur de correction </t>
  </si>
  <si>
    <t>Calcul mensuel du solde du compte dans l'année en cours.</t>
  </si>
  <si>
    <t>rose: lire à partir d'autres feuilles</t>
  </si>
  <si>
    <t>bleu: calculé ici</t>
  </si>
  <si>
    <t>Solde du compte GRT (Euro) (Gestionaire de réseau)</t>
  </si>
  <si>
    <t xml:space="preserve">Solde du compte GRT [milliards Euro] </t>
  </si>
  <si>
    <t>informatif: modèle de solde de compte</t>
  </si>
  <si>
    <t>Modèle de solde de compte [milliards Euro]</t>
  </si>
  <si>
    <t>Modèle d'équilibre [milliards Euro]</t>
  </si>
  <si>
    <t>Solde GRT</t>
  </si>
  <si>
    <t>Décalage temporel entre l'injection et la réservation [mois]</t>
  </si>
  <si>
    <t>Prévision des revenus et dépenses mensuels:</t>
  </si>
  <si>
    <t>Facteur de mise à l'échelle de la charge [-]</t>
  </si>
  <si>
    <t>Heures de chargement complet par mois [h]</t>
  </si>
  <si>
    <t>Capacités installées [GW]</t>
  </si>
  <si>
    <t>année actuelle:</t>
  </si>
  <si>
    <t xml:space="preserve">Fin du mois </t>
  </si>
  <si>
    <t>Prix ​​du marché spot (day ahead, moyenne mensuelle) [Euro / MWh]</t>
  </si>
  <si>
    <t>Futur</t>
  </si>
  <si>
    <t>Facteur d'échelle</t>
  </si>
  <si>
    <t>Prix ​​du marché au comptant</t>
  </si>
  <si>
    <t>Tarifs moyens [Euro / MWh]</t>
  </si>
  <si>
    <t>Production totale d’électricité [TWh]</t>
  </si>
  <si>
    <t>Revenu des exploitants d'usine [milliards Euro]</t>
  </si>
  <si>
    <t>Revenus du marketing [milliards Euro]</t>
  </si>
  <si>
    <t xml:space="preserve">Année en cours d'octobre à septembre </t>
  </si>
  <si>
    <t>Revenus provenant des paiements par répartition de divers consommateurs finaux [milliards Euro]</t>
  </si>
  <si>
    <t>Revenus des paiements par répartition, consommation finale non privilégiée</t>
  </si>
  <si>
    <t>Revenu par le versement des cotisations, consommation finale privilégiée</t>
  </si>
  <si>
    <t>Revenus grâce au paiement des cotisations, à la consommation propre, à l'inventaire</t>
  </si>
  <si>
    <t>Revenu par paiement de cotisations, autoconsommation (inventaire, PV)</t>
  </si>
  <si>
    <t>Revenus provenant du paiement des cotisations, autoconsommation (nouveau, CHP)</t>
  </si>
  <si>
    <t>Revenu par paiement de cotisations, autoconsommation (nouveau, PV)</t>
  </si>
  <si>
    <t>Revenu des paiements de contribution de l'électricité verte</t>
  </si>
  <si>
    <t>Autre [milliard Euro]</t>
  </si>
  <si>
    <t>Frais de réseau évités [milliards Euro]</t>
  </si>
  <si>
    <t>Autres coûts [milliards Euro]</t>
  </si>
  <si>
    <t>Aperçu</t>
  </si>
  <si>
    <t>Paiements de compensation aux exploitants d'usine</t>
  </si>
  <si>
    <t>Marketing des revenus</t>
  </si>
  <si>
    <t>Revenus des paiements de contribution des consommateurs finaux (total)</t>
  </si>
  <si>
    <t>frais de réseau évités</t>
  </si>
  <si>
    <t>Solde</t>
  </si>
  <si>
    <t>Consommation finale non privée (TWh) * Supplément EEG (ct / kWh) / 100</t>
  </si>
  <si>
    <t>consommation finale privée (TWh) * Part de la surtaxe de la BT privée * (1 - facteur privilège supplémentaire) * Surtaxe EEG (ct / kWh) / 100</t>
  </si>
  <si>
    <t>Stock de consommation propre (TWh) * Part du prélèvement pour le stock de consommation propre * Prélèvement EEG (ct / kWh) / 100</t>
  </si>
  <si>
    <t>Autoconsommation photovoltaïque existant (TWh) * Part de la surcharge pour l'autoconsommation de l'existant * Supplément EEG (ct / kWh) / 100</t>
  </si>
  <si>
    <t>Consommation propre CHP nouveau (TWh) * Part du prélèvement pour consommation propre PV et CHP nouveau * Prélèvement EEG (ct / kWh) / 100</t>
  </si>
  <si>
    <t>Autoconsommation PV nouveau (TWh) * Part de la surcharge pour l'autoconsommation PV et CHP nouveau * Supplément EEG (ct / kWh) / 100</t>
  </si>
  <si>
    <t>Quantité d'électricité verte (TWh) * (surcharge EEG (ct / kWh) - réduction de la surtaxe pour l'électricité verte (€ / MWh) / 10) / 100</t>
  </si>
  <si>
    <t>Cette feuille de travail contient des données pour les figures</t>
  </si>
  <si>
    <t>Remarque: Si le scénario de référence est modifié, les résultats du scénario de référence doivent être mis à jour manuellement! -&gt; Copiez les valeurs des cellules de la zone verte dans les cellules de la zone jaune</t>
  </si>
  <si>
    <t>Résultats pour le scénario de prévision</t>
  </si>
  <si>
    <t>Données monétaires (nominales) (prélèvement en ct / kWh, milliards d'euros)</t>
  </si>
  <si>
    <t>Promotion hydro</t>
  </si>
  <si>
    <t>Promotion Biomasse</t>
  </si>
  <si>
    <t>Promotion Geothermie</t>
  </si>
  <si>
    <t>Promotion Gaz</t>
  </si>
  <si>
    <t>Promotion éolien onshore</t>
  </si>
  <si>
    <t>Promotion éolien offshore</t>
  </si>
  <si>
    <t>Promotion Solaire</t>
  </si>
  <si>
    <t>Charge de la consommation finale non privilégiée</t>
  </si>
  <si>
    <t>Fardeau de la consommation finale privilégiée</t>
  </si>
  <si>
    <t>Charge autoconsommation</t>
  </si>
  <si>
    <t>Prix ​​de l'électricité (futur)</t>
  </si>
  <si>
    <t>Prix ​​total de l'électricité + taxe</t>
  </si>
  <si>
    <t>Répartition de la consommation finale privilégiée [ct / kWh]</t>
  </si>
  <si>
    <t>Répartition de la consommation propre [ct / kWh]</t>
  </si>
  <si>
    <t xml:space="preserve">Solde bancaire </t>
  </si>
  <si>
    <t>données monétaires (réelles) (prélèvement ct / kWh, milliards d'euros)</t>
  </si>
  <si>
    <t>Quantité d'électricité</t>
  </si>
  <si>
    <t>Consommation finale non privilégiée [TWh / a]</t>
  </si>
  <si>
    <t>Consommation finale privilégiée [TWh / a]</t>
  </si>
  <si>
    <t>Consommation propre [TWh / a]</t>
  </si>
  <si>
    <t>Part d’allocation (nominal) [ct / kWh] pour le graphique d’ensemble</t>
  </si>
  <si>
    <t>Revenu de l'exploitant du système selon le taux tarifaire *
* à partir de 2015 avec plein tarif également pour l'électricité directement commercialisée</t>
  </si>
  <si>
    <t>Revenus du marketing *
* à partir de 2015 incluant les revenus du marketing direct,
jusqu'en 2014 uniquement les revenus GRTs "</t>
  </si>
  <si>
    <t>Réserve de liquidité</t>
  </si>
  <si>
    <t>Solde de l'année précédente</t>
  </si>
  <si>
    <t>"Autres effets *
* Frais de réseau évités, privilège électricité verte, autres coûts "</t>
  </si>
  <si>
    <t>Paiements aux usines construites d'ici la fin de 2014 [milliards Euro]</t>
  </si>
  <si>
    <t>Prélèvement (Référence)</t>
  </si>
  <si>
    <t>Prélèvement (Prévision)</t>
  </si>
  <si>
    <t>Part d’allocation (réel) [ct / kWh] pour le graphique d’ensemble</t>
  </si>
  <si>
    <t>Parts d'allocation [ct / kWh] pour un graphique d'ensemble, réel ou nominal en fonction de la position de l'interrupteur</t>
  </si>
  <si>
    <t>Revenu de l'exploitant du réseau en fonction du taux de rémunération (année de construction&gt; 2014)</t>
  </si>
  <si>
    <t>Revenus du marketing</t>
  </si>
  <si>
    <t>Revenu de l'exploitant du réseau en fonction du taux de rémunération (année de construction &lt;2015)</t>
  </si>
  <si>
    <t>Différence par rapport au scénario Référence (ct / kWh, milliards d'euros) pour le tableau de résultats</t>
  </si>
  <si>
    <t>Données pour le prix de l'électricité + graphique de la taxe</t>
  </si>
  <si>
    <t>Prix ​​de l'électricité</t>
  </si>
  <si>
    <t>Consommation d'électricité (TWh)</t>
  </si>
  <si>
    <t>Utilisation finale non privilégiée</t>
  </si>
  <si>
    <t>Utilisation finale privilégiée</t>
  </si>
  <si>
    <t>Consommation propre (stock et remplacement de stock, fossile)</t>
  </si>
  <si>
    <t>Consommation propre (nouveaux systèmes, ER et CHP)</t>
  </si>
  <si>
    <t>Consommation propre (nouveaux systèmes, fossiles, pas de cogénération)</t>
  </si>
  <si>
    <t>Privilège de l'électricité verte</t>
  </si>
  <si>
    <t>Pertes sur le réseau et consommation propre de la centrale électrique (TWh)</t>
  </si>
  <si>
    <t>Part de consommation finale privilégiée</t>
  </si>
  <si>
    <t>Part de la consommation finale non privilégiée</t>
  </si>
  <si>
    <t>Part du prélèvement</t>
  </si>
  <si>
    <t>Part de la taxe pour les consommateurs finaux privilégiés * (1 - facteur pour un privilège supplémentaire)</t>
  </si>
  <si>
    <t>Part de la redevance pour l'autoconsommation des systèmes existants</t>
  </si>
  <si>
    <t>Part de la redevance pour l'autoconsommation des nouveaux systèmes solaires et de cogénération</t>
  </si>
  <si>
    <t>Part du prélèvement pour la consommation propre des nouveaux systèmes fossiles non cogénérés</t>
  </si>
  <si>
    <t>Taux de cotisation (ct / kWh)</t>
  </si>
  <si>
    <t>Contribution au déficit de couverture (en milliards d'euros)</t>
  </si>
  <si>
    <t>Part de la consommation finale privilégiée [-]</t>
  </si>
  <si>
    <t>Performance des systèmes qui continuent à fonctionner après la fin de la période de financement (golden end) [TWh / a]</t>
  </si>
  <si>
    <t xml:space="preserve">Capacités ER en dehors de l'EEG </t>
  </si>
  <si>
    <t>Électricité provenant de systèmes qui continuent d’être exploités après la fin de la période de financement (golden end) [TWh / a]</t>
  </si>
  <si>
    <t>Graphique de réalisation des objectifs</t>
  </si>
  <si>
    <t>Consommation nette d'électricité (TWh)</t>
  </si>
  <si>
    <t>Consommation électrique brute (TWh)</t>
  </si>
  <si>
    <t>Production d'énergie renouvelable (TWh)</t>
  </si>
  <si>
    <t>Production d'énergie renouvelable en dehors de l'EEG (TWh / a)</t>
  </si>
  <si>
    <t>Part des énergies renouvelables</t>
  </si>
  <si>
    <t>"Cible selon EEG:
40-45% en 2025,
55 à 60% en 2035 "</t>
  </si>
  <si>
    <t>limite inférieure des marques cibles</t>
  </si>
  <si>
    <t>limite supérieure des marques cibles</t>
  </si>
  <si>
    <t>Objectif de l'accord de coalition pour 2018 65%</t>
  </si>
  <si>
    <t>Parts d'allocation [ct / kWh] pour graphique de synthèse (variation annuelle), réelles ou nominales en fonction de la position de l'interrupteur</t>
  </si>
  <si>
    <t>Test: part des ER avec une consommation électrique brute de 600 TWh (hypothèse EEG 2016)</t>
  </si>
  <si>
    <t xml:space="preserve">Part ER (%) </t>
  </si>
  <si>
    <t>Pour les années historiques: revenus des gestionnaires de réseau (toutes les années de construction, tirés des prévisions annuelles des GRT) - revenus de commercialisation
pour les années de prévision: = opérateur du système de revenu (année de construction&gt; 2014) + prime de gestion des revenus + paiements restants aux systèmes existants - revenus marketing</t>
  </si>
  <si>
    <t xml:space="preserve">= consommation finale non privilégiée * allocation </t>
  </si>
  <si>
    <t xml:space="preserve">= consommation finale privilégiée * part du supplément PL * (1 facteur pour les privilèges supplémentaires) * supplément </t>
  </si>
  <si>
    <t xml:space="preserve">= données nominales / facteur de conversion réel en nominal </t>
  </si>
  <si>
    <t xml:space="preserve">= autres coûts + effet du privilège de l'électricité verte - frais de réseau évités </t>
  </si>
  <si>
    <t xml:space="preserve"> '= données nominales / facteur de conversion réel en nominal </t>
  </si>
  <si>
    <t xml:space="preserve">En fonction de la position du commutateur, des valeurs nominales ou réelles sont utilisées </t>
  </si>
  <si>
    <t>La quantité d'électricité est calculée à partir des capacités restantes des systèmes existants (année de construction &lt;2015) et de la durée du «golden end» en années.</t>
  </si>
  <si>
    <t>Somme des services des systèmes du Golden End + somme des services des systèmes qui ne reçoivent pas de promotion EEG</t>
  </si>
  <si>
    <t xml:space="preserve">La quantité d'électricité est calculée à partir de la quantité d'électricité restante des systèmes existants (année de construction &lt;2015) et de la durée du «golden end» en années. </t>
  </si>
  <si>
    <t>Capacités [GW]</t>
  </si>
  <si>
    <t>Autres</t>
  </si>
  <si>
    <t>Compensation pour démantèlement</t>
  </si>
  <si>
    <t>Expansion nette</t>
  </si>
  <si>
    <t>Expansion brute</t>
  </si>
  <si>
    <t>"Retraite
  depuis EEG "</t>
  </si>
  <si>
    <t>Données pour le diagramme d'extension (technologie individuelle [GW / a]</t>
  </si>
  <si>
    <t>Expansion nette (petite agrégée) [GW / a]</t>
  </si>
  <si>
    <t>Expansion brute (petite agrégée) [GW / a]</t>
  </si>
  <si>
    <t>Paiements à titre d'illustration (nominaux ou réels, selon la position du commutateur) [milliards EUR / a]</t>
  </si>
  <si>
    <t>Paiements nominaux (petits agrégés) [milliards EUR / a]</t>
  </si>
  <si>
    <t>Capacités (petites agrégées) [GW]</t>
  </si>
  <si>
    <t>Quantités d’électricité [TWh / a]</t>
  </si>
  <si>
    <t>Quantités d’électricité (petites quantités) [TWh / a]</t>
  </si>
  <si>
    <t>Droits à rémunération (réels) [milliards EUR 2016 / a]</t>
  </si>
  <si>
    <t>Droits à rémunération réels (petits agrégés) [milliards EUR 2016 / a]</t>
  </si>
  <si>
    <t>Droits à rémunération (nominaux) [milliards EUR / a]</t>
  </si>
  <si>
    <t xml:space="preserve">Cette fiche calcule l'effet qui résulte de la baisse des taux de rémunération des éoliennes offshore après 8 ou 12 ans . </t>
  </si>
  <si>
    <t>Facteur d'offre</t>
  </si>
  <si>
    <t>de MOD-Berechnungen</t>
  </si>
  <si>
    <t>Année de construction</t>
  </si>
  <si>
    <t xml:space="preserve">Ajouts bruts par an
(GW / a) </t>
  </si>
  <si>
    <t xml:space="preserve">Heures de pleine charge
(H) </t>
  </si>
  <si>
    <t>Tarif initial
(_ € / MWh)</t>
  </si>
  <si>
    <t>Compensation finale
(_ € / MWh)</t>
  </si>
  <si>
    <t>Durée du paiement supplémentaire du paiement initial (années)</t>
  </si>
  <si>
    <t>Utilisation d'un paiement initial majoré (1 = oui / 0 = non)</t>
  </si>
  <si>
    <t>Augmentation de la rémunération initiale
(_ € / MWh)</t>
  </si>
  <si>
    <t>Aucun paiement d'indemnisation (nominal) (en milliards d'euros)</t>
  </si>
  <si>
    <t>Taux de paiement pour les nouveaux systèmes</t>
  </si>
  <si>
    <t>Scénario</t>
  </si>
  <si>
    <t>Resp.</t>
  </si>
  <si>
    <t>Description</t>
  </si>
  <si>
    <t>Référence-20%</t>
  </si>
  <si>
    <t>Référence+20%</t>
  </si>
  <si>
    <t>Sans réduction de cout</t>
  </si>
  <si>
    <t>Scénario contrefactuel sans réduction des coûts de production d'électricité</t>
  </si>
  <si>
    <t>Sans réduction de coût</t>
  </si>
  <si>
    <t>In 2035 30% plus bas que Référence</t>
  </si>
  <si>
    <t>In 2035 15% plus bas que Référence</t>
  </si>
  <si>
    <t>In 2035 15% plus haut que Référence</t>
  </si>
  <si>
    <t>In 2035 30% plus haut que Référence</t>
  </si>
  <si>
    <t>Tès bas (-30%)</t>
  </si>
  <si>
    <t>Bas (-15%)</t>
  </si>
  <si>
    <t>Haut (+15%)</t>
  </si>
  <si>
    <t>Très haut (+30%)</t>
  </si>
  <si>
    <t>Pas de réduction des coûts</t>
  </si>
  <si>
    <t>Pondération des classes de taille et des technologies</t>
  </si>
  <si>
    <t>Très bas (-30%)</t>
  </si>
  <si>
    <t>In 2035 30% Plus bas que Référence</t>
  </si>
  <si>
    <t>Dégression de l'EEG d'ici 2018; puis résultats de l'appel d'offres, réduction à 4 ct / kWh en 2035 (nominal), facteur de qualité 80%</t>
  </si>
  <si>
    <t>2018-2020: tarif initial selon EEG2017 (12 + 3 ans), puis résultats des enchères, réduction linéaire à 5 ct / kWh (2030)</t>
  </si>
  <si>
    <t>Utilisation standard pour les nouveaux systèmes (heures à pleine charge par an)</t>
  </si>
  <si>
    <t>Identique au scénario de référence MFP jusqu'en 2025, ensuite constant</t>
  </si>
  <si>
    <t>jusqu'en 2025 comme le scénario supérieur MFP, par la suite constant</t>
  </si>
  <si>
    <t>jusqu'en 2025 comme pour le scénario inférieur de la PMF, par la suite constant</t>
  </si>
  <si>
    <t>jusqu'en 2025 comme le scénario inférieur de la MFP, par la suite une constante plus linéaire</t>
  </si>
  <si>
    <t>Identique au MFP jusqu'en 2025, puis augmentation dégressive à 2600h en 2035</t>
  </si>
  <si>
    <t>Jusqu'en 2025 comme le scénario supérieur MFP, puis augmentation linéaire à 2600h en 2035</t>
  </si>
  <si>
    <t>jusqu'en 2025 comme scénario inférieur MFP, puis augmentation linéaire à 2600h en 2035</t>
  </si>
  <si>
    <t>Jusqu'en 2025 comme le scénario de référence MFP, puis augmentation linéaire à 2600h en 2035</t>
  </si>
  <si>
    <t>Augmentation à 2600h en 2035</t>
  </si>
  <si>
    <t>Augmentation à 4700 h en 2035</t>
  </si>
  <si>
    <t>Identique au MFP jusqu'en 2025, puis augmentation dégressive à 4700h en 2035</t>
  </si>
  <si>
    <t>jusqu'en 2025 comme le scénario supérieur MFP, puis augmentation linéaire à 4700h en 2035</t>
  </si>
  <si>
    <t>jusqu'en 2025 comme le scénario inférieur du MFP, puis augmentation linéaire à 4000h en 2035</t>
  </si>
  <si>
    <t>jusqu'en 2025 comme scénario de tendance MFP, puis augmentation linéaire à 4300h en 2035</t>
  </si>
  <si>
    <t>Augmentation à 950h en 2035</t>
  </si>
  <si>
    <t>Jusqu'en 2025 comme scénario de référence MFP, puis ajustement linéaire à 950h en 2035</t>
  </si>
  <si>
    <t>Jusqu'en 2025 comme le scénario supérieur MFP, puis ajustement linéaire à 1050h en 2035</t>
  </si>
  <si>
    <t>Decription</t>
  </si>
  <si>
    <t>Facteurs de profil</t>
  </si>
  <si>
    <t>Valeurs jusqu'en 2025: scénario de référence MFP, par la suite constant à 100%</t>
  </si>
  <si>
    <t>propre calcul</t>
  </si>
  <si>
    <t>2020: calcul de la surtaxe GRT 2020. Valeurs jusqu'en 2025: scénario de référence MFP 2020, puis réduction linéaire à 60%</t>
  </si>
  <si>
    <t>2021: calcul du supplément GRT 2020. Valeurs jusqu'en 2025: scénario de référence MFP 2020, puis réduction linéaire à 60%</t>
  </si>
  <si>
    <t>Durée «golden end» (années après la fin de la période de financement pendant laquelle les systèmes continuent à fonctionner sans financement)</t>
  </si>
  <si>
    <t>Rien</t>
  </si>
  <si>
    <t>2 Années</t>
  </si>
  <si>
    <t>3 Années</t>
  </si>
  <si>
    <t>4 Années</t>
  </si>
  <si>
    <t>5 Années</t>
  </si>
  <si>
    <t>6 Années</t>
  </si>
  <si>
    <t>7 Années</t>
  </si>
  <si>
    <t>8 Années</t>
  </si>
  <si>
    <t>9 Années</t>
  </si>
  <si>
    <t>10 Années</t>
  </si>
  <si>
    <t>1 Année</t>
  </si>
  <si>
    <t xml:space="preserve">Futur prix ​​de l'électricité </t>
  </si>
  <si>
    <t>Historique</t>
  </si>
  <si>
    <t>"2021: calcul de la surtaxe GRT 2020 pour 2021: 40,74 € / MWh, 2022-2023: valeur fixe au 14 octobre)
par la suite augmentation linéaire à 60 € / MWh en 2035 "</t>
  </si>
  <si>
    <t>Valeur actuelle constante (nominale à un taux d'inflation de 1,5%)</t>
  </si>
  <si>
    <t>Valeur actuelle constante (réelle)</t>
  </si>
  <si>
    <t>2019: 42 € / MWh (valeur moyenne PBYF 16.6.18-15.9.18)
par la suite augmentation linéaire à 50 € / MWh en 2035 (correspond à Agora 2018: réseaux électriques à 65% d'énergies renouvelables d'ici 2030)</t>
  </si>
  <si>
    <t>Très faible</t>
  </si>
  <si>
    <t>Ancienne Référence</t>
  </si>
  <si>
    <t>Tampon de liquidité</t>
  </si>
  <si>
    <t>jusqu'en 2020: prévisions annuelles GRT,
après: 6%</t>
  </si>
  <si>
    <t>Calcul des prélèvements GRT, puis 6%</t>
  </si>
  <si>
    <t>Haute</t>
  </si>
  <si>
    <t>Très haute</t>
  </si>
  <si>
    <t>Haute MFP</t>
  </si>
  <si>
    <t>Valeur officielle des prévisions GRT jusqu'en 2025, constante par la suite</t>
  </si>
  <si>
    <t>65 TWh (consommation donnant droit à une compensation du prix de l'électricité ETS)</t>
  </si>
  <si>
    <t>Moyenne</t>
  </si>
  <si>
    <t>Comme Référence</t>
  </si>
  <si>
    <t>D'ici 2025: tendance MFP. Puis constant</t>
  </si>
  <si>
    <t>voir "Proposition de réforme des mécanismes d'allocation dans la loi sur les sources d'énergie renouvelables (EEG)", Öko-Institut 2014</t>
  </si>
  <si>
    <t>D'ici 2025: scénario supérieur MFP. Puis constant</t>
  </si>
  <si>
    <t>Pas de privilèges</t>
  </si>
  <si>
    <t>Part de la redevance pour les consommateurs finaux privilégiés</t>
  </si>
  <si>
    <t>Pleine participation</t>
  </si>
  <si>
    <t xml:space="preserve">Complètement libéré </t>
  </si>
  <si>
    <t>Facteur de privilèges supplémentaires</t>
  </si>
  <si>
    <t>pas de privilèges supplémentaires</t>
  </si>
  <si>
    <t>Jusqu'en 2021: calculs de la surtaxe GRT, par la suite constante (agit comme une exonération complète de 62% de la BT privée)</t>
  </si>
  <si>
    <t>faible privilège supplémentaire - fonctionne comme une exemption complète de 20% de la LV privée</t>
  </si>
  <si>
    <t>privilège supplémentaire moyen - fonctionne comme une exemption complète de 40% du privé LV</t>
  </si>
  <si>
    <t>privilège supplémentaire élevé - fonctionne comme une exemption complète de 60% de la LV privée</t>
  </si>
  <si>
    <t>privilège supplémentaire très élevé - fonctionne comme une exemption complète de 80% de la LV privée</t>
  </si>
  <si>
    <t>Part du prélèvement pour les systèmes existants</t>
  </si>
  <si>
    <t xml:space="preserve">Pas de participation </t>
  </si>
  <si>
    <t>Complet</t>
  </si>
  <si>
    <t>complètement exempté (selon EEG 2014)</t>
  </si>
  <si>
    <t>Consommation propre de nouveaux systèmes de cogénération et PV</t>
  </si>
  <si>
    <t xml:space="preserve">Pas d'expansion </t>
  </si>
  <si>
    <t>aute</t>
  </si>
  <si>
    <t>pas de nouveaux systèmes</t>
  </si>
  <si>
    <t>50% de moins que dans la prévision de consommation finale du GRT 2020</t>
  </si>
  <si>
    <t>Selon les prévisions de consommation finale du GRT 2021</t>
  </si>
  <si>
    <t>50% de plus que dans les prévisions de consommation finale du GRT 2021</t>
  </si>
  <si>
    <t>100% de plus que dans la prévision de consommation finale du GRT 2021</t>
  </si>
  <si>
    <t>2021: calculs de la surtaxe GRT jusqu'en 2025, par la suite constante</t>
  </si>
  <si>
    <t>2021-2025 selon la prévision de consommation finale du GRT Scénario de référence (quantité d'électricité selon §61 (1) phrase 1 n ° 1). Quantité d'électricité constante à partir de 2026.</t>
  </si>
  <si>
    <t>Scénario de références -50%</t>
  </si>
  <si>
    <t>comme scénario de référence</t>
  </si>
  <si>
    <t>Scénario de référence + 50%</t>
  </si>
  <si>
    <t>Scénario de référence + 100%</t>
  </si>
  <si>
    <t xml:space="preserve">Pleine participation </t>
  </si>
  <si>
    <t>selon EEG 2017, à partir de 2020 constant 38%</t>
  </si>
  <si>
    <t>Frais de réseau évités pour les sources d'énergie non volatiles (euros par MWh d'électricité à payer)</t>
  </si>
  <si>
    <t>Inclinaison en 2021 selon les prévisions du GRT, ensuite constante (voir §120 paragraphe 4, phrase 1 EnWG)</t>
  </si>
  <si>
    <t>Facteur d'échelle Frais de réseau évités pour les sources d'énergie volatiles (-)</t>
  </si>
  <si>
    <t>Réduction à zéro d'ici 2020</t>
  </si>
  <si>
    <t>La proportion de production fluctuante sera réduite d'un tiers en deux étapes annuelles, fixée à 0 à partir de 2020</t>
  </si>
  <si>
    <t>0,060 milliard d'euros (valeur dérivée des prévisions annuelles du GRT pour 2021)</t>
  </si>
  <si>
    <t>Taux d'inflation pour la conversion des flux de trésorerie nominaux et réels</t>
  </si>
  <si>
    <t>1,5% par année</t>
  </si>
  <si>
    <t>2,0% par année</t>
  </si>
  <si>
    <t>1,0% par année</t>
  </si>
  <si>
    <t>Croissance annuelle des indices des prix à la consommation de l'Office fédéral de la statistique jusqu'en 2015. À partir de 2016: 1,5% par an .</t>
  </si>
  <si>
    <t>Solde du compte d'erreur de prévision</t>
  </si>
  <si>
    <t>pas de déviation</t>
  </si>
  <si>
    <t>Valeur</t>
  </si>
  <si>
    <t>Solde du compte au 30/09 de l'année en cours</t>
  </si>
  <si>
    <t xml:space="preserve">Est calculé de manière endogène </t>
  </si>
  <si>
    <t xml:space="preserve">Part d'autoconsommation des nouveaux systèmes d'énergie renouvelable </t>
  </si>
  <si>
    <t xml:space="preserve">Mise à jour des prévisions annuelles GRT 2021 </t>
  </si>
  <si>
    <t>Pas d'autoconsommation</t>
  </si>
  <si>
    <t>Propre hypothèse: 15% de l'électricité des nouveaux systèmes PV &lt;10 kW est l'autoconsommation. Hypothèse: 80% de l'autoconsommation de ces systèmes sont inclus dans l'EEG, puisque cette consommation dépasse 10 MWh / a. Par conséquent, toutes les valeurs sont multipliées par 80%.</t>
  </si>
  <si>
    <t>Propre hypothèse: 50% de l'électricité des nouveaux systèmes PV &lt;10 kW est l'autoconsommation. Hypothèse: 80% de l'autoconsommation de ces systèmes sont inclus dans l'EEG, puisque cette consommation dépasse 10 MWh / a. Par conséquent, toutes les valeurs sont multipliées par 80%.</t>
  </si>
  <si>
    <t>Propre hypothèse: 75% de l'électricité des nouveaux systèmes PV &lt;10 kW est de l'autoconsommation. Hypothèse: 80% de l'autoconsommation de ces systèmes sont inclus dans l'EEG, puisque cette consommation dépasse 10 MWh / a. Par conséquent, toutes les valeurs sont multipliées par 80%.</t>
  </si>
  <si>
    <t>Propre hypothèse: 100% de l'électricité des nouveaux systèmes PV &lt;10 kW est de l'autoconsommation. Hypothèse: 80% de l'autoconsommation de ces systèmes sont inclus dans l'EEG, puisque cette consommation dépasse 10 MWh / a. Par conséquent, toutes les valeurs sont multipliées par 80%.</t>
  </si>
  <si>
    <t>Subventions annuelles du budget fédéral pour réduire le prélèvement</t>
  </si>
  <si>
    <t>Tous les moyens</t>
  </si>
  <si>
    <t>6,5 ct / kWh en 2021 et 6,0 ct / kWh en 2022 seront atteints</t>
  </si>
  <si>
    <t>fonds maximum disponibles du budget fédéral</t>
  </si>
  <si>
    <t>Les 6,5 ct / kWh spécifiés en 2021 et 6,0 ct / kWh en 2022 seront atteints. Par la suite constant 5 milliards</t>
  </si>
  <si>
    <t>10 milliards / a constants</t>
  </si>
  <si>
    <t>Constante 5 milliards / a</t>
  </si>
  <si>
    <t>aucun paiement supplémentaire</t>
  </si>
  <si>
    <t>Utilisation totale des fonds maximums prévus du budget fédéral en 2021 et 2022, ensuite constants 5 milliards</t>
  </si>
  <si>
    <t>Quantité totale d'électricité renouvelable produite selon les prévisions annuelles du GRT (TWh)</t>
  </si>
  <si>
    <t>Prévisions annuelles GRT</t>
  </si>
  <si>
    <t>Rémunération fixe et volume d'électricité rémunéré avec une prime de marché selon les prévisions annuelles GRT (TWh)</t>
  </si>
  <si>
    <t>Taux de rémunération moyen des années historiques et en cours (selon les prévisions annuelles du GRT)</t>
  </si>
  <si>
    <t>Dérivé des prévisions annuelles du GRT</t>
  </si>
  <si>
    <t>Solde du compte en septembre</t>
  </si>
  <si>
    <t>Capacités restantes des usines construites d'ici fin 2014</t>
  </si>
  <si>
    <t>Propres calculs</t>
  </si>
  <si>
    <t>Propres calculs, basés sur "Concept, éléments de conception et implications d'un fonds de gros EEG. Öko-Institut 2014</t>
  </si>
  <si>
    <t>2014 de RE en chiffres; puis ses propres calculs</t>
  </si>
  <si>
    <t>Volumes d'électricité restants des systèmes construits d'ici la fin de 2014</t>
  </si>
  <si>
    <t>Paiements restants pour les usines construites à la fin de 2014 (valeur nominale)</t>
  </si>
  <si>
    <t>Propres calculs, basés sur "Concept, éléments de conception et implications d'un fonds de gros EEG. Öko-Institut 2014"</t>
  </si>
  <si>
    <t>Part du privilège de l'électricité verte</t>
  </si>
  <si>
    <t>Les prévisions et prévisions annuelles du GRT pour 2012; à partir de 2015, plus le privilège de l'électricité verte</t>
  </si>
  <si>
    <t>Consommation propre des systèmes à combustibles fossiles existants *</t>
  </si>
  <si>
    <t>* à partir de 2019, puissance de pompage comprise</t>
  </si>
  <si>
    <t>Auto-approvisionnement selon §61 (3) à partir du calcul d'allocation GRT pour 2020</t>
  </si>
  <si>
    <t>Consommation propre de nouveaux systèmes fossiles sans cogénération</t>
  </si>
  <si>
    <t>Pas de nouveaux systèmes</t>
  </si>
  <si>
    <t>Consommation propre de stock d'ER</t>
  </si>
  <si>
    <t xml:space="preserve">Valeur historique de la prévision annuelle GRT, moins CP pour les nouveaux systèmes (qui est calculée avec le pourcentage CP PV). Valeurs pour les années suivantes 2022 avec une croissance de 1%, puis réduites en fonction de la courbe de mortalité des systèmes existants et de la dégradation. </t>
  </si>
  <si>
    <t>Réduction des surtaxes privilège de l'électricité verte</t>
  </si>
  <si>
    <t xml:space="preserve">Prévisions annuelles GRT. Déduction de la surtaxe du montant de la surtaxe (exonération de 100%) à partir de 2009-2011, déduction de 2ct / kWh en 2012 et 2013. </t>
  </si>
  <si>
    <t>100% (Selon EEG 2014)</t>
  </si>
  <si>
    <t xml:space="preserve">Rémunération pour l'autoconsommation </t>
  </si>
  <si>
    <t>Valeurs historiques issues des prévisions annuelles TSO. Quotient d'autoconsommation et paiements de rémunération pour l'autoconsommation</t>
  </si>
  <si>
    <t>Paiements des primes de gestion pour les systèmes existants (construits de 2012 à 2014) Calcul pour les années de prévision [milliards Euros] (réel)</t>
  </si>
  <si>
    <t>RÉEL</t>
  </si>
  <si>
    <t>Bonus de gestion à partir des prévisions GRT, extrapolation pour les années suivantes</t>
  </si>
  <si>
    <t>Paiements des primes de gestion pour les systèmes existants (construits de 2012 à 2014) Calcul pour les années de prévision [milliards Euro] (nominal)</t>
  </si>
  <si>
    <t>Les pertes de réseau et l'autoconsommation de KW -&gt; sont ajoutées à la consommation nette d'électricité afin de calculer la consommation brute d'électricité</t>
  </si>
  <si>
    <t>Données basées sur AGEB</t>
  </si>
  <si>
    <t>Capacités ER fin 2009</t>
  </si>
  <si>
    <t>Donnée historique</t>
  </si>
  <si>
    <t>Démantèlement des systèmes existants avant 2015. Utilisé uniquement pour les graphiques supplémentaires.</t>
  </si>
  <si>
    <t>Capacités de production d'énergie renouvelable des usines non subventionnées par l'EEG. Ceci n'est actuellement pertinent que pour l'hydroélectricité et la biomasse (production d'électricité à partir des déchets ménagers). Les services des systèmes qui ont déjà dépassé la fin de la période de financement sont pris en compte ailleurs</t>
  </si>
  <si>
    <t>2011-2015: capacité installée Liste des centrales BNetzA (état au 31.12.2015) au fil de l'eau + eau de stockage sans pompage, moins la capacité installée des systèmes subventionnés par EEG selon les prévisions à moyen terme du GRT 2015. Constante à partir de 2015 . Pour les valeurs de 2010 à partir de 2011 utilisées (la liste des centrales électriques BNetzA ne contient que des données de 2011)</t>
  </si>
  <si>
    <t>pas de production d'électricité en dehors de l'EEG</t>
  </si>
  <si>
    <t>2011-2015: capacité installée Liste des centrales BNetzA (état au 31.12.2015) biomasse + part renouvelable des déchets, diminuée de la capacité installée des systèmes subventionnés par EEG selon les prévisions à moyen terme du GRT 2015. Constante à partir de 2015. Pour les valeurs de 2010 à partir de 2011 utilisées (la liste des centrales électriques BNetzA ne contient que des données de 2011)</t>
  </si>
  <si>
    <t>Volumes d'électricité renouvelable non subventionnés par l'EEG. Ceci n'est actuellement pertinent que pour l'hydroélectricité et la biomasse (production d'électricité à partir des déchets ménagers). L'électricité provenant de systèmes qui ont déjà dépassé la fin de la période de financement est prise en compte ailleurs</t>
  </si>
  <si>
    <t>Hypothèse: les systèmes non subventionnés par l'EEG produisent 13,95 TWh / an à partir de 2014. Source: Différence par rapport à la production totale d'électricité à partir de l'hydroélectricité selon l'AG Energiebilanzen en 2014 et la quantité d'électricité à partir de l'hydroélectricité selon les comptes annuels de l'EEG pour 2014.</t>
  </si>
  <si>
    <t>Production à partir de la part biogénique des déchets ménagers (selon AG Energiebilanzen, elle est comptabilisée comme «renouvelable»). Source 2010-2015: AG Energiebilanzen, par la suite constante</t>
  </si>
  <si>
    <t>Facteurs de profil (facteurs de valeur de marché) utilisés par les GRT lors du calcul des revenus marketing des systèmes de primes de marché.</t>
  </si>
  <si>
    <t>GRT</t>
  </si>
  <si>
    <t>Source: calculs d'allocation des GRT</t>
  </si>
  <si>
    <t>Ces valeurs ne sont pas communiquées directement par les GRT, mais peuvent être calculées (revenus de commercialisation des gestionnaires de réseau qui perçoivent une prime de marché / (prime de marché de volume d'électricité * prix de l'électricité))</t>
  </si>
  <si>
    <t xml:space="preserve">   ### aucune référence possible, entrez le texte à la main après avoir terminé le travail</t>
  </si>
  <si>
    <t>Guide de démarrage rapide</t>
  </si>
  <si>
    <t>Historique des versions.</t>
  </si>
  <si>
    <t>Index de toutes les feuilles de calcul.</t>
  </si>
  <si>
    <t>Index complet (y compris les feuilles non visibles par l'utilisateur)</t>
  </si>
  <si>
    <t>Interface utilisateur pour le mode décideur</t>
  </si>
  <si>
    <t>Interface utilisateur en mode expert</t>
  </si>
  <si>
    <t>Pour le mode décideur, on définit ici les valeurs standards qui sont utilisées pour les paramètres qui ne peuvent pas être modifiés en mode décideur.</t>
  </si>
  <si>
    <t>Les paramètres des deux feuilles de départ sont copiés dans cette feuille de calcul et les feuilles de la bibliothèque accèdent à cette feuille afin de filtrer les paramètres requis.</t>
  </si>
  <si>
    <t>Tous les calculs sont effectués ici en résolution annuelle.</t>
  </si>
  <si>
    <t>Calcul de l'historique du compte pour l'année en cours.</t>
  </si>
  <si>
    <t>Résultats préparés pour les graphiques</t>
  </si>
  <si>
    <t>Résultats du modèle sous forme de tableau</t>
  </si>
  <si>
    <t>Fiche technique: Augmentation de capacité annuelle par technologie</t>
  </si>
  <si>
    <t>Fiche technique: heures de pleine charge annuelles par technologie</t>
  </si>
  <si>
    <t>Fiche technique: facteur d'approvisionnement par technologie</t>
  </si>
  <si>
    <t>Fiche technique: Part de l'électricité commercialisée directement (modèle de prime de marché) dans la production totale d'électricité (par technologie)</t>
  </si>
  <si>
    <t>Fiche technique: Part de l'autoconsommation dans la production totale d'électricité (par technologie)</t>
  </si>
  <si>
    <t>Fiche technique: Part des autres modèles de marketing direct dans la production totale d'électricité (par technologie)</t>
  </si>
  <si>
    <t>Fiche technique: Facteurs de profil pour le calcul des revenus marketing et des paiements des primes de marché au cours des années de prévision</t>
  </si>
  <si>
    <t>Fiche technique: Taux de paiement des nouveaux systèmes (par technologie). Uniquement pertinent pour les années de prévision.</t>
  </si>
  <si>
    <t>Fiche technique: Tarifs de paiement de l'électricité autoconsommée (par technologie).</t>
  </si>
  <si>
    <t>Fiche technique: Management Rewards (par technologie).</t>
  </si>
  <si>
    <t>Fiche technique: Evolution du prix de l'électricité (année de référence PHELIX future) pour le calcul de l'allocation.</t>
  </si>
  <si>
    <t>Fiche technique: Facteur de mise à l'échelle qui décrit la différence systématique entre les prix à terme et les prix du marché au comptant.</t>
  </si>
  <si>
    <t>Fiche technique: Montant du coussin de liquidité.</t>
  </si>
  <si>
    <t>Fiche technique: consommation électrique totale.</t>
  </si>
  <si>
    <t>Fiche technique: Part de la consommation finale privilégiée dans la consommation totale d'électricité.</t>
  </si>
  <si>
    <t>Fiche technique: Part de l'autoconsommation autoproduite dans la consommation totale d'électricité.</t>
  </si>
  <si>
    <t>Fiche technique: Part de l'électricité verte privilégiée à l'électricité dans la consommation totale d'électricité.</t>
  </si>
  <si>
    <t>Fiche technique: taux de prélèvement pour consommation finale privilégiée</t>
  </si>
  <si>
    <t>Fiche technique: taux de prélèvement pour l'autoproduction autoconsommée</t>
  </si>
  <si>
    <t>Fiche technique: Taux de cotisation privilège électricité verte.</t>
  </si>
  <si>
    <t>Fiche technique: Frais de réseau évités (indiqués sous forme de montant forfaitaire par quantité d'électricité à payer).</t>
  </si>
  <si>
    <t>Fiche technique: autres frais (forfaitaires).</t>
  </si>
  <si>
    <t>Fiche technique: Production d'électricité par technologie (ne concerne que les années historiques).</t>
  </si>
  <si>
    <t>Fiche technique: Tarifs moyens par technologie (ne concerne que les années historiques).</t>
  </si>
  <si>
    <t>Fiche technique: Facteurs de profil utilisés dans les prévisions annuelles du GRT (pertinent uniquement pour les années historiques).</t>
  </si>
  <si>
    <t>Fiche technique: Facteurs de profil utilisés dans les prévisions annuelles du GRT pour le calcul des primes de marché (ne concerne que les années historiques).</t>
  </si>
  <si>
    <t xml:space="preserve">Fiche technique: soldes historiques des comptes, toujours au 30.9. (pertinent uniquement pour les années historiques). </t>
  </si>
  <si>
    <t>Tendance MFP, puis constante 1,6 GW</t>
  </si>
  <si>
    <t>jusqu'au scénario de tendance 2025 MFP, à partir de la mise à jour 2026</t>
  </si>
  <si>
    <t>Endogène</t>
  </si>
  <si>
    <t>Résultat: supplément EEG et somme du prix de l'électricité et supplément [ct / kWh]</t>
  </si>
  <si>
    <t>Sélectionnez la technologie:</t>
  </si>
  <si>
    <t>EEG 2017; Proportion d'offres à partir de 2020 50%</t>
  </si>
  <si>
    <t>Dégression selon la couverture mobile; Résultats de l'appel d'offres, réduction à 3,5 ct / kWh en 2035 (nominal); Part des appels d'offres jusqu'en 2019 comme EEG, puis 50%</t>
  </si>
  <si>
    <t>Reserve de liquidité</t>
  </si>
  <si>
    <t>Prix ​​de gros de l'électricité (futur)</t>
  </si>
  <si>
    <t xml:space="preserve">sélectionnable -&gt; </t>
  </si>
  <si>
    <t>sélectionnable -&gt;</t>
  </si>
  <si>
    <t>Paramètres d'entrée:
Exceptions pour les entreprises à forte intensité d'électricité (BesAR)</t>
  </si>
  <si>
    <t>Paramètres d'entrée:
divers</t>
  </si>
  <si>
    <t>Données monétaires (réelles) (prélèvement ct / kWh, milliards d'euros)</t>
  </si>
  <si>
    <t>Calcul du montant du Prélèvement</t>
  </si>
  <si>
    <t>Réserve de liquidité (nominale) [milliards Euro]</t>
  </si>
  <si>
    <t>Solde du compte au 30/09 de l'année précédente (valeur nominale) [milliards Euro]</t>
  </si>
  <si>
    <t>Subventions annuelles du budget fédéral</t>
  </si>
  <si>
    <t xml:space="preserve">Montant de la contribution (nominal) [milliards Euro] </t>
  </si>
  <si>
    <t xml:space="preserve">Auto-consommation
(Nouveaux systèmes de cogénération) </t>
  </si>
  <si>
    <t>Paramètres d'entrée:
Auto-consommation</t>
  </si>
  <si>
    <t xml:space="preserve">Part de la redevance pour l'autoconsommation
(Systèmes existants) </t>
  </si>
  <si>
    <t>2021: calcul GRT 2020. Par la suite constante</t>
  </si>
  <si>
    <t>2019: calcul GRT 2019. Puis baisse de 1% / an</t>
  </si>
  <si>
    <t>2019: calcul GRT 2019. Par la suite, baisse de 0,5% / an</t>
  </si>
  <si>
    <t>2019: calcul GRT 2019. Par la suite constante</t>
  </si>
  <si>
    <t>2019: calcul GRT 2019. Augmentation par la suite de 0,5% / an</t>
  </si>
  <si>
    <t xml:space="preserve">2019: calcul GRT 2019. Par la suite, augmentation de 1% / an </t>
  </si>
  <si>
    <t>Facteur de mise à l'échelle du spot
(Ratio du prix au comptant au prix futur)</t>
  </si>
  <si>
    <t>Frais de réseau évités (pour une production non fluctuante)</t>
  </si>
  <si>
    <t>Inflation</t>
  </si>
  <si>
    <t>Mode expert</t>
  </si>
  <si>
    <t>Stock (Bestand)</t>
  </si>
  <si>
    <t>Facteur d'offre (Dargebot)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</si>
</sst>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164" formatCode="_-* #,##0.00\ &quot;€&quot;_-;\-* #,##0.00\ &quot;€&quot;_-;_-* &quot;-&quot;??\ &quot;€&quot;_-;_-@_-"/>
    <numFmt numFmtId="165" formatCode="_-* #,##0.00\ _€_-;\-* #,##0.00\ _€_-;_-* &quot;-&quot;??\ _€_-;_-@_-"/>
    <numFmt numFmtId="166" formatCode="#,##0.0000"/>
    <numFmt numFmtId="167" formatCode="yyyy"/>
    <numFmt numFmtId="168" formatCode="#,##0.00\ &quot;TJ&quot;"/>
    <numFmt numFmtId="169" formatCode="#,##0.00\ &quot;kg&quot;"/>
    <numFmt numFmtId="170" formatCode="#,##0.00\ &quot;Gg&quot;"/>
    <numFmt numFmtId="171" formatCode="#,##0.00\ &quot;kt&quot;"/>
    <numFmt numFmtId="172" formatCode="#,##0.00\ &quot;TStk&quot;"/>
    <numFmt numFmtId="173" formatCode="#,##0.00\ &quot;Stk&quot;"/>
    <numFmt numFmtId="174" formatCode="#,##0.00\ &quot;Stck&quot;"/>
    <numFmt numFmtId="175" formatCode="#,##0.00\ &quot;T.Stk&quot;"/>
    <numFmt numFmtId="176" formatCode="@\ *."/>
    <numFmt numFmtId="177" formatCode="\ @\ *."/>
    <numFmt numFmtId="178" formatCode="\ \ \ @\ *."/>
    <numFmt numFmtId="179" formatCode="\ \ \ \ @\ *."/>
    <numFmt numFmtId="180" formatCode="\ \ \ \ \ \ @\ *."/>
    <numFmt numFmtId="181" formatCode="\ \ \ \ \ \ \ @\ *."/>
    <numFmt numFmtId="182" formatCode="\ \ \ \ \ \ \ \ \ @\ *."/>
    <numFmt numFmtId="183" formatCode="\ \ \ \ \ \ \ \ \ \ @\ *."/>
    <numFmt numFmtId="184" formatCode="\ \ \ @"/>
    <numFmt numFmtId="185" formatCode="\ \ \ \ \ \ @"/>
    <numFmt numFmtId="186" formatCode="\ \ \ \ \ \ \ \ \ @"/>
    <numFmt numFmtId="187" formatCode="\ @"/>
    <numFmt numFmtId="188" formatCode="\ \ @\ *."/>
    <numFmt numFmtId="189" formatCode="\ \ @"/>
    <numFmt numFmtId="190" formatCode="\ \ \ \ @"/>
    <numFmt numFmtId="191" formatCode="\ \ \ \ \ \ \ \ \ \ \ \ @\ *."/>
    <numFmt numFmtId="192" formatCode="\ \ \ \ \ \ \ \ \ \ \ \ @"/>
    <numFmt numFmtId="193" formatCode="\ \ \ \ \ \ \ \ \ \ \ \ \ @\ *."/>
    <numFmt numFmtId="194" formatCode="dd/mm/yy\,\ hh:mm"/>
    <numFmt numFmtId="195" formatCode="#,##0.00;#,##0.00;\-"/>
    <numFmt numFmtId="196" formatCode="0.0"/>
    <numFmt numFmtId="197" formatCode="#,##0.000;#,##0.000;\-"/>
    <numFmt numFmtId="198" formatCode="#,##0;#,##0;\-"/>
    <numFmt numFmtId="199" formatCode="0.000"/>
    <numFmt numFmtId="200" formatCode="#,##0.0000;#,##0.0000;\-"/>
    <numFmt numFmtId="201" formatCode="\+0.00;\-0.00;\-"/>
    <numFmt numFmtId="202" formatCode="#,##0.000"/>
    <numFmt numFmtId="203" formatCode="0.0000"/>
    <numFmt numFmtId="204" formatCode="0.00000"/>
    <numFmt numFmtId="205" formatCode="#,##0.00000;#,##0.00000;\-"/>
    <numFmt numFmtId="206" formatCode="0.0%"/>
    <numFmt numFmtId="207" formatCode="0.0\ \ "/>
    <numFmt numFmtId="208" formatCode="0.000000"/>
    <numFmt numFmtId="209" formatCode="#,##0.00000"/>
    <numFmt numFmtId="210" formatCode="#,##0.0"/>
  </numFmts>
  <fonts count="96">
    <font>
      <sz val="10"/>
      <name val="Arial"/>
    </font>
    <font>
      <sz val="11"/>
      <color theme="1"/>
      <name val="Flexo"/>
      <family val="2"/>
      <scheme val="minor"/>
    </font>
    <font>
      <sz val="11"/>
      <color theme="1"/>
      <name val="Flexo"/>
      <family val="2"/>
      <scheme val="minor"/>
    </font>
    <font>
      <sz val="11"/>
      <color theme="1"/>
      <name val="Flexo"/>
      <family val="2"/>
      <scheme val="minor"/>
    </font>
    <font>
      <sz val="11"/>
      <color theme="1"/>
      <name val="Flexo"/>
      <family val="2"/>
      <scheme val="minor"/>
    </font>
    <font>
      <sz val="11"/>
      <color theme="1"/>
      <name val="Flexo"/>
      <family val="2"/>
      <scheme val="minor"/>
    </font>
    <font>
      <sz val="11"/>
      <color theme="1"/>
      <name val="Flexo"/>
      <family val="2"/>
      <scheme val="minor"/>
    </font>
    <font>
      <sz val="10"/>
      <color theme="1"/>
      <name val="Arial"/>
      <family val="2"/>
    </font>
    <font>
      <sz val="11"/>
      <color theme="1"/>
      <name val="Flexo"/>
      <family val="2"/>
      <scheme val="minor"/>
    </font>
    <font>
      <sz val="11"/>
      <color theme="1"/>
      <name val="Flexo"/>
      <family val="2"/>
      <scheme val="minor"/>
    </font>
    <font>
      <sz val="10"/>
      <name val="Arial"/>
      <family val="2"/>
    </font>
    <font>
      <sz val="9"/>
      <name val="Times New Roman"/>
      <family val="1"/>
    </font>
    <font>
      <b/>
      <sz val="9"/>
      <name val="Times New Roman"/>
      <family val="1"/>
    </font>
    <font>
      <u/>
      <sz val="10"/>
      <color indexed="12"/>
      <name val="Arial"/>
      <family val="2"/>
    </font>
    <font>
      <sz val="8"/>
      <name val="Arial"/>
      <family val="2"/>
    </font>
    <font>
      <b/>
      <sz val="10"/>
      <name val="Arial"/>
      <family val="2"/>
    </font>
    <font>
      <sz val="8"/>
      <name val="Arial"/>
      <family val="2"/>
    </font>
    <font>
      <sz val="7"/>
      <name val="Letter Gothic CE"/>
      <family val="3"/>
      <charset val="238"/>
    </font>
    <font>
      <sz val="7"/>
      <name val="Arial"/>
      <family val="2"/>
    </font>
    <font>
      <sz val="10"/>
      <name val="Arial"/>
      <family val="2"/>
    </font>
    <font>
      <sz val="9"/>
      <color indexed="8"/>
      <name val="Times New Roman"/>
      <family val="1"/>
    </font>
    <font>
      <b/>
      <sz val="12"/>
      <name val="Times New Roman"/>
      <family val="1"/>
    </font>
    <font>
      <sz val="10"/>
      <color indexed="10"/>
      <name val="Arial"/>
      <family val="2"/>
    </font>
    <font>
      <sz val="10"/>
      <color indexed="12"/>
      <name val="Arial"/>
      <family val="2"/>
    </font>
    <font>
      <sz val="10"/>
      <color indexed="8"/>
      <name val="MS Sans Serif"/>
      <family val="2"/>
    </font>
    <font>
      <sz val="10"/>
      <color indexed="8"/>
      <name val="Arial"/>
      <family val="2"/>
    </font>
    <font>
      <b/>
      <sz val="10"/>
      <color indexed="8"/>
      <name val="Arial"/>
      <family val="2"/>
    </font>
    <font>
      <sz val="10"/>
      <color theme="1"/>
      <name val="Arial"/>
      <family val="2"/>
    </font>
    <font>
      <sz val="9"/>
      <color indexed="81"/>
      <name val="Tahoma"/>
      <family val="2"/>
    </font>
    <font>
      <b/>
      <sz val="9"/>
      <color indexed="81"/>
      <name val="Tahoma"/>
      <family val="2"/>
    </font>
    <font>
      <b/>
      <sz val="12"/>
      <color indexed="8"/>
      <name val="Arial"/>
      <family val="2"/>
    </font>
    <font>
      <b/>
      <sz val="11"/>
      <color indexed="8"/>
      <name val="Arial"/>
      <family val="2"/>
    </font>
    <font>
      <sz val="8"/>
      <color indexed="8"/>
      <name val="Arial"/>
      <family val="2"/>
    </font>
    <font>
      <sz val="11"/>
      <color indexed="8"/>
      <name val="Arial"/>
      <family val="2"/>
    </font>
    <font>
      <sz val="10"/>
      <color rgb="FF000000"/>
      <name val="Arial"/>
      <family val="2"/>
    </font>
    <font>
      <sz val="10"/>
      <color theme="0" tint="-0.34998626667073579"/>
      <name val="Arial"/>
      <family val="2"/>
    </font>
    <font>
      <b/>
      <sz val="10"/>
      <color theme="0" tint="-0.34998626667073579"/>
      <name val="Arial"/>
      <family val="2"/>
    </font>
    <font>
      <b/>
      <sz val="12"/>
      <name val="Arial"/>
      <family val="2"/>
    </font>
    <font>
      <sz val="10"/>
      <color rgb="FFFF0000"/>
      <name val="Arial"/>
      <family val="2"/>
    </font>
    <font>
      <b/>
      <sz val="8"/>
      <color indexed="81"/>
      <name val="Tahoma"/>
      <family val="2"/>
    </font>
    <font>
      <sz val="8"/>
      <color indexed="81"/>
      <name val="Tahoma"/>
      <family val="2"/>
    </font>
    <font>
      <sz val="10"/>
      <color rgb="FF0070C0"/>
      <name val="Arial"/>
      <family val="2"/>
    </font>
    <font>
      <strike/>
      <sz val="10"/>
      <color indexed="8"/>
      <name val="Arial"/>
      <family val="2"/>
    </font>
    <font>
      <b/>
      <sz val="10"/>
      <color rgb="FF0070C0"/>
      <name val="Arial"/>
      <family val="2"/>
    </font>
    <font>
      <vertAlign val="subscript"/>
      <sz val="10"/>
      <color rgb="FF0070C0"/>
      <name val="Arial"/>
      <family val="2"/>
    </font>
    <font>
      <i/>
      <sz val="10"/>
      <color indexed="8"/>
      <name val="Arial"/>
      <family val="2"/>
    </font>
    <font>
      <sz val="10"/>
      <color theme="0" tint="-0.499984740745262"/>
      <name val="Arial"/>
      <family val="2"/>
    </font>
    <font>
      <b/>
      <sz val="10"/>
      <color theme="0" tint="-0.499984740745262"/>
      <name val="Arial"/>
      <family val="2"/>
    </font>
    <font>
      <b/>
      <sz val="10"/>
      <color theme="0"/>
      <name val="Arial"/>
      <family val="2"/>
    </font>
    <font>
      <sz val="10"/>
      <name val="Arial"/>
      <family val="2"/>
    </font>
    <font>
      <sz val="10"/>
      <color theme="7"/>
      <name val="Arial"/>
      <family val="2"/>
    </font>
    <font>
      <sz val="11"/>
      <color indexed="8"/>
      <name val="Calibri"/>
      <family val="2"/>
    </font>
    <font>
      <sz val="11"/>
      <color indexed="9"/>
      <name val="Calibri"/>
      <family val="2"/>
    </font>
    <font>
      <sz val="12"/>
      <color indexed="8"/>
      <name val="Times New Roman"/>
      <family val="1"/>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b/>
      <sz val="12"/>
      <color indexed="8"/>
      <name val="Times New Roman"/>
      <family val="1"/>
    </font>
    <font>
      <sz val="11"/>
      <color indexed="60"/>
      <name val="Calibri"/>
      <family val="2"/>
    </font>
    <font>
      <sz val="11"/>
      <color indexed="20"/>
      <name val="Calibri"/>
      <family val="2"/>
    </font>
    <font>
      <sz val="8"/>
      <color indexed="9"/>
      <name val="Arial"/>
      <family val="2"/>
    </font>
    <font>
      <b/>
      <sz val="15"/>
      <color indexed="56"/>
      <name val="Calibri"/>
      <family val="2"/>
    </font>
    <font>
      <b/>
      <sz val="18"/>
      <color indexed="56"/>
      <name val="Cambria"/>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u/>
      <sz val="10"/>
      <color indexed="12"/>
      <name val="Times New Roman"/>
      <family val="1"/>
    </font>
    <font>
      <sz val="10"/>
      <color theme="4"/>
      <name val="Arial"/>
      <family val="2"/>
    </font>
    <font>
      <sz val="11"/>
      <color rgb="FFFF0000"/>
      <name val="Flexo"/>
      <family val="2"/>
      <scheme val="minor"/>
    </font>
    <font>
      <b/>
      <sz val="11"/>
      <color rgb="FF000000"/>
      <name val="Calibri"/>
      <family val="2"/>
    </font>
    <font>
      <sz val="11"/>
      <color rgb="FF000000"/>
      <name val="Calibri"/>
      <family val="2"/>
    </font>
    <font>
      <b/>
      <sz val="10"/>
      <color theme="1"/>
      <name val="Arial"/>
      <family val="2"/>
    </font>
    <font>
      <sz val="11"/>
      <color theme="2"/>
      <name val="Flexo"/>
      <family val="2"/>
      <scheme val="minor"/>
    </font>
    <font>
      <sz val="10"/>
      <color theme="2"/>
      <name val="Arial"/>
      <family val="2"/>
    </font>
    <font>
      <sz val="11"/>
      <color theme="2"/>
      <name val="Arial"/>
      <family val="2"/>
    </font>
    <font>
      <b/>
      <sz val="10"/>
      <color theme="2"/>
      <name val="Arial"/>
      <family val="2"/>
    </font>
    <font>
      <u/>
      <sz val="10"/>
      <color theme="2"/>
      <name val="Arial"/>
      <family val="2"/>
    </font>
    <font>
      <b/>
      <sz val="12"/>
      <color theme="2"/>
      <name val="Arial"/>
      <family val="2"/>
    </font>
    <font>
      <b/>
      <sz val="11"/>
      <color theme="2"/>
      <name val="Arial"/>
      <family val="2"/>
    </font>
    <font>
      <sz val="11"/>
      <color theme="0"/>
      <name val="Arial"/>
      <family val="2"/>
    </font>
    <font>
      <sz val="11"/>
      <color theme="1"/>
      <name val="Arial"/>
      <family val="2"/>
    </font>
    <font>
      <sz val="9"/>
      <color indexed="81"/>
      <name val="Arial"/>
      <family val="2"/>
    </font>
    <font>
      <sz val="11"/>
      <name val="Arial"/>
      <family val="2"/>
    </font>
    <font>
      <b/>
      <sz val="14"/>
      <name val="Arial"/>
      <family val="2"/>
    </font>
    <font>
      <b/>
      <sz val="14"/>
      <color theme="0" tint="-0.89999084444715716"/>
      <name val="Arial"/>
      <family val="2"/>
    </font>
    <font>
      <b/>
      <sz val="11"/>
      <color theme="1"/>
      <name val="Arial"/>
      <family val="2"/>
    </font>
    <font>
      <b/>
      <sz val="16"/>
      <color rgb="FFFF0000"/>
      <name val="Arial"/>
      <family val="2"/>
    </font>
    <font>
      <sz val="10"/>
      <color theme="1"/>
      <name val="Flexo"/>
      <family val="2"/>
      <scheme val="minor"/>
    </font>
    <font>
      <sz val="11"/>
      <color indexed="81"/>
      <name val="Segoe UI"/>
      <family val="2"/>
    </font>
    <font>
      <b/>
      <sz val="11"/>
      <color indexed="81"/>
      <name val="Segoe UI"/>
      <family val="2"/>
    </font>
    <font>
      <b/>
      <i/>
      <sz val="10"/>
      <color indexed="8"/>
      <name val="Arial"/>
      <family val="2"/>
    </font>
  </fonts>
  <fills count="87">
    <fill>
      <patternFill patternType="none"/>
    </fill>
    <fill>
      <patternFill patternType="gray125"/>
    </fill>
    <fill>
      <patternFill patternType="solid">
        <fgColor indexed="42"/>
        <bgColor indexed="64"/>
      </patternFill>
    </fill>
    <fill>
      <patternFill patternType="solid">
        <fgColor indexed="47"/>
        <bgColor indexed="64"/>
      </patternFill>
    </fill>
    <fill>
      <patternFill patternType="solid">
        <fgColor indexed="55"/>
        <bgColor indexed="64"/>
      </patternFill>
    </fill>
    <fill>
      <patternFill patternType="solid">
        <fgColor indexed="43"/>
        <bgColor indexed="64"/>
      </patternFill>
    </fill>
    <fill>
      <patternFill patternType="darkTrellis"/>
    </fill>
    <fill>
      <patternFill patternType="solid">
        <fgColor indexed="13"/>
        <bgColor indexed="64"/>
      </patternFill>
    </fill>
    <fill>
      <patternFill patternType="solid">
        <fgColor theme="0" tint="-4.9989318521683403E-2"/>
        <bgColor indexed="64"/>
      </patternFill>
    </fill>
    <fill>
      <patternFill patternType="solid">
        <fgColor theme="0"/>
        <bgColor indexed="64"/>
      </patternFill>
    </fill>
    <fill>
      <patternFill patternType="solid">
        <fgColor indexed="41"/>
        <bgColor indexed="64"/>
      </patternFill>
    </fill>
    <fill>
      <patternFill patternType="solid">
        <fgColor indexed="51"/>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4"/>
        <bgColor indexed="64"/>
      </patternFill>
    </fill>
    <fill>
      <patternFill patternType="solid">
        <fgColor rgb="FFFFCC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7"/>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63"/>
        <bgColor indexed="64"/>
      </patternFill>
    </fill>
    <fill>
      <patternFill patternType="solid">
        <fgColor indexed="62"/>
        <bgColor indexed="64"/>
      </patternFill>
    </fill>
    <fill>
      <patternFill patternType="solid">
        <fgColor indexed="55"/>
      </patternFill>
    </fill>
    <fill>
      <patternFill patternType="solid">
        <fgColor rgb="FFC4D79B"/>
        <bgColor rgb="FF000000"/>
      </patternFill>
    </fill>
    <fill>
      <patternFill patternType="solid">
        <fgColor theme="5"/>
        <bgColor rgb="FF000000"/>
      </patternFill>
    </fill>
    <fill>
      <patternFill patternType="solid">
        <fgColor theme="5"/>
        <bgColor indexed="64"/>
      </patternFill>
    </fill>
    <fill>
      <patternFill patternType="solid">
        <fgColor theme="6"/>
        <bgColor indexed="64"/>
      </patternFill>
    </fill>
    <fill>
      <patternFill patternType="solid">
        <fgColor theme="6" tint="0.39997558519241921"/>
        <bgColor rgb="FF000000"/>
      </patternFill>
    </fill>
    <fill>
      <patternFill patternType="solid">
        <fgColor theme="5"/>
      </patternFill>
    </fill>
    <fill>
      <patternFill patternType="solid">
        <fgColor rgb="FF1F82C0"/>
        <bgColor indexed="64"/>
      </patternFill>
    </fill>
    <fill>
      <patternFill patternType="solid">
        <fgColor rgb="FF006099"/>
        <bgColor indexed="64"/>
      </patternFill>
    </fill>
    <fill>
      <patternFill patternType="solid">
        <fgColor rgb="FFFFD744"/>
        <bgColor indexed="64"/>
      </patternFill>
    </fill>
    <fill>
      <patternFill patternType="solid">
        <fgColor rgb="FF467850"/>
        <bgColor indexed="64"/>
      </patternFill>
    </fill>
    <fill>
      <patternFill patternType="solid">
        <fgColor rgb="FF88BB3C"/>
        <bgColor indexed="64"/>
      </patternFill>
    </fill>
    <fill>
      <patternFill patternType="solid">
        <fgColor rgb="FF79A8CA"/>
        <bgColor indexed="64"/>
      </patternFill>
    </fill>
    <fill>
      <patternFill patternType="solid">
        <fgColor theme="0" tint="-9.9978637043366805E-2"/>
        <bgColor indexed="64"/>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bgColor rgb="FFAD86B0"/>
      </patternFill>
    </fill>
    <fill>
      <patternFill patternType="solid">
        <fgColor rgb="FF48A8AE"/>
        <bgColor indexed="64"/>
      </patternFill>
    </fill>
    <fill>
      <patternFill patternType="solid">
        <fgColor rgb="FF8393BE"/>
        <bgColor indexed="64"/>
      </patternFill>
    </fill>
    <fill>
      <patternFill patternType="solid">
        <fgColor theme="0" tint="-9.9948118533890809E-2"/>
        <bgColor indexed="64"/>
      </patternFill>
    </fill>
    <fill>
      <patternFill patternType="solid">
        <fgColor theme="2"/>
        <bgColor indexed="64"/>
      </patternFill>
    </fill>
    <fill>
      <patternFill patternType="solid">
        <fgColor theme="2"/>
        <bgColor rgb="FFAD86B0"/>
      </patternFill>
    </fill>
    <fill>
      <patternFill patternType="solid">
        <fgColor rgb="FFCCFF33"/>
        <bgColor indexed="64"/>
      </patternFill>
    </fill>
    <fill>
      <patternFill patternType="solid">
        <fgColor rgb="FFCCFF99"/>
        <bgColor indexed="64"/>
      </patternFill>
    </fill>
    <fill>
      <patternFill patternType="solid">
        <fgColor theme="9"/>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7"/>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diagonalUp="1" diagonalDown="1">
      <left style="thin">
        <color indexed="64"/>
      </left>
      <right style="thin">
        <color indexed="64"/>
      </right>
      <top style="thin">
        <color indexed="8"/>
      </top>
      <bottom style="thin">
        <color indexed="8"/>
      </bottom>
      <diagonal style="thin">
        <color indexed="64"/>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style="thin">
        <color indexed="64"/>
      </left>
      <right style="thin">
        <color indexed="64"/>
      </right>
      <top/>
      <bottom/>
      <diagonal/>
    </border>
    <border>
      <left/>
      <right style="thin">
        <color indexed="64"/>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style="medium">
        <color indexed="64"/>
      </left>
      <right/>
      <top/>
      <bottom style="medium">
        <color indexed="64"/>
      </bottom>
      <diagonal/>
    </border>
    <border>
      <left/>
      <right/>
      <top style="medium">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auto="1"/>
      </top>
      <bottom/>
      <diagonal/>
    </border>
    <border>
      <left style="thin">
        <color rgb="FFFF0000"/>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style="thin">
        <color rgb="FFFF0000"/>
      </right>
      <top/>
      <bottom style="thin">
        <color rgb="FFFF0000"/>
      </bottom>
      <diagonal/>
    </border>
  </borders>
  <cellStyleXfs count="479">
    <xf numFmtId="3" fontId="0" fillId="0" borderId="0">
      <alignment vertical="center"/>
    </xf>
    <xf numFmtId="176" fontId="16" fillId="0" borderId="0"/>
    <xf numFmtId="49" fontId="16" fillId="0" borderId="0"/>
    <xf numFmtId="183" fontId="16" fillId="0" borderId="0">
      <alignment horizontal="center"/>
    </xf>
    <xf numFmtId="191" fontId="16" fillId="0" borderId="0"/>
    <xf numFmtId="192" fontId="16" fillId="0" borderId="0"/>
    <xf numFmtId="193" fontId="16" fillId="0" borderId="0"/>
    <xf numFmtId="177" fontId="16" fillId="0" borderId="0"/>
    <xf numFmtId="187" fontId="17" fillId="0" borderId="0"/>
    <xf numFmtId="188" fontId="18" fillId="0" borderId="0"/>
    <xf numFmtId="189" fontId="17" fillId="0" borderId="0"/>
    <xf numFmtId="49" fontId="11" fillId="0" borderId="1" applyNumberFormat="0" applyFont="0" applyFill="0" applyBorder="0" applyProtection="0">
      <alignment horizontal="left" vertical="center" indent="2"/>
    </xf>
    <xf numFmtId="178" fontId="16" fillId="0" borderId="0"/>
    <xf numFmtId="184" fontId="16" fillId="0" borderId="0"/>
    <xf numFmtId="179" fontId="16" fillId="0" borderId="0"/>
    <xf numFmtId="190" fontId="17" fillId="0" borderId="0"/>
    <xf numFmtId="49" fontId="11" fillId="0" borderId="2" applyNumberFormat="0" applyFont="0" applyFill="0" applyBorder="0" applyProtection="0">
      <alignment horizontal="left" vertical="center" indent="5"/>
    </xf>
    <xf numFmtId="180" fontId="16" fillId="0" borderId="0">
      <alignment horizontal="center"/>
    </xf>
    <xf numFmtId="185" fontId="16" fillId="0" borderId="0">
      <alignment horizontal="center"/>
    </xf>
    <xf numFmtId="181" fontId="16" fillId="0" borderId="0">
      <alignment horizontal="center"/>
    </xf>
    <xf numFmtId="182" fontId="16" fillId="0" borderId="0">
      <alignment horizontal="center"/>
    </xf>
    <xf numFmtId="186" fontId="16" fillId="0" borderId="0">
      <alignment horizontal="center"/>
    </xf>
    <xf numFmtId="0" fontId="10" fillId="0" borderId="0" applyFont="0" applyFill="0" applyBorder="0" applyAlignment="0" applyProtection="0"/>
    <xf numFmtId="170" fontId="19" fillId="0" borderId="3" applyFont="0" applyFill="0" applyBorder="0" applyAlignment="0" applyProtection="0">
      <alignment horizontal="left"/>
    </xf>
    <xf numFmtId="169" fontId="19" fillId="0" borderId="3" applyFont="0" applyFill="0" applyBorder="0" applyAlignment="0" applyProtection="0">
      <alignment horizontal="left"/>
    </xf>
    <xf numFmtId="171" fontId="19" fillId="0" borderId="3" applyFont="0" applyFill="0" applyBorder="0" applyAlignment="0" applyProtection="0">
      <alignment horizontal="left"/>
    </xf>
    <xf numFmtId="0" fontId="10" fillId="0" borderId="0" applyFont="0" applyFill="0" applyBorder="0" applyAlignment="0" applyProtection="0"/>
    <xf numFmtId="0" fontId="10" fillId="0" borderId="0" applyFont="0" applyFill="0" applyBorder="0" applyAlignment="0" applyProtection="0">
      <alignment horizontal="left"/>
    </xf>
    <xf numFmtId="174" fontId="19" fillId="0" borderId="3" applyFont="0" applyFill="0" applyBorder="0" applyAlignment="0" applyProtection="0">
      <alignment horizontal="left"/>
    </xf>
    <xf numFmtId="173" fontId="19" fillId="0" borderId="3" applyFont="0" applyFill="0" applyBorder="0" applyAlignment="0" applyProtection="0">
      <alignment horizontal="left"/>
    </xf>
    <xf numFmtId="175" fontId="19" fillId="0" borderId="3" applyFont="0" applyFill="0" applyBorder="0" applyAlignment="0" applyProtection="0">
      <alignment horizontal="left"/>
    </xf>
    <xf numFmtId="168" fontId="19" fillId="0" borderId="3" applyFont="0" applyFill="0" applyBorder="0" applyAlignment="0" applyProtection="0">
      <alignment horizontal="left"/>
    </xf>
    <xf numFmtId="172" fontId="19" fillId="0" borderId="3" applyFont="0" applyFill="0" applyBorder="0" applyAlignment="0" applyProtection="0">
      <alignment horizontal="left"/>
    </xf>
    <xf numFmtId="167" fontId="19" fillId="0" borderId="3" applyFont="0" applyFill="0" applyBorder="0" applyAlignment="0" applyProtection="0">
      <alignment horizontal="left"/>
    </xf>
    <xf numFmtId="166" fontId="11" fillId="2" borderId="0" applyBorder="0">
      <alignment horizontal="right" vertical="center"/>
    </xf>
    <xf numFmtId="4" fontId="12" fillId="0" borderId="5" applyFill="0" applyBorder="0" applyProtection="0">
      <alignment horizontal="right" vertical="center"/>
    </xf>
    <xf numFmtId="0" fontId="11" fillId="0" borderId="6">
      <alignment horizontal="left" vertical="center" wrapText="1" indent="2"/>
    </xf>
    <xf numFmtId="0" fontId="11" fillId="2" borderId="2">
      <alignment horizontal="left" vertical="center"/>
    </xf>
    <xf numFmtId="14" fontId="10" fillId="0" borderId="0">
      <alignment horizontal="center"/>
    </xf>
    <xf numFmtId="194" fontId="10" fillId="0" borderId="0">
      <alignment horizontal="center"/>
    </xf>
    <xf numFmtId="14" fontId="10" fillId="0" borderId="0">
      <alignment horizontal="center"/>
    </xf>
    <xf numFmtId="164" fontId="10" fillId="0" borderId="0" applyFont="0" applyFill="0" applyBorder="0" applyAlignment="0" applyProtection="0"/>
    <xf numFmtId="0" fontId="16" fillId="0" borderId="8"/>
    <xf numFmtId="0" fontId="21" fillId="0" borderId="0" applyNumberFormat="0" applyFill="0" applyBorder="0" applyAlignment="0" applyProtection="0"/>
    <xf numFmtId="0" fontId="13" fillId="0" borderId="0" applyNumberFormat="0" applyFill="0" applyBorder="0" applyAlignment="0" applyProtection="0">
      <alignment vertical="top"/>
      <protection locked="0"/>
    </xf>
    <xf numFmtId="4" fontId="11" fillId="0" borderId="0" applyBorder="0">
      <alignment horizontal="right" vertical="center"/>
    </xf>
    <xf numFmtId="3" fontId="22" fillId="0" borderId="0"/>
    <xf numFmtId="176" fontId="17" fillId="0" borderId="0"/>
    <xf numFmtId="4" fontId="11" fillId="0" borderId="1" applyFill="0" applyBorder="0" applyProtection="0">
      <alignment horizontal="right" vertical="center"/>
    </xf>
    <xf numFmtId="0" fontId="12" fillId="0" borderId="0" applyNumberFormat="0" applyFill="0" applyBorder="0" applyProtection="0">
      <alignment horizontal="left" vertical="center"/>
    </xf>
    <xf numFmtId="0" fontId="11" fillId="0" borderId="1" applyNumberFormat="0" applyFill="0" applyAlignment="0" applyProtection="0"/>
    <xf numFmtId="0" fontId="19" fillId="4" borderId="0" applyNumberFormat="0" applyFont="0" applyBorder="0" applyAlignment="0" applyProtection="0"/>
    <xf numFmtId="49" fontId="17" fillId="0" borderId="0"/>
    <xf numFmtId="3" fontId="23" fillId="5" borderId="0"/>
    <xf numFmtId="166" fontId="11" fillId="6" borderId="1" applyNumberFormat="0" applyFont="0" applyBorder="0" applyAlignment="0" applyProtection="0">
      <alignment horizontal="right" vertical="center"/>
    </xf>
    <xf numFmtId="3" fontId="10" fillId="0" borderId="0" applyAlignment="0" applyProtection="0">
      <alignment horizontal="right" vertical="center"/>
    </xf>
    <xf numFmtId="3" fontId="10" fillId="0" borderId="0" applyAlignment="0" applyProtection="0">
      <alignment horizontal="right" vertical="center"/>
    </xf>
    <xf numFmtId="21" fontId="10" fillId="0" borderId="0">
      <alignment horizontal="center"/>
    </xf>
    <xf numFmtId="0" fontId="25" fillId="0" borderId="0"/>
    <xf numFmtId="0" fontId="24" fillId="0" borderId="0"/>
    <xf numFmtId="9" fontId="10" fillId="0" borderId="0" applyFont="0" applyFill="0" applyBorder="0" applyAlignment="0" applyProtection="0"/>
    <xf numFmtId="0" fontId="27" fillId="0" borderId="0"/>
    <xf numFmtId="0" fontId="9" fillId="0" borderId="0"/>
    <xf numFmtId="9" fontId="9" fillId="0" borderId="0" applyFont="0" applyFill="0" applyBorder="0" applyAlignment="0" applyProtection="0"/>
    <xf numFmtId="0" fontId="27" fillId="0" borderId="0"/>
    <xf numFmtId="3" fontId="10" fillId="0" borderId="0">
      <alignment vertical="center"/>
    </xf>
    <xf numFmtId="176" fontId="14" fillId="0" borderId="0"/>
    <xf numFmtId="49" fontId="14" fillId="0" borderId="0"/>
    <xf numFmtId="183" fontId="14" fillId="0" borderId="0">
      <alignment horizontal="center"/>
    </xf>
    <xf numFmtId="191" fontId="14" fillId="0" borderId="0"/>
    <xf numFmtId="192" fontId="14" fillId="0" borderId="0"/>
    <xf numFmtId="193" fontId="14" fillId="0" borderId="0"/>
    <xf numFmtId="177" fontId="14" fillId="0" borderId="0"/>
    <xf numFmtId="178" fontId="14" fillId="0" borderId="0"/>
    <xf numFmtId="184" fontId="14" fillId="0" borderId="0"/>
    <xf numFmtId="179" fontId="14" fillId="0" borderId="0"/>
    <xf numFmtId="180" fontId="14" fillId="0" borderId="0">
      <alignment horizontal="center"/>
    </xf>
    <xf numFmtId="185" fontId="14" fillId="0" borderId="0">
      <alignment horizontal="center"/>
    </xf>
    <xf numFmtId="181" fontId="14" fillId="0" borderId="0">
      <alignment horizontal="center"/>
    </xf>
    <xf numFmtId="182" fontId="14" fillId="0" borderId="0">
      <alignment horizontal="center"/>
    </xf>
    <xf numFmtId="186" fontId="14" fillId="0" borderId="0">
      <alignment horizontal="center"/>
    </xf>
    <xf numFmtId="170" fontId="10" fillId="0" borderId="3" applyFont="0" applyFill="0" applyBorder="0" applyAlignment="0" applyProtection="0">
      <alignment horizontal="left"/>
    </xf>
    <xf numFmtId="169" fontId="10" fillId="0" borderId="3" applyFont="0" applyFill="0" applyBorder="0" applyAlignment="0" applyProtection="0">
      <alignment horizontal="left"/>
    </xf>
    <xf numFmtId="171" fontId="10" fillId="0" borderId="3" applyFont="0" applyFill="0" applyBorder="0" applyAlignment="0" applyProtection="0">
      <alignment horizontal="left"/>
    </xf>
    <xf numFmtId="174" fontId="10" fillId="0" borderId="3" applyFont="0" applyFill="0" applyBorder="0" applyAlignment="0" applyProtection="0">
      <alignment horizontal="left"/>
    </xf>
    <xf numFmtId="173" fontId="10" fillId="0" borderId="3" applyFont="0" applyFill="0" applyBorder="0" applyAlignment="0" applyProtection="0">
      <alignment horizontal="left"/>
    </xf>
    <xf numFmtId="175" fontId="10" fillId="0" borderId="3" applyFont="0" applyFill="0" applyBorder="0" applyAlignment="0" applyProtection="0">
      <alignment horizontal="left"/>
    </xf>
    <xf numFmtId="168" fontId="10" fillId="0" borderId="3" applyFont="0" applyFill="0" applyBorder="0" applyAlignment="0" applyProtection="0">
      <alignment horizontal="left"/>
    </xf>
    <xf numFmtId="172" fontId="10" fillId="0" borderId="3" applyFont="0" applyFill="0" applyBorder="0" applyAlignment="0" applyProtection="0">
      <alignment horizontal="left"/>
    </xf>
    <xf numFmtId="167" fontId="10" fillId="0" borderId="3" applyFont="0" applyFill="0" applyBorder="0" applyAlignment="0" applyProtection="0">
      <alignment horizontal="left"/>
    </xf>
    <xf numFmtId="0" fontId="14" fillId="0" borderId="8"/>
    <xf numFmtId="0" fontId="10" fillId="4" borderId="0" applyNumberFormat="0" applyFont="0" applyBorder="0" applyAlignment="0" applyProtection="0"/>
    <xf numFmtId="0" fontId="8" fillId="0" borderId="0"/>
    <xf numFmtId="9" fontId="8" fillId="0" borderId="0" applyFont="0" applyFill="0" applyBorder="0" applyAlignment="0" applyProtection="0"/>
    <xf numFmtId="9" fontId="49" fillId="0" borderId="0" applyFont="0" applyFill="0" applyBorder="0" applyAlignment="0" applyProtection="0"/>
    <xf numFmtId="0" fontId="25" fillId="0" borderId="0"/>
    <xf numFmtId="0" fontId="51" fillId="33" borderId="0" applyNumberFormat="0" applyBorder="0" applyAlignment="0" applyProtection="0"/>
    <xf numFmtId="0" fontId="51" fillId="33" borderId="0" applyNumberFormat="0" applyBorder="0" applyAlignment="0" applyProtection="0"/>
    <xf numFmtId="0" fontId="51" fillId="33" borderId="0" applyNumberFormat="0" applyBorder="0" applyAlignment="0" applyProtection="0"/>
    <xf numFmtId="0" fontId="51" fillId="33" borderId="0" applyNumberFormat="0" applyBorder="0" applyAlignment="0" applyProtection="0"/>
    <xf numFmtId="0" fontId="51" fillId="33" borderId="0" applyNumberFormat="0" applyBorder="0" applyAlignment="0" applyProtection="0"/>
    <xf numFmtId="0" fontId="51" fillId="33" borderId="0" applyNumberFormat="0" applyBorder="0" applyAlignment="0" applyProtection="0"/>
    <xf numFmtId="0" fontId="51" fillId="33"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51" fillId="34"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51" fillId="35"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51" fillId="37"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51" fillId="38"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1" fillId="40"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51" fillId="41"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6"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39"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3"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0"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1"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alignment horizontal="left"/>
    </xf>
    <xf numFmtId="0" fontId="12" fillId="47" borderId="0" applyBorder="0" applyAlignment="0"/>
    <xf numFmtId="0" fontId="11" fillId="47" borderId="0" applyBorder="0">
      <alignment horizontal="right" vertical="center"/>
    </xf>
    <xf numFmtId="4" fontId="11" fillId="2" borderId="0" applyBorder="0">
      <alignment horizontal="right" vertical="center"/>
    </xf>
    <xf numFmtId="0" fontId="20" fillId="2" borderId="1">
      <alignment horizontal="right" vertical="center"/>
    </xf>
    <xf numFmtId="0" fontId="53" fillId="2" borderId="1">
      <alignment horizontal="right" vertical="center"/>
    </xf>
    <xf numFmtId="0" fontId="20" fillId="3" borderId="1">
      <alignment horizontal="right" vertical="center"/>
    </xf>
    <xf numFmtId="0" fontId="20" fillId="3" borderId="1">
      <alignment horizontal="right" vertical="center"/>
    </xf>
    <xf numFmtId="0" fontId="20" fillId="3" borderId="31">
      <alignment horizontal="right" vertical="center"/>
    </xf>
    <xf numFmtId="0" fontId="20" fillId="3" borderId="2">
      <alignment horizontal="right" vertical="center"/>
    </xf>
    <xf numFmtId="0" fontId="20" fillId="3" borderId="4">
      <alignment horizontal="right" vertical="center"/>
    </xf>
    <xf numFmtId="0" fontId="52" fillId="48"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8"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49"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4"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45"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4" fillId="52" borderId="68" applyNumberFormat="0" applyAlignment="0" applyProtection="0"/>
    <xf numFmtId="0" fontId="54" fillId="52" borderId="68" applyNumberFormat="0" applyAlignment="0" applyProtection="0"/>
    <xf numFmtId="0" fontId="54" fillId="52" borderId="68" applyNumberFormat="0" applyAlignment="0" applyProtection="0"/>
    <xf numFmtId="0" fontId="54" fillId="52" borderId="68" applyNumberFormat="0" applyAlignment="0" applyProtection="0"/>
    <xf numFmtId="0" fontId="54" fillId="52" borderId="68" applyNumberFormat="0" applyAlignment="0" applyProtection="0"/>
    <xf numFmtId="0" fontId="54" fillId="52" borderId="68" applyNumberFormat="0" applyAlignment="0" applyProtection="0"/>
    <xf numFmtId="0" fontId="55" fillId="52" borderId="69" applyNumberFormat="0" applyAlignment="0" applyProtection="0"/>
    <xf numFmtId="0" fontId="55" fillId="52" borderId="69" applyNumberFormat="0" applyAlignment="0" applyProtection="0"/>
    <xf numFmtId="0" fontId="55" fillId="52" borderId="69" applyNumberFormat="0" applyAlignment="0" applyProtection="0"/>
    <xf numFmtId="0" fontId="55" fillId="52" borderId="69" applyNumberFormat="0" applyAlignment="0" applyProtection="0"/>
    <xf numFmtId="0" fontId="55" fillId="52" borderId="69" applyNumberFormat="0" applyAlignment="0" applyProtection="0"/>
    <xf numFmtId="0" fontId="55" fillId="52" borderId="69" applyNumberFormat="0" applyAlignment="0" applyProtection="0"/>
    <xf numFmtId="0" fontId="20" fillId="0" borderId="0" applyNumberFormat="0">
      <alignment horizontal="right"/>
    </xf>
    <xf numFmtId="0" fontId="11" fillId="3" borderId="6">
      <alignment horizontal="left" vertical="center" wrapText="1" indent="2"/>
    </xf>
    <xf numFmtId="14" fontId="10" fillId="0" borderId="0">
      <alignment horizontal="center"/>
    </xf>
    <xf numFmtId="194" fontId="10" fillId="0" borderId="0">
      <alignment horizontal="center"/>
    </xf>
    <xf numFmtId="0" fontId="20" fillId="0" borderId="45">
      <alignment horizontal="left" vertical="top" wrapText="1"/>
    </xf>
    <xf numFmtId="0" fontId="56" fillId="38" borderId="69" applyNumberFormat="0" applyAlignment="0" applyProtection="0"/>
    <xf numFmtId="0" fontId="56" fillId="38" borderId="69" applyNumberFormat="0" applyAlignment="0" applyProtection="0"/>
    <xf numFmtId="0" fontId="56" fillId="38" borderId="69" applyNumberFormat="0" applyAlignment="0" applyProtection="0"/>
    <xf numFmtId="0" fontId="56" fillId="38" borderId="69" applyNumberFormat="0" applyAlignment="0" applyProtection="0"/>
    <xf numFmtId="0" fontId="56" fillId="38" borderId="69" applyNumberFormat="0" applyAlignment="0" applyProtection="0"/>
    <xf numFmtId="0" fontId="56" fillId="38" borderId="69" applyNumberFormat="0" applyAlignment="0" applyProtection="0"/>
    <xf numFmtId="0" fontId="10" fillId="0" borderId="61"/>
    <xf numFmtId="0" fontId="57" fillId="0" borderId="70" applyNumberFormat="0" applyFill="0" applyAlignment="0" applyProtection="0"/>
    <xf numFmtId="0" fontId="57" fillId="0" borderId="70" applyNumberFormat="0" applyFill="0" applyAlignment="0" applyProtection="0"/>
    <xf numFmtId="0" fontId="57" fillId="0" borderId="70" applyNumberFormat="0" applyFill="0" applyAlignment="0" applyProtection="0"/>
    <xf numFmtId="0" fontId="57" fillId="0" borderId="70" applyNumberFormat="0" applyFill="0" applyAlignment="0" applyProtection="0"/>
    <xf numFmtId="0" fontId="57" fillId="0" borderId="70" applyNumberFormat="0" applyFill="0" applyAlignment="0" applyProtection="0"/>
    <xf numFmtId="0" fontId="57" fillId="0" borderId="7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164" fontId="10" fillId="0" borderId="0" applyFont="0" applyFill="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11" fillId="0" borderId="1">
      <alignment horizontal="right" vertical="center"/>
    </xf>
    <xf numFmtId="1" fontId="60" fillId="2" borderId="0" applyBorder="0">
      <alignment horizontal="right" vertical="center"/>
    </xf>
    <xf numFmtId="165" fontId="10" fillId="0" borderId="0" applyFont="0" applyFill="0" applyBorder="0" applyAlignment="0" applyProtection="0"/>
    <xf numFmtId="0" fontId="10" fillId="0" borderId="0"/>
    <xf numFmtId="0" fontId="61" fillId="53" borderId="0" applyNumberFormat="0" applyBorder="0" applyAlignment="0" applyProtection="0"/>
    <xf numFmtId="0" fontId="61" fillId="53" borderId="0" applyNumberFormat="0" applyBorder="0" applyAlignment="0" applyProtection="0"/>
    <xf numFmtId="0" fontId="61" fillId="53" borderId="0" applyNumberFormat="0" applyBorder="0" applyAlignment="0" applyProtection="0"/>
    <xf numFmtId="0" fontId="61" fillId="53" borderId="0" applyNumberFormat="0" applyBorder="0" applyAlignment="0" applyProtection="0"/>
    <xf numFmtId="0" fontId="61" fillId="53" borderId="0" applyNumberFormat="0" applyBorder="0" applyAlignment="0" applyProtection="0"/>
    <xf numFmtId="0" fontId="61" fillId="53" borderId="0" applyNumberFormat="0" applyBorder="0" applyAlignment="0" applyProtection="0"/>
    <xf numFmtId="0" fontId="10" fillId="0" borderId="0"/>
    <xf numFmtId="0" fontId="10" fillId="0" borderId="0"/>
    <xf numFmtId="0" fontId="10" fillId="0" borderId="0"/>
    <xf numFmtId="4" fontId="10" fillId="4" borderId="0" applyNumberFormat="0" applyFont="0" applyBorder="0" applyAlignment="0" applyProtection="0"/>
    <xf numFmtId="0" fontId="10" fillId="0" borderId="0"/>
    <xf numFmtId="0" fontId="10" fillId="0" borderId="0"/>
    <xf numFmtId="0" fontId="10" fillId="0" borderId="0"/>
    <xf numFmtId="0" fontId="10" fillId="0" borderId="0"/>
    <xf numFmtId="0" fontId="10" fillId="0" borderId="0"/>
    <xf numFmtId="0" fontId="10" fillId="54" borderId="71" applyNumberFormat="0" applyFont="0" applyAlignment="0" applyProtection="0"/>
    <xf numFmtId="0" fontId="10" fillId="54" borderId="71" applyNumberFormat="0" applyFont="0" applyAlignment="0" applyProtection="0"/>
    <xf numFmtId="0" fontId="10" fillId="54" borderId="71" applyNumberFormat="0" applyFont="0" applyAlignment="0" applyProtection="0"/>
    <xf numFmtId="0" fontId="10" fillId="54" borderId="71" applyNumberFormat="0" applyFont="0" applyAlignment="0" applyProtection="0"/>
    <xf numFmtId="0" fontId="10" fillId="54" borderId="71" applyNumberFormat="0" applyFont="0" applyAlignment="0" applyProtection="0"/>
    <xf numFmtId="0" fontId="10" fillId="54" borderId="71" applyNumberFormat="0" applyFont="0" applyAlignment="0" applyProtection="0"/>
    <xf numFmtId="3" fontId="10" fillId="0" borderId="0">
      <alignment vertical="center"/>
    </xf>
    <xf numFmtId="9" fontId="10" fillId="0" borderId="0" applyFont="0" applyFill="0" applyBorder="0" applyAlignment="0" applyProtection="0"/>
    <xf numFmtId="0" fontId="62" fillId="34" borderId="0" applyNumberFormat="0" applyBorder="0" applyAlignment="0" applyProtection="0"/>
    <xf numFmtId="0" fontId="62" fillId="34" borderId="0" applyNumberFormat="0" applyBorder="0" applyAlignment="0" applyProtection="0"/>
    <xf numFmtId="0" fontId="62" fillId="34" borderId="0" applyNumberFormat="0" applyBorder="0" applyAlignment="0" applyProtection="0"/>
    <xf numFmtId="0" fontId="62" fillId="34" borderId="0" applyNumberFormat="0" applyBorder="0" applyAlignment="0" applyProtection="0"/>
    <xf numFmtId="0" fontId="62" fillId="34" borderId="0" applyNumberFormat="0" applyBorder="0" applyAlignment="0" applyProtection="0"/>
    <xf numFmtId="0" fontId="62" fillId="34" borderId="0" applyNumberFormat="0" applyBorder="0" applyAlignment="0" applyProtection="0"/>
    <xf numFmtId="0" fontId="11" fillId="4" borderId="1"/>
    <xf numFmtId="0" fontId="24" fillId="0" borderId="0"/>
    <xf numFmtId="0" fontId="7"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7" fillId="0" borderId="0"/>
    <xf numFmtId="3" fontId="10" fillId="0" borderId="0">
      <alignment vertical="center"/>
    </xf>
    <xf numFmtId="0" fontId="14" fillId="0" borderId="0"/>
    <xf numFmtId="0" fontId="10" fillId="0" borderId="1" applyNumberFormat="0" applyFill="0" applyProtection="0">
      <alignment horizontal="right"/>
    </xf>
    <xf numFmtId="0" fontId="15" fillId="55" borderId="1" applyNumberFormat="0" applyProtection="0">
      <alignment horizontal="right"/>
    </xf>
    <xf numFmtId="0" fontId="37" fillId="55" borderId="0" applyNumberFormat="0" applyBorder="0" applyProtection="0">
      <alignment horizontal="left"/>
    </xf>
    <xf numFmtId="0" fontId="15" fillId="55" borderId="1" applyNumberFormat="0" applyProtection="0">
      <alignment horizontal="left"/>
    </xf>
    <xf numFmtId="0" fontId="10" fillId="0" borderId="1" applyNumberFormat="0" applyFill="0" applyProtection="0">
      <alignment horizontal="right"/>
    </xf>
    <xf numFmtId="0" fontId="63" fillId="56" borderId="0" applyNumberFormat="0" applyBorder="0" applyProtection="0">
      <alignment horizontal="left"/>
    </xf>
    <xf numFmtId="0" fontId="64" fillId="0" borderId="72" applyNumberFormat="0" applyFill="0" applyAlignment="0" applyProtection="0"/>
    <xf numFmtId="0" fontId="64" fillId="0" borderId="72" applyNumberFormat="0" applyFill="0" applyAlignment="0" applyProtection="0"/>
    <xf numFmtId="0" fontId="64" fillId="0" borderId="72" applyNumberFormat="0" applyFill="0" applyAlignment="0" applyProtection="0"/>
    <xf numFmtId="0" fontId="64" fillId="0" borderId="72" applyNumberFormat="0" applyFill="0" applyAlignment="0" applyProtection="0"/>
    <xf numFmtId="0" fontId="64" fillId="0" borderId="72" applyNumberFormat="0" applyFill="0" applyAlignment="0" applyProtection="0"/>
    <xf numFmtId="0" fontId="64" fillId="0" borderId="72" applyNumberFormat="0" applyFill="0" applyAlignment="0" applyProtection="0"/>
    <xf numFmtId="0" fontId="65" fillId="0" borderId="0" applyNumberFormat="0" applyFill="0" applyBorder="0" applyAlignment="0" applyProtection="0"/>
    <xf numFmtId="0" fontId="66" fillId="0" borderId="73" applyNumberFormat="0" applyFill="0" applyAlignment="0" applyProtection="0"/>
    <xf numFmtId="0" fontId="66" fillId="0" borderId="73" applyNumberFormat="0" applyFill="0" applyAlignment="0" applyProtection="0"/>
    <xf numFmtId="0" fontId="66" fillId="0" borderId="73" applyNumberFormat="0" applyFill="0" applyAlignment="0" applyProtection="0"/>
    <xf numFmtId="0" fontId="66" fillId="0" borderId="73" applyNumberFormat="0" applyFill="0" applyAlignment="0" applyProtection="0"/>
    <xf numFmtId="0" fontId="66" fillId="0" borderId="73" applyNumberFormat="0" applyFill="0" applyAlignment="0" applyProtection="0"/>
    <xf numFmtId="0" fontId="66" fillId="0" borderId="73" applyNumberFormat="0" applyFill="0" applyAlignment="0" applyProtection="0"/>
    <xf numFmtId="0" fontId="67" fillId="0" borderId="74" applyNumberFormat="0" applyFill="0" applyAlignment="0" applyProtection="0"/>
    <xf numFmtId="0" fontId="67" fillId="0" borderId="74" applyNumberFormat="0" applyFill="0" applyAlignment="0" applyProtection="0"/>
    <xf numFmtId="0" fontId="67" fillId="0" borderId="74" applyNumberFormat="0" applyFill="0" applyAlignment="0" applyProtection="0"/>
    <xf numFmtId="0" fontId="67" fillId="0" borderId="74" applyNumberFormat="0" applyFill="0" applyAlignment="0" applyProtection="0"/>
    <xf numFmtId="0" fontId="67" fillId="0" borderId="74" applyNumberFormat="0" applyFill="0" applyAlignment="0" applyProtection="0"/>
    <xf numFmtId="0" fontId="67" fillId="0" borderId="74" applyNumberFormat="0" applyFill="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85" fillId="0" borderId="0"/>
    <xf numFmtId="21" fontId="10" fillId="0" borderId="0">
      <alignment horizontal="center"/>
    </xf>
    <xf numFmtId="0" fontId="68" fillId="0" borderId="75" applyNumberFormat="0" applyFill="0" applyAlignment="0" applyProtection="0"/>
    <xf numFmtId="0" fontId="68" fillId="0" borderId="75" applyNumberFormat="0" applyFill="0" applyAlignment="0" applyProtection="0"/>
    <xf numFmtId="0" fontId="68" fillId="0" borderId="75" applyNumberFormat="0" applyFill="0" applyAlignment="0" applyProtection="0"/>
    <xf numFmtId="0" fontId="68" fillId="0" borderId="75" applyNumberFormat="0" applyFill="0" applyAlignment="0" applyProtection="0"/>
    <xf numFmtId="0" fontId="68" fillId="0" borderId="75" applyNumberFormat="0" applyFill="0" applyAlignment="0" applyProtection="0"/>
    <xf numFmtId="0" fontId="68" fillId="0" borderId="75"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0" fillId="57" borderId="76" applyNumberFormat="0" applyAlignment="0" applyProtection="0"/>
    <xf numFmtId="0" fontId="70" fillId="57" borderId="76" applyNumberFormat="0" applyAlignment="0" applyProtection="0"/>
    <xf numFmtId="0" fontId="70" fillId="57" borderId="76" applyNumberFormat="0" applyAlignment="0" applyProtection="0"/>
    <xf numFmtId="0" fontId="70" fillId="57" borderId="76" applyNumberFormat="0" applyAlignment="0" applyProtection="0"/>
    <xf numFmtId="0" fontId="70" fillId="57" borderId="76" applyNumberFormat="0" applyAlignment="0" applyProtection="0"/>
    <xf numFmtId="0" fontId="70" fillId="57" borderId="76" applyNumberFormat="0" applyAlignment="0" applyProtection="0"/>
    <xf numFmtId="0" fontId="71" fillId="0" borderId="0" applyNumberFormat="0" applyFill="0" applyBorder="0" applyAlignment="0" applyProtection="0"/>
    <xf numFmtId="0" fontId="11" fillId="0" borderId="0"/>
    <xf numFmtId="9" fontId="7" fillId="0" borderId="0" applyFont="0" applyFill="0" applyBorder="0" applyAlignment="0" applyProtection="0"/>
    <xf numFmtId="0" fontId="7" fillId="0" borderId="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alignment horizontal="left"/>
    </xf>
    <xf numFmtId="0" fontId="10" fillId="0" borderId="0" applyFont="0" applyFill="0" applyBorder="0" applyAlignment="0" applyProtection="0">
      <alignment horizontal="left"/>
    </xf>
    <xf numFmtId="14" fontId="10" fillId="0" borderId="0">
      <alignment horizontal="center"/>
    </xf>
    <xf numFmtId="14" fontId="10" fillId="0" borderId="0">
      <alignment horizontal="center"/>
    </xf>
    <xf numFmtId="194" fontId="10" fillId="0" borderId="0">
      <alignment horizontal="center"/>
    </xf>
    <xf numFmtId="194" fontId="10" fillId="0" borderId="0">
      <alignment horizontal="center"/>
    </xf>
    <xf numFmtId="164" fontId="10" fillId="0" borderId="0" applyFont="0" applyFill="0" applyBorder="0" applyAlignment="0" applyProtection="0"/>
    <xf numFmtId="164" fontId="10" fillId="0" borderId="0" applyFont="0" applyFill="0" applyBorder="0" applyAlignment="0" applyProtection="0"/>
    <xf numFmtId="165" fontId="10" fillId="0" borderId="0" applyFont="0" applyFill="0" applyBorder="0" applyAlignment="0" applyProtection="0"/>
    <xf numFmtId="0" fontId="10" fillId="0" borderId="0"/>
    <xf numFmtId="0" fontId="10" fillId="4" borderId="0" applyNumberFormat="0" applyFont="0" applyBorder="0" applyAlignment="0" applyProtection="0"/>
    <xf numFmtId="4" fontId="10" fillId="4" borderId="0" applyNumberFormat="0" applyFont="0" applyBorder="0" applyAlignment="0" applyProtection="0"/>
    <xf numFmtId="0" fontId="10" fillId="54" borderId="71" applyNumberFormat="0" applyFont="0" applyAlignment="0" applyProtection="0"/>
    <xf numFmtId="0" fontId="10" fillId="54" borderId="71" applyNumberFormat="0" applyFont="0" applyAlignment="0" applyProtection="0"/>
    <xf numFmtId="0" fontId="10" fillId="54" borderId="71" applyNumberFormat="0" applyFont="0" applyAlignment="0" applyProtection="0"/>
    <xf numFmtId="0" fontId="10" fillId="54" borderId="71" applyNumberFormat="0" applyFont="0" applyAlignment="0" applyProtection="0"/>
    <xf numFmtId="0" fontId="10" fillId="54" borderId="71" applyNumberFormat="0" applyFont="0" applyAlignment="0" applyProtection="0"/>
    <xf numFmtId="0" fontId="10" fillId="54" borderId="71" applyNumberFormat="0" applyFont="0" applyAlignment="0" applyProtection="0"/>
    <xf numFmtId="9" fontId="10" fillId="0" borderId="0" applyFont="0" applyFill="0" applyBorder="0" applyAlignment="0" applyProtection="0"/>
    <xf numFmtId="9" fontId="10" fillId="0" borderId="0" applyFont="0" applyFill="0" applyBorder="0" applyAlignment="0" applyProtection="0"/>
    <xf numFmtId="0" fontId="7"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7" fillId="0" borderId="0"/>
    <xf numFmtId="3" fontId="10" fillId="0" borderId="0">
      <alignment vertical="center"/>
    </xf>
    <xf numFmtId="0" fontId="10" fillId="0" borderId="1" applyNumberFormat="0" applyFill="0" applyProtection="0">
      <alignment horizontal="right"/>
    </xf>
    <xf numFmtId="0" fontId="10" fillId="0" borderId="1" applyNumberFormat="0" applyFill="0" applyProtection="0">
      <alignment horizontal="right"/>
    </xf>
    <xf numFmtId="21" fontId="10" fillId="0" borderId="0">
      <alignment horizontal="center"/>
    </xf>
    <xf numFmtId="21" fontId="10" fillId="0" borderId="0">
      <alignment horizontal="center"/>
    </xf>
    <xf numFmtId="9" fontId="7" fillId="0" borderId="0" applyFont="0" applyFill="0" applyBorder="0" applyAlignment="0" applyProtection="0"/>
    <xf numFmtId="0" fontId="7" fillId="0" borderId="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9" fontId="10" fillId="0" borderId="0" applyFont="0" applyFill="0" applyBorder="0" applyAlignment="0" applyProtection="0"/>
    <xf numFmtId="0" fontId="85" fillId="0" borderId="0"/>
    <xf numFmtId="0" fontId="84" fillId="75" borderId="0" applyNumberFormat="0" applyBorder="0" applyAlignment="0" applyProtection="0"/>
    <xf numFmtId="0" fontId="84" fillId="63" borderId="0" applyNumberFormat="0" applyBorder="0" applyAlignment="0" applyProtection="0"/>
    <xf numFmtId="0" fontId="84" fillId="71" borderId="0" applyNumberFormat="0" applyBorder="0" applyAlignment="0" applyProtection="0"/>
    <xf numFmtId="0" fontId="84" fillId="72" borderId="0" applyNumberFormat="0" applyBorder="0" applyAlignment="0" applyProtection="0"/>
    <xf numFmtId="0" fontId="84" fillId="73" borderId="0" applyNumberFormat="0" applyBorder="0" applyAlignment="0" applyProtection="0"/>
    <xf numFmtId="0" fontId="84" fillId="74" borderId="0" applyNumberFormat="0" applyBorder="0" applyAlignment="0" applyProtection="0"/>
    <xf numFmtId="0" fontId="92" fillId="0" borderId="0"/>
  </cellStyleXfs>
  <cellXfs count="1419">
    <xf numFmtId="3" fontId="0" fillId="0" borderId="0" xfId="0">
      <alignment vertical="center"/>
    </xf>
    <xf numFmtId="3" fontId="13" fillId="0" borderId="0" xfId="44" applyNumberFormat="1" applyAlignment="1" applyProtection="1">
      <alignment horizontal="left" vertical="center"/>
    </xf>
    <xf numFmtId="3" fontId="15" fillId="0" borderId="0" xfId="56" applyFont="1" applyAlignment="1">
      <alignment horizontal="left"/>
    </xf>
    <xf numFmtId="3" fontId="10" fillId="0" borderId="0" xfId="56" applyAlignment="1">
      <alignment horizontal="left" vertical="center"/>
    </xf>
    <xf numFmtId="3" fontId="10" fillId="0" borderId="0" xfId="56" applyAlignment="1">
      <alignment horizontal="center"/>
    </xf>
    <xf numFmtId="3" fontId="15" fillId="0" borderId="0" xfId="56" applyFont="1" applyAlignment="1">
      <alignment horizontal="center"/>
    </xf>
    <xf numFmtId="3" fontId="10" fillId="0" borderId="0" xfId="55" applyAlignment="1">
      <alignment horizontal="left" vertical="center"/>
    </xf>
    <xf numFmtId="3" fontId="10" fillId="0" borderId="0" xfId="56" applyFont="1" applyAlignment="1">
      <alignment horizontal="left" vertical="center"/>
    </xf>
    <xf numFmtId="3" fontId="10" fillId="0" borderId="0" xfId="56" applyAlignment="1">
      <alignment horizontal="right" vertical="center"/>
    </xf>
    <xf numFmtId="0" fontId="25" fillId="0" borderId="0" xfId="58" applyNumberFormat="1" applyFont="1" applyFill="1" applyBorder="1" applyAlignment="1" applyProtection="1">
      <alignment vertical="center"/>
    </xf>
    <xf numFmtId="0" fontId="25" fillId="0" borderId="0" xfId="58" applyNumberFormat="1" applyFont="1" applyFill="1" applyBorder="1" applyAlignment="1" applyProtection="1">
      <alignment horizontal="left" vertical="center" indent="1"/>
    </xf>
    <xf numFmtId="195" fontId="25" fillId="0" borderId="11" xfId="58" applyNumberFormat="1" applyFont="1" applyFill="1" applyBorder="1" applyAlignment="1" applyProtection="1">
      <alignment horizontal="left" vertical="center" indent="1"/>
    </xf>
    <xf numFmtId="196" fontId="25" fillId="0" borderId="12" xfId="58" applyNumberFormat="1" applyFont="1" applyFill="1" applyBorder="1" applyAlignment="1" applyProtection="1">
      <alignment horizontal="left" vertical="center" indent="1"/>
    </xf>
    <xf numFmtId="0" fontId="25" fillId="0" borderId="11" xfId="58" applyNumberFormat="1" applyFont="1" applyFill="1" applyBorder="1" applyAlignment="1" applyProtection="1">
      <alignment horizontal="right" vertical="center" indent="1"/>
    </xf>
    <xf numFmtId="195" fontId="25" fillId="11" borderId="13" xfId="58" applyNumberFormat="1" applyFont="1" applyFill="1" applyBorder="1" applyAlignment="1" applyProtection="1">
      <alignment horizontal="right" vertical="center"/>
    </xf>
    <xf numFmtId="196" fontId="25" fillId="11" borderId="14" xfId="58" applyNumberFormat="1" applyFont="1" applyFill="1" applyBorder="1" applyAlignment="1" applyProtection="1">
      <alignment horizontal="left" vertical="center" indent="1"/>
    </xf>
    <xf numFmtId="0" fontId="25" fillId="0" borderId="11" xfId="58" applyNumberFormat="1" applyFont="1" applyFill="1" applyBorder="1" applyAlignment="1" applyProtection="1">
      <alignment horizontal="left" vertical="center" indent="1"/>
    </xf>
    <xf numFmtId="0" fontId="25" fillId="0" borderId="8" xfId="58" applyNumberFormat="1" applyFont="1" applyFill="1" applyBorder="1" applyAlignment="1" applyProtection="1">
      <alignment vertical="center"/>
    </xf>
    <xf numFmtId="0" fontId="25" fillId="0" borderId="8" xfId="58" applyNumberFormat="1" applyFont="1" applyFill="1" applyBorder="1" applyAlignment="1" applyProtection="1">
      <alignment horizontal="left" vertical="center" indent="1"/>
    </xf>
    <xf numFmtId="0" fontId="26" fillId="7" borderId="0" xfId="58" applyNumberFormat="1" applyFont="1" applyFill="1" applyBorder="1" applyAlignment="1" applyProtection="1">
      <alignment horizontal="left" vertical="center" indent="1"/>
    </xf>
    <xf numFmtId="0" fontId="26" fillId="7" borderId="0" xfId="58" applyNumberFormat="1" applyFont="1" applyFill="1" applyBorder="1" applyAlignment="1" applyProtection="1">
      <alignment horizontal="left" vertical="center"/>
    </xf>
    <xf numFmtId="0" fontId="25" fillId="0" borderId="8" xfId="58" applyNumberFormat="1" applyFont="1" applyFill="1" applyBorder="1" applyAlignment="1" applyProtection="1">
      <alignment horizontal="right" vertical="center" indent="1"/>
    </xf>
    <xf numFmtId="196" fontId="25" fillId="0" borderId="18" xfId="58" applyNumberFormat="1" applyFont="1" applyFill="1" applyBorder="1" applyAlignment="1" applyProtection="1">
      <alignment horizontal="left" vertical="center" indent="1"/>
    </xf>
    <xf numFmtId="195" fontId="25" fillId="10" borderId="8" xfId="58" applyNumberFormat="1" applyFont="1" applyFill="1" applyBorder="1" applyAlignment="1" applyProtection="1">
      <alignment horizontal="right" vertical="center"/>
    </xf>
    <xf numFmtId="196" fontId="25" fillId="0" borderId="19" xfId="58" applyNumberFormat="1" applyFont="1" applyFill="1" applyBorder="1" applyAlignment="1" applyProtection="1">
      <alignment horizontal="left" vertical="center" indent="1"/>
    </xf>
    <xf numFmtId="195" fontId="25" fillId="10" borderId="10" xfId="58" applyNumberFormat="1" applyFont="1" applyFill="1" applyBorder="1" applyAlignment="1" applyProtection="1">
      <alignment horizontal="right" vertical="center"/>
    </xf>
    <xf numFmtId="196" fontId="25" fillId="0" borderId="0" xfId="58" applyNumberFormat="1" applyFont="1" applyFill="1" applyBorder="1" applyAlignment="1" applyProtection="1">
      <alignment horizontal="left" vertical="center" indent="1"/>
    </xf>
    <xf numFmtId="0" fontId="26" fillId="9" borderId="1" xfId="58" applyNumberFormat="1" applyFont="1" applyFill="1" applyBorder="1" applyAlignment="1" applyProtection="1">
      <alignment horizontal="left" vertical="center" indent="1"/>
    </xf>
    <xf numFmtId="0" fontId="26" fillId="7" borderId="0" xfId="58" applyNumberFormat="1" applyFont="1" applyFill="1" applyBorder="1" applyAlignment="1" applyProtection="1">
      <alignment horizontal="left" vertical="center" wrapText="1"/>
    </xf>
    <xf numFmtId="0" fontId="25" fillId="0" borderId="0" xfId="58" applyNumberFormat="1" applyFont="1" applyFill="1" applyBorder="1" applyAlignment="1" applyProtection="1">
      <alignment horizontal="left" vertical="center" wrapText="1"/>
    </xf>
    <xf numFmtId="195" fontId="25" fillId="0" borderId="17" xfId="58" applyNumberFormat="1" applyFont="1" applyFill="1" applyBorder="1" applyAlignment="1" applyProtection="1">
      <alignment horizontal="left" vertical="center" wrapText="1"/>
    </xf>
    <xf numFmtId="195" fontId="25" fillId="0" borderId="11" xfId="58" applyNumberFormat="1" applyFont="1" applyFill="1" applyBorder="1" applyAlignment="1" applyProtection="1">
      <alignment horizontal="left" vertical="center" wrapText="1"/>
    </xf>
    <xf numFmtId="195" fontId="25" fillId="0" borderId="5" xfId="58" applyNumberFormat="1" applyFont="1" applyFill="1" applyBorder="1" applyAlignment="1" applyProtection="1">
      <alignment horizontal="left" vertical="center" wrapText="1"/>
    </xf>
    <xf numFmtId="0" fontId="25" fillId="0" borderId="0" xfId="58" applyNumberFormat="1" applyFont="1" applyFill="1" applyBorder="1" applyAlignment="1" applyProtection="1">
      <alignment horizontal="right" vertical="center" wrapText="1"/>
    </xf>
    <xf numFmtId="195" fontId="25" fillId="0" borderId="0" xfId="58" applyNumberFormat="1" applyFont="1" applyFill="1" applyBorder="1" applyAlignment="1" applyProtection="1">
      <alignment horizontal="left" vertical="center" wrapText="1"/>
    </xf>
    <xf numFmtId="195" fontId="25" fillId="0" borderId="17" xfId="58" applyNumberFormat="1" applyFont="1" applyFill="1" applyBorder="1" applyAlignment="1" applyProtection="1">
      <alignment horizontal="left" vertical="center" indent="1"/>
    </xf>
    <xf numFmtId="0" fontId="25" fillId="0" borderId="12" xfId="58" applyNumberFormat="1" applyFont="1" applyFill="1" applyBorder="1" applyAlignment="1" applyProtection="1">
      <alignment horizontal="right" vertical="center" indent="1"/>
    </xf>
    <xf numFmtId="0" fontId="25" fillId="0" borderId="0" xfId="58" applyNumberFormat="1" applyFont="1" applyFill="1" applyBorder="1" applyAlignment="1" applyProtection="1">
      <alignment horizontal="left" vertical="center"/>
    </xf>
    <xf numFmtId="197" fontId="25" fillId="11" borderId="13" xfId="58" applyNumberFormat="1" applyFont="1" applyFill="1" applyBorder="1" applyAlignment="1" applyProtection="1">
      <alignment horizontal="right" vertical="center"/>
    </xf>
    <xf numFmtId="198" fontId="25" fillId="11" borderId="13" xfId="58" applyNumberFormat="1" applyFont="1" applyFill="1" applyBorder="1" applyAlignment="1" applyProtection="1">
      <alignment horizontal="right" vertical="center"/>
    </xf>
    <xf numFmtId="196" fontId="25" fillId="11" borderId="27" xfId="58" applyNumberFormat="1" applyFont="1" applyFill="1" applyBorder="1" applyAlignment="1" applyProtection="1">
      <alignment horizontal="left" vertical="center" indent="1"/>
    </xf>
    <xf numFmtId="0" fontId="13" fillId="0" borderId="0" xfId="44" applyNumberFormat="1" applyFill="1" applyBorder="1" applyAlignment="1" applyProtection="1">
      <alignment vertical="center"/>
    </xf>
    <xf numFmtId="2" fontId="25" fillId="11" borderId="13" xfId="58" applyNumberFormat="1" applyFont="1" applyFill="1" applyBorder="1" applyAlignment="1" applyProtection="1">
      <alignment horizontal="right" vertical="center"/>
    </xf>
    <xf numFmtId="2" fontId="25" fillId="11" borderId="28" xfId="58" applyNumberFormat="1" applyFont="1" applyFill="1" applyBorder="1" applyAlignment="1" applyProtection="1">
      <alignment horizontal="right" vertical="center"/>
    </xf>
    <xf numFmtId="2" fontId="26" fillId="7" borderId="0" xfId="58" applyNumberFormat="1" applyFont="1" applyFill="1" applyBorder="1" applyAlignment="1" applyProtection="1">
      <alignment horizontal="left" vertical="center" indent="1"/>
    </xf>
    <xf numFmtId="2" fontId="25" fillId="0" borderId="0" xfId="58" applyNumberFormat="1" applyFont="1" applyFill="1" applyBorder="1" applyAlignment="1" applyProtection="1">
      <alignment vertical="center"/>
    </xf>
    <xf numFmtId="2" fontId="25" fillId="0" borderId="8" xfId="58" applyNumberFormat="1" applyFont="1" applyFill="1" applyBorder="1" applyAlignment="1" applyProtection="1">
      <alignment horizontal="left" vertical="center" indent="1"/>
    </xf>
    <xf numFmtId="2" fontId="25" fillId="0" borderId="8" xfId="58" applyNumberFormat="1" applyFont="1" applyFill="1" applyBorder="1" applyAlignment="1" applyProtection="1">
      <alignment vertical="center"/>
    </xf>
    <xf numFmtId="2" fontId="25" fillId="0" borderId="0" xfId="58" applyNumberFormat="1" applyFont="1" applyFill="1" applyBorder="1" applyAlignment="1" applyProtection="1">
      <alignment horizontal="left" vertical="center" indent="1"/>
    </xf>
    <xf numFmtId="2" fontId="25" fillId="0" borderId="11" xfId="58" applyNumberFormat="1" applyFont="1" applyFill="1" applyBorder="1" applyAlignment="1" applyProtection="1">
      <alignment horizontal="left" vertical="center" indent="1"/>
    </xf>
    <xf numFmtId="2" fontId="25" fillId="11" borderId="14" xfId="58" applyNumberFormat="1" applyFont="1" applyFill="1" applyBorder="1" applyAlignment="1" applyProtection="1">
      <alignment horizontal="left" vertical="center" indent="1"/>
    </xf>
    <xf numFmtId="2" fontId="25" fillId="0" borderId="18" xfId="58" applyNumberFormat="1" applyFont="1" applyFill="1" applyBorder="1" applyAlignment="1" applyProtection="1">
      <alignment horizontal="left" vertical="center" indent="1"/>
    </xf>
    <xf numFmtId="2" fontId="25" fillId="10" borderId="0" xfId="58" applyNumberFormat="1" applyFont="1" applyFill="1" applyBorder="1" applyAlignment="1" applyProtection="1">
      <alignment horizontal="right" vertical="center"/>
    </xf>
    <xf numFmtId="2" fontId="25" fillId="0" borderId="12" xfId="58" applyNumberFormat="1" applyFont="1" applyFill="1" applyBorder="1" applyAlignment="1" applyProtection="1">
      <alignment horizontal="left" vertical="center" indent="1"/>
    </xf>
    <xf numFmtId="2" fontId="25" fillId="10" borderId="8" xfId="58" applyNumberFormat="1" applyFont="1" applyFill="1" applyBorder="1" applyAlignment="1" applyProtection="1">
      <alignment horizontal="right" vertical="center"/>
    </xf>
    <xf numFmtId="2" fontId="25" fillId="14" borderId="19" xfId="58" applyNumberFormat="1" applyFont="1" applyFill="1" applyBorder="1" applyAlignment="1" applyProtection="1">
      <alignment horizontal="center" vertical="center"/>
    </xf>
    <xf numFmtId="2" fontId="25" fillId="13" borderId="0" xfId="58" applyNumberFormat="1" applyFont="1" applyFill="1" applyBorder="1" applyAlignment="1" applyProtection="1">
      <alignment horizontal="center" vertical="center"/>
    </xf>
    <xf numFmtId="2" fontId="25" fillId="13" borderId="10" xfId="58" applyNumberFormat="1" applyFont="1" applyFill="1" applyBorder="1" applyAlignment="1" applyProtection="1">
      <alignment horizontal="center" vertical="center"/>
    </xf>
    <xf numFmtId="199" fontId="25" fillId="15" borderId="23" xfId="58" applyNumberFormat="1" applyFont="1" applyFill="1" applyBorder="1" applyAlignment="1" applyProtection="1">
      <alignment horizontal="center" vertical="center"/>
    </xf>
    <xf numFmtId="1" fontId="26" fillId="0" borderId="0" xfId="58" applyNumberFormat="1" applyFont="1" applyFill="1" applyBorder="1" applyAlignment="1" applyProtection="1">
      <alignment horizontal="center" vertical="center"/>
    </xf>
    <xf numFmtId="0" fontId="26" fillId="0" borderId="10" xfId="58" applyNumberFormat="1" applyFont="1" applyFill="1" applyBorder="1" applyAlignment="1" applyProtection="1">
      <alignment horizontal="center" vertical="center"/>
    </xf>
    <xf numFmtId="0" fontId="26" fillId="7" borderId="0" xfId="58" applyNumberFormat="1" applyFont="1" applyFill="1" applyBorder="1" applyAlignment="1" applyProtection="1">
      <alignment vertical="center"/>
    </xf>
    <xf numFmtId="0" fontId="25" fillId="0" borderId="17" xfId="58" applyNumberFormat="1" applyFont="1" applyFill="1" applyBorder="1" applyAlignment="1" applyProtection="1">
      <alignment vertical="center"/>
    </xf>
    <xf numFmtId="0" fontId="25" fillId="0" borderId="11" xfId="58" applyNumberFormat="1" applyFont="1" applyFill="1" applyBorder="1" applyAlignment="1" applyProtection="1">
      <alignment vertical="center"/>
    </xf>
    <xf numFmtId="0" fontId="26" fillId="7" borderId="0" xfId="58" applyNumberFormat="1" applyFont="1" applyFill="1" applyBorder="1" applyAlignment="1" applyProtection="1">
      <alignment horizontal="center" vertical="center"/>
    </xf>
    <xf numFmtId="0" fontId="25" fillId="0" borderId="11" xfId="58" applyNumberFormat="1" applyFont="1" applyFill="1" applyBorder="1" applyAlignment="1" applyProtection="1">
      <alignment horizontal="center" vertical="center"/>
    </xf>
    <xf numFmtId="0" fontId="25" fillId="0" borderId="8" xfId="58" applyNumberFormat="1" applyFont="1" applyFill="1" applyBorder="1" applyAlignment="1" applyProtection="1">
      <alignment horizontal="center" vertical="center"/>
    </xf>
    <xf numFmtId="0" fontId="25" fillId="0" borderId="5" xfId="58" applyNumberFormat="1" applyFont="1" applyFill="1" applyBorder="1" applyAlignment="1" applyProtection="1">
      <alignment vertical="center"/>
    </xf>
    <xf numFmtId="1" fontId="26" fillId="0" borderId="10" xfId="58" applyNumberFormat="1" applyFont="1" applyFill="1" applyBorder="1" applyAlignment="1" applyProtection="1">
      <alignment horizontal="center" vertical="center"/>
    </xf>
    <xf numFmtId="2" fontId="26" fillId="7" borderId="0" xfId="58" applyNumberFormat="1" applyFont="1" applyFill="1" applyBorder="1" applyAlignment="1" applyProtection="1">
      <alignment vertical="center"/>
    </xf>
    <xf numFmtId="199" fontId="25" fillId="0" borderId="0" xfId="58" applyNumberFormat="1" applyFont="1" applyFill="1" applyBorder="1" applyAlignment="1" applyProtection="1">
      <alignment vertical="center"/>
    </xf>
    <xf numFmtId="199" fontId="25" fillId="0" borderId="0" xfId="58" applyNumberFormat="1" applyFont="1" applyFill="1" applyBorder="1" applyAlignment="1" applyProtection="1">
      <alignment horizontal="left" vertical="center" indent="1"/>
    </xf>
    <xf numFmtId="1" fontId="26" fillId="0" borderId="0" xfId="58" applyNumberFormat="1" applyFont="1" applyFill="1" applyBorder="1" applyAlignment="1" applyProtection="1">
      <alignment horizontal="right" vertical="center" indent="1"/>
    </xf>
    <xf numFmtId="2" fontId="25" fillId="0" borderId="0" xfId="58" applyNumberFormat="1" applyFont="1" applyFill="1" applyBorder="1" applyAlignment="1" applyProtection="1">
      <alignment horizontal="right" vertical="center" indent="1"/>
    </xf>
    <xf numFmtId="199" fontId="25" fillId="14" borderId="8" xfId="58" applyNumberFormat="1" applyFont="1" applyFill="1" applyBorder="1" applyAlignment="1" applyProtection="1">
      <alignment horizontal="center" vertical="center"/>
    </xf>
    <xf numFmtId="199" fontId="25" fillId="14" borderId="10" xfId="58" applyNumberFormat="1" applyFont="1" applyFill="1" applyBorder="1" applyAlignment="1" applyProtection="1">
      <alignment horizontal="center" vertical="center"/>
    </xf>
    <xf numFmtId="195" fontId="25" fillId="10" borderId="16" xfId="58" applyNumberFormat="1" applyFont="1" applyFill="1" applyBorder="1" applyAlignment="1" applyProtection="1">
      <alignment horizontal="right" vertical="center"/>
    </xf>
    <xf numFmtId="195" fontId="25" fillId="10" borderId="18" xfId="58" applyNumberFormat="1" applyFont="1" applyFill="1" applyBorder="1" applyAlignment="1" applyProtection="1">
      <alignment horizontal="right" vertical="center"/>
    </xf>
    <xf numFmtId="195" fontId="25" fillId="10" borderId="21" xfId="58" applyNumberFormat="1" applyFont="1" applyFill="1" applyBorder="1" applyAlignment="1" applyProtection="1">
      <alignment horizontal="right" vertical="center"/>
    </xf>
    <xf numFmtId="195" fontId="25" fillId="10" borderId="20" xfId="58" applyNumberFormat="1" applyFont="1" applyFill="1" applyBorder="1" applyAlignment="1" applyProtection="1">
      <alignment horizontal="right" vertical="center"/>
    </xf>
    <xf numFmtId="195" fontId="25" fillId="10" borderId="19" xfId="58" applyNumberFormat="1" applyFont="1" applyFill="1" applyBorder="1" applyAlignment="1" applyProtection="1">
      <alignment horizontal="right" vertical="center"/>
    </xf>
    <xf numFmtId="2" fontId="25" fillId="0" borderId="12" xfId="58" applyNumberFormat="1" applyFont="1" applyFill="1" applyBorder="1" applyAlignment="1" applyProtection="1">
      <alignment vertical="center"/>
    </xf>
    <xf numFmtId="0" fontId="26" fillId="0" borderId="0" xfId="58" applyNumberFormat="1" applyFont="1" applyFill="1" applyBorder="1" applyAlignment="1" applyProtection="1">
      <alignment horizontal="right" vertical="center" indent="1"/>
    </xf>
    <xf numFmtId="0" fontId="25" fillId="0" borderId="12" xfId="58" applyNumberFormat="1" applyFont="1" applyFill="1" applyBorder="1" applyAlignment="1" applyProtection="1">
      <alignment horizontal="left" vertical="center" indent="1"/>
    </xf>
    <xf numFmtId="199" fontId="25" fillId="14" borderId="16" xfId="58" applyNumberFormat="1" applyFont="1" applyFill="1" applyBorder="1" applyAlignment="1" applyProtection="1">
      <alignment horizontal="center" vertical="center"/>
    </xf>
    <xf numFmtId="3" fontId="13" fillId="13" borderId="1" xfId="44" applyNumberFormat="1" applyFill="1" applyBorder="1" applyAlignment="1" applyProtection="1">
      <alignment horizontal="left" vertical="center"/>
    </xf>
    <xf numFmtId="3" fontId="10" fillId="13" borderId="1" xfId="55" applyFill="1" applyBorder="1" applyAlignment="1">
      <alignment horizontal="left" vertical="center"/>
    </xf>
    <xf numFmtId="3" fontId="13" fillId="16" borderId="1" xfId="44" applyNumberFormat="1" applyFill="1" applyBorder="1" applyAlignment="1" applyProtection="1">
      <alignment horizontal="left" vertical="center"/>
    </xf>
    <xf numFmtId="3" fontId="10" fillId="16" borderId="1" xfId="56" applyFill="1" applyBorder="1" applyAlignment="1">
      <alignment horizontal="left" vertical="center"/>
    </xf>
    <xf numFmtId="3" fontId="10" fillId="16" borderId="1" xfId="55" applyFill="1" applyBorder="1" applyAlignment="1">
      <alignment horizontal="left" vertical="center"/>
    </xf>
    <xf numFmtId="3" fontId="10" fillId="14" borderId="1" xfId="56" applyFill="1" applyBorder="1" applyAlignment="1">
      <alignment horizontal="left" vertical="center"/>
    </xf>
    <xf numFmtId="3" fontId="13" fillId="17" borderId="1" xfId="44" applyNumberFormat="1" applyFill="1" applyBorder="1" applyAlignment="1" applyProtection="1">
      <alignment horizontal="left" vertical="center"/>
    </xf>
    <xf numFmtId="3" fontId="10" fillId="17" borderId="1" xfId="56" applyFill="1" applyBorder="1" applyAlignment="1">
      <alignment horizontal="left" vertical="center"/>
    </xf>
    <xf numFmtId="3" fontId="10" fillId="17" borderId="1" xfId="55" applyFill="1" applyBorder="1" applyAlignment="1">
      <alignment horizontal="left" vertical="center"/>
    </xf>
    <xf numFmtId="3" fontId="10" fillId="0" borderId="1" xfId="56" applyBorder="1" applyAlignment="1">
      <alignment horizontal="center"/>
    </xf>
    <xf numFmtId="3" fontId="13" fillId="18" borderId="1" xfId="44" applyNumberFormat="1" applyFill="1" applyBorder="1" applyAlignment="1" applyProtection="1">
      <alignment horizontal="left" vertical="center"/>
    </xf>
    <xf numFmtId="3" fontId="10" fillId="18" borderId="1" xfId="56" applyFill="1" applyBorder="1" applyAlignment="1">
      <alignment horizontal="left" vertical="center"/>
    </xf>
    <xf numFmtId="3" fontId="10" fillId="18" borderId="1" xfId="55" applyFill="1" applyBorder="1" applyAlignment="1">
      <alignment horizontal="left" vertical="center"/>
    </xf>
    <xf numFmtId="2" fontId="25" fillId="17" borderId="8" xfId="58" applyNumberFormat="1" applyFont="1" applyFill="1" applyBorder="1" applyAlignment="1" applyProtection="1">
      <alignment horizontal="center" vertical="center"/>
    </xf>
    <xf numFmtId="2" fontId="25" fillId="17" borderId="0" xfId="58" applyNumberFormat="1" applyFont="1" applyFill="1" applyBorder="1" applyAlignment="1" applyProtection="1">
      <alignment horizontal="center" vertical="center"/>
    </xf>
    <xf numFmtId="2" fontId="25" fillId="17" borderId="10" xfId="58" applyNumberFormat="1" applyFont="1" applyFill="1" applyBorder="1" applyAlignment="1" applyProtection="1">
      <alignment horizontal="center" vertical="center"/>
    </xf>
    <xf numFmtId="2" fontId="25" fillId="19" borderId="23" xfId="58" applyNumberFormat="1" applyFont="1" applyFill="1" applyBorder="1" applyAlignment="1" applyProtection="1">
      <alignment horizontal="center" vertical="center"/>
    </xf>
    <xf numFmtId="2" fontId="25" fillId="14" borderId="1" xfId="58" applyNumberFormat="1" applyFont="1" applyFill="1" applyBorder="1" applyAlignment="1" applyProtection="1">
      <alignment horizontal="center" vertical="center"/>
    </xf>
    <xf numFmtId="2" fontId="26" fillId="14" borderId="1" xfId="58" applyNumberFormat="1" applyFont="1" applyFill="1" applyBorder="1" applyAlignment="1" applyProtection="1">
      <alignment horizontal="left" vertical="center"/>
    </xf>
    <xf numFmtId="195" fontId="25" fillId="11" borderId="28" xfId="58" applyNumberFormat="1" applyFont="1" applyFill="1" applyBorder="1" applyAlignment="1" applyProtection="1">
      <alignment horizontal="right" vertical="center"/>
    </xf>
    <xf numFmtId="200" fontId="25" fillId="10" borderId="8" xfId="58" applyNumberFormat="1" applyFont="1" applyFill="1" applyBorder="1" applyAlignment="1" applyProtection="1">
      <alignment horizontal="right" vertical="center"/>
    </xf>
    <xf numFmtId="0" fontId="13" fillId="20" borderId="0" xfId="44" quotePrefix="1" applyFill="1" applyBorder="1" applyAlignment="1" applyProtection="1">
      <alignment vertical="center"/>
    </xf>
    <xf numFmtId="3" fontId="10" fillId="18" borderId="1" xfId="55" applyFill="1" applyBorder="1" applyAlignment="1">
      <alignment horizontal="left" vertical="center" wrapText="1"/>
    </xf>
    <xf numFmtId="0" fontId="13" fillId="20" borderId="0" xfId="44" quotePrefix="1" applyFill="1" applyBorder="1" applyAlignment="1" applyProtection="1">
      <alignment horizontal="right" vertical="center"/>
    </xf>
    <xf numFmtId="3" fontId="13" fillId="20" borderId="0" xfId="44" quotePrefix="1" applyNumberFormat="1" applyFill="1" applyBorder="1" applyAlignment="1" applyProtection="1">
      <alignment horizontal="right" vertical="center"/>
    </xf>
    <xf numFmtId="0" fontId="35" fillId="0" borderId="0" xfId="58" applyNumberFormat="1" applyFont="1" applyFill="1" applyBorder="1" applyAlignment="1" applyProtection="1">
      <alignment horizontal="right" vertical="center" indent="1"/>
    </xf>
    <xf numFmtId="0" fontId="35" fillId="0" borderId="0" xfId="58" applyNumberFormat="1" applyFont="1" applyFill="1" applyBorder="1" applyAlignment="1" applyProtection="1">
      <alignment horizontal="left" vertical="center" indent="1"/>
    </xf>
    <xf numFmtId="0" fontId="35" fillId="0" borderId="0" xfId="58" applyNumberFormat="1" applyFont="1" applyFill="1" applyBorder="1" applyAlignment="1" applyProtection="1">
      <alignment horizontal="right" vertical="center" wrapText="1"/>
    </xf>
    <xf numFmtId="0" fontId="36" fillId="0" borderId="0" xfId="58" applyNumberFormat="1" applyFont="1" applyFill="1" applyBorder="1" applyAlignment="1" applyProtection="1">
      <alignment horizontal="left" vertical="center" indent="1"/>
    </xf>
    <xf numFmtId="2" fontId="35" fillId="14" borderId="18" xfId="58" applyNumberFormat="1" applyFont="1" applyFill="1" applyBorder="1" applyAlignment="1" applyProtection="1">
      <alignment horizontal="center" vertical="center"/>
    </xf>
    <xf numFmtId="2" fontId="35" fillId="14" borderId="12" xfId="58" applyNumberFormat="1" applyFont="1" applyFill="1" applyBorder="1" applyAlignment="1" applyProtection="1">
      <alignment horizontal="center" vertical="center"/>
    </xf>
    <xf numFmtId="2" fontId="35" fillId="14" borderId="19" xfId="58" applyNumberFormat="1" applyFont="1" applyFill="1" applyBorder="1" applyAlignment="1" applyProtection="1">
      <alignment horizontal="center" vertical="center"/>
    </xf>
    <xf numFmtId="2" fontId="35" fillId="15" borderId="24" xfId="58" applyNumberFormat="1" applyFont="1" applyFill="1" applyBorder="1" applyAlignment="1" applyProtection="1">
      <alignment horizontal="center" vertical="center"/>
    </xf>
    <xf numFmtId="3" fontId="13" fillId="24" borderId="1" xfId="44" applyNumberFormat="1" applyFill="1" applyBorder="1" applyAlignment="1" applyProtection="1">
      <alignment vertical="center"/>
    </xf>
    <xf numFmtId="3" fontId="10" fillId="24" borderId="1" xfId="56" applyFill="1" applyBorder="1" applyAlignment="1">
      <alignment vertical="center"/>
    </xf>
    <xf numFmtId="3" fontId="13" fillId="9" borderId="0" xfId="44" applyNumberFormat="1" applyFill="1" applyBorder="1" applyAlignment="1" applyProtection="1">
      <alignment vertical="center"/>
    </xf>
    <xf numFmtId="0" fontId="25" fillId="9" borderId="0" xfId="58" applyFont="1" applyFill="1" applyAlignment="1" applyProtection="1">
      <alignment vertical="center"/>
    </xf>
    <xf numFmtId="0" fontId="25" fillId="0" borderId="0" xfId="58" applyFont="1" applyAlignment="1" applyProtection="1">
      <alignment vertical="center"/>
    </xf>
    <xf numFmtId="0" fontId="25" fillId="22" borderId="0" xfId="58" applyFont="1" applyFill="1" applyBorder="1" applyAlignment="1" applyProtection="1">
      <alignment vertical="center"/>
    </xf>
    <xf numFmtId="0" fontId="25" fillId="20" borderId="0" xfId="58" applyFont="1" applyFill="1" applyBorder="1" applyAlignment="1" applyProtection="1">
      <alignment vertical="center"/>
    </xf>
    <xf numFmtId="0" fontId="25" fillId="15" borderId="1" xfId="58" applyFont="1" applyFill="1" applyBorder="1" applyAlignment="1" applyProtection="1">
      <alignment horizontal="center" vertical="center"/>
    </xf>
    <xf numFmtId="0" fontId="25" fillId="14" borderId="4" xfId="58" applyFont="1" applyFill="1" applyBorder="1" applyAlignment="1" applyProtection="1">
      <alignment horizontal="center" vertical="center" wrapText="1"/>
    </xf>
    <xf numFmtId="2" fontId="25" fillId="14" borderId="32" xfId="58" applyNumberFormat="1" applyFont="1" applyFill="1" applyBorder="1" applyAlignment="1" applyProtection="1">
      <alignment horizontal="center" vertical="center"/>
    </xf>
    <xf numFmtId="0" fontId="25" fillId="20" borderId="0" xfId="58" applyFont="1" applyFill="1" applyBorder="1" applyAlignment="1" applyProtection="1">
      <alignment horizontal="left" vertical="center" wrapText="1"/>
    </xf>
    <xf numFmtId="0" fontId="25" fillId="20" borderId="0" xfId="58" applyFont="1" applyFill="1" applyBorder="1" applyAlignment="1" applyProtection="1">
      <alignment horizontal="left" vertical="center"/>
    </xf>
    <xf numFmtId="0" fontId="25" fillId="21" borderId="43" xfId="58" applyFont="1" applyFill="1" applyBorder="1" applyAlignment="1" applyProtection="1">
      <alignment horizontal="left" vertical="center" indent="1"/>
    </xf>
    <xf numFmtId="0" fontId="25" fillId="21" borderId="44" xfId="58" applyFont="1" applyFill="1" applyBorder="1" applyAlignment="1" applyProtection="1">
      <alignment horizontal="left" vertical="center" indent="1"/>
    </xf>
    <xf numFmtId="0" fontId="25" fillId="21" borderId="45" xfId="58" applyFont="1" applyFill="1" applyBorder="1" applyAlignment="1" applyProtection="1">
      <alignment horizontal="left" vertical="center" indent="1"/>
    </xf>
    <xf numFmtId="0" fontId="26" fillId="20" borderId="0" xfId="58" applyFont="1" applyFill="1" applyBorder="1" applyAlignment="1" applyProtection="1">
      <alignment vertical="center"/>
    </xf>
    <xf numFmtId="0" fontId="25" fillId="21" borderId="45" xfId="58" applyFont="1" applyFill="1" applyBorder="1" applyAlignment="1" applyProtection="1">
      <alignment horizontal="left" vertical="center" wrapText="1" indent="1"/>
    </xf>
    <xf numFmtId="3" fontId="0" fillId="9" borderId="0" xfId="0" applyFill="1" applyProtection="1">
      <alignment vertical="center"/>
    </xf>
    <xf numFmtId="3" fontId="0" fillId="0" borderId="0" xfId="0" applyProtection="1">
      <alignment vertical="center"/>
    </xf>
    <xf numFmtId="0" fontId="25" fillId="0" borderId="0" xfId="58" applyFont="1" applyFill="1" applyAlignment="1" applyProtection="1">
      <alignment vertical="center"/>
    </xf>
    <xf numFmtId="0" fontId="25" fillId="13" borderId="16" xfId="58" applyFont="1" applyFill="1" applyBorder="1" applyAlignment="1" applyProtection="1">
      <alignment vertical="center"/>
    </xf>
    <xf numFmtId="0" fontId="25" fillId="13" borderId="8" xfId="58" applyFont="1" applyFill="1" applyBorder="1" applyAlignment="1" applyProtection="1">
      <alignment vertical="center"/>
    </xf>
    <xf numFmtId="0" fontId="25" fillId="13" borderId="18" xfId="58" applyFont="1" applyFill="1" applyBorder="1" applyAlignment="1" applyProtection="1">
      <alignment vertical="center"/>
    </xf>
    <xf numFmtId="0" fontId="25" fillId="13" borderId="21" xfId="58" applyFont="1" applyFill="1" applyBorder="1" applyAlignment="1" applyProtection="1">
      <alignment vertical="center"/>
    </xf>
    <xf numFmtId="0" fontId="25" fillId="13" borderId="0" xfId="58" applyFont="1" applyFill="1" applyBorder="1" applyAlignment="1" applyProtection="1">
      <alignment vertical="center"/>
    </xf>
    <xf numFmtId="0" fontId="25" fillId="13" borderId="12" xfId="58" applyFont="1" applyFill="1" applyBorder="1" applyAlignment="1" applyProtection="1">
      <alignment vertical="center"/>
    </xf>
    <xf numFmtId="2" fontId="25" fillId="14" borderId="38" xfId="58" applyNumberFormat="1" applyFont="1" applyFill="1" applyBorder="1" applyAlignment="1" applyProtection="1">
      <alignment vertical="center"/>
    </xf>
    <xf numFmtId="2" fontId="25" fillId="14" borderId="39" xfId="58" applyNumberFormat="1" applyFont="1" applyFill="1" applyBorder="1" applyAlignment="1" applyProtection="1">
      <alignment vertical="center"/>
    </xf>
    <xf numFmtId="2" fontId="25" fillId="14" borderId="9" xfId="58" applyNumberFormat="1" applyFont="1" applyFill="1" applyBorder="1" applyAlignment="1" applyProtection="1">
      <alignment vertical="center"/>
    </xf>
    <xf numFmtId="2" fontId="25" fillId="14" borderId="32" xfId="58" applyNumberFormat="1" applyFont="1" applyFill="1" applyBorder="1" applyAlignment="1" applyProtection="1">
      <alignment vertical="center"/>
    </xf>
    <xf numFmtId="2" fontId="25" fillId="14" borderId="51" xfId="58" applyNumberFormat="1" applyFont="1" applyFill="1" applyBorder="1" applyAlignment="1" applyProtection="1">
      <alignment vertical="center"/>
    </xf>
    <xf numFmtId="2" fontId="25" fillId="14" borderId="52" xfId="58" applyNumberFormat="1" applyFont="1" applyFill="1" applyBorder="1" applyAlignment="1" applyProtection="1">
      <alignment vertical="center"/>
    </xf>
    <xf numFmtId="0" fontId="25" fillId="22" borderId="21" xfId="58" applyFont="1" applyFill="1" applyBorder="1" applyAlignment="1" applyProtection="1">
      <alignment vertical="center"/>
    </xf>
    <xf numFmtId="0" fontId="25" fillId="22" borderId="12" xfId="58" applyFont="1" applyFill="1" applyBorder="1" applyAlignment="1" applyProtection="1">
      <alignment vertical="center"/>
    </xf>
    <xf numFmtId="0" fontId="25" fillId="20" borderId="21" xfId="58" applyFont="1" applyFill="1" applyBorder="1" applyAlignment="1" applyProtection="1">
      <alignment vertical="center"/>
    </xf>
    <xf numFmtId="0" fontId="33" fillId="20" borderId="0" xfId="58" applyFont="1" applyFill="1" applyBorder="1" applyAlignment="1" applyProtection="1">
      <alignment horizontal="left" vertical="center" indent="1"/>
    </xf>
    <xf numFmtId="0" fontId="25" fillId="20" borderId="12" xfId="58" applyFont="1" applyFill="1" applyBorder="1" applyAlignment="1" applyProtection="1">
      <alignment vertical="center"/>
    </xf>
    <xf numFmtId="0" fontId="25" fillId="20" borderId="21" xfId="58" applyFont="1" applyFill="1" applyBorder="1" applyAlignment="1" applyProtection="1">
      <alignment horizontal="center" vertical="center" wrapText="1"/>
    </xf>
    <xf numFmtId="0" fontId="25" fillId="20" borderId="20" xfId="58" applyFont="1" applyFill="1" applyBorder="1" applyAlignment="1" applyProtection="1">
      <alignment vertical="center"/>
    </xf>
    <xf numFmtId="0" fontId="25" fillId="20" borderId="10" xfId="58" applyFont="1" applyFill="1" applyBorder="1" applyAlignment="1" applyProtection="1">
      <alignment vertical="center"/>
    </xf>
    <xf numFmtId="0" fontId="25" fillId="20" borderId="19" xfId="58" applyFont="1" applyFill="1" applyBorder="1" applyAlignment="1" applyProtection="1">
      <alignment vertical="center"/>
    </xf>
    <xf numFmtId="0" fontId="25" fillId="0" borderId="0" xfId="58" applyFont="1" applyFill="1" applyBorder="1" applyAlignment="1" applyProtection="1">
      <alignment vertical="center"/>
    </xf>
    <xf numFmtId="2" fontId="25" fillId="0" borderId="12" xfId="58" applyNumberFormat="1" applyFont="1" applyFill="1" applyBorder="1" applyAlignment="1" applyProtection="1">
      <alignment horizontal="left" vertical="center" indent="1"/>
      <protection locked="0"/>
    </xf>
    <xf numFmtId="2" fontId="25" fillId="10" borderId="0" xfId="58" applyNumberFormat="1" applyFont="1" applyFill="1" applyBorder="1" applyAlignment="1" applyProtection="1">
      <alignment horizontal="right" vertical="center"/>
      <protection locked="0"/>
    </xf>
    <xf numFmtId="196" fontId="25" fillId="0" borderId="11" xfId="58" applyNumberFormat="1" applyFont="1" applyFill="1" applyBorder="1" applyAlignment="1" applyProtection="1">
      <alignment horizontal="left" vertical="center" indent="1"/>
      <protection locked="0"/>
    </xf>
    <xf numFmtId="195" fontId="25" fillId="0" borderId="11" xfId="58" applyNumberFormat="1" applyFont="1" applyFill="1" applyBorder="1" applyAlignment="1" applyProtection="1">
      <alignment horizontal="left" vertical="center" indent="1"/>
      <protection locked="0"/>
    </xf>
    <xf numFmtId="2" fontId="25" fillId="0" borderId="18" xfId="58" applyNumberFormat="1" applyFont="1" applyFill="1" applyBorder="1" applyAlignment="1" applyProtection="1">
      <alignment vertical="center"/>
    </xf>
    <xf numFmtId="0" fontId="26" fillId="0" borderId="11" xfId="58" applyNumberFormat="1" applyFont="1" applyFill="1" applyBorder="1" applyAlignment="1" applyProtection="1">
      <alignment horizontal="left" vertical="center" indent="1"/>
    </xf>
    <xf numFmtId="0" fontId="26" fillId="0" borderId="17" xfId="58" applyNumberFormat="1" applyFont="1" applyFill="1" applyBorder="1" applyAlignment="1" applyProtection="1">
      <alignment horizontal="left" vertical="center" indent="1"/>
    </xf>
    <xf numFmtId="0" fontId="26" fillId="0" borderId="5" xfId="58" applyNumberFormat="1" applyFont="1" applyFill="1" applyBorder="1" applyAlignment="1" applyProtection="1">
      <alignment horizontal="left" vertical="center" indent="1"/>
    </xf>
    <xf numFmtId="0" fontId="25" fillId="0" borderId="11" xfId="58" quotePrefix="1" applyNumberFormat="1" applyFont="1" applyFill="1" applyBorder="1" applyAlignment="1" applyProtection="1">
      <alignment horizontal="left" vertical="center" indent="1"/>
    </xf>
    <xf numFmtId="9" fontId="25" fillId="0" borderId="11" xfId="58" quotePrefix="1" applyNumberFormat="1" applyFont="1" applyFill="1" applyBorder="1" applyAlignment="1" applyProtection="1">
      <alignment horizontal="left" vertical="center" indent="1"/>
    </xf>
    <xf numFmtId="0" fontId="25" fillId="12" borderId="15" xfId="58" applyNumberFormat="1" applyFont="1" applyFill="1" applyBorder="1" applyAlignment="1" applyProtection="1">
      <alignment horizontal="left" vertical="center" indent="1"/>
    </xf>
    <xf numFmtId="0" fontId="25" fillId="12" borderId="25" xfId="58" applyNumberFormat="1" applyFont="1" applyFill="1" applyBorder="1" applyAlignment="1" applyProtection="1">
      <alignment horizontal="left" vertical="center" indent="1"/>
    </xf>
    <xf numFmtId="0" fontId="25" fillId="12" borderId="26" xfId="58" applyNumberFormat="1" applyFont="1" applyFill="1" applyBorder="1" applyAlignment="1" applyProtection="1">
      <alignment horizontal="left" vertical="center" indent="1"/>
    </xf>
    <xf numFmtId="196" fontId="25" fillId="0" borderId="17" xfId="58" applyNumberFormat="1" applyFont="1" applyFill="1" applyBorder="1" applyAlignment="1" applyProtection="1">
      <alignment horizontal="left" vertical="center" indent="1"/>
    </xf>
    <xf numFmtId="196" fontId="25" fillId="0" borderId="49" xfId="58" applyNumberFormat="1" applyFont="1" applyFill="1" applyBorder="1" applyAlignment="1" applyProtection="1">
      <alignment horizontal="left" vertical="center" indent="1"/>
    </xf>
    <xf numFmtId="0" fontId="25" fillId="12" borderId="14" xfId="58" applyNumberFormat="1" applyFont="1" applyFill="1" applyBorder="1" applyAlignment="1" applyProtection="1">
      <alignment horizontal="left" vertical="center" indent="1"/>
    </xf>
    <xf numFmtId="0" fontId="25" fillId="0" borderId="11" xfId="58" applyNumberFormat="1" applyFont="1" applyFill="1" applyBorder="1" applyAlignment="1" applyProtection="1">
      <alignment horizontal="left" vertical="center" indent="1"/>
      <protection locked="0"/>
    </xf>
    <xf numFmtId="0" fontId="25" fillId="12" borderId="27" xfId="58" applyNumberFormat="1" applyFont="1" applyFill="1" applyBorder="1" applyAlignment="1" applyProtection="1">
      <alignment horizontal="left" vertical="center" indent="1"/>
    </xf>
    <xf numFmtId="0" fontId="25" fillId="0" borderId="5" xfId="58" applyNumberFormat="1" applyFont="1" applyFill="1" applyBorder="1" applyAlignment="1" applyProtection="1">
      <alignment horizontal="left" vertical="center" indent="1"/>
      <protection locked="0"/>
    </xf>
    <xf numFmtId="196" fontId="25" fillId="0" borderId="12" xfId="58" applyNumberFormat="1" applyFont="1" applyFill="1" applyBorder="1" applyAlignment="1" applyProtection="1">
      <alignment horizontal="left" vertical="center" indent="1"/>
      <protection locked="0"/>
    </xf>
    <xf numFmtId="195" fontId="25" fillId="10" borderId="0" xfId="58" applyNumberFormat="1" applyFont="1" applyFill="1" applyBorder="1" applyAlignment="1" applyProtection="1">
      <alignment horizontal="right" vertical="center"/>
      <protection locked="0"/>
    </xf>
    <xf numFmtId="196" fontId="25" fillId="0" borderId="19" xfId="58" applyNumberFormat="1" applyFont="1" applyFill="1" applyBorder="1" applyAlignment="1" applyProtection="1">
      <alignment horizontal="left" vertical="center" indent="1"/>
      <protection locked="0"/>
    </xf>
    <xf numFmtId="195" fontId="25" fillId="0" borderId="5" xfId="58" applyNumberFormat="1" applyFont="1" applyFill="1" applyBorder="1" applyAlignment="1" applyProtection="1">
      <alignment horizontal="left" vertical="center" indent="1"/>
      <protection locked="0"/>
    </xf>
    <xf numFmtId="195" fontId="25" fillId="10" borderId="10" xfId="58" applyNumberFormat="1" applyFont="1" applyFill="1" applyBorder="1" applyAlignment="1" applyProtection="1">
      <alignment horizontal="right" vertical="center"/>
      <protection locked="0"/>
    </xf>
    <xf numFmtId="0" fontId="25" fillId="0" borderId="11" xfId="58" quotePrefix="1" applyNumberFormat="1" applyFont="1" applyFill="1" applyBorder="1" applyAlignment="1" applyProtection="1">
      <alignment horizontal="left" vertical="center" indent="1"/>
      <protection locked="0"/>
    </xf>
    <xf numFmtId="9" fontId="25" fillId="0" borderId="11" xfId="58" applyNumberFormat="1" applyFont="1" applyFill="1" applyBorder="1" applyAlignment="1" applyProtection="1">
      <alignment horizontal="left" vertical="center" indent="1"/>
      <protection locked="0"/>
    </xf>
    <xf numFmtId="195" fontId="25" fillId="0" borderId="11" xfId="58" quotePrefix="1" applyNumberFormat="1" applyFont="1" applyFill="1" applyBorder="1" applyAlignment="1" applyProtection="1">
      <alignment horizontal="left" vertical="center" indent="1"/>
      <protection locked="0"/>
    </xf>
    <xf numFmtId="196" fontId="25" fillId="0" borderId="5" xfId="58" applyNumberFormat="1" applyFont="1" applyFill="1" applyBorder="1" applyAlignment="1" applyProtection="1">
      <alignment horizontal="left" vertical="center" indent="1"/>
      <protection locked="0"/>
    </xf>
    <xf numFmtId="0" fontId="25" fillId="0" borderId="5" xfId="58" applyNumberFormat="1" applyFont="1" applyFill="1" applyBorder="1" applyAlignment="1" applyProtection="1">
      <alignment horizontal="right" vertical="center" indent="1"/>
    </xf>
    <xf numFmtId="2" fontId="26" fillId="10" borderId="5" xfId="58" applyNumberFormat="1" applyFont="1" applyFill="1" applyBorder="1" applyAlignment="1" applyProtection="1">
      <alignment horizontal="left" vertical="center"/>
    </xf>
    <xf numFmtId="2" fontId="25" fillId="13" borderId="8" xfId="58" applyNumberFormat="1" applyFont="1" applyFill="1" applyBorder="1" applyAlignment="1" applyProtection="1">
      <alignment horizontal="center" vertical="center"/>
    </xf>
    <xf numFmtId="0" fontId="26" fillId="7" borderId="12" xfId="58" applyNumberFormat="1" applyFont="1" applyFill="1" applyBorder="1" applyAlignment="1" applyProtection="1">
      <alignment horizontal="left" vertical="center"/>
    </xf>
    <xf numFmtId="0" fontId="26" fillId="0" borderId="12" xfId="58" applyNumberFormat="1" applyFont="1" applyFill="1" applyBorder="1" applyAlignment="1" applyProtection="1">
      <alignment horizontal="left" vertical="center" indent="1"/>
    </xf>
    <xf numFmtId="0" fontId="25" fillId="24" borderId="17" xfId="58" applyNumberFormat="1" applyFont="1" applyFill="1" applyBorder="1" applyAlignment="1" applyProtection="1">
      <alignment horizontal="left" vertical="center" indent="1"/>
    </xf>
    <xf numFmtId="0" fontId="25" fillId="24" borderId="11" xfId="58" applyNumberFormat="1" applyFont="1" applyFill="1" applyBorder="1" applyAlignment="1" applyProtection="1">
      <alignment horizontal="left" vertical="center" indent="1"/>
    </xf>
    <xf numFmtId="0" fontId="25" fillId="24" borderId="5" xfId="58" applyNumberFormat="1" applyFont="1" applyFill="1" applyBorder="1" applyAlignment="1" applyProtection="1">
      <alignment horizontal="left" vertical="center" indent="1"/>
    </xf>
    <xf numFmtId="0" fontId="26" fillId="0" borderId="1" xfId="58" applyNumberFormat="1" applyFont="1" applyFill="1" applyBorder="1" applyAlignment="1" applyProtection="1">
      <alignment horizontal="left" vertical="center" indent="1"/>
    </xf>
    <xf numFmtId="0" fontId="25" fillId="23" borderId="11" xfId="58" applyNumberFormat="1" applyFont="1" applyFill="1" applyBorder="1" applyAlignment="1" applyProtection="1">
      <alignment horizontal="left" vertical="center" indent="1"/>
    </xf>
    <xf numFmtId="0" fontId="25" fillId="23" borderId="5" xfId="58" applyNumberFormat="1" applyFont="1" applyFill="1" applyBorder="1" applyAlignment="1" applyProtection="1">
      <alignment horizontal="left" vertical="center" indent="1"/>
    </xf>
    <xf numFmtId="0" fontId="25" fillId="23" borderId="17" xfId="58" applyNumberFormat="1" applyFont="1" applyFill="1" applyBorder="1" applyAlignment="1" applyProtection="1">
      <alignment horizontal="left" vertical="center" indent="1"/>
    </xf>
    <xf numFmtId="0" fontId="25" fillId="0" borderId="16" xfId="58" applyNumberFormat="1" applyFont="1" applyFill="1" applyBorder="1" applyAlignment="1" applyProtection="1">
      <alignment horizontal="left" vertical="center" wrapText="1"/>
    </xf>
    <xf numFmtId="3" fontId="0" fillId="0" borderId="12" xfId="0" applyBorder="1" applyProtection="1">
      <alignment vertical="center"/>
    </xf>
    <xf numFmtId="3" fontId="15" fillId="0" borderId="0" xfId="56" applyFont="1" applyAlignment="1">
      <alignment horizontal="left" vertical="center"/>
    </xf>
    <xf numFmtId="195" fontId="25" fillId="0" borderId="0" xfId="58" applyNumberFormat="1" applyFont="1" applyFill="1" applyBorder="1" applyAlignment="1" applyProtection="1">
      <alignment horizontal="right" vertical="center"/>
    </xf>
    <xf numFmtId="0" fontId="26" fillId="0" borderId="0" xfId="58" applyNumberFormat="1" applyFont="1" applyFill="1" applyBorder="1" applyAlignment="1" applyProtection="1">
      <alignment horizontal="left" vertical="center" wrapText="1" indent="1"/>
    </xf>
    <xf numFmtId="0" fontId="25" fillId="0" borderId="21" xfId="58" applyNumberFormat="1" applyFont="1" applyFill="1" applyBorder="1" applyAlignment="1" applyProtection="1">
      <alignment vertical="center"/>
    </xf>
    <xf numFmtId="0" fontId="25" fillId="0" borderId="23" xfId="58" applyNumberFormat="1" applyFont="1" applyFill="1" applyBorder="1" applyAlignment="1" applyProtection="1">
      <alignment horizontal="right" vertical="center" indent="1"/>
    </xf>
    <xf numFmtId="196" fontId="25" fillId="0" borderId="23" xfId="58" applyNumberFormat="1" applyFont="1" applyFill="1" applyBorder="1" applyAlignment="1" applyProtection="1">
      <alignment horizontal="left" vertical="center" indent="1"/>
    </xf>
    <xf numFmtId="0" fontId="25" fillId="0" borderId="1" xfId="58" applyNumberFormat="1" applyFont="1" applyFill="1" applyBorder="1" applyAlignment="1" applyProtection="1">
      <alignment horizontal="left" vertical="center" indent="1"/>
    </xf>
    <xf numFmtId="0" fontId="26" fillId="0" borderId="46" xfId="58" applyNumberFormat="1" applyFont="1" applyFill="1" applyBorder="1" applyAlignment="1" applyProtection="1">
      <alignment horizontal="left" vertical="center" indent="1"/>
    </xf>
    <xf numFmtId="2" fontId="25" fillId="10" borderId="23" xfId="58" applyNumberFormat="1" applyFont="1" applyFill="1" applyBorder="1" applyAlignment="1" applyProtection="1">
      <alignment horizontal="right" vertical="center"/>
    </xf>
    <xf numFmtId="0" fontId="25" fillId="0" borderId="22" xfId="58" applyNumberFormat="1" applyFont="1" applyFill="1" applyBorder="1" applyAlignment="1" applyProtection="1">
      <alignment vertical="center"/>
    </xf>
    <xf numFmtId="0" fontId="25" fillId="0" borderId="23" xfId="58" applyNumberFormat="1" applyFont="1" applyFill="1" applyBorder="1" applyAlignment="1" applyProtection="1">
      <alignment vertical="center"/>
    </xf>
    <xf numFmtId="2" fontId="25" fillId="10" borderId="22" xfId="58" applyNumberFormat="1" applyFont="1" applyFill="1" applyBorder="1" applyAlignment="1" applyProtection="1">
      <alignment horizontal="right" vertical="center"/>
    </xf>
    <xf numFmtId="195" fontId="25" fillId="0" borderId="0" xfId="58" applyNumberFormat="1" applyFont="1" applyFill="1" applyBorder="1" applyAlignment="1" applyProtection="1">
      <alignment horizontal="left" vertical="center" wrapText="1" indent="1"/>
    </xf>
    <xf numFmtId="195" fontId="25" fillId="0" borderId="0" xfId="58" applyNumberFormat="1" applyFont="1" applyFill="1" applyBorder="1" applyAlignment="1" applyProtection="1">
      <alignment horizontal="left" vertical="center" indent="1"/>
    </xf>
    <xf numFmtId="0" fontId="26" fillId="0" borderId="21" xfId="58" applyNumberFormat="1" applyFont="1" applyFill="1" applyBorder="1" applyAlignment="1" applyProtection="1">
      <alignment vertical="center"/>
    </xf>
    <xf numFmtId="195" fontId="25" fillId="0" borderId="21" xfId="58" applyNumberFormat="1" applyFont="1" applyFill="1" applyBorder="1" applyAlignment="1" applyProtection="1">
      <alignment horizontal="right" vertical="center"/>
    </xf>
    <xf numFmtId="199" fontId="25" fillId="0" borderId="21" xfId="58" applyNumberFormat="1" applyFont="1" applyFill="1" applyBorder="1" applyAlignment="1" applyProtection="1">
      <alignment horizontal="right" vertical="center" indent="1"/>
    </xf>
    <xf numFmtId="199" fontId="25" fillId="0" borderId="21" xfId="58" applyNumberFormat="1" applyFont="1" applyFill="1" applyBorder="1" applyAlignment="1" applyProtection="1">
      <alignment vertical="center"/>
    </xf>
    <xf numFmtId="199" fontId="25" fillId="14" borderId="20" xfId="58" applyNumberFormat="1" applyFont="1" applyFill="1" applyBorder="1" applyAlignment="1" applyProtection="1">
      <alignment horizontal="center" vertical="center"/>
    </xf>
    <xf numFmtId="3" fontId="0" fillId="0" borderId="21" xfId="0" applyBorder="1" applyProtection="1">
      <alignment vertical="center"/>
    </xf>
    <xf numFmtId="3" fontId="0" fillId="0" borderId="0" xfId="0" applyBorder="1" applyProtection="1">
      <alignment vertical="center"/>
    </xf>
    <xf numFmtId="3" fontId="10" fillId="0" borderId="21" xfId="0" applyFont="1" applyBorder="1" applyProtection="1">
      <alignment vertical="center"/>
    </xf>
    <xf numFmtId="2" fontId="25" fillId="0" borderId="21" xfId="58" applyNumberFormat="1" applyFont="1" applyFill="1" applyBorder="1" applyAlignment="1" applyProtection="1">
      <alignment horizontal="right" vertical="center" indent="1"/>
    </xf>
    <xf numFmtId="197" fontId="25" fillId="10" borderId="0" xfId="58" applyNumberFormat="1" applyFont="1" applyFill="1" applyBorder="1" applyAlignment="1" applyProtection="1">
      <alignment horizontal="right" vertical="center"/>
    </xf>
    <xf numFmtId="2" fontId="25" fillId="8" borderId="22" xfId="58" applyNumberFormat="1" applyFont="1" applyFill="1" applyBorder="1" applyAlignment="1" applyProtection="1">
      <alignment horizontal="right" vertical="center"/>
    </xf>
    <xf numFmtId="2" fontId="25" fillId="8" borderId="23" xfId="58" applyNumberFormat="1" applyFont="1" applyFill="1" applyBorder="1" applyAlignment="1" applyProtection="1">
      <alignment horizontal="right" vertical="center"/>
    </xf>
    <xf numFmtId="17" fontId="25" fillId="8" borderId="1" xfId="58" applyNumberFormat="1" applyFont="1" applyFill="1" applyBorder="1" applyAlignment="1" applyProtection="1">
      <alignment horizontal="right" vertical="center"/>
    </xf>
    <xf numFmtId="2" fontId="25" fillId="26" borderId="22" xfId="58" applyNumberFormat="1" applyFont="1" applyFill="1" applyBorder="1" applyAlignment="1" applyProtection="1">
      <alignment horizontal="right" vertical="center"/>
    </xf>
    <xf numFmtId="195" fontId="25" fillId="26" borderId="16" xfId="58" applyNumberFormat="1" applyFont="1" applyFill="1" applyBorder="1" applyAlignment="1" applyProtection="1">
      <alignment horizontal="right" vertical="center"/>
    </xf>
    <xf numFmtId="195" fontId="25" fillId="26" borderId="8" xfId="58" applyNumberFormat="1" applyFont="1" applyFill="1" applyBorder="1" applyAlignment="1" applyProtection="1">
      <alignment horizontal="right" vertical="center"/>
    </xf>
    <xf numFmtId="195" fontId="25" fillId="26" borderId="21" xfId="58" applyNumberFormat="1" applyFont="1" applyFill="1" applyBorder="1" applyAlignment="1" applyProtection="1">
      <alignment horizontal="right" vertical="center"/>
    </xf>
    <xf numFmtId="195" fontId="25" fillId="26" borderId="0" xfId="58" applyNumberFormat="1" applyFont="1" applyFill="1" applyBorder="1" applyAlignment="1" applyProtection="1">
      <alignment horizontal="right" vertical="center"/>
    </xf>
    <xf numFmtId="195" fontId="25" fillId="26" borderId="20" xfId="58" applyNumberFormat="1" applyFont="1" applyFill="1" applyBorder="1" applyAlignment="1" applyProtection="1">
      <alignment horizontal="right" vertical="center"/>
    </xf>
    <xf numFmtId="195" fontId="25" fillId="26" borderId="10" xfId="58" applyNumberFormat="1" applyFont="1" applyFill="1" applyBorder="1" applyAlignment="1" applyProtection="1">
      <alignment horizontal="right" vertical="center"/>
    </xf>
    <xf numFmtId="199" fontId="25" fillId="26" borderId="16" xfId="58" applyNumberFormat="1" applyFont="1" applyFill="1" applyBorder="1" applyAlignment="1" applyProtection="1">
      <alignment horizontal="center" vertical="center"/>
    </xf>
    <xf numFmtId="199" fontId="25" fillId="26" borderId="8" xfId="58" applyNumberFormat="1" applyFont="1" applyFill="1" applyBorder="1" applyAlignment="1" applyProtection="1">
      <alignment horizontal="center" vertical="center"/>
    </xf>
    <xf numFmtId="199" fontId="25" fillId="26" borderId="0" xfId="58" applyNumberFormat="1" applyFont="1" applyFill="1" applyBorder="1" applyAlignment="1" applyProtection="1">
      <alignment horizontal="center" vertical="center"/>
    </xf>
    <xf numFmtId="195" fontId="25" fillId="12" borderId="13" xfId="58" applyNumberFormat="1" applyFont="1" applyFill="1" applyBorder="1" applyAlignment="1" applyProtection="1">
      <alignment horizontal="right" vertical="center"/>
    </xf>
    <xf numFmtId="197" fontId="25" fillId="12" borderId="13" xfId="58" applyNumberFormat="1" applyFont="1" applyFill="1" applyBorder="1" applyAlignment="1" applyProtection="1">
      <alignment horizontal="right" vertical="center"/>
    </xf>
    <xf numFmtId="199" fontId="25" fillId="10" borderId="8" xfId="58" applyNumberFormat="1" applyFont="1" applyFill="1" applyBorder="1" applyAlignment="1" applyProtection="1">
      <alignment horizontal="right" vertical="center"/>
    </xf>
    <xf numFmtId="199" fontId="25" fillId="10" borderId="0" xfId="58" applyNumberFormat="1" applyFont="1" applyFill="1" applyBorder="1" applyAlignment="1" applyProtection="1">
      <alignment horizontal="right" vertical="center"/>
    </xf>
    <xf numFmtId="199" fontId="25" fillId="10" borderId="0" xfId="58" applyNumberFormat="1" applyFont="1" applyFill="1" applyBorder="1" applyAlignment="1" applyProtection="1">
      <alignment horizontal="right" vertical="center"/>
      <protection locked="0"/>
    </xf>
    <xf numFmtId="199" fontId="25" fillId="11" borderId="13" xfId="58" applyNumberFormat="1" applyFont="1" applyFill="1" applyBorder="1" applyAlignment="1" applyProtection="1">
      <alignment horizontal="right" vertical="center"/>
    </xf>
    <xf numFmtId="2" fontId="25" fillId="0" borderId="0" xfId="58" applyNumberFormat="1" applyFont="1" applyFill="1" applyBorder="1" applyAlignment="1" applyProtection="1">
      <alignment horizontal="right" vertical="center"/>
    </xf>
    <xf numFmtId="0" fontId="25" fillId="14" borderId="4" xfId="58" applyFont="1" applyFill="1" applyBorder="1" applyAlignment="1" applyProtection="1">
      <alignment horizontal="left" vertical="center"/>
    </xf>
    <xf numFmtId="2" fontId="25" fillId="10" borderId="11" xfId="58" applyNumberFormat="1" applyFont="1" applyFill="1" applyBorder="1" applyAlignment="1" applyProtection="1">
      <alignment horizontal="right" vertical="center"/>
      <protection locked="0"/>
    </xf>
    <xf numFmtId="2" fontId="25" fillId="10" borderId="5" xfId="58" applyNumberFormat="1" applyFont="1" applyFill="1" applyBorder="1" applyAlignment="1" applyProtection="1">
      <alignment horizontal="right" vertical="center"/>
      <protection locked="0"/>
    </xf>
    <xf numFmtId="2" fontId="25" fillId="11" borderId="25" xfId="58" applyNumberFormat="1" applyFont="1" applyFill="1" applyBorder="1" applyAlignment="1" applyProtection="1">
      <alignment horizontal="right" vertical="center"/>
    </xf>
    <xf numFmtId="199" fontId="25" fillId="0" borderId="8" xfId="58" applyNumberFormat="1" applyFont="1" applyFill="1" applyBorder="1" applyAlignment="1" applyProtection="1">
      <alignment vertical="center"/>
    </xf>
    <xf numFmtId="199" fontId="25" fillId="10" borderId="10" xfId="58" applyNumberFormat="1" applyFont="1" applyFill="1" applyBorder="1" applyAlignment="1" applyProtection="1">
      <alignment horizontal="right" vertical="center"/>
      <protection locked="0"/>
    </xf>
    <xf numFmtId="199" fontId="25" fillId="11" borderId="25" xfId="58" applyNumberFormat="1" applyFont="1" applyFill="1" applyBorder="1" applyAlignment="1" applyProtection="1">
      <alignment horizontal="right" vertical="center"/>
    </xf>
    <xf numFmtId="199" fontId="25" fillId="10" borderId="11" xfId="58" applyNumberFormat="1" applyFont="1" applyFill="1" applyBorder="1" applyAlignment="1" applyProtection="1">
      <alignment horizontal="right" vertical="center"/>
    </xf>
    <xf numFmtId="199" fontId="25" fillId="10" borderId="11" xfId="58" applyNumberFormat="1" applyFont="1" applyFill="1" applyBorder="1" applyAlignment="1" applyProtection="1">
      <alignment horizontal="right" vertical="center"/>
      <protection locked="0"/>
    </xf>
    <xf numFmtId="199" fontId="25" fillId="10" borderId="5" xfId="58" applyNumberFormat="1" applyFont="1" applyFill="1" applyBorder="1" applyAlignment="1" applyProtection="1">
      <alignment horizontal="right" vertical="center"/>
      <protection locked="0"/>
    </xf>
    <xf numFmtId="9" fontId="25" fillId="0" borderId="11" xfId="58" quotePrefix="1" applyNumberFormat="1" applyFont="1" applyFill="1" applyBorder="1" applyAlignment="1" applyProtection="1">
      <alignment horizontal="left" vertical="center" indent="1"/>
      <protection locked="0"/>
    </xf>
    <xf numFmtId="0" fontId="41" fillId="0" borderId="0" xfId="58" applyNumberFormat="1" applyFont="1" applyFill="1" applyBorder="1" applyAlignment="1" applyProtection="1">
      <alignment horizontal="left" vertical="center" indent="1"/>
    </xf>
    <xf numFmtId="0" fontId="25" fillId="21" borderId="25" xfId="58" applyFont="1" applyFill="1" applyBorder="1" applyAlignment="1" applyProtection="1">
      <alignment vertical="center"/>
    </xf>
    <xf numFmtId="0" fontId="25" fillId="21" borderId="40" xfId="58" applyFont="1" applyFill="1" applyBorder="1" applyAlignment="1" applyProtection="1">
      <alignment vertical="center"/>
    </xf>
    <xf numFmtId="2" fontId="25" fillId="14" borderId="49" xfId="58" applyNumberFormat="1" applyFont="1" applyFill="1" applyBorder="1" applyAlignment="1" applyProtection="1">
      <alignment vertical="center"/>
    </xf>
    <xf numFmtId="2" fontId="25" fillId="14" borderId="50" xfId="58" applyNumberFormat="1" applyFont="1" applyFill="1" applyBorder="1" applyAlignment="1" applyProtection="1">
      <alignment vertical="center"/>
    </xf>
    <xf numFmtId="2" fontId="25" fillId="14" borderId="11" xfId="58" applyNumberFormat="1" applyFont="1" applyFill="1" applyBorder="1" applyAlignment="1" applyProtection="1">
      <alignment vertical="center"/>
    </xf>
    <xf numFmtId="2" fontId="25" fillId="14" borderId="54" xfId="58" applyNumberFormat="1" applyFont="1" applyFill="1" applyBorder="1" applyAlignment="1" applyProtection="1">
      <alignment vertical="center"/>
    </xf>
    <xf numFmtId="0" fontId="25" fillId="21" borderId="14" xfId="58" applyFont="1" applyFill="1" applyBorder="1" applyAlignment="1" applyProtection="1">
      <alignment vertical="center"/>
    </xf>
    <xf numFmtId="2" fontId="25" fillId="14" borderId="27" xfId="58" applyNumberFormat="1" applyFont="1" applyFill="1" applyBorder="1" applyAlignment="1" applyProtection="1">
      <alignment vertical="center"/>
    </xf>
    <xf numFmtId="2" fontId="25" fillId="14" borderId="12" xfId="58" applyNumberFormat="1" applyFont="1" applyFill="1" applyBorder="1" applyAlignment="1" applyProtection="1">
      <alignment vertical="center"/>
    </xf>
    <xf numFmtId="2" fontId="25" fillId="14" borderId="55" xfId="58" applyNumberFormat="1" applyFont="1" applyFill="1" applyBorder="1" applyAlignment="1" applyProtection="1">
      <alignment vertical="center"/>
    </xf>
    <xf numFmtId="0" fontId="25" fillId="21" borderId="56" xfId="58" applyFont="1" applyFill="1" applyBorder="1" applyAlignment="1" applyProtection="1">
      <alignment vertical="center"/>
    </xf>
    <xf numFmtId="0" fontId="25" fillId="21" borderId="57" xfId="58" applyFont="1" applyFill="1" applyBorder="1" applyAlignment="1" applyProtection="1">
      <alignment vertical="center"/>
    </xf>
    <xf numFmtId="0" fontId="25" fillId="21" borderId="58" xfId="58" applyFont="1" applyFill="1" applyBorder="1" applyAlignment="1" applyProtection="1">
      <alignment vertical="center"/>
    </xf>
    <xf numFmtId="201" fontId="25" fillId="14" borderId="49" xfId="58" applyNumberFormat="1" applyFont="1" applyFill="1" applyBorder="1" applyAlignment="1" applyProtection="1">
      <alignment vertical="center"/>
    </xf>
    <xf numFmtId="201" fontId="25" fillId="14" borderId="11" xfId="58" applyNumberFormat="1" applyFont="1" applyFill="1" applyBorder="1" applyAlignment="1" applyProtection="1">
      <alignment vertical="center"/>
    </xf>
    <xf numFmtId="201" fontId="25" fillId="14" borderId="54" xfId="58" applyNumberFormat="1" applyFont="1" applyFill="1" applyBorder="1" applyAlignment="1" applyProtection="1">
      <alignment vertical="center"/>
    </xf>
    <xf numFmtId="201" fontId="25" fillId="14" borderId="51" xfId="58" applyNumberFormat="1" applyFont="1" applyFill="1" applyBorder="1" applyAlignment="1" applyProtection="1">
      <alignment vertical="center"/>
    </xf>
    <xf numFmtId="201" fontId="25" fillId="14" borderId="52" xfId="58" applyNumberFormat="1" applyFont="1" applyFill="1" applyBorder="1" applyAlignment="1" applyProtection="1">
      <alignment vertical="center"/>
    </xf>
    <xf numFmtId="201" fontId="25" fillId="14" borderId="12" xfId="58" applyNumberFormat="1" applyFont="1" applyFill="1" applyBorder="1" applyAlignment="1" applyProtection="1">
      <alignment vertical="center"/>
    </xf>
    <xf numFmtId="201" fontId="25" fillId="14" borderId="55" xfId="58" applyNumberFormat="1" applyFont="1" applyFill="1" applyBorder="1" applyAlignment="1" applyProtection="1">
      <alignment vertical="center"/>
    </xf>
    <xf numFmtId="2" fontId="25" fillId="14" borderId="33" xfId="58" applyNumberFormat="1" applyFont="1" applyFill="1" applyBorder="1" applyAlignment="1" applyProtection="1">
      <alignment vertical="center"/>
    </xf>
    <xf numFmtId="2" fontId="25" fillId="14" borderId="31" xfId="58" applyNumberFormat="1" applyFont="1" applyFill="1" applyBorder="1" applyAlignment="1" applyProtection="1">
      <alignment vertical="center"/>
    </xf>
    <xf numFmtId="0" fontId="25" fillId="21" borderId="43" xfId="58" applyFont="1" applyFill="1" applyBorder="1" applyAlignment="1" applyProtection="1">
      <alignment vertical="center"/>
    </xf>
    <xf numFmtId="0" fontId="25" fillId="21" borderId="45" xfId="58" applyFont="1" applyFill="1" applyBorder="1" applyAlignment="1" applyProtection="1">
      <alignment vertical="center"/>
    </xf>
    <xf numFmtId="0" fontId="25" fillId="21" borderId="29" xfId="58" applyFont="1" applyFill="1" applyBorder="1" applyAlignment="1" applyProtection="1">
      <alignment vertical="center"/>
    </xf>
    <xf numFmtId="0" fontId="42" fillId="0" borderId="11" xfId="58" applyNumberFormat="1" applyFont="1" applyFill="1" applyBorder="1" applyAlignment="1" applyProtection="1">
      <alignment horizontal="left" vertical="center" indent="1"/>
      <protection locked="0"/>
    </xf>
    <xf numFmtId="196" fontId="42" fillId="0" borderId="11" xfId="58" applyNumberFormat="1" applyFont="1" applyFill="1" applyBorder="1" applyAlignment="1" applyProtection="1">
      <alignment horizontal="left" vertical="center" indent="1"/>
      <protection locked="0"/>
    </xf>
    <xf numFmtId="0" fontId="42" fillId="0" borderId="11" xfId="58" quotePrefix="1" applyNumberFormat="1" applyFont="1" applyFill="1" applyBorder="1" applyAlignment="1" applyProtection="1">
      <alignment horizontal="left" vertical="center" indent="1"/>
      <protection locked="0"/>
    </xf>
    <xf numFmtId="195" fontId="42" fillId="10" borderId="0" xfId="58" applyNumberFormat="1" applyFont="1" applyFill="1" applyBorder="1" applyAlignment="1" applyProtection="1">
      <alignment horizontal="right" vertical="center"/>
      <protection locked="0"/>
    </xf>
    <xf numFmtId="0" fontId="26" fillId="0" borderId="16" xfId="58" applyNumberFormat="1" applyFont="1" applyFill="1" applyBorder="1" applyAlignment="1" applyProtection="1">
      <alignment horizontal="left" vertical="center" indent="1"/>
    </xf>
    <xf numFmtId="0" fontId="26" fillId="0" borderId="20" xfId="58" applyNumberFormat="1" applyFont="1" applyFill="1" applyBorder="1" applyAlignment="1" applyProtection="1">
      <alignment horizontal="left" vertical="center" indent="1"/>
    </xf>
    <xf numFmtId="2" fontId="25" fillId="0" borderId="21" xfId="58" applyNumberFormat="1" applyFont="1" applyFill="1" applyBorder="1" applyAlignment="1" applyProtection="1">
      <alignment horizontal="center" vertical="center"/>
    </xf>
    <xf numFmtId="2" fontId="35" fillId="15" borderId="22" xfId="58" applyNumberFormat="1" applyFont="1" applyFill="1" applyBorder="1" applyAlignment="1" applyProtection="1">
      <alignment horizontal="center" vertical="center"/>
    </xf>
    <xf numFmtId="2" fontId="25" fillId="0" borderId="16" xfId="58" applyNumberFormat="1" applyFont="1" applyFill="1" applyBorder="1" applyAlignment="1" applyProtection="1">
      <alignment horizontal="center" vertical="center"/>
    </xf>
    <xf numFmtId="2" fontId="35" fillId="0" borderId="21" xfId="58" applyNumberFormat="1" applyFont="1" applyFill="1" applyBorder="1" applyAlignment="1" applyProtection="1">
      <alignment horizontal="center" vertical="center"/>
    </xf>
    <xf numFmtId="2" fontId="25" fillId="15" borderId="22" xfId="58" applyNumberFormat="1" applyFont="1" applyFill="1" applyBorder="1" applyAlignment="1" applyProtection="1">
      <alignment horizontal="center" vertical="center"/>
    </xf>
    <xf numFmtId="0" fontId="25" fillId="0" borderId="0" xfId="58" applyNumberFormat="1" applyFont="1" applyFill="1" applyBorder="1" applyAlignment="1" applyProtection="1">
      <alignment horizontal="right" vertical="center" indent="1"/>
    </xf>
    <xf numFmtId="0" fontId="25" fillId="0" borderId="16" xfId="58" applyNumberFormat="1" applyFont="1" applyFill="1" applyBorder="1" applyAlignment="1" applyProtection="1">
      <alignment horizontal="left" vertical="center" indent="1"/>
    </xf>
    <xf numFmtId="0" fontId="25" fillId="0" borderId="5" xfId="58" applyNumberFormat="1" applyFont="1" applyFill="1" applyBorder="1" applyAlignment="1" applyProtection="1">
      <alignment horizontal="left" vertical="center" indent="1"/>
    </xf>
    <xf numFmtId="0" fontId="25" fillId="0" borderId="21" xfId="58" applyNumberFormat="1" applyFont="1" applyFill="1" applyBorder="1" applyAlignment="1" applyProtection="1">
      <alignment horizontal="left" vertical="center" indent="1"/>
    </xf>
    <xf numFmtId="0" fontId="25" fillId="0" borderId="20" xfId="58" applyNumberFormat="1" applyFont="1" applyFill="1" applyBorder="1" applyAlignment="1" applyProtection="1">
      <alignment horizontal="left" vertical="center" indent="1"/>
    </xf>
    <xf numFmtId="0" fontId="26" fillId="0" borderId="22" xfId="58" applyNumberFormat="1" applyFont="1" applyFill="1" applyBorder="1" applyAlignment="1" applyProtection="1">
      <alignment horizontal="left" vertical="center" indent="1"/>
    </xf>
    <xf numFmtId="2" fontId="25" fillId="0" borderId="8" xfId="58" applyNumberFormat="1" applyFont="1" applyFill="1" applyBorder="1" applyAlignment="1" applyProtection="1">
      <alignment horizontal="center" vertical="center"/>
    </xf>
    <xf numFmtId="2" fontId="25" fillId="10" borderId="0" xfId="58" applyNumberFormat="1" applyFont="1" applyFill="1" applyBorder="1" applyAlignment="1" applyProtection="1">
      <alignment horizontal="center" vertical="center"/>
    </xf>
    <xf numFmtId="2" fontId="25" fillId="14" borderId="10" xfId="58" applyNumberFormat="1" applyFont="1" applyFill="1" applyBorder="1" applyAlignment="1" applyProtection="1">
      <alignment horizontal="center" vertical="center"/>
    </xf>
    <xf numFmtId="2" fontId="25" fillId="14" borderId="20" xfId="58" applyNumberFormat="1" applyFont="1" applyFill="1" applyBorder="1" applyAlignment="1" applyProtection="1">
      <alignment horizontal="center" vertical="center"/>
    </xf>
    <xf numFmtId="1" fontId="25" fillId="10" borderId="0" xfId="58" applyNumberFormat="1" applyFont="1" applyFill="1" applyBorder="1" applyAlignment="1" applyProtection="1">
      <alignment horizontal="center" vertical="center"/>
    </xf>
    <xf numFmtId="2" fontId="35" fillId="0" borderId="0" xfId="58" applyNumberFormat="1" applyFont="1" applyFill="1" applyBorder="1" applyAlignment="1" applyProtection="1">
      <alignment horizontal="center" vertical="center"/>
    </xf>
    <xf numFmtId="2" fontId="35" fillId="14" borderId="16" xfId="58" applyNumberFormat="1" applyFont="1" applyFill="1" applyBorder="1" applyAlignment="1" applyProtection="1">
      <alignment horizontal="center" vertical="center"/>
    </xf>
    <xf numFmtId="2" fontId="35" fillId="14" borderId="8" xfId="58" applyNumberFormat="1" applyFont="1" applyFill="1" applyBorder="1" applyAlignment="1" applyProtection="1">
      <alignment horizontal="center" vertical="center"/>
    </xf>
    <xf numFmtId="2" fontId="35" fillId="14" borderId="21" xfId="58" applyNumberFormat="1" applyFont="1" applyFill="1" applyBorder="1" applyAlignment="1" applyProtection="1">
      <alignment horizontal="center" vertical="center"/>
    </xf>
    <xf numFmtId="2" fontId="35" fillId="14" borderId="0" xfId="58" applyNumberFormat="1" applyFont="1" applyFill="1" applyBorder="1" applyAlignment="1" applyProtection="1">
      <alignment horizontal="center" vertical="center"/>
    </xf>
    <xf numFmtId="2" fontId="35" fillId="14" borderId="20" xfId="58" applyNumberFormat="1" applyFont="1" applyFill="1" applyBorder="1" applyAlignment="1" applyProtection="1">
      <alignment horizontal="center" vertical="center"/>
    </xf>
    <xf numFmtId="2" fontId="35" fillId="14" borderId="10" xfId="58" applyNumberFormat="1" applyFont="1" applyFill="1" applyBorder="1" applyAlignment="1" applyProtection="1">
      <alignment horizontal="center" vertical="center"/>
    </xf>
    <xf numFmtId="2" fontId="35" fillId="15" borderId="23" xfId="58" applyNumberFormat="1" applyFont="1" applyFill="1" applyBorder="1" applyAlignment="1" applyProtection="1">
      <alignment horizontal="center" vertical="center"/>
    </xf>
    <xf numFmtId="0" fontId="25" fillId="0" borderId="21" xfId="58" applyNumberFormat="1" applyFont="1" applyFill="1" applyBorder="1" applyAlignment="1" applyProtection="1">
      <alignment horizontal="right" vertical="center" indent="1"/>
    </xf>
    <xf numFmtId="0" fontId="25" fillId="0" borderId="17" xfId="58" applyNumberFormat="1" applyFont="1" applyFill="1" applyBorder="1" applyAlignment="1" applyProtection="1">
      <alignment horizontal="left" vertical="center" indent="1"/>
    </xf>
    <xf numFmtId="0" fontId="26" fillId="0" borderId="0" xfId="58" applyNumberFormat="1" applyFont="1" applyFill="1" applyBorder="1" applyAlignment="1" applyProtection="1">
      <alignment horizontal="left" vertical="center" indent="1"/>
    </xf>
    <xf numFmtId="2" fontId="25" fillId="14" borderId="8" xfId="58" applyNumberFormat="1" applyFont="1" applyFill="1" applyBorder="1" applyAlignment="1" applyProtection="1">
      <alignment horizontal="center" vertical="center"/>
    </xf>
    <xf numFmtId="2" fontId="25" fillId="14" borderId="18" xfId="58" applyNumberFormat="1" applyFont="1" applyFill="1" applyBorder="1" applyAlignment="1" applyProtection="1">
      <alignment horizontal="center" vertical="center"/>
    </xf>
    <xf numFmtId="2" fontId="25" fillId="15" borderId="23" xfId="58" applyNumberFormat="1" applyFont="1" applyFill="1" applyBorder="1" applyAlignment="1" applyProtection="1">
      <alignment horizontal="center" vertical="center"/>
    </xf>
    <xf numFmtId="2" fontId="25" fillId="15" borderId="24" xfId="58" applyNumberFormat="1" applyFont="1" applyFill="1" applyBorder="1" applyAlignment="1" applyProtection="1">
      <alignment horizontal="center" vertical="center"/>
    </xf>
    <xf numFmtId="2" fontId="25" fillId="14" borderId="16" xfId="58" applyNumberFormat="1" applyFont="1" applyFill="1" applyBorder="1" applyAlignment="1" applyProtection="1">
      <alignment horizontal="center" vertical="center"/>
    </xf>
    <xf numFmtId="195" fontId="25" fillId="10" borderId="0" xfId="58" applyNumberFormat="1" applyFont="1" applyFill="1" applyBorder="1" applyAlignment="1" applyProtection="1">
      <alignment horizontal="right" vertical="center"/>
    </xf>
    <xf numFmtId="196" fontId="25" fillId="0" borderId="11" xfId="58" applyNumberFormat="1" applyFont="1" applyFill="1" applyBorder="1" applyAlignment="1" applyProtection="1">
      <alignment horizontal="left" vertical="center" indent="1"/>
    </xf>
    <xf numFmtId="0" fontId="25" fillId="0" borderId="0" xfId="58" applyNumberFormat="1" applyFont="1" applyFill="1" applyBorder="1" applyAlignment="1" applyProtection="1">
      <alignment horizontal="center" vertical="center"/>
    </xf>
    <xf numFmtId="2" fontId="25" fillId="0" borderId="0" xfId="58" applyNumberFormat="1" applyFont="1" applyFill="1" applyBorder="1" applyAlignment="1" applyProtection="1">
      <alignment horizontal="center" vertical="center"/>
    </xf>
    <xf numFmtId="2" fontId="25" fillId="14" borderId="0" xfId="58" applyNumberFormat="1" applyFont="1" applyFill="1" applyBorder="1" applyAlignment="1" applyProtection="1">
      <alignment horizontal="center" vertical="center"/>
    </xf>
    <xf numFmtId="2" fontId="25" fillId="14" borderId="12" xfId="58" applyNumberFormat="1" applyFont="1" applyFill="1" applyBorder="1" applyAlignment="1" applyProtection="1">
      <alignment horizontal="center" vertical="center"/>
    </xf>
    <xf numFmtId="2" fontId="25" fillId="14" borderId="21" xfId="58" applyNumberFormat="1" applyFont="1" applyFill="1" applyBorder="1" applyAlignment="1" applyProtection="1">
      <alignment horizontal="center" vertical="center"/>
    </xf>
    <xf numFmtId="199" fontId="25" fillId="0" borderId="0" xfId="58" applyNumberFormat="1" applyFont="1" applyFill="1" applyBorder="1" applyAlignment="1" applyProtection="1">
      <alignment horizontal="right" vertical="center" indent="1"/>
    </xf>
    <xf numFmtId="199" fontId="25" fillId="14" borderId="0" xfId="58" applyNumberFormat="1" applyFont="1" applyFill="1" applyBorder="1" applyAlignment="1" applyProtection="1">
      <alignment horizontal="center" vertical="center"/>
    </xf>
    <xf numFmtId="199" fontId="25" fillId="14" borderId="21" xfId="58" applyNumberFormat="1" applyFont="1" applyFill="1" applyBorder="1" applyAlignment="1" applyProtection="1">
      <alignment horizontal="center" vertical="center"/>
    </xf>
    <xf numFmtId="195" fontId="25" fillId="0" borderId="11" xfId="58" quotePrefix="1" applyNumberFormat="1" applyFont="1" applyFill="1" applyBorder="1" applyAlignment="1" applyProtection="1">
      <alignment horizontal="left" vertical="center" indent="1"/>
    </xf>
    <xf numFmtId="202" fontId="25" fillId="11" borderId="13" xfId="58" applyNumberFormat="1" applyFont="1" applyFill="1" applyBorder="1" applyAlignment="1" applyProtection="1">
      <alignment horizontal="right" vertical="center"/>
    </xf>
    <xf numFmtId="0" fontId="38" fillId="0" borderId="0" xfId="58" applyNumberFormat="1" applyFont="1" applyFill="1" applyBorder="1" applyAlignment="1" applyProtection="1">
      <alignment horizontal="left" vertical="center" wrapText="1" indent="1"/>
    </xf>
    <xf numFmtId="196" fontId="25" fillId="0" borderId="11" xfId="58" quotePrefix="1" applyNumberFormat="1" applyFont="1" applyFill="1" applyBorder="1" applyAlignment="1" applyProtection="1">
      <alignment horizontal="left" vertical="center" indent="1"/>
    </xf>
    <xf numFmtId="166" fontId="25" fillId="10" borderId="0" xfId="58" applyNumberFormat="1" applyFont="1" applyFill="1" applyBorder="1" applyAlignment="1" applyProtection="1">
      <alignment horizontal="right" vertical="center"/>
    </xf>
    <xf numFmtId="166" fontId="25" fillId="10" borderId="0" xfId="58" applyNumberFormat="1" applyFont="1" applyFill="1" applyBorder="1" applyAlignment="1" applyProtection="1">
      <alignment horizontal="right" vertical="center"/>
      <protection locked="0"/>
    </xf>
    <xf numFmtId="166" fontId="25" fillId="10" borderId="10" xfId="58" applyNumberFormat="1" applyFont="1" applyFill="1" applyBorder="1" applyAlignment="1" applyProtection="1">
      <alignment horizontal="right" vertical="center"/>
      <protection locked="0"/>
    </xf>
    <xf numFmtId="0" fontId="41" fillId="0" borderId="0" xfId="58" applyNumberFormat="1" applyFont="1" applyFill="1" applyBorder="1" applyAlignment="1" applyProtection="1">
      <alignment horizontal="left" vertical="center" wrapText="1" indent="1"/>
    </xf>
    <xf numFmtId="2" fontId="25" fillId="27" borderId="23" xfId="58" applyNumberFormat="1" applyFont="1" applyFill="1" applyBorder="1" applyAlignment="1" applyProtection="1">
      <alignment horizontal="center" vertical="center"/>
    </xf>
    <xf numFmtId="1" fontId="25" fillId="0" borderId="0" xfId="58" applyNumberFormat="1" applyFont="1" applyFill="1" applyBorder="1" applyAlignment="1" applyProtection="1">
      <alignment horizontal="right" vertical="center" indent="1"/>
    </xf>
    <xf numFmtId="2" fontId="25" fillId="0" borderId="21" xfId="58" applyNumberFormat="1" applyFont="1" applyFill="1" applyBorder="1" applyAlignment="1" applyProtection="1">
      <alignment horizontal="left" vertical="center"/>
    </xf>
    <xf numFmtId="2" fontId="25" fillId="0" borderId="12" xfId="58" applyNumberFormat="1" applyFont="1" applyFill="1" applyBorder="1" applyAlignment="1" applyProtection="1">
      <alignment horizontal="center" vertical="center"/>
    </xf>
    <xf numFmtId="2" fontId="25" fillId="0" borderId="18" xfId="58" applyNumberFormat="1" applyFont="1" applyFill="1" applyBorder="1" applyAlignment="1" applyProtection="1">
      <alignment horizontal="center" vertical="center"/>
    </xf>
    <xf numFmtId="2" fontId="25" fillId="27" borderId="24" xfId="58" applyNumberFormat="1" applyFont="1" applyFill="1" applyBorder="1" applyAlignment="1" applyProtection="1">
      <alignment horizontal="center" vertical="center"/>
    </xf>
    <xf numFmtId="2" fontId="35" fillId="0" borderId="12" xfId="58" applyNumberFormat="1" applyFont="1" applyFill="1" applyBorder="1" applyAlignment="1" applyProtection="1">
      <alignment horizontal="center" vertical="center"/>
    </xf>
    <xf numFmtId="195" fontId="25" fillId="0" borderId="21" xfId="58" applyNumberFormat="1" applyFont="1" applyFill="1" applyBorder="1" applyAlignment="1" applyProtection="1">
      <alignment horizontal="left" vertical="center" wrapText="1"/>
    </xf>
    <xf numFmtId="199" fontId="25" fillId="0" borderId="21" xfId="58" applyNumberFormat="1" applyFont="1" applyFill="1" applyBorder="1" applyAlignment="1" applyProtection="1">
      <alignment horizontal="center" vertical="center"/>
    </xf>
    <xf numFmtId="199" fontId="25" fillId="0" borderId="0" xfId="58" applyNumberFormat="1" applyFont="1" applyFill="1" applyBorder="1" applyAlignment="1" applyProtection="1">
      <alignment horizontal="center" vertical="center"/>
    </xf>
    <xf numFmtId="198" fontId="26" fillId="0" borderId="0" xfId="58" applyNumberFormat="1" applyFont="1" applyFill="1" applyBorder="1" applyAlignment="1" applyProtection="1">
      <alignment horizontal="right" vertical="center"/>
    </xf>
    <xf numFmtId="199" fontId="25" fillId="0" borderId="12" xfId="58" applyNumberFormat="1" applyFont="1" applyFill="1" applyBorder="1" applyAlignment="1" applyProtection="1">
      <alignment horizontal="center" vertical="center"/>
    </xf>
    <xf numFmtId="0" fontId="25" fillId="20" borderId="0" xfId="58" applyFont="1" applyFill="1" applyBorder="1" applyAlignment="1" applyProtection="1">
      <alignment horizontal="center" vertical="center" wrapText="1"/>
    </xf>
    <xf numFmtId="0" fontId="26" fillId="0" borderId="0" xfId="58" applyNumberFormat="1" applyFont="1" applyFill="1" applyBorder="1" applyAlignment="1" applyProtection="1">
      <alignment horizontal="left" vertical="center" wrapText="1"/>
    </xf>
    <xf numFmtId="2" fontId="26" fillId="0" borderId="0" xfId="58" applyNumberFormat="1" applyFont="1" applyFill="1" applyBorder="1" applyAlignment="1" applyProtection="1">
      <alignment horizontal="right" vertical="center" indent="1"/>
    </xf>
    <xf numFmtId="0" fontId="45" fillId="0" borderId="0" xfId="58" applyNumberFormat="1" applyFont="1" applyFill="1" applyBorder="1" applyAlignment="1" applyProtection="1">
      <alignment horizontal="left" vertical="center" indent="1"/>
    </xf>
    <xf numFmtId="0" fontId="45" fillId="0" borderId="0" xfId="58" applyNumberFormat="1" applyFont="1" applyFill="1" applyBorder="1" applyAlignment="1" applyProtection="1">
      <alignment horizontal="left" vertical="center" wrapText="1"/>
    </xf>
    <xf numFmtId="0" fontId="45" fillId="0" borderId="0" xfId="58" applyNumberFormat="1" applyFont="1" applyFill="1" applyBorder="1" applyAlignment="1" applyProtection="1">
      <alignment horizontal="right" vertical="center" indent="1"/>
    </xf>
    <xf numFmtId="0" fontId="45" fillId="0" borderId="0" xfId="58" applyNumberFormat="1" applyFont="1" applyFill="1" applyBorder="1" applyAlignment="1" applyProtection="1">
      <alignment vertical="center"/>
    </xf>
    <xf numFmtId="199" fontId="25" fillId="14" borderId="18" xfId="58" applyNumberFormat="1" applyFont="1" applyFill="1" applyBorder="1" applyAlignment="1" applyProtection="1">
      <alignment horizontal="center" vertical="center"/>
    </xf>
    <xf numFmtId="199" fontId="25" fillId="14" borderId="12" xfId="58" applyNumberFormat="1" applyFont="1" applyFill="1" applyBorder="1" applyAlignment="1" applyProtection="1">
      <alignment horizontal="center" vertical="center"/>
    </xf>
    <xf numFmtId="199" fontId="25" fillId="14" borderId="19" xfId="58" applyNumberFormat="1" applyFont="1" applyFill="1" applyBorder="1" applyAlignment="1" applyProtection="1">
      <alignment horizontal="center" vertical="center"/>
    </xf>
    <xf numFmtId="199" fontId="25" fillId="14" borderId="17" xfId="58" applyNumberFormat="1" applyFont="1" applyFill="1" applyBorder="1" applyAlignment="1" applyProtection="1">
      <alignment horizontal="center" vertical="center"/>
    </xf>
    <xf numFmtId="199" fontId="25" fillId="14" borderId="11" xfId="58" applyNumberFormat="1" applyFont="1" applyFill="1" applyBorder="1" applyAlignment="1" applyProtection="1">
      <alignment horizontal="center" vertical="center"/>
    </xf>
    <xf numFmtId="199" fontId="25" fillId="14" borderId="5" xfId="58" applyNumberFormat="1" applyFont="1" applyFill="1" applyBorder="1" applyAlignment="1" applyProtection="1">
      <alignment horizontal="center" vertical="center"/>
    </xf>
    <xf numFmtId="199" fontId="25" fillId="26" borderId="18" xfId="58" applyNumberFormat="1" applyFont="1" applyFill="1" applyBorder="1" applyAlignment="1" applyProtection="1">
      <alignment horizontal="center" vertical="center"/>
    </xf>
    <xf numFmtId="199" fontId="25" fillId="26" borderId="12" xfId="58" applyNumberFormat="1" applyFont="1" applyFill="1" applyBorder="1" applyAlignment="1" applyProtection="1">
      <alignment horizontal="center" vertical="center"/>
    </xf>
    <xf numFmtId="199" fontId="25" fillId="26" borderId="20" xfId="58" applyNumberFormat="1" applyFont="1" applyFill="1" applyBorder="1" applyAlignment="1" applyProtection="1">
      <alignment horizontal="center" vertical="center"/>
    </xf>
    <xf numFmtId="199" fontId="25" fillId="26" borderId="19" xfId="58" applyNumberFormat="1" applyFont="1" applyFill="1" applyBorder="1" applyAlignment="1" applyProtection="1">
      <alignment horizontal="center" vertical="center"/>
    </xf>
    <xf numFmtId="199" fontId="25" fillId="26" borderId="10" xfId="58" applyNumberFormat="1" applyFont="1" applyFill="1" applyBorder="1" applyAlignment="1" applyProtection="1">
      <alignment horizontal="center" vertical="center"/>
    </xf>
    <xf numFmtId="2" fontId="25" fillId="14" borderId="17" xfId="58" applyNumberFormat="1" applyFont="1" applyFill="1" applyBorder="1" applyAlignment="1" applyProtection="1">
      <alignment horizontal="center" vertical="center"/>
    </xf>
    <xf numFmtId="2" fontId="25" fillId="14" borderId="11" xfId="58" applyNumberFormat="1" applyFont="1" applyFill="1" applyBorder="1" applyAlignment="1" applyProtection="1">
      <alignment horizontal="center" vertical="center"/>
    </xf>
    <xf numFmtId="2" fontId="26" fillId="14" borderId="22" xfId="58" applyNumberFormat="1" applyFont="1" applyFill="1" applyBorder="1" applyAlignment="1" applyProtection="1">
      <alignment horizontal="center" vertical="center"/>
    </xf>
    <xf numFmtId="2" fontId="26" fillId="14" borderId="23" xfId="58" applyNumberFormat="1" applyFont="1" applyFill="1" applyBorder="1" applyAlignment="1" applyProtection="1">
      <alignment horizontal="center" vertical="center"/>
    </xf>
    <xf numFmtId="2" fontId="26" fillId="14" borderId="1" xfId="58" applyNumberFormat="1" applyFont="1" applyFill="1" applyBorder="1" applyAlignment="1" applyProtection="1">
      <alignment horizontal="center" vertical="center"/>
    </xf>
    <xf numFmtId="2" fontId="26" fillId="14" borderId="24" xfId="58" applyNumberFormat="1" applyFont="1" applyFill="1" applyBorder="1" applyAlignment="1" applyProtection="1">
      <alignment horizontal="center" vertical="center"/>
    </xf>
    <xf numFmtId="2" fontId="34" fillId="0" borderId="0" xfId="58" applyNumberFormat="1" applyFont="1" applyFill="1" applyBorder="1" applyAlignment="1" applyProtection="1">
      <alignment horizontal="center" vertical="center"/>
    </xf>
    <xf numFmtId="199" fontId="34" fillId="0" borderId="0" xfId="58" applyNumberFormat="1" applyFont="1" applyFill="1" applyBorder="1" applyAlignment="1" applyProtection="1">
      <alignment horizontal="center" vertical="center"/>
    </xf>
    <xf numFmtId="166" fontId="25" fillId="0" borderId="0" xfId="58" applyNumberFormat="1" applyFont="1" applyFill="1" applyBorder="1" applyAlignment="1" applyProtection="1">
      <alignment horizontal="right" vertical="center"/>
    </xf>
    <xf numFmtId="0" fontId="26" fillId="20" borderId="0" xfId="58" applyFont="1" applyFill="1" applyBorder="1" applyAlignment="1" applyProtection="1">
      <alignment horizontal="center" vertical="center" wrapText="1"/>
    </xf>
    <xf numFmtId="0" fontId="26" fillId="21" borderId="25" xfId="58" applyFont="1" applyFill="1" applyBorder="1" applyAlignment="1" applyProtection="1">
      <alignment vertical="center"/>
    </xf>
    <xf numFmtId="0" fontId="26" fillId="21" borderId="40" xfId="58" applyFont="1" applyFill="1" applyBorder="1" applyAlignment="1" applyProtection="1">
      <alignment vertical="center"/>
    </xf>
    <xf numFmtId="0" fontId="25" fillId="14" borderId="4" xfId="58" applyFont="1" applyFill="1" applyBorder="1" applyAlignment="1" applyProtection="1">
      <alignment horizontal="left" vertical="center" wrapText="1"/>
    </xf>
    <xf numFmtId="0" fontId="25" fillId="14" borderId="48" xfId="58" applyFont="1" applyFill="1" applyBorder="1" applyAlignment="1" applyProtection="1">
      <alignment horizontal="center" vertical="center" wrapText="1"/>
    </xf>
    <xf numFmtId="0" fontId="25" fillId="14" borderId="32" xfId="58" applyFont="1" applyFill="1" applyBorder="1" applyAlignment="1" applyProtection="1">
      <alignment horizontal="center" vertical="center" wrapText="1"/>
    </xf>
    <xf numFmtId="0" fontId="25" fillId="14" borderId="39" xfId="58" applyFont="1" applyFill="1" applyBorder="1" applyAlignment="1" applyProtection="1">
      <alignment horizontal="center" vertical="center" wrapText="1"/>
    </xf>
    <xf numFmtId="0" fontId="25" fillId="21" borderId="59" xfId="58" applyFont="1" applyFill="1" applyBorder="1" applyAlignment="1" applyProtection="1">
      <alignment horizontal="left" vertical="center" indent="1"/>
    </xf>
    <xf numFmtId="0" fontId="25" fillId="21" borderId="44" xfId="58" applyFont="1" applyFill="1" applyBorder="1" applyAlignment="1" applyProtection="1">
      <alignment horizontal="left" vertical="center" wrapText="1" indent="1"/>
    </xf>
    <xf numFmtId="195" fontId="25" fillId="10" borderId="12" xfId="58" applyNumberFormat="1" applyFont="1" applyFill="1" applyBorder="1" applyAlignment="1" applyProtection="1">
      <alignment horizontal="right" vertical="center"/>
    </xf>
    <xf numFmtId="0" fontId="46" fillId="0" borderId="0" xfId="58" applyNumberFormat="1" applyFont="1" applyFill="1" applyBorder="1" applyAlignment="1" applyProtection="1">
      <alignment vertical="center"/>
    </xf>
    <xf numFmtId="0" fontId="47" fillId="0" borderId="17" xfId="58" applyNumberFormat="1" applyFont="1" applyFill="1" applyBorder="1" applyAlignment="1" applyProtection="1">
      <alignment horizontal="left" vertical="center" indent="1"/>
    </xf>
    <xf numFmtId="0" fontId="46" fillId="12" borderId="14" xfId="58" applyNumberFormat="1" applyFont="1" applyFill="1" applyBorder="1" applyAlignment="1" applyProtection="1">
      <alignment horizontal="left" vertical="center" indent="1"/>
    </xf>
    <xf numFmtId="196" fontId="46" fillId="11" borderId="14" xfId="58" applyNumberFormat="1" applyFont="1" applyFill="1" applyBorder="1" applyAlignment="1" applyProtection="1">
      <alignment horizontal="left" vertical="center" indent="1"/>
    </xf>
    <xf numFmtId="195" fontId="46" fillId="11" borderId="13" xfId="58" applyNumberFormat="1" applyFont="1" applyFill="1" applyBorder="1" applyAlignment="1" applyProtection="1">
      <alignment horizontal="right" vertical="center"/>
    </xf>
    <xf numFmtId="0" fontId="47" fillId="0" borderId="11" xfId="58" applyNumberFormat="1" applyFont="1" applyFill="1" applyBorder="1" applyAlignment="1" applyProtection="1">
      <alignment horizontal="left" vertical="center" indent="1"/>
    </xf>
    <xf numFmtId="197" fontId="46" fillId="11" borderId="13" xfId="58" applyNumberFormat="1" applyFont="1" applyFill="1" applyBorder="1" applyAlignment="1" applyProtection="1">
      <alignment horizontal="right" vertical="center"/>
    </xf>
    <xf numFmtId="2" fontId="10" fillId="14" borderId="8" xfId="58" applyNumberFormat="1" applyFont="1" applyFill="1" applyBorder="1" applyAlignment="1" applyProtection="1">
      <alignment horizontal="center" vertical="center"/>
    </xf>
    <xf numFmtId="2" fontId="10" fillId="14" borderId="18" xfId="58" applyNumberFormat="1" applyFont="1" applyFill="1" applyBorder="1" applyAlignment="1" applyProtection="1">
      <alignment horizontal="center" vertical="center"/>
    </xf>
    <xf numFmtId="2" fontId="10" fillId="14" borderId="0" xfId="58" applyNumberFormat="1" applyFont="1" applyFill="1" applyBorder="1" applyAlignment="1" applyProtection="1">
      <alignment horizontal="center" vertical="center"/>
    </xf>
    <xf numFmtId="2" fontId="10" fillId="14" borderId="12" xfId="58" applyNumberFormat="1" applyFont="1" applyFill="1" applyBorder="1" applyAlignment="1" applyProtection="1">
      <alignment horizontal="center" vertical="center"/>
    </xf>
    <xf numFmtId="2" fontId="10" fillId="14" borderId="10" xfId="58" applyNumberFormat="1" applyFont="1" applyFill="1" applyBorder="1" applyAlignment="1" applyProtection="1">
      <alignment horizontal="center" vertical="center"/>
    </xf>
    <xf numFmtId="2" fontId="10" fillId="14" borderId="19" xfId="58" applyNumberFormat="1" applyFont="1" applyFill="1" applyBorder="1" applyAlignment="1" applyProtection="1">
      <alignment horizontal="center" vertical="center"/>
    </xf>
    <xf numFmtId="2" fontId="25" fillId="14" borderId="4" xfId="58" applyNumberFormat="1" applyFont="1" applyFill="1" applyBorder="1" applyAlignment="1" applyProtection="1">
      <alignment horizontal="left" vertical="center"/>
    </xf>
    <xf numFmtId="0" fontId="25" fillId="14" borderId="32" xfId="58" applyFont="1" applyFill="1" applyBorder="1" applyAlignment="1" applyProtection="1">
      <alignment horizontal="left" vertical="center"/>
    </xf>
    <xf numFmtId="0" fontId="26" fillId="21" borderId="35" xfId="58" applyFont="1" applyFill="1" applyBorder="1" applyAlignment="1" applyProtection="1">
      <alignment horizontal="left" vertical="center" indent="1"/>
    </xf>
    <xf numFmtId="0" fontId="26" fillId="21" borderId="26" xfId="58" applyFont="1" applyFill="1" applyBorder="1" applyAlignment="1" applyProtection="1">
      <alignment horizontal="center" vertical="center"/>
    </xf>
    <xf numFmtId="0" fontId="25" fillId="14" borderId="1" xfId="58" applyFont="1" applyFill="1" applyBorder="1" applyAlignment="1" applyProtection="1">
      <alignment horizontal="center" vertical="center"/>
    </xf>
    <xf numFmtId="0" fontId="25" fillId="21" borderId="33" xfId="58" applyFont="1" applyFill="1" applyBorder="1" applyAlignment="1" applyProtection="1">
      <alignment horizontal="left" vertical="center" indent="1"/>
    </xf>
    <xf numFmtId="0" fontId="25" fillId="14" borderId="38" xfId="58" applyFont="1" applyFill="1" applyBorder="1" applyAlignment="1" applyProtection="1">
      <alignment horizontal="center" vertical="center"/>
    </xf>
    <xf numFmtId="0" fontId="25" fillId="21" borderId="2" xfId="58" applyFont="1" applyFill="1" applyBorder="1" applyAlignment="1" applyProtection="1">
      <alignment horizontal="left" vertical="center" wrapText="1" indent="1"/>
    </xf>
    <xf numFmtId="0" fontId="25" fillId="21" borderId="31" xfId="58" applyFont="1" applyFill="1" applyBorder="1" applyAlignment="1" applyProtection="1">
      <alignment horizontal="left" vertical="center" wrapText="1" indent="1"/>
    </xf>
    <xf numFmtId="0" fontId="25" fillId="14" borderId="9" xfId="58" applyFont="1" applyFill="1" applyBorder="1" applyAlignment="1" applyProtection="1">
      <alignment horizontal="center" vertical="center"/>
    </xf>
    <xf numFmtId="0" fontId="25" fillId="21" borderId="31" xfId="58" applyFont="1" applyFill="1" applyBorder="1" applyAlignment="1" applyProtection="1">
      <alignment horizontal="left" vertical="center" indent="1"/>
    </xf>
    <xf numFmtId="0" fontId="25" fillId="14" borderId="39" xfId="58" applyFont="1" applyFill="1" applyBorder="1" applyAlignment="1" applyProtection="1">
      <alignment horizontal="left" vertical="center"/>
    </xf>
    <xf numFmtId="0" fontId="25" fillId="14" borderId="39" xfId="58" applyFont="1" applyFill="1" applyBorder="1" applyAlignment="1" applyProtection="1">
      <alignment horizontal="left" vertical="center" wrapText="1"/>
    </xf>
    <xf numFmtId="201" fontId="25" fillId="14" borderId="0" xfId="58" applyNumberFormat="1" applyFont="1" applyFill="1" applyBorder="1" applyAlignment="1" applyProtection="1">
      <alignment vertical="center"/>
    </xf>
    <xf numFmtId="201" fontId="25" fillId="14" borderId="28" xfId="58" applyNumberFormat="1" applyFont="1" applyFill="1" applyBorder="1" applyAlignment="1" applyProtection="1">
      <alignment vertical="center"/>
    </xf>
    <xf numFmtId="201" fontId="25" fillId="14" borderId="36" xfId="58" applyNumberFormat="1" applyFont="1" applyFill="1" applyBorder="1" applyAlignment="1" applyProtection="1">
      <alignment vertical="center"/>
    </xf>
    <xf numFmtId="201" fontId="25" fillId="14" borderId="60" xfId="58" applyNumberFormat="1" applyFont="1" applyFill="1" applyBorder="1" applyAlignment="1" applyProtection="1">
      <alignment vertical="center"/>
    </xf>
    <xf numFmtId="201" fontId="25" fillId="14" borderId="61" xfId="58" applyNumberFormat="1" applyFont="1" applyFill="1" applyBorder="1" applyAlignment="1" applyProtection="1">
      <alignment vertical="center"/>
    </xf>
    <xf numFmtId="201" fontId="25" fillId="14" borderId="62" xfId="58" applyNumberFormat="1" applyFont="1" applyFill="1" applyBorder="1" applyAlignment="1" applyProtection="1">
      <alignment vertical="center"/>
    </xf>
    <xf numFmtId="4" fontId="25" fillId="13" borderId="22" xfId="58" applyNumberFormat="1" applyFont="1" applyFill="1" applyBorder="1" applyAlignment="1" applyProtection="1">
      <alignment horizontal="right" vertical="center"/>
    </xf>
    <xf numFmtId="9" fontId="25" fillId="0" borderId="11" xfId="94" quotePrefix="1" applyFont="1" applyFill="1" applyBorder="1" applyAlignment="1" applyProtection="1">
      <alignment horizontal="left" vertical="center" indent="1"/>
    </xf>
    <xf numFmtId="9" fontId="25" fillId="14" borderId="32" xfId="94" applyFont="1" applyFill="1" applyBorder="1" applyAlignment="1" applyProtection="1">
      <alignment horizontal="center" vertical="center" wrapText="1"/>
    </xf>
    <xf numFmtId="0" fontId="26" fillId="21" borderId="35" xfId="58" applyFont="1" applyFill="1" applyBorder="1" applyAlignment="1" applyProtection="1">
      <alignment horizontal="left" vertical="center" wrapText="1" indent="1"/>
    </xf>
    <xf numFmtId="0" fontId="25" fillId="14" borderId="52" xfId="58" applyFont="1" applyFill="1" applyBorder="1" applyAlignment="1" applyProtection="1">
      <alignment horizontal="center" vertical="center" wrapText="1"/>
    </xf>
    <xf numFmtId="0" fontId="32" fillId="8" borderId="39" xfId="58" applyFont="1" applyFill="1" applyBorder="1" applyAlignment="1" applyProtection="1">
      <alignment vertical="center" wrapText="1"/>
    </xf>
    <xf numFmtId="0" fontId="32" fillId="8" borderId="4" xfId="58" applyFont="1" applyFill="1" applyBorder="1" applyAlignment="1" applyProtection="1">
      <alignment vertical="center" wrapText="1"/>
    </xf>
    <xf numFmtId="0" fontId="32" fillId="8" borderId="32" xfId="58" applyFont="1" applyFill="1" applyBorder="1" applyAlignment="1" applyProtection="1">
      <alignment vertical="center" wrapText="1"/>
    </xf>
    <xf numFmtId="0" fontId="25" fillId="21" borderId="43" xfId="58" applyFont="1" applyFill="1" applyBorder="1" applyAlignment="1" applyProtection="1">
      <alignment horizontal="left" vertical="center" wrapText="1" indent="1"/>
    </xf>
    <xf numFmtId="0" fontId="25" fillId="21" borderId="2" xfId="58" applyFont="1" applyFill="1" applyBorder="1" applyAlignment="1" applyProtection="1">
      <alignment horizontal="left" vertical="center" indent="1"/>
    </xf>
    <xf numFmtId="0" fontId="25" fillId="14" borderId="55" xfId="58" applyFont="1" applyFill="1" applyBorder="1" applyAlignment="1" applyProtection="1">
      <alignment horizontal="center" vertical="center"/>
    </xf>
    <xf numFmtId="0" fontId="25" fillId="21" borderId="58" xfId="58" applyFont="1" applyFill="1" applyBorder="1" applyAlignment="1" applyProtection="1">
      <alignment horizontal="left" vertical="center" wrapText="1" indent="1"/>
    </xf>
    <xf numFmtId="0" fontId="25" fillId="15" borderId="38" xfId="58" applyFont="1" applyFill="1" applyBorder="1" applyAlignment="1" applyProtection="1">
      <alignment horizontal="center" vertical="center"/>
    </xf>
    <xf numFmtId="0" fontId="25" fillId="22" borderId="1" xfId="58" applyFont="1" applyFill="1" applyBorder="1" applyAlignment="1" applyProtection="1">
      <alignment horizontal="center" vertical="center"/>
    </xf>
    <xf numFmtId="0" fontId="25" fillId="22" borderId="9" xfId="58" applyFont="1" applyFill="1" applyBorder="1" applyAlignment="1" applyProtection="1">
      <alignment horizontal="center" vertical="center"/>
    </xf>
    <xf numFmtId="0" fontId="25" fillId="15" borderId="9" xfId="58" applyFont="1" applyFill="1" applyBorder="1" applyAlignment="1" applyProtection="1">
      <alignment horizontal="center" vertical="center"/>
    </xf>
    <xf numFmtId="0" fontId="25" fillId="15" borderId="51" xfId="58" applyFont="1" applyFill="1" applyBorder="1" applyAlignment="1" applyProtection="1">
      <alignment horizontal="center" vertical="center"/>
    </xf>
    <xf numFmtId="0" fontId="25" fillId="15" borderId="33" xfId="58" applyFont="1" applyFill="1" applyBorder="1" applyAlignment="1" applyProtection="1">
      <alignment horizontal="center" vertical="center"/>
    </xf>
    <xf numFmtId="0" fontId="25" fillId="15" borderId="2" xfId="58" applyFont="1" applyFill="1" applyBorder="1" applyAlignment="1" applyProtection="1">
      <alignment horizontal="center" vertical="center"/>
    </xf>
    <xf numFmtId="0" fontId="25" fillId="15" borderId="31" xfId="58" applyFont="1" applyFill="1" applyBorder="1" applyAlignment="1" applyProtection="1">
      <alignment horizontal="center" vertical="center"/>
    </xf>
    <xf numFmtId="3" fontId="15" fillId="0" borderId="21" xfId="0" applyFont="1" applyBorder="1" applyProtection="1">
      <alignment vertical="center"/>
    </xf>
    <xf numFmtId="166" fontId="0" fillId="0" borderId="21" xfId="0" applyNumberFormat="1" applyBorder="1" applyProtection="1">
      <alignment vertical="center"/>
    </xf>
    <xf numFmtId="3" fontId="10" fillId="23" borderId="1" xfId="0" applyFont="1" applyFill="1" applyBorder="1" applyAlignment="1" applyProtection="1">
      <alignment vertical="center" wrapText="1"/>
    </xf>
    <xf numFmtId="3" fontId="0" fillId="23" borderId="1" xfId="0" applyFill="1" applyBorder="1" applyProtection="1">
      <alignment vertical="center"/>
    </xf>
    <xf numFmtId="4" fontId="0" fillId="0" borderId="0" xfId="0" applyNumberFormat="1" applyProtection="1">
      <alignment vertical="center"/>
    </xf>
    <xf numFmtId="3" fontId="15" fillId="0" borderId="0" xfId="0" applyFont="1" applyProtection="1">
      <alignment vertical="center"/>
    </xf>
    <xf numFmtId="3" fontId="10" fillId="0" borderId="0" xfId="56" applyAlignment="1" applyProtection="1">
      <alignment horizontal="right" vertical="center"/>
    </xf>
    <xf numFmtId="3" fontId="0" fillId="8" borderId="16" xfId="0" applyFill="1" applyBorder="1" applyProtection="1">
      <alignment vertical="center"/>
    </xf>
    <xf numFmtId="3" fontId="0" fillId="8" borderId="8" xfId="0" applyFill="1" applyBorder="1" applyProtection="1">
      <alignment vertical="center"/>
    </xf>
    <xf numFmtId="3" fontId="0" fillId="8" borderId="18" xfId="0" applyFill="1" applyBorder="1" applyProtection="1">
      <alignment vertical="center"/>
    </xf>
    <xf numFmtId="3" fontId="0" fillId="9" borderId="21" xfId="0" applyFill="1" applyBorder="1" applyAlignment="1" applyProtection="1">
      <alignment horizontal="left" vertical="center" indent="1"/>
    </xf>
    <xf numFmtId="3" fontId="0" fillId="9" borderId="0" xfId="0" applyFill="1" applyBorder="1" applyProtection="1">
      <alignment vertical="center"/>
    </xf>
    <xf numFmtId="3" fontId="0" fillId="9" borderId="12" xfId="0" applyFill="1" applyBorder="1" applyProtection="1">
      <alignment vertical="center"/>
    </xf>
    <xf numFmtId="3" fontId="37" fillId="9" borderId="21" xfId="0" applyFont="1" applyFill="1" applyBorder="1" applyAlignment="1" applyProtection="1">
      <alignment horizontal="left" vertical="center" indent="1"/>
    </xf>
    <xf numFmtId="3" fontId="10" fillId="9" borderId="21" xfId="0" applyFont="1" applyFill="1" applyBorder="1" applyAlignment="1" applyProtection="1">
      <alignment horizontal="left" vertical="center" indent="1"/>
    </xf>
    <xf numFmtId="3" fontId="10" fillId="9" borderId="0" xfId="0" applyFont="1" applyFill="1" applyBorder="1" applyProtection="1">
      <alignment vertical="center"/>
    </xf>
    <xf numFmtId="3" fontId="10" fillId="9" borderId="0" xfId="0" applyFont="1" applyFill="1" applyProtection="1">
      <alignment vertical="center"/>
    </xf>
    <xf numFmtId="49" fontId="10" fillId="9" borderId="0" xfId="0" quotePrefix="1" applyNumberFormat="1" applyFont="1" applyFill="1" applyBorder="1" applyProtection="1">
      <alignment vertical="center"/>
    </xf>
    <xf numFmtId="3" fontId="0" fillId="9" borderId="20" xfId="0" applyFill="1" applyBorder="1" applyAlignment="1" applyProtection="1">
      <alignment horizontal="left" vertical="center" indent="1"/>
    </xf>
    <xf numFmtId="3" fontId="0" fillId="9" borderId="10" xfId="0" applyFill="1" applyBorder="1" applyProtection="1">
      <alignment vertical="center"/>
    </xf>
    <xf numFmtId="3" fontId="0" fillId="9" borderId="19" xfId="0" applyFill="1" applyBorder="1" applyProtection="1">
      <alignment vertical="center"/>
    </xf>
    <xf numFmtId="195" fontId="25" fillId="0" borderId="5" xfId="58" applyNumberFormat="1" applyFont="1" applyFill="1" applyBorder="1" applyAlignment="1" applyProtection="1">
      <alignment horizontal="left" vertical="center" indent="1"/>
    </xf>
    <xf numFmtId="0" fontId="25" fillId="0" borderId="0" xfId="58" applyNumberFormat="1" applyFont="1" applyFill="1" applyBorder="1" applyAlignment="1" applyProtection="1">
      <alignment vertical="center"/>
      <protection locked="0"/>
    </xf>
    <xf numFmtId="0" fontId="25" fillId="0" borderId="11" xfId="58" applyNumberFormat="1" applyFont="1" applyFill="1" applyBorder="1" applyAlignment="1" applyProtection="1">
      <alignment vertical="center"/>
      <protection locked="0"/>
    </xf>
    <xf numFmtId="0" fontId="25" fillId="0" borderId="5" xfId="58" applyNumberFormat="1" applyFont="1" applyFill="1" applyBorder="1" applyAlignment="1" applyProtection="1">
      <alignment vertical="center"/>
      <protection locked="0"/>
    </xf>
    <xf numFmtId="200" fontId="25" fillId="10" borderId="0" xfId="58" applyNumberFormat="1" applyFont="1" applyFill="1" applyBorder="1" applyAlignment="1" applyProtection="1">
      <alignment horizontal="right" vertical="center"/>
    </xf>
    <xf numFmtId="2" fontId="0" fillId="0" borderId="0" xfId="0" applyNumberFormat="1" applyAlignment="1" applyProtection="1"/>
    <xf numFmtId="2" fontId="25" fillId="10" borderId="11" xfId="58" applyNumberFormat="1" applyFont="1" applyFill="1" applyBorder="1" applyAlignment="1" applyProtection="1">
      <alignment horizontal="right" vertical="center"/>
    </xf>
    <xf numFmtId="0" fontId="25" fillId="13" borderId="8" xfId="58" applyFont="1" applyFill="1" applyBorder="1" applyAlignment="1" applyProtection="1">
      <alignment horizontal="center" vertical="center"/>
    </xf>
    <xf numFmtId="0" fontId="25" fillId="13" borderId="0" xfId="58" applyFont="1" applyFill="1" applyBorder="1" applyAlignment="1" applyProtection="1">
      <alignment horizontal="center" vertical="center"/>
    </xf>
    <xf numFmtId="0" fontId="25" fillId="14" borderId="41" xfId="58" applyFont="1" applyFill="1" applyBorder="1" applyAlignment="1" applyProtection="1">
      <alignment horizontal="center" vertical="center"/>
    </xf>
    <xf numFmtId="0" fontId="25" fillId="14" borderId="24" xfId="58" applyFont="1" applyFill="1" applyBorder="1" applyAlignment="1" applyProtection="1">
      <alignment horizontal="center" vertical="center"/>
    </xf>
    <xf numFmtId="0" fontId="25" fillId="14" borderId="42" xfId="58" applyFont="1" applyFill="1" applyBorder="1" applyAlignment="1" applyProtection="1">
      <alignment horizontal="center" vertical="center"/>
    </xf>
    <xf numFmtId="0" fontId="32" fillId="8" borderId="32" xfId="58" applyFont="1" applyFill="1" applyBorder="1" applyAlignment="1" applyProtection="1">
      <alignment horizontal="center" vertical="center" wrapText="1"/>
    </xf>
    <xf numFmtId="0" fontId="32" fillId="8" borderId="4" xfId="58" applyFont="1" applyFill="1" applyBorder="1" applyAlignment="1" applyProtection="1">
      <alignment horizontal="center" vertical="center" wrapText="1"/>
    </xf>
    <xf numFmtId="0" fontId="26" fillId="21" borderId="35" xfId="58" applyFont="1" applyFill="1" applyBorder="1" applyAlignment="1" applyProtection="1">
      <alignment horizontal="center" vertical="center"/>
    </xf>
    <xf numFmtId="0" fontId="32" fillId="8" borderId="39" xfId="58" applyFont="1" applyFill="1" applyBorder="1" applyAlignment="1" applyProtection="1">
      <alignment horizontal="center" vertical="center" wrapText="1"/>
    </xf>
    <xf numFmtId="0" fontId="31" fillId="30" borderId="0" xfId="58" applyFont="1" applyFill="1" applyBorder="1" applyAlignment="1" applyProtection="1">
      <alignment horizontal="left" vertical="center"/>
    </xf>
    <xf numFmtId="0" fontId="25" fillId="30" borderId="21" xfId="58" applyFont="1" applyFill="1" applyBorder="1" applyAlignment="1" applyProtection="1">
      <alignment vertical="center"/>
    </xf>
    <xf numFmtId="0" fontId="25" fillId="30" borderId="0" xfId="58" applyFont="1" applyFill="1" applyBorder="1" applyAlignment="1" applyProtection="1">
      <alignment vertical="center"/>
    </xf>
    <xf numFmtId="0" fontId="25" fillId="30" borderId="12" xfId="58" applyFont="1" applyFill="1" applyBorder="1" applyAlignment="1" applyProtection="1">
      <alignment vertical="center"/>
    </xf>
    <xf numFmtId="0" fontId="25" fillId="14" borderId="34" xfId="58" applyFont="1" applyFill="1" applyBorder="1" applyAlignment="1" applyProtection="1">
      <alignment horizontal="center" vertical="center"/>
    </xf>
    <xf numFmtId="0" fontId="25" fillId="14" borderId="22" xfId="58" applyFont="1" applyFill="1" applyBorder="1" applyAlignment="1" applyProtection="1">
      <alignment horizontal="center" vertical="center"/>
    </xf>
    <xf numFmtId="0" fontId="25" fillId="14" borderId="63" xfId="58" applyFont="1" applyFill="1" applyBorder="1" applyAlignment="1" applyProtection="1">
      <alignment horizontal="center" vertical="center"/>
    </xf>
    <xf numFmtId="0" fontId="50" fillId="0" borderId="0" xfId="58" applyNumberFormat="1" applyFont="1" applyFill="1" applyBorder="1" applyAlignment="1" applyProtection="1">
      <alignment vertical="center"/>
    </xf>
    <xf numFmtId="9" fontId="25" fillId="11" borderId="14" xfId="58" applyNumberFormat="1" applyFont="1" applyFill="1" applyBorder="1" applyAlignment="1" applyProtection="1">
      <alignment horizontal="left" vertical="center" indent="1"/>
    </xf>
    <xf numFmtId="196" fontId="25" fillId="11" borderId="14" xfId="58" applyNumberFormat="1" applyFont="1" applyFill="1" applyBorder="1" applyAlignment="1" applyProtection="1">
      <alignment horizontal="left" vertical="center" wrapText="1" indent="1"/>
    </xf>
    <xf numFmtId="0" fontId="25" fillId="0" borderId="11" xfId="58" applyNumberFormat="1" applyFont="1" applyFill="1" applyBorder="1" applyAlignment="1" applyProtection="1">
      <alignment horizontal="left" vertical="center" wrapText="1" indent="1"/>
    </xf>
    <xf numFmtId="196" fontId="25" fillId="0" borderId="27" xfId="58" applyNumberFormat="1" applyFont="1" applyFill="1" applyBorder="1" applyAlignment="1" applyProtection="1">
      <alignment horizontal="left" vertical="center" wrapText="1" indent="1"/>
    </xf>
    <xf numFmtId="1" fontId="25" fillId="10" borderId="0" xfId="58" applyNumberFormat="1" applyFont="1" applyFill="1" applyBorder="1" applyAlignment="1" applyProtection="1">
      <alignment horizontal="right" vertical="center"/>
    </xf>
    <xf numFmtId="0" fontId="25" fillId="0" borderId="11" xfId="58" quotePrefix="1" applyNumberFormat="1" applyFont="1" applyFill="1" applyBorder="1" applyAlignment="1" applyProtection="1">
      <alignment horizontal="left" vertical="center" wrapText="1" indent="1"/>
    </xf>
    <xf numFmtId="0" fontId="25" fillId="8" borderId="39" xfId="58" applyFont="1" applyFill="1" applyBorder="1" applyAlignment="1" applyProtection="1">
      <alignment horizontal="center" vertical="center" wrapText="1"/>
    </xf>
    <xf numFmtId="0" fontId="25" fillId="8" borderId="4" xfId="58" applyFont="1" applyFill="1" applyBorder="1" applyAlignment="1" applyProtection="1">
      <alignment horizontal="center" vertical="center" wrapText="1"/>
    </xf>
    <xf numFmtId="0" fontId="25" fillId="8" borderId="32" xfId="58" applyFont="1" applyFill="1" applyBorder="1" applyAlignment="1" applyProtection="1">
      <alignment horizontal="center" vertical="center" wrapText="1"/>
    </xf>
    <xf numFmtId="0" fontId="25" fillId="8" borderId="39" xfId="58" applyFont="1" applyFill="1" applyBorder="1" applyAlignment="1" applyProtection="1">
      <alignment vertical="center" wrapText="1"/>
    </xf>
    <xf numFmtId="0" fontId="25" fillId="8" borderId="4" xfId="58" applyFont="1" applyFill="1" applyBorder="1" applyAlignment="1" applyProtection="1">
      <alignment vertical="center" wrapText="1"/>
    </xf>
    <xf numFmtId="0" fontId="25" fillId="8" borderId="32" xfId="58" applyFont="1" applyFill="1" applyBorder="1" applyAlignment="1" applyProtection="1">
      <alignment vertical="center" wrapText="1"/>
    </xf>
    <xf numFmtId="197" fontId="25" fillId="10" borderId="8" xfId="58" applyNumberFormat="1" applyFont="1" applyFill="1" applyBorder="1" applyAlignment="1" applyProtection="1">
      <alignment horizontal="right" vertical="center"/>
    </xf>
    <xf numFmtId="0" fontId="31" fillId="22" borderId="0" xfId="58" applyFont="1" applyFill="1" applyBorder="1" applyAlignment="1" applyProtection="1">
      <alignment horizontal="left" vertical="center"/>
      <protection locked="0"/>
    </xf>
    <xf numFmtId="0" fontId="25" fillId="15" borderId="38" xfId="58" applyFont="1" applyFill="1" applyBorder="1" applyAlignment="1" applyProtection="1">
      <alignment horizontal="center" vertical="center"/>
      <protection locked="0"/>
    </xf>
    <xf numFmtId="0" fontId="35" fillId="0" borderId="0" xfId="58" applyFont="1" applyFill="1" applyBorder="1" applyAlignment="1" applyProtection="1">
      <alignment vertical="center"/>
    </xf>
    <xf numFmtId="0" fontId="35" fillId="0" borderId="0" xfId="58" applyNumberFormat="1" applyFont="1" applyFill="1" applyBorder="1" applyAlignment="1" applyProtection="1">
      <alignment vertical="center"/>
    </xf>
    <xf numFmtId="0" fontId="25" fillId="15" borderId="1" xfId="58" applyFont="1" applyFill="1" applyBorder="1" applyAlignment="1" applyProtection="1">
      <alignment horizontal="center" vertical="center"/>
      <protection locked="0"/>
    </xf>
    <xf numFmtId="0" fontId="25" fillId="15" borderId="9" xfId="58" applyFont="1" applyFill="1" applyBorder="1" applyAlignment="1" applyProtection="1">
      <alignment horizontal="center" vertical="center"/>
      <protection locked="0"/>
    </xf>
    <xf numFmtId="0" fontId="25" fillId="15" borderId="5" xfId="58" applyFont="1" applyFill="1" applyBorder="1" applyAlignment="1" applyProtection="1">
      <alignment horizontal="center" vertical="center"/>
      <protection locked="0"/>
    </xf>
    <xf numFmtId="0" fontId="25" fillId="15" borderId="33" xfId="58" applyFont="1" applyFill="1" applyBorder="1" applyAlignment="1" applyProtection="1">
      <alignment horizontal="center" vertical="center"/>
      <protection locked="0"/>
    </xf>
    <xf numFmtId="0" fontId="25" fillId="15" borderId="2" xfId="58" applyFont="1" applyFill="1" applyBorder="1" applyAlignment="1" applyProtection="1">
      <alignment horizontal="center" vertical="center"/>
      <protection locked="0"/>
    </xf>
    <xf numFmtId="0" fontId="25" fillId="15" borderId="31" xfId="58" applyFont="1" applyFill="1" applyBorder="1" applyAlignment="1" applyProtection="1">
      <alignment horizontal="center" vertical="center"/>
      <protection locked="0"/>
    </xf>
    <xf numFmtId="0" fontId="38" fillId="0" borderId="0" xfId="58" applyNumberFormat="1" applyFont="1" applyFill="1" applyBorder="1" applyAlignment="1" applyProtection="1">
      <alignment horizontal="right" vertical="center" indent="1"/>
    </xf>
    <xf numFmtId="199" fontId="10" fillId="10" borderId="8" xfId="58" applyNumberFormat="1" applyFont="1" applyFill="1" applyBorder="1" applyAlignment="1" applyProtection="1">
      <alignment horizontal="right" vertical="center"/>
    </xf>
    <xf numFmtId="9" fontId="25" fillId="0" borderId="0" xfId="58" applyNumberFormat="1" applyFont="1" applyFill="1" applyBorder="1" applyAlignment="1" applyProtection="1">
      <alignment vertical="center"/>
    </xf>
    <xf numFmtId="4" fontId="25" fillId="0" borderId="0" xfId="58" applyNumberFormat="1" applyFont="1" applyFill="1" applyBorder="1" applyAlignment="1" applyProtection="1">
      <alignment vertical="center"/>
    </xf>
    <xf numFmtId="2" fontId="25" fillId="32" borderId="13" xfId="58" applyNumberFormat="1" applyFont="1" applyFill="1" applyBorder="1" applyAlignment="1" applyProtection="1">
      <alignment horizontal="right" vertical="center"/>
    </xf>
    <xf numFmtId="0" fontId="25" fillId="0" borderId="17" xfId="58" applyNumberFormat="1" applyFont="1" applyFill="1" applyBorder="1" applyAlignment="1" applyProtection="1">
      <alignment horizontal="left" vertical="center" wrapText="1" indent="1"/>
    </xf>
    <xf numFmtId="3" fontId="35" fillId="0" borderId="0" xfId="0" applyFont="1" applyAlignment="1" applyProtection="1">
      <alignment horizontal="left" vertical="center" indent="1"/>
    </xf>
    <xf numFmtId="4" fontId="35" fillId="0" borderId="67" xfId="0" applyNumberFormat="1" applyFont="1" applyBorder="1" applyProtection="1">
      <alignment vertical="center"/>
    </xf>
    <xf numFmtId="204" fontId="25" fillId="0" borderId="0" xfId="58" applyNumberFormat="1" applyFont="1" applyFill="1" applyBorder="1" applyAlignment="1" applyProtection="1">
      <alignment horizontal="center" vertical="center"/>
    </xf>
    <xf numFmtId="195" fontId="25" fillId="0" borderId="11" xfId="58" applyNumberFormat="1" applyFont="1" applyFill="1" applyBorder="1" applyAlignment="1" applyProtection="1">
      <alignment horizontal="left" vertical="center" wrapText="1" indent="1"/>
      <protection locked="0"/>
    </xf>
    <xf numFmtId="199" fontId="35" fillId="0" borderId="0" xfId="58" applyNumberFormat="1" applyFont="1" applyFill="1" applyBorder="1" applyAlignment="1" applyProtection="1">
      <alignment horizontal="center" vertical="center"/>
    </xf>
    <xf numFmtId="0" fontId="10" fillId="0" borderId="12" xfId="58" applyNumberFormat="1" applyFont="1" applyFill="1" applyBorder="1" applyAlignment="1" applyProtection="1">
      <alignment horizontal="left" vertical="center" wrapText="1" indent="1"/>
    </xf>
    <xf numFmtId="3" fontId="0" fillId="0" borderId="0" xfId="0" applyAlignment="1">
      <alignment horizontal="center"/>
    </xf>
    <xf numFmtId="3" fontId="10" fillId="17" borderId="1" xfId="55" applyFill="1" applyBorder="1" applyAlignment="1" applyProtection="1">
      <alignment horizontal="left" vertical="center"/>
    </xf>
    <xf numFmtId="196" fontId="25" fillId="0" borderId="21" xfId="58" applyNumberFormat="1" applyFont="1" applyFill="1" applyBorder="1" applyAlignment="1" applyProtection="1">
      <alignment horizontal="left" vertical="center" indent="1"/>
      <protection locked="0"/>
    </xf>
    <xf numFmtId="197" fontId="25" fillId="10" borderId="0" xfId="58" applyNumberFormat="1" applyFont="1" applyFill="1" applyBorder="1" applyAlignment="1" applyProtection="1">
      <alignment horizontal="right" vertical="center"/>
      <protection locked="0"/>
    </xf>
    <xf numFmtId="197" fontId="25" fillId="10" borderId="10" xfId="58" applyNumberFormat="1" applyFont="1" applyFill="1" applyBorder="1" applyAlignment="1" applyProtection="1">
      <alignment horizontal="right" vertical="center"/>
      <protection locked="0"/>
    </xf>
    <xf numFmtId="0" fontId="25" fillId="0" borderId="8" xfId="58" applyNumberFormat="1" applyFont="1" applyFill="1" applyBorder="1" applyAlignment="1" applyProtection="1">
      <alignment horizontal="left" vertical="center" indent="1"/>
      <protection locked="0"/>
    </xf>
    <xf numFmtId="0" fontId="25" fillId="0" borderId="8" xfId="58" applyNumberFormat="1" applyFont="1" applyFill="1" applyBorder="1" applyAlignment="1" applyProtection="1">
      <alignment vertical="center"/>
      <protection locked="0"/>
    </xf>
    <xf numFmtId="203" fontId="25" fillId="10" borderId="0" xfId="58" applyNumberFormat="1" applyFont="1" applyFill="1" applyBorder="1" applyAlignment="1" applyProtection="1">
      <alignment horizontal="right" vertical="center"/>
    </xf>
    <xf numFmtId="196" fontId="25" fillId="0" borderId="12" xfId="58" applyNumberFormat="1" applyFont="1" applyFill="1" applyBorder="1" applyAlignment="1" applyProtection="1">
      <alignment horizontal="left" vertical="center" wrapText="1" indent="1"/>
    </xf>
    <xf numFmtId="196" fontId="25" fillId="11" borderId="13" xfId="58" applyNumberFormat="1" applyFont="1" applyFill="1" applyBorder="1" applyAlignment="1" applyProtection="1">
      <alignment horizontal="left" vertical="center" indent="1"/>
    </xf>
    <xf numFmtId="196" fontId="25" fillId="11" borderId="28" xfId="58" applyNumberFormat="1" applyFont="1" applyFill="1" applyBorder="1" applyAlignment="1" applyProtection="1">
      <alignment horizontal="left" vertical="center" indent="1"/>
    </xf>
    <xf numFmtId="0" fontId="25" fillId="0" borderId="0" xfId="58" quotePrefix="1" applyNumberFormat="1" applyFont="1" applyFill="1" applyBorder="1" applyAlignment="1" applyProtection="1">
      <alignment horizontal="left" vertical="center" indent="1"/>
      <protection locked="0"/>
    </xf>
    <xf numFmtId="195" fontId="25" fillId="0" borderId="0" xfId="58" applyNumberFormat="1" applyFont="1" applyFill="1" applyBorder="1" applyAlignment="1" applyProtection="1">
      <alignment horizontal="left" vertical="center" indent="1"/>
      <protection locked="0"/>
    </xf>
    <xf numFmtId="195" fontId="25" fillId="0" borderId="10" xfId="58" applyNumberFormat="1" applyFont="1" applyFill="1" applyBorder="1" applyAlignment="1" applyProtection="1">
      <alignment horizontal="left" vertical="center" indent="1"/>
      <protection locked="0"/>
    </xf>
    <xf numFmtId="0" fontId="25" fillId="0" borderId="0" xfId="58" quotePrefix="1" applyNumberFormat="1" applyFont="1" applyFill="1" applyBorder="1" applyAlignment="1" applyProtection="1">
      <alignment horizontal="left" vertical="center" indent="1"/>
    </xf>
    <xf numFmtId="195" fontId="25" fillId="0" borderId="0" xfId="58" quotePrefix="1" applyNumberFormat="1" applyFont="1" applyFill="1" applyBorder="1" applyAlignment="1" applyProtection="1">
      <alignment horizontal="left" vertical="center" indent="1"/>
      <protection locked="0"/>
    </xf>
    <xf numFmtId="9" fontId="25" fillId="0" borderId="0" xfId="58" quotePrefix="1" applyNumberFormat="1" applyFont="1" applyFill="1" applyBorder="1" applyAlignment="1" applyProtection="1">
      <alignment horizontal="left" vertical="center" indent="1"/>
    </xf>
    <xf numFmtId="195" fontId="25" fillId="0" borderId="0" xfId="58" applyNumberFormat="1" applyFont="1" applyFill="1" applyBorder="1" applyAlignment="1" applyProtection="1">
      <alignment horizontal="left" vertical="center" wrapText="1" indent="1"/>
      <protection locked="0"/>
    </xf>
    <xf numFmtId="0" fontId="25" fillId="0" borderId="0" xfId="58" quotePrefix="1" applyNumberFormat="1" applyFont="1" applyFill="1" applyBorder="1" applyAlignment="1" applyProtection="1">
      <alignment horizontal="left" vertical="center" wrapText="1" indent="1"/>
    </xf>
    <xf numFmtId="196" fontId="25" fillId="0" borderId="0" xfId="58" applyNumberFormat="1" applyFont="1" applyFill="1" applyBorder="1" applyAlignment="1" applyProtection="1">
      <alignment horizontal="left" vertical="center" wrapText="1" indent="1"/>
    </xf>
    <xf numFmtId="195" fontId="25" fillId="0" borderId="8" xfId="58" applyNumberFormat="1" applyFont="1" applyFill="1" applyBorder="1" applyAlignment="1" applyProtection="1">
      <alignment horizontal="left" vertical="center" indent="1"/>
    </xf>
    <xf numFmtId="9" fontId="25" fillId="0" borderId="0" xfId="58" quotePrefix="1" applyNumberFormat="1" applyFont="1" applyFill="1" applyBorder="1" applyAlignment="1" applyProtection="1">
      <alignment horizontal="left" vertical="center" indent="1"/>
      <protection locked="0"/>
    </xf>
    <xf numFmtId="195" fontId="25" fillId="0" borderId="0" xfId="58" quotePrefix="1" applyNumberFormat="1" applyFont="1" applyFill="1" applyBorder="1" applyAlignment="1" applyProtection="1">
      <alignment horizontal="left" vertical="center" indent="1"/>
    </xf>
    <xf numFmtId="9" fontId="25" fillId="0" borderId="0" xfId="94" quotePrefix="1" applyFont="1" applyFill="1" applyBorder="1" applyAlignment="1" applyProtection="1">
      <alignment horizontal="left" vertical="center" indent="1"/>
    </xf>
    <xf numFmtId="0" fontId="42" fillId="0" borderId="0" xfId="58" quotePrefix="1" applyNumberFormat="1" applyFont="1" applyFill="1" applyBorder="1" applyAlignment="1" applyProtection="1">
      <alignment horizontal="left" vertical="center" indent="1"/>
      <protection locked="0"/>
    </xf>
    <xf numFmtId="196" fontId="25" fillId="0" borderId="0" xfId="58" quotePrefix="1" applyNumberFormat="1" applyFont="1" applyFill="1" applyBorder="1" applyAlignment="1" applyProtection="1">
      <alignment horizontal="left" vertical="center" indent="1"/>
    </xf>
    <xf numFmtId="195" fontId="25" fillId="0" borderId="10" xfId="58" applyNumberFormat="1" applyFont="1" applyFill="1" applyBorder="1" applyAlignment="1" applyProtection="1">
      <alignment horizontal="left" vertical="center" indent="1"/>
    </xf>
    <xf numFmtId="205" fontId="25" fillId="11" borderId="13" xfId="58" applyNumberFormat="1" applyFont="1" applyFill="1" applyBorder="1" applyAlignment="1" applyProtection="1">
      <alignment horizontal="right" vertical="center"/>
    </xf>
    <xf numFmtId="3" fontId="10" fillId="0" borderId="0" xfId="0" applyFont="1" applyProtection="1">
      <alignment vertical="center"/>
    </xf>
    <xf numFmtId="0" fontId="38" fillId="0" borderId="0" xfId="58" applyNumberFormat="1" applyFont="1" applyFill="1" applyBorder="1" applyAlignment="1" applyProtection="1">
      <alignment vertical="center"/>
    </xf>
    <xf numFmtId="0" fontId="25" fillId="0" borderId="5" xfId="58" applyNumberFormat="1" applyFont="1" applyFill="1" applyBorder="1" applyAlignment="1" applyProtection="1">
      <alignment horizontal="left" vertical="center" wrapText="1" indent="1"/>
    </xf>
    <xf numFmtId="0" fontId="72" fillId="0" borderId="0" xfId="58" applyNumberFormat="1" applyFont="1" applyFill="1" applyBorder="1" applyAlignment="1" applyProtection="1">
      <alignment horizontal="left" vertical="center" indent="1"/>
    </xf>
    <xf numFmtId="0" fontId="72" fillId="0" borderId="0" xfId="58" applyFont="1" applyFill="1" applyBorder="1" applyAlignment="1" applyProtection="1">
      <alignment horizontal="left" vertical="center"/>
    </xf>
    <xf numFmtId="3" fontId="72" fillId="0" borderId="0" xfId="0" applyFont="1" applyFill="1" applyAlignment="1" applyProtection="1">
      <alignment horizontal="left" vertical="center"/>
    </xf>
    <xf numFmtId="0" fontId="85" fillId="0" borderId="0" xfId="471"/>
    <xf numFmtId="3" fontId="75" fillId="0" borderId="0" xfId="471" applyNumberFormat="1" applyFont="1" applyFill="1" applyBorder="1"/>
    <xf numFmtId="0" fontId="85" fillId="0" borderId="0" xfId="471" applyFill="1" applyBorder="1"/>
    <xf numFmtId="0" fontId="74" fillId="0" borderId="0" xfId="471" applyFont="1" applyFill="1" applyBorder="1"/>
    <xf numFmtId="203" fontId="75" fillId="0" borderId="0" xfId="471" applyNumberFormat="1" applyFont="1" applyFill="1" applyBorder="1"/>
    <xf numFmtId="2" fontId="38" fillId="0" borderId="0" xfId="58" applyNumberFormat="1" applyFont="1" applyFill="1" applyBorder="1" applyAlignment="1" applyProtection="1">
      <alignment horizontal="left" vertical="center"/>
    </xf>
    <xf numFmtId="0" fontId="25" fillId="61" borderId="22" xfId="58" applyNumberFormat="1" applyFont="1" applyFill="1" applyBorder="1" applyAlignment="1" applyProtection="1">
      <alignment horizontal="left" vertical="center" wrapText="1"/>
    </xf>
    <xf numFmtId="0" fontId="25" fillId="61" borderId="23" xfId="58" applyNumberFormat="1" applyFont="1" applyFill="1" applyBorder="1" applyAlignment="1" applyProtection="1">
      <alignment horizontal="right" vertical="center" indent="1"/>
    </xf>
    <xf numFmtId="1" fontId="26" fillId="61" borderId="23" xfId="58" applyNumberFormat="1" applyFont="1" applyFill="1" applyBorder="1" applyAlignment="1" applyProtection="1">
      <alignment horizontal="center" vertical="center"/>
    </xf>
    <xf numFmtId="1" fontId="26" fillId="61" borderId="24" xfId="58" applyNumberFormat="1" applyFont="1" applyFill="1" applyBorder="1" applyAlignment="1" applyProtection="1">
      <alignment horizontal="center" vertical="center"/>
    </xf>
    <xf numFmtId="0" fontId="25" fillId="61" borderId="16" xfId="58" applyNumberFormat="1" applyFont="1" applyFill="1" applyBorder="1" applyAlignment="1" applyProtection="1">
      <alignment horizontal="left" vertical="center" indent="1"/>
    </xf>
    <xf numFmtId="0" fontId="25" fillId="61" borderId="8" xfId="58" applyNumberFormat="1" applyFont="1" applyFill="1" applyBorder="1" applyAlignment="1" applyProtection="1">
      <alignment horizontal="left" vertical="center" indent="1"/>
    </xf>
    <xf numFmtId="0" fontId="25" fillId="61" borderId="21" xfId="58" applyNumberFormat="1" applyFont="1" applyFill="1" applyBorder="1" applyAlignment="1" applyProtection="1">
      <alignment horizontal="left" vertical="center" indent="1"/>
    </xf>
    <xf numFmtId="0" fontId="25" fillId="61" borderId="0" xfId="58" applyNumberFormat="1" applyFont="1" applyFill="1" applyBorder="1" applyAlignment="1" applyProtection="1">
      <alignment horizontal="left" vertical="center" indent="1"/>
    </xf>
    <xf numFmtId="0" fontId="25" fillId="61" borderId="20" xfId="58" applyNumberFormat="1" applyFont="1" applyFill="1" applyBorder="1" applyAlignment="1" applyProtection="1">
      <alignment horizontal="left" vertical="center" indent="1"/>
    </xf>
    <xf numFmtId="0" fontId="25" fillId="61" borderId="10" xfId="58" applyNumberFormat="1" applyFont="1" applyFill="1" applyBorder="1" applyAlignment="1" applyProtection="1">
      <alignment horizontal="left" vertical="center" indent="1"/>
    </xf>
    <xf numFmtId="0" fontId="25" fillId="61" borderId="0" xfId="58" applyNumberFormat="1" applyFont="1" applyFill="1" applyBorder="1" applyAlignment="1" applyProtection="1">
      <alignment horizontal="right" vertical="center" indent="1"/>
    </xf>
    <xf numFmtId="0" fontId="25" fillId="61" borderId="10" xfId="58" applyNumberFormat="1" applyFont="1" applyFill="1" applyBorder="1" applyAlignment="1" applyProtection="1">
      <alignment horizontal="right" vertical="center" indent="1"/>
    </xf>
    <xf numFmtId="0" fontId="38" fillId="0" borderId="56" xfId="58" applyNumberFormat="1" applyFont="1" applyFill="1" applyBorder="1" applyAlignment="1" applyProtection="1">
      <alignment horizontal="left" vertical="center" wrapText="1"/>
    </xf>
    <xf numFmtId="2" fontId="25" fillId="0" borderId="0" xfId="58" applyNumberFormat="1" applyFont="1" applyFill="1" applyBorder="1" applyAlignment="1" applyProtection="1">
      <alignment horizontal="left" vertical="center"/>
    </xf>
    <xf numFmtId="0" fontId="38" fillId="0" borderId="0" xfId="58" applyNumberFormat="1" applyFont="1" applyFill="1" applyBorder="1" applyAlignment="1" applyProtection="1">
      <alignment horizontal="left" vertical="center" indent="1"/>
    </xf>
    <xf numFmtId="0" fontId="38" fillId="0" borderId="0" xfId="58" applyNumberFormat="1" applyFont="1" applyFill="1" applyBorder="1" applyAlignment="1" applyProtection="1">
      <alignment horizontal="left" vertical="center" wrapText="1"/>
    </xf>
    <xf numFmtId="2" fontId="74" fillId="0" borderId="0" xfId="471" applyNumberFormat="1" applyFont="1" applyFill="1" applyBorder="1"/>
    <xf numFmtId="2" fontId="5" fillId="0" borderId="0" xfId="471" applyNumberFormat="1" applyFont="1" applyFill="1" applyBorder="1"/>
    <xf numFmtId="1" fontId="85" fillId="0" borderId="0" xfId="471" applyNumberFormat="1" applyFill="1" applyBorder="1"/>
    <xf numFmtId="199" fontId="25" fillId="15" borderId="24" xfId="58" applyNumberFormat="1" applyFont="1" applyFill="1" applyBorder="1" applyAlignment="1" applyProtection="1">
      <alignment horizontal="center" vertical="center"/>
    </xf>
    <xf numFmtId="199" fontId="25" fillId="15" borderId="22" xfId="58" applyNumberFormat="1" applyFont="1" applyFill="1" applyBorder="1" applyAlignment="1" applyProtection="1">
      <alignment horizontal="center" vertical="center"/>
    </xf>
    <xf numFmtId="0" fontId="25" fillId="0" borderId="0" xfId="58" applyNumberFormat="1" applyFont="1" applyFill="1" applyBorder="1" applyAlignment="1" applyProtection="1">
      <alignment vertical="center" wrapText="1"/>
    </xf>
    <xf numFmtId="0" fontId="26" fillId="0" borderId="12" xfId="58" applyNumberFormat="1" applyFont="1" applyFill="1" applyBorder="1" applyAlignment="1" applyProtection="1">
      <alignment horizontal="left" vertical="center" indent="3"/>
    </xf>
    <xf numFmtId="2" fontId="25" fillId="17" borderId="18" xfId="58" applyNumberFormat="1" applyFont="1" applyFill="1" applyBorder="1" applyAlignment="1" applyProtection="1">
      <alignment horizontal="center" vertical="center"/>
    </xf>
    <xf numFmtId="2" fontId="25" fillId="17" borderId="12" xfId="58" applyNumberFormat="1" applyFont="1" applyFill="1" applyBorder="1" applyAlignment="1" applyProtection="1">
      <alignment horizontal="center" vertical="center"/>
    </xf>
    <xf numFmtId="2" fontId="25" fillId="17" borderId="19" xfId="58" applyNumberFormat="1" applyFont="1" applyFill="1" applyBorder="1" applyAlignment="1" applyProtection="1">
      <alignment horizontal="center" vertical="center"/>
    </xf>
    <xf numFmtId="166" fontId="0" fillId="0" borderId="0" xfId="0" applyNumberFormat="1" applyBorder="1" applyProtection="1">
      <alignment vertical="center"/>
    </xf>
    <xf numFmtId="3" fontId="10" fillId="0" borderId="0" xfId="0" applyFont="1" applyBorder="1" applyProtection="1">
      <alignment vertical="center"/>
    </xf>
    <xf numFmtId="3" fontId="25" fillId="0" borderId="0" xfId="58" applyNumberFormat="1" applyFont="1" applyFill="1" applyBorder="1" applyAlignment="1" applyProtection="1">
      <alignment horizontal="center" vertical="center"/>
    </xf>
    <xf numFmtId="10" fontId="25" fillId="0" borderId="0" xfId="58" applyNumberFormat="1" applyFont="1" applyFill="1" applyBorder="1" applyAlignment="1" applyProtection="1">
      <alignment horizontal="right" vertical="center" indent="1"/>
    </xf>
    <xf numFmtId="10" fontId="25" fillId="0" borderId="0" xfId="58" applyNumberFormat="1" applyFont="1" applyFill="1" applyBorder="1" applyAlignment="1" applyProtection="1">
      <alignment horizontal="left" vertical="center" indent="1"/>
    </xf>
    <xf numFmtId="10" fontId="25" fillId="0" borderId="0" xfId="58" applyNumberFormat="1" applyFont="1" applyFill="1" applyBorder="1" applyAlignment="1" applyProtection="1">
      <alignment horizontal="left" vertical="center" wrapText="1"/>
    </xf>
    <xf numFmtId="0" fontId="25" fillId="0" borderId="11" xfId="58" applyNumberFormat="1" applyFont="1" applyFill="1" applyBorder="1" applyAlignment="1" applyProtection="1">
      <alignment horizontal="left" vertical="center" wrapText="1" indent="1"/>
      <protection locked="0"/>
    </xf>
    <xf numFmtId="195" fontId="25" fillId="0" borderId="5" xfId="58" applyNumberFormat="1" applyFont="1" applyFill="1" applyBorder="1" applyAlignment="1" applyProtection="1">
      <alignment horizontal="left" vertical="center" wrapText="1" indent="1"/>
      <protection locked="0"/>
    </xf>
    <xf numFmtId="196" fontId="25" fillId="11" borderId="13" xfId="58" applyNumberFormat="1" applyFont="1" applyFill="1" applyBorder="1" applyAlignment="1" applyProtection="1">
      <alignment horizontal="left" vertical="center" wrapText="1" indent="1"/>
    </xf>
    <xf numFmtId="3" fontId="25" fillId="17" borderId="8" xfId="58" applyNumberFormat="1" applyFont="1" applyFill="1" applyBorder="1" applyAlignment="1" applyProtection="1">
      <alignment horizontal="center" vertical="center"/>
    </xf>
    <xf numFmtId="3" fontId="25" fillId="17" borderId="18" xfId="58" applyNumberFormat="1" applyFont="1" applyFill="1" applyBorder="1" applyAlignment="1" applyProtection="1">
      <alignment horizontal="center" vertical="center"/>
    </xf>
    <xf numFmtId="206" fontId="25" fillId="17" borderId="8" xfId="94" applyNumberFormat="1" applyFont="1" applyFill="1" applyBorder="1" applyAlignment="1" applyProtection="1">
      <alignment horizontal="center" vertical="center"/>
    </xf>
    <xf numFmtId="206" fontId="25" fillId="17" borderId="18" xfId="94" applyNumberFormat="1" applyFont="1" applyFill="1" applyBorder="1" applyAlignment="1" applyProtection="1">
      <alignment horizontal="center" vertical="center"/>
    </xf>
    <xf numFmtId="206" fontId="25" fillId="17" borderId="0" xfId="94" applyNumberFormat="1" applyFont="1" applyFill="1" applyBorder="1" applyAlignment="1" applyProtection="1">
      <alignment horizontal="center" vertical="center"/>
    </xf>
    <xf numFmtId="206" fontId="25" fillId="17" borderId="12" xfId="94" applyNumberFormat="1" applyFont="1" applyFill="1" applyBorder="1" applyAlignment="1" applyProtection="1">
      <alignment horizontal="center" vertical="center"/>
    </xf>
    <xf numFmtId="206" fontId="25" fillId="17" borderId="10" xfId="94" applyNumberFormat="1" applyFont="1" applyFill="1" applyBorder="1" applyAlignment="1" applyProtection="1">
      <alignment horizontal="center" vertical="center"/>
    </xf>
    <xf numFmtId="206" fontId="25" fillId="17" borderId="19" xfId="94" applyNumberFormat="1" applyFont="1" applyFill="1" applyBorder="1" applyAlignment="1" applyProtection="1">
      <alignment horizontal="center" vertical="center"/>
    </xf>
    <xf numFmtId="2" fontId="25" fillId="17" borderId="23" xfId="58" applyNumberFormat="1" applyFont="1" applyFill="1" applyBorder="1" applyAlignment="1" applyProtection="1">
      <alignment horizontal="center" vertical="center"/>
    </xf>
    <xf numFmtId="2" fontId="25" fillId="17" borderId="24" xfId="58" applyNumberFormat="1" applyFont="1" applyFill="1" applyBorder="1" applyAlignment="1" applyProtection="1">
      <alignment horizontal="center" vertical="center"/>
    </xf>
    <xf numFmtId="196" fontId="25" fillId="17" borderId="8" xfId="58" applyNumberFormat="1" applyFont="1" applyFill="1" applyBorder="1" applyAlignment="1" applyProtection="1">
      <alignment horizontal="center" vertical="center"/>
    </xf>
    <xf numFmtId="196" fontId="25" fillId="17" borderId="18" xfId="58" applyNumberFormat="1" applyFont="1" applyFill="1" applyBorder="1" applyAlignment="1" applyProtection="1">
      <alignment horizontal="center" vertical="center"/>
    </xf>
    <xf numFmtId="196" fontId="25" fillId="17" borderId="0" xfId="58" applyNumberFormat="1" applyFont="1" applyFill="1" applyBorder="1" applyAlignment="1" applyProtection="1">
      <alignment horizontal="center" vertical="center"/>
    </xf>
    <xf numFmtId="196" fontId="25" fillId="17" borderId="12" xfId="58" applyNumberFormat="1" applyFont="1" applyFill="1" applyBorder="1" applyAlignment="1" applyProtection="1">
      <alignment horizontal="center" vertical="center"/>
    </xf>
    <xf numFmtId="0" fontId="25" fillId="0" borderId="0" xfId="58" quotePrefix="1" applyNumberFormat="1" applyFont="1" applyFill="1" applyBorder="1" applyAlignment="1" applyProtection="1">
      <alignment horizontal="left" vertical="center" wrapText="1" indent="1"/>
      <protection locked="0"/>
    </xf>
    <xf numFmtId="3" fontId="10" fillId="0" borderId="0" xfId="0" applyFont="1">
      <alignment vertical="center"/>
    </xf>
    <xf numFmtId="0" fontId="25" fillId="24" borderId="1" xfId="58" applyNumberFormat="1" applyFont="1" applyFill="1" applyBorder="1" applyAlignment="1" applyProtection="1">
      <alignment horizontal="left" vertical="center" indent="1"/>
    </xf>
    <xf numFmtId="0" fontId="25" fillId="23" borderId="1" xfId="58" applyNumberFormat="1" applyFont="1" applyFill="1" applyBorder="1" applyAlignment="1" applyProtection="1">
      <alignment horizontal="left" vertical="center" indent="1"/>
    </xf>
    <xf numFmtId="206" fontId="25" fillId="13" borderId="23" xfId="94" applyNumberFormat="1" applyFont="1" applyFill="1" applyBorder="1" applyAlignment="1" applyProtection="1">
      <alignment horizontal="center" vertical="center"/>
    </xf>
    <xf numFmtId="206" fontId="25" fillId="13" borderId="24" xfId="94" applyNumberFormat="1" applyFont="1" applyFill="1" applyBorder="1" applyAlignment="1" applyProtection="1">
      <alignment horizontal="center" vertical="center"/>
    </xf>
    <xf numFmtId="2" fontId="10" fillId="15" borderId="22" xfId="58" applyNumberFormat="1" applyFont="1" applyFill="1" applyBorder="1" applyAlignment="1" applyProtection="1">
      <alignment horizontal="center" vertical="center"/>
    </xf>
    <xf numFmtId="2" fontId="10" fillId="15" borderId="23" xfId="58" applyNumberFormat="1" applyFont="1" applyFill="1" applyBorder="1" applyAlignment="1" applyProtection="1">
      <alignment horizontal="center" vertical="center"/>
    </xf>
    <xf numFmtId="2" fontId="10" fillId="15" borderId="24" xfId="58" applyNumberFormat="1" applyFont="1" applyFill="1" applyBorder="1" applyAlignment="1" applyProtection="1">
      <alignment horizontal="center" vertical="center"/>
    </xf>
    <xf numFmtId="0" fontId="25" fillId="15" borderId="1" xfId="58" applyNumberFormat="1" applyFont="1" applyFill="1" applyBorder="1" applyAlignment="1" applyProtection="1">
      <alignment horizontal="center" vertical="center"/>
      <protection locked="0"/>
    </xf>
    <xf numFmtId="0" fontId="25" fillId="61" borderId="1" xfId="58" applyNumberFormat="1" applyFont="1" applyFill="1" applyBorder="1" applyAlignment="1" applyProtection="1">
      <alignment horizontal="left" vertical="center" indent="1"/>
    </xf>
    <xf numFmtId="206" fontId="25" fillId="13" borderId="0" xfId="94" applyNumberFormat="1" applyFont="1" applyFill="1" applyBorder="1" applyAlignment="1" applyProtection="1">
      <alignment horizontal="center" vertical="center"/>
    </xf>
    <xf numFmtId="206" fontId="25" fillId="13" borderId="10" xfId="94" applyNumberFormat="1" applyFont="1" applyFill="1" applyBorder="1" applyAlignment="1" applyProtection="1">
      <alignment horizontal="center" vertical="center"/>
    </xf>
    <xf numFmtId="206" fontId="25" fillId="13" borderId="12" xfId="94" applyNumberFormat="1" applyFont="1" applyFill="1" applyBorder="1" applyAlignment="1" applyProtection="1">
      <alignment horizontal="center" vertical="center"/>
    </xf>
    <xf numFmtId="206" fontId="25" fillId="13" borderId="19" xfId="94" applyNumberFormat="1" applyFont="1" applyFill="1" applyBorder="1" applyAlignment="1" applyProtection="1">
      <alignment horizontal="center" vertical="center"/>
    </xf>
    <xf numFmtId="1" fontId="25" fillId="14" borderId="8" xfId="58" applyNumberFormat="1" applyFont="1" applyFill="1" applyBorder="1" applyAlignment="1" applyProtection="1">
      <alignment horizontal="center" vertical="center"/>
    </xf>
    <xf numFmtId="1" fontId="25" fillId="14" borderId="18" xfId="58" applyNumberFormat="1" applyFont="1" applyFill="1" applyBorder="1" applyAlignment="1" applyProtection="1">
      <alignment horizontal="center" vertical="center"/>
    </xf>
    <xf numFmtId="1" fontId="25" fillId="14" borderId="16" xfId="58" applyNumberFormat="1" applyFont="1" applyFill="1" applyBorder="1" applyAlignment="1" applyProtection="1">
      <alignment horizontal="center" vertical="center"/>
    </xf>
    <xf numFmtId="1" fontId="25" fillId="14" borderId="0" xfId="58" applyNumberFormat="1" applyFont="1" applyFill="1" applyBorder="1" applyAlignment="1" applyProtection="1">
      <alignment horizontal="center" vertical="center"/>
    </xf>
    <xf numFmtId="1" fontId="25" fillId="14" borderId="12" xfId="58" applyNumberFormat="1" applyFont="1" applyFill="1" applyBorder="1" applyAlignment="1" applyProtection="1">
      <alignment horizontal="center" vertical="center"/>
    </xf>
    <xf numFmtId="1" fontId="25" fillId="14" borderId="21" xfId="58" applyNumberFormat="1" applyFont="1" applyFill="1" applyBorder="1" applyAlignment="1" applyProtection="1">
      <alignment horizontal="center" vertical="center"/>
    </xf>
    <xf numFmtId="1" fontId="25" fillId="14" borderId="10" xfId="58" applyNumberFormat="1" applyFont="1" applyFill="1" applyBorder="1" applyAlignment="1" applyProtection="1">
      <alignment horizontal="center" vertical="center"/>
    </xf>
    <xf numFmtId="1" fontId="25" fillId="14" borderId="19" xfId="58" applyNumberFormat="1" applyFont="1" applyFill="1" applyBorder="1" applyAlignment="1" applyProtection="1">
      <alignment horizontal="center" vertical="center"/>
    </xf>
    <xf numFmtId="1" fontId="25" fillId="14" borderId="20" xfId="58" applyNumberFormat="1" applyFont="1" applyFill="1" applyBorder="1" applyAlignment="1" applyProtection="1">
      <alignment horizontal="center" vertical="center"/>
    </xf>
    <xf numFmtId="0" fontId="26" fillId="21" borderId="35" xfId="58" applyFont="1" applyFill="1" applyBorder="1" applyAlignment="1" applyProtection="1">
      <alignment horizontal="center" vertical="center"/>
    </xf>
    <xf numFmtId="2" fontId="25" fillId="13" borderId="16" xfId="58" applyNumberFormat="1" applyFont="1" applyFill="1" applyBorder="1" applyAlignment="1" applyProtection="1">
      <alignment horizontal="center" vertical="center"/>
    </xf>
    <xf numFmtId="2" fontId="25" fillId="13" borderId="21" xfId="58" applyNumberFormat="1" applyFont="1" applyFill="1" applyBorder="1" applyAlignment="1" applyProtection="1">
      <alignment horizontal="center" vertical="center"/>
    </xf>
    <xf numFmtId="0" fontId="13" fillId="20" borderId="67" xfId="44" quotePrefix="1" applyFill="1" applyBorder="1" applyAlignment="1" applyProtection="1">
      <alignment horizontal="right" vertical="center"/>
    </xf>
    <xf numFmtId="2" fontId="25" fillId="13" borderId="20" xfId="58" applyNumberFormat="1" applyFont="1" applyFill="1" applyBorder="1" applyAlignment="1" applyProtection="1">
      <alignment horizontal="center" vertical="center"/>
    </xf>
    <xf numFmtId="0" fontId="25" fillId="61" borderId="20" xfId="58" applyNumberFormat="1" applyFont="1" applyFill="1" applyBorder="1" applyAlignment="1" applyProtection="1">
      <alignment horizontal="left" vertical="center" wrapText="1" indent="1"/>
    </xf>
    <xf numFmtId="0" fontId="25" fillId="9" borderId="7" xfId="58" applyFont="1" applyFill="1" applyBorder="1" applyAlignment="1" applyProtection="1">
      <alignment vertical="center"/>
    </xf>
    <xf numFmtId="0" fontId="25" fillId="9" borderId="60" xfId="58" applyFont="1" applyFill="1" applyBorder="1" applyAlignment="1" applyProtection="1">
      <alignment vertical="center"/>
    </xf>
    <xf numFmtId="0" fontId="25" fillId="9" borderId="66" xfId="58" applyFont="1" applyFill="1" applyBorder="1" applyAlignment="1" applyProtection="1">
      <alignment vertical="center"/>
    </xf>
    <xf numFmtId="0" fontId="25" fillId="9" borderId="62" xfId="58" applyFont="1" applyFill="1" applyBorder="1" applyAlignment="1" applyProtection="1">
      <alignment vertical="center"/>
    </xf>
    <xf numFmtId="0" fontId="25" fillId="9" borderId="29" xfId="58" applyFont="1" applyFill="1" applyBorder="1" applyAlignment="1" applyProtection="1">
      <alignment vertical="center"/>
    </xf>
    <xf numFmtId="207" fontId="10" fillId="0" borderId="0" xfId="0" applyNumberFormat="1" applyFont="1" applyFill="1" applyBorder="1" applyAlignment="1">
      <alignment vertical="center"/>
    </xf>
    <xf numFmtId="207" fontId="10" fillId="0" borderId="12" xfId="0" applyNumberFormat="1" applyFont="1" applyFill="1" applyBorder="1" applyAlignment="1">
      <alignment vertical="center"/>
    </xf>
    <xf numFmtId="195" fontId="25" fillId="0" borderId="0" xfId="58" applyNumberFormat="1" applyFont="1" applyFill="1" applyBorder="1" applyAlignment="1" applyProtection="1">
      <alignment vertical="center"/>
    </xf>
    <xf numFmtId="197" fontId="25" fillId="0" borderId="0" xfId="58" applyNumberFormat="1" applyFont="1" applyFill="1" applyBorder="1" applyAlignment="1" applyProtection="1">
      <alignment horizontal="right" vertical="center"/>
    </xf>
    <xf numFmtId="196" fontId="25" fillId="11" borderId="27" xfId="58" applyNumberFormat="1" applyFont="1" applyFill="1" applyBorder="1" applyAlignment="1" applyProtection="1">
      <alignment horizontal="left" vertical="center" wrapText="1" indent="1"/>
    </xf>
    <xf numFmtId="195" fontId="25" fillId="0" borderId="17" xfId="58" quotePrefix="1" applyNumberFormat="1" applyFont="1" applyFill="1" applyBorder="1" applyAlignment="1" applyProtection="1">
      <alignment horizontal="left" vertical="center" indent="1"/>
    </xf>
    <xf numFmtId="196" fontId="25" fillId="0" borderId="18" xfId="58" applyNumberFormat="1" applyFont="1" applyFill="1" applyBorder="1" applyAlignment="1" applyProtection="1">
      <alignment horizontal="left" vertical="center" wrapText="1" indent="1"/>
    </xf>
    <xf numFmtId="195" fontId="25" fillId="0" borderId="12" xfId="58" applyNumberFormat="1" applyFont="1" applyFill="1" applyBorder="1" applyAlignment="1" applyProtection="1">
      <alignment horizontal="left" vertical="center" indent="1"/>
      <protection locked="0"/>
    </xf>
    <xf numFmtId="195" fontId="25" fillId="0" borderId="19" xfId="58" applyNumberFormat="1" applyFont="1" applyFill="1" applyBorder="1" applyAlignment="1" applyProtection="1">
      <alignment horizontal="left" vertical="center" indent="1"/>
      <protection locked="0"/>
    </xf>
    <xf numFmtId="9" fontId="25" fillId="15" borderId="9" xfId="94" applyFont="1" applyFill="1" applyBorder="1" applyAlignment="1" applyProtection="1">
      <alignment horizontal="center" vertical="center" wrapText="1"/>
      <protection locked="0"/>
    </xf>
    <xf numFmtId="0" fontId="25" fillId="0" borderId="0" xfId="58" applyFont="1" applyFill="1" applyBorder="1" applyAlignment="1" applyProtection="1">
      <alignment horizontal="right" vertical="center" indent="1"/>
    </xf>
    <xf numFmtId="206" fontId="25" fillId="13" borderId="23" xfId="58" applyNumberFormat="1" applyFont="1" applyFill="1" applyBorder="1" applyAlignment="1" applyProtection="1">
      <alignment horizontal="center" vertical="center"/>
    </xf>
    <xf numFmtId="0" fontId="25" fillId="0" borderId="12" xfId="58" applyNumberFormat="1" applyFont="1" applyFill="1" applyBorder="1" applyAlignment="1" applyProtection="1">
      <alignment horizontal="left" vertical="center" wrapText="1" indent="1"/>
    </xf>
    <xf numFmtId="9" fontId="25" fillId="0" borderId="0" xfId="58" quotePrefix="1" applyNumberFormat="1" applyFont="1" applyFill="1" applyBorder="1" applyAlignment="1" applyProtection="1">
      <alignment horizontal="left" vertical="center" wrapText="1" indent="1"/>
    </xf>
    <xf numFmtId="0" fontId="77" fillId="63" borderId="21" xfId="473" applyFont="1" applyBorder="1" applyAlignment="1" applyProtection="1">
      <alignment vertical="center"/>
    </xf>
    <xf numFmtId="0" fontId="77" fillId="63" borderId="0" xfId="473" applyFont="1" applyBorder="1" applyAlignment="1" applyProtection="1">
      <alignment vertical="center"/>
    </xf>
    <xf numFmtId="0" fontId="77" fillId="63" borderId="12" xfId="473" applyFont="1" applyBorder="1" applyAlignment="1" applyProtection="1">
      <alignment vertical="center"/>
    </xf>
    <xf numFmtId="0" fontId="78" fillId="20" borderId="21" xfId="58" applyFont="1" applyFill="1" applyBorder="1" applyAlignment="1" applyProtection="1">
      <alignment vertical="center"/>
    </xf>
    <xf numFmtId="0" fontId="79" fillId="20" borderId="0" xfId="58" applyFont="1" applyFill="1" applyBorder="1" applyAlignment="1" applyProtection="1">
      <alignment horizontal="left" vertical="center" indent="1"/>
    </xf>
    <xf numFmtId="0" fontId="78" fillId="20" borderId="0" xfId="58" applyFont="1" applyFill="1" applyBorder="1" applyAlignment="1" applyProtection="1">
      <alignment vertical="center"/>
    </xf>
    <xf numFmtId="0" fontId="78" fillId="20" borderId="12" xfId="58" applyFont="1" applyFill="1" applyBorder="1" applyAlignment="1" applyProtection="1">
      <alignment vertical="center"/>
    </xf>
    <xf numFmtId="0" fontId="80" fillId="20" borderId="0" xfId="58" applyFont="1" applyFill="1" applyBorder="1" applyAlignment="1" applyProtection="1">
      <alignment horizontal="center" vertical="center" wrapText="1"/>
    </xf>
    <xf numFmtId="0" fontId="81" fillId="20" borderId="0" xfId="44" quotePrefix="1" applyFont="1" applyFill="1" applyBorder="1" applyAlignment="1" applyProtection="1">
      <alignment horizontal="right" vertical="center"/>
    </xf>
    <xf numFmtId="0" fontId="78" fillId="64" borderId="43" xfId="58" applyFont="1" applyFill="1" applyBorder="1" applyAlignment="1" applyProtection="1">
      <alignment horizontal="left" vertical="center" indent="1"/>
    </xf>
    <xf numFmtId="0" fontId="78" fillId="65" borderId="44" xfId="58" applyFont="1" applyFill="1" applyBorder="1" applyAlignment="1" applyProtection="1">
      <alignment horizontal="left" vertical="center" indent="1"/>
    </xf>
    <xf numFmtId="0" fontId="78" fillId="67" borderId="44" xfId="58" applyFont="1" applyFill="1" applyBorder="1" applyAlignment="1" applyProtection="1">
      <alignment horizontal="left" vertical="center" indent="1"/>
    </xf>
    <xf numFmtId="0" fontId="78" fillId="68" borderId="44" xfId="58" applyFont="1" applyFill="1" applyBorder="1" applyAlignment="1" applyProtection="1">
      <alignment horizontal="left" vertical="center" indent="1"/>
    </xf>
    <xf numFmtId="0" fontId="78" fillId="69" borderId="44" xfId="58" applyFont="1" applyFill="1" applyBorder="1" applyAlignment="1" applyProtection="1">
      <alignment horizontal="left" vertical="center" indent="1"/>
    </xf>
    <xf numFmtId="0" fontId="78" fillId="67" borderId="45" xfId="58" applyFont="1" applyFill="1" applyBorder="1" applyAlignment="1" applyProtection="1">
      <alignment horizontal="left" vertical="center" indent="1"/>
    </xf>
    <xf numFmtId="3" fontId="81" fillId="20" borderId="0" xfId="44" quotePrefix="1" applyNumberFormat="1" applyFont="1" applyFill="1" applyBorder="1" applyAlignment="1" applyProtection="1">
      <alignment horizontal="right" vertical="center"/>
    </xf>
    <xf numFmtId="0" fontId="81" fillId="20" borderId="0" xfId="44" quotePrefix="1" applyFont="1" applyFill="1" applyBorder="1" applyAlignment="1" applyProtection="1">
      <alignment vertical="center"/>
    </xf>
    <xf numFmtId="0" fontId="80" fillId="20" borderId="0" xfId="58" applyFont="1" applyFill="1" applyBorder="1" applyAlignment="1" applyProtection="1">
      <alignment vertical="center"/>
    </xf>
    <xf numFmtId="0" fontId="78" fillId="20" borderId="21" xfId="58" applyFont="1" applyFill="1" applyBorder="1" applyAlignment="1" applyProtection="1">
      <alignment horizontal="center" vertical="center" wrapText="1"/>
    </xf>
    <xf numFmtId="0" fontId="78" fillId="20" borderId="0" xfId="58" applyFont="1" applyFill="1" applyBorder="1" applyAlignment="1" applyProtection="1">
      <alignment horizontal="left" vertical="center"/>
    </xf>
    <xf numFmtId="0" fontId="78" fillId="20" borderId="0" xfId="58" applyFont="1" applyFill="1" applyBorder="1" applyAlignment="1" applyProtection="1">
      <alignment horizontal="center" vertical="center" wrapText="1"/>
    </xf>
    <xf numFmtId="0" fontId="78" fillId="20" borderId="20" xfId="58" applyFont="1" applyFill="1" applyBorder="1" applyAlignment="1" applyProtection="1">
      <alignment vertical="center"/>
    </xf>
    <xf numFmtId="0" fontId="78" fillId="20" borderId="10" xfId="58" applyFont="1" applyFill="1" applyBorder="1" applyAlignment="1" applyProtection="1">
      <alignment vertical="center"/>
    </xf>
    <xf numFmtId="0" fontId="78" fillId="20" borderId="19" xfId="58" applyFont="1" applyFill="1" applyBorder="1" applyAlignment="1" applyProtection="1">
      <alignment vertical="center"/>
    </xf>
    <xf numFmtId="0" fontId="7" fillId="8" borderId="39" xfId="58" applyFont="1" applyFill="1" applyBorder="1" applyAlignment="1" applyProtection="1">
      <alignment horizontal="left" vertical="center"/>
    </xf>
    <xf numFmtId="0" fontId="7" fillId="8" borderId="4" xfId="58" applyFont="1" applyFill="1" applyBorder="1" applyAlignment="1" applyProtection="1">
      <alignment horizontal="left" vertical="center"/>
    </xf>
    <xf numFmtId="2" fontId="7" fillId="8" borderId="4" xfId="58" applyNumberFormat="1" applyFont="1" applyFill="1" applyBorder="1" applyAlignment="1" applyProtection="1">
      <alignment horizontal="left" vertical="center"/>
    </xf>
    <xf numFmtId="0" fontId="7" fillId="22" borderId="1" xfId="58" applyFont="1" applyFill="1" applyBorder="1" applyAlignment="1" applyProtection="1">
      <alignment horizontal="center" vertical="center"/>
      <protection locked="0"/>
    </xf>
    <xf numFmtId="0" fontId="7" fillId="22" borderId="9" xfId="58" applyFont="1" applyFill="1" applyBorder="1" applyAlignment="1" applyProtection="1">
      <alignment horizontal="center" vertical="center"/>
      <protection locked="0"/>
    </xf>
    <xf numFmtId="0" fontId="7" fillId="8" borderId="32" xfId="58" applyFont="1" applyFill="1" applyBorder="1" applyAlignment="1" applyProtection="1">
      <alignment horizontal="left" vertical="center"/>
    </xf>
    <xf numFmtId="0" fontId="7" fillId="8" borderId="39" xfId="58" applyFont="1" applyFill="1" applyBorder="1" applyAlignment="1" applyProtection="1">
      <alignment horizontal="center" vertical="center" wrapText="1"/>
    </xf>
    <xf numFmtId="9" fontId="7" fillId="8" borderId="4" xfId="94" applyFont="1" applyFill="1" applyBorder="1" applyAlignment="1" applyProtection="1">
      <alignment horizontal="center" vertical="center" wrapText="1"/>
    </xf>
    <xf numFmtId="9" fontId="7" fillId="8" borderId="32" xfId="94" applyFont="1" applyFill="1" applyBorder="1" applyAlignment="1" applyProtection="1">
      <alignment horizontal="center" vertical="center" wrapText="1"/>
    </xf>
    <xf numFmtId="0" fontId="7" fillId="8" borderId="4" xfId="58" applyFont="1" applyFill="1" applyBorder="1" applyAlignment="1" applyProtection="1">
      <alignment horizontal="center" vertical="center" wrapText="1"/>
    </xf>
    <xf numFmtId="0" fontId="7" fillId="8" borderId="32" xfId="58" applyFont="1" applyFill="1" applyBorder="1" applyAlignment="1" applyProtection="1">
      <alignment horizontal="center" vertical="center" wrapText="1"/>
    </xf>
    <xf numFmtId="0" fontId="7" fillId="8" borderId="39" xfId="58" applyFont="1" applyFill="1" applyBorder="1" applyAlignment="1" applyProtection="1">
      <alignment horizontal="left" vertical="center" wrapText="1"/>
    </xf>
    <xf numFmtId="0" fontId="7" fillId="8" borderId="4" xfId="58" applyFont="1" applyFill="1" applyBorder="1" applyAlignment="1" applyProtection="1">
      <alignment horizontal="left" vertical="center" wrapText="1"/>
    </xf>
    <xf numFmtId="2" fontId="7" fillId="8" borderId="24" xfId="58" applyNumberFormat="1" applyFont="1" applyFill="1" applyBorder="1" applyAlignment="1" applyProtection="1">
      <alignment vertical="center"/>
    </xf>
    <xf numFmtId="2" fontId="7" fillId="8" borderId="1" xfId="58" applyNumberFormat="1" applyFont="1" applyFill="1" applyBorder="1" applyAlignment="1" applyProtection="1">
      <alignment vertical="center"/>
    </xf>
    <xf numFmtId="2" fontId="7" fillId="8" borderId="4" xfId="58" applyNumberFormat="1" applyFont="1" applyFill="1" applyBorder="1" applyAlignment="1" applyProtection="1">
      <alignment vertical="center"/>
    </xf>
    <xf numFmtId="206" fontId="7" fillId="8" borderId="42" xfId="94" applyNumberFormat="1" applyFont="1" applyFill="1" applyBorder="1" applyAlignment="1" applyProtection="1">
      <alignment vertical="center"/>
    </xf>
    <xf numFmtId="206" fontId="7" fillId="8" borderId="9" xfId="94" applyNumberFormat="1" applyFont="1" applyFill="1" applyBorder="1" applyAlignment="1" applyProtection="1">
      <alignment vertical="center"/>
    </xf>
    <xf numFmtId="206" fontId="7" fillId="8" borderId="32" xfId="94" applyNumberFormat="1" applyFont="1" applyFill="1" applyBorder="1" applyAlignment="1" applyProtection="1">
      <alignment vertical="center"/>
    </xf>
    <xf numFmtId="201" fontId="7" fillId="8" borderId="38" xfId="58" applyNumberFormat="1" applyFont="1" applyFill="1" applyBorder="1" applyAlignment="1" applyProtection="1">
      <alignment vertical="center"/>
    </xf>
    <xf numFmtId="201" fontId="7" fillId="8" borderId="39" xfId="58" applyNumberFormat="1" applyFont="1" applyFill="1" applyBorder="1" applyAlignment="1" applyProtection="1">
      <alignment vertical="center"/>
    </xf>
    <xf numFmtId="201" fontId="7" fillId="8" borderId="1" xfId="58" applyNumberFormat="1" applyFont="1" applyFill="1" applyBorder="1" applyAlignment="1" applyProtection="1">
      <alignment vertical="center"/>
    </xf>
    <xf numFmtId="201" fontId="7" fillId="8" borderId="4" xfId="58" applyNumberFormat="1" applyFont="1" applyFill="1" applyBorder="1" applyAlignment="1" applyProtection="1">
      <alignment vertical="center"/>
    </xf>
    <xf numFmtId="0" fontId="7" fillId="66" borderId="44" xfId="58" applyFont="1" applyFill="1" applyBorder="1" applyAlignment="1" applyProtection="1">
      <alignment horizontal="left" vertical="center" wrapText="1" indent="1"/>
    </xf>
    <xf numFmtId="3" fontId="80" fillId="31" borderId="22" xfId="0" applyFont="1" applyFill="1" applyBorder="1" applyAlignment="1">
      <alignment horizontal="left" vertical="center" indent="1"/>
    </xf>
    <xf numFmtId="3" fontId="78" fillId="31" borderId="23" xfId="0" applyFont="1" applyFill="1" applyBorder="1">
      <alignment vertical="center"/>
    </xf>
    <xf numFmtId="3" fontId="78" fillId="31" borderId="24" xfId="0" applyFont="1" applyFill="1" applyBorder="1">
      <alignment vertical="center"/>
    </xf>
    <xf numFmtId="3" fontId="0" fillId="70" borderId="16" xfId="0" applyFill="1" applyBorder="1">
      <alignment vertical="center"/>
    </xf>
    <xf numFmtId="3" fontId="0" fillId="70" borderId="8" xfId="0" applyFill="1" applyBorder="1">
      <alignment vertical="center"/>
    </xf>
    <xf numFmtId="3" fontId="0" fillId="70" borderId="18" xfId="0" applyFill="1" applyBorder="1">
      <alignment vertical="center"/>
    </xf>
    <xf numFmtId="3" fontId="0" fillId="70" borderId="21" xfId="0" applyFill="1" applyBorder="1">
      <alignment vertical="center"/>
    </xf>
    <xf numFmtId="3" fontId="0" fillId="70" borderId="0" xfId="0" applyFill="1" applyBorder="1">
      <alignment vertical="center"/>
    </xf>
    <xf numFmtId="3" fontId="0" fillId="70" borderId="12" xfId="0" applyFill="1" applyBorder="1">
      <alignment vertical="center"/>
    </xf>
    <xf numFmtId="0" fontId="25" fillId="70" borderId="0" xfId="58" applyFont="1" applyFill="1" applyBorder="1" applyAlignment="1" applyProtection="1">
      <alignment vertical="center"/>
    </xf>
    <xf numFmtId="3" fontId="0" fillId="70" borderId="20" xfId="0" applyFill="1" applyBorder="1">
      <alignment vertical="center"/>
    </xf>
    <xf numFmtId="3" fontId="0" fillId="70" borderId="10" xfId="0" applyFill="1" applyBorder="1">
      <alignment vertical="center"/>
    </xf>
    <xf numFmtId="3" fontId="0" fillId="70" borderId="19" xfId="0" applyFill="1" applyBorder="1">
      <alignment vertical="center"/>
    </xf>
    <xf numFmtId="2" fontId="25" fillId="9" borderId="26" xfId="58" applyNumberFormat="1" applyFont="1" applyFill="1" applyBorder="1" applyAlignment="1" applyProtection="1">
      <alignment vertical="center"/>
    </xf>
    <xf numFmtId="2" fontId="25" fillId="9" borderId="77" xfId="58" applyNumberFormat="1" applyFont="1" applyFill="1" applyBorder="1" applyAlignment="1" applyProtection="1">
      <alignment vertical="center"/>
    </xf>
    <xf numFmtId="2" fontId="25" fillId="9" borderId="78" xfId="58" applyNumberFormat="1" applyFont="1" applyFill="1" applyBorder="1" applyAlignment="1" applyProtection="1">
      <alignment vertical="center"/>
    </xf>
    <xf numFmtId="2" fontId="25" fillId="9" borderId="41" xfId="58" applyNumberFormat="1" applyFont="1" applyFill="1" applyBorder="1" applyAlignment="1" applyProtection="1">
      <alignment vertical="center"/>
    </xf>
    <xf numFmtId="2" fontId="25" fillId="9" borderId="38" xfId="58" applyNumberFormat="1" applyFont="1" applyFill="1" applyBorder="1" applyAlignment="1" applyProtection="1">
      <alignment vertical="center"/>
    </xf>
    <xf numFmtId="2" fontId="25" fillId="9" borderId="39" xfId="58" applyNumberFormat="1" applyFont="1" applyFill="1" applyBorder="1" applyAlignment="1" applyProtection="1">
      <alignment vertical="center"/>
    </xf>
    <xf numFmtId="2" fontId="25" fillId="9" borderId="24" xfId="58" applyNumberFormat="1" applyFont="1" applyFill="1" applyBorder="1" applyAlignment="1" applyProtection="1">
      <alignment vertical="center"/>
    </xf>
    <xf numFmtId="2" fontId="25" fillId="9" borderId="1" xfId="58" applyNumberFormat="1" applyFont="1" applyFill="1" applyBorder="1" applyAlignment="1" applyProtection="1">
      <alignment vertical="center"/>
    </xf>
    <xf numFmtId="2" fontId="25" fillId="9" borderId="4" xfId="58" applyNumberFormat="1" applyFont="1" applyFill="1" applyBorder="1" applyAlignment="1" applyProtection="1">
      <alignment vertical="center"/>
    </xf>
    <xf numFmtId="206" fontId="25" fillId="9" borderId="42" xfId="94" applyNumberFormat="1" applyFont="1" applyFill="1" applyBorder="1" applyAlignment="1" applyProtection="1">
      <alignment vertical="center"/>
    </xf>
    <xf numFmtId="206" fontId="25" fillId="9" borderId="9" xfId="94" applyNumberFormat="1" applyFont="1" applyFill="1" applyBorder="1" applyAlignment="1" applyProtection="1">
      <alignment vertical="center"/>
    </xf>
    <xf numFmtId="206" fontId="25" fillId="9" borderId="32" xfId="94" applyNumberFormat="1" applyFont="1" applyFill="1" applyBorder="1" applyAlignment="1" applyProtection="1">
      <alignment vertical="center"/>
    </xf>
    <xf numFmtId="201" fontId="25" fillId="9" borderId="33" xfId="58" applyNumberFormat="1" applyFont="1" applyFill="1" applyBorder="1" applyAlignment="1" applyProtection="1">
      <alignment vertical="center"/>
    </xf>
    <xf numFmtId="201" fontId="25" fillId="9" borderId="38" xfId="58" applyNumberFormat="1" applyFont="1" applyFill="1" applyBorder="1" applyAlignment="1" applyProtection="1">
      <alignment vertical="center"/>
    </xf>
    <xf numFmtId="201" fontId="25" fillId="9" borderId="39" xfId="58" applyNumberFormat="1" applyFont="1" applyFill="1" applyBorder="1" applyAlignment="1" applyProtection="1">
      <alignment vertical="center"/>
    </xf>
    <xf numFmtId="201" fontId="25" fillId="9" borderId="2" xfId="58" applyNumberFormat="1" applyFont="1" applyFill="1" applyBorder="1" applyAlignment="1" applyProtection="1">
      <alignment vertical="center"/>
    </xf>
    <xf numFmtId="201" fontId="25" fillId="9" borderId="1" xfId="58" applyNumberFormat="1" applyFont="1" applyFill="1" applyBorder="1" applyAlignment="1" applyProtection="1">
      <alignment vertical="center"/>
    </xf>
    <xf numFmtId="201" fontId="25" fillId="9" borderId="4" xfId="58" applyNumberFormat="1" applyFont="1" applyFill="1" applyBorder="1" applyAlignment="1" applyProtection="1">
      <alignment vertical="center"/>
    </xf>
    <xf numFmtId="206" fontId="25" fillId="9" borderId="31" xfId="94" applyNumberFormat="1" applyFont="1" applyFill="1" applyBorder="1" applyAlignment="1" applyProtection="1">
      <alignment vertical="center"/>
    </xf>
    <xf numFmtId="2" fontId="25" fillId="9" borderId="9" xfId="58" applyNumberFormat="1" applyFont="1" applyFill="1" applyBorder="1" applyAlignment="1" applyProtection="1">
      <alignment vertical="center"/>
    </xf>
    <xf numFmtId="201" fontId="25" fillId="9" borderId="35" xfId="58" applyNumberFormat="1" applyFont="1" applyFill="1" applyBorder="1" applyAlignment="1" applyProtection="1">
      <alignment vertical="center"/>
    </xf>
    <xf numFmtId="201" fontId="25" fillId="9" borderId="56" xfId="58" applyNumberFormat="1" applyFont="1" applyFill="1" applyBorder="1" applyAlignment="1" applyProtection="1">
      <alignment vertical="center"/>
    </xf>
    <xf numFmtId="201" fontId="25" fillId="9" borderId="7" xfId="58" applyNumberFormat="1" applyFont="1" applyFill="1" applyBorder="1" applyAlignment="1" applyProtection="1">
      <alignment vertical="center"/>
    </xf>
    <xf numFmtId="201" fontId="25" fillId="9" borderId="57" xfId="58" applyNumberFormat="1" applyFont="1" applyFill="1" applyBorder="1" applyAlignment="1" applyProtection="1">
      <alignment vertical="center"/>
    </xf>
    <xf numFmtId="201" fontId="25" fillId="9" borderId="66" xfId="58" applyNumberFormat="1" applyFont="1" applyFill="1" applyBorder="1" applyAlignment="1" applyProtection="1">
      <alignment vertical="center"/>
    </xf>
    <xf numFmtId="201" fontId="25" fillId="9" borderId="58" xfId="58" applyNumberFormat="1" applyFont="1" applyFill="1" applyBorder="1" applyAlignment="1" applyProtection="1">
      <alignment vertical="center"/>
    </xf>
    <xf numFmtId="201" fontId="25" fillId="9" borderId="77" xfId="58" applyNumberFormat="1" applyFont="1" applyFill="1" applyBorder="1" applyAlignment="1" applyProtection="1">
      <alignment vertical="center"/>
    </xf>
    <xf numFmtId="201" fontId="25" fillId="9" borderId="78" xfId="58" applyNumberFormat="1" applyFont="1" applyFill="1" applyBorder="1" applyAlignment="1" applyProtection="1">
      <alignment vertical="center"/>
    </xf>
    <xf numFmtId="0" fontId="25" fillId="9" borderId="39" xfId="58" applyFont="1" applyFill="1" applyBorder="1" applyAlignment="1" applyProtection="1">
      <alignment horizontal="left" vertical="center" wrapText="1"/>
    </xf>
    <xf numFmtId="0" fontId="25" fillId="9" borderId="4" xfId="58" applyFont="1" applyFill="1" applyBorder="1" applyAlignment="1" applyProtection="1">
      <alignment horizontal="left" vertical="center" wrapText="1"/>
    </xf>
    <xf numFmtId="2" fontId="25" fillId="9" borderId="4" xfId="58" applyNumberFormat="1" applyFont="1" applyFill="1" applyBorder="1" applyAlignment="1" applyProtection="1">
      <alignment horizontal="left" vertical="center" wrapText="1"/>
    </xf>
    <xf numFmtId="0" fontId="25" fillId="9" borderId="32" xfId="58" applyFont="1" applyFill="1" applyBorder="1" applyAlignment="1" applyProtection="1">
      <alignment horizontal="left" vertical="center" wrapText="1"/>
    </xf>
    <xf numFmtId="0" fontId="25" fillId="9" borderId="39" xfId="58" applyFont="1" applyFill="1" applyBorder="1" applyAlignment="1" applyProtection="1">
      <alignment horizontal="center" vertical="center" wrapText="1"/>
    </xf>
    <xf numFmtId="0" fontId="25" fillId="9" borderId="48" xfId="58" applyFont="1" applyFill="1" applyBorder="1" applyAlignment="1" applyProtection="1">
      <alignment horizontal="center" vertical="center" wrapText="1"/>
    </xf>
    <xf numFmtId="0" fontId="25" fillId="9" borderId="4" xfId="58" applyFont="1" applyFill="1" applyBorder="1" applyAlignment="1" applyProtection="1">
      <alignment horizontal="center" vertical="center" wrapText="1"/>
    </xf>
    <xf numFmtId="2" fontId="25" fillId="9" borderId="32" xfId="58" applyNumberFormat="1" applyFont="1" applyFill="1" applyBorder="1" applyAlignment="1" applyProtection="1">
      <alignment horizontal="center" vertical="center" wrapText="1"/>
    </xf>
    <xf numFmtId="0" fontId="25" fillId="9" borderId="32" xfId="58" applyFont="1" applyFill="1" applyBorder="1" applyAlignment="1" applyProtection="1">
      <alignment horizontal="center" vertical="center" wrapText="1"/>
    </xf>
    <xf numFmtId="0" fontId="25" fillId="9" borderId="39" xfId="58" applyFont="1" applyFill="1" applyBorder="1" applyAlignment="1" applyProtection="1">
      <alignment vertical="center" wrapText="1"/>
    </xf>
    <xf numFmtId="0" fontId="25" fillId="9" borderId="4" xfId="58" applyFont="1" applyFill="1" applyBorder="1" applyAlignment="1" applyProtection="1">
      <alignment vertical="center" wrapText="1"/>
    </xf>
    <xf numFmtId="0" fontId="25" fillId="9" borderId="32" xfId="58" applyFont="1" applyFill="1" applyBorder="1" applyAlignment="1" applyProtection="1">
      <alignment vertical="center" wrapText="1"/>
    </xf>
    <xf numFmtId="0" fontId="25" fillId="70" borderId="0" xfId="58" applyFont="1" applyFill="1" applyBorder="1" applyAlignment="1" applyProtection="1">
      <alignment vertical="center" wrapText="1"/>
    </xf>
    <xf numFmtId="0" fontId="13" fillId="70" borderId="0" xfId="44" quotePrefix="1" applyFill="1" applyBorder="1" applyAlignment="1" applyProtection="1">
      <alignment vertical="center" wrapText="1"/>
    </xf>
    <xf numFmtId="0" fontId="25" fillId="70" borderId="0" xfId="58" applyFont="1" applyFill="1" applyBorder="1" applyAlignment="1" applyProtection="1">
      <alignment horizontal="left" vertical="center" wrapText="1"/>
    </xf>
    <xf numFmtId="0" fontId="13" fillId="70" borderId="0" xfId="44" quotePrefix="1" applyFill="1" applyBorder="1" applyAlignment="1" applyProtection="1">
      <alignment horizontal="right" vertical="center" wrapText="1"/>
    </xf>
    <xf numFmtId="3" fontId="13" fillId="70" borderId="0" xfId="44" quotePrefix="1" applyNumberFormat="1" applyFill="1" applyBorder="1" applyAlignment="1" applyProtection="1">
      <alignment horizontal="right" vertical="center" wrapText="1"/>
    </xf>
    <xf numFmtId="3" fontId="0" fillId="70" borderId="0" xfId="0" applyFill="1" applyBorder="1" applyAlignment="1">
      <alignment vertical="center" wrapText="1"/>
    </xf>
    <xf numFmtId="0" fontId="25" fillId="70" borderId="10" xfId="58" applyFont="1" applyFill="1" applyBorder="1" applyAlignment="1" applyProtection="1">
      <alignment vertical="center" wrapText="1"/>
    </xf>
    <xf numFmtId="0" fontId="25" fillId="70" borderId="0" xfId="58" applyFont="1" applyFill="1" applyBorder="1" applyAlignment="1" applyProtection="1">
      <alignment horizontal="center" vertical="center" wrapText="1"/>
    </xf>
    <xf numFmtId="0" fontId="26" fillId="70" borderId="0" xfId="58" applyFont="1" applyFill="1" applyBorder="1" applyAlignment="1" applyProtection="1">
      <alignment vertical="center" wrapText="1"/>
    </xf>
    <xf numFmtId="0" fontId="13" fillId="70" borderId="10" xfId="44" quotePrefix="1" applyFill="1" applyBorder="1" applyAlignment="1" applyProtection="1">
      <alignment horizontal="right" vertical="center" wrapText="1"/>
    </xf>
    <xf numFmtId="0" fontId="25" fillId="9" borderId="24" xfId="58" applyFont="1" applyFill="1" applyBorder="1" applyAlignment="1" applyProtection="1">
      <alignment horizontal="center" vertical="center"/>
    </xf>
    <xf numFmtId="195" fontId="25" fillId="9" borderId="39" xfId="58" applyNumberFormat="1" applyFont="1" applyFill="1" applyBorder="1" applyAlignment="1" applyProtection="1">
      <alignment horizontal="left" vertical="center"/>
    </xf>
    <xf numFmtId="195" fontId="25" fillId="9" borderId="4" xfId="58" applyNumberFormat="1" applyFont="1" applyFill="1" applyBorder="1" applyAlignment="1" applyProtection="1">
      <alignment horizontal="left" vertical="center"/>
    </xf>
    <xf numFmtId="0" fontId="25" fillId="9" borderId="4" xfId="58" applyFont="1" applyFill="1" applyBorder="1" applyAlignment="1" applyProtection="1">
      <alignment horizontal="left" vertical="center"/>
    </xf>
    <xf numFmtId="0" fontId="25" fillId="9" borderId="32" xfId="58" applyFont="1" applyFill="1" applyBorder="1" applyAlignment="1" applyProtection="1">
      <alignment horizontal="left" vertical="center"/>
    </xf>
    <xf numFmtId="2" fontId="25" fillId="9" borderId="4" xfId="58" applyNumberFormat="1" applyFont="1" applyFill="1" applyBorder="1" applyAlignment="1" applyProtection="1">
      <alignment horizontal="left" vertical="center"/>
    </xf>
    <xf numFmtId="0" fontId="25" fillId="9" borderId="42" xfId="58" applyFont="1" applyFill="1" applyBorder="1" applyAlignment="1" applyProtection="1">
      <alignment horizontal="center" vertical="center"/>
    </xf>
    <xf numFmtId="9" fontId="25" fillId="9" borderId="4" xfId="94" applyFont="1" applyFill="1" applyBorder="1" applyAlignment="1" applyProtection="1">
      <alignment horizontal="center" vertical="center" wrapText="1"/>
    </xf>
    <xf numFmtId="9" fontId="25" fillId="9" borderId="32" xfId="94" applyFont="1" applyFill="1" applyBorder="1" applyAlignment="1" applyProtection="1">
      <alignment horizontal="center" vertical="center" wrapText="1"/>
    </xf>
    <xf numFmtId="2" fontId="25" fillId="9" borderId="32" xfId="58" applyNumberFormat="1" applyFont="1" applyFill="1" applyBorder="1" applyAlignment="1" applyProtection="1">
      <alignment horizontal="center" vertical="center"/>
    </xf>
    <xf numFmtId="201" fontId="25" fillId="9" borderId="41" xfId="58" applyNumberFormat="1" applyFont="1" applyFill="1" applyBorder="1" applyAlignment="1" applyProtection="1">
      <alignment vertical="center"/>
    </xf>
    <xf numFmtId="201" fontId="25" fillId="9" borderId="24" xfId="58" applyNumberFormat="1" applyFont="1" applyFill="1" applyBorder="1" applyAlignment="1" applyProtection="1">
      <alignment vertical="center"/>
    </xf>
    <xf numFmtId="0" fontId="78" fillId="60" borderId="21" xfId="58" applyFont="1" applyFill="1" applyBorder="1" applyAlignment="1" applyProtection="1">
      <alignment vertical="center"/>
    </xf>
    <xf numFmtId="0" fontId="83" fillId="60" borderId="0" xfId="58" applyFont="1" applyFill="1" applyBorder="1" applyAlignment="1" applyProtection="1">
      <alignment horizontal="left" vertical="center"/>
    </xf>
    <xf numFmtId="0" fontId="78" fillId="60" borderId="0" xfId="58" applyFont="1" applyFill="1" applyBorder="1" applyAlignment="1" applyProtection="1">
      <alignment vertical="center"/>
    </xf>
    <xf numFmtId="0" fontId="78" fillId="60" borderId="12" xfId="58" applyFont="1" applyFill="1" applyBorder="1" applyAlignment="1" applyProtection="1">
      <alignment vertical="center"/>
    </xf>
    <xf numFmtId="0" fontId="7" fillId="8" borderId="42" xfId="58" applyFont="1" applyFill="1" applyBorder="1" applyAlignment="1" applyProtection="1">
      <alignment horizontal="center" vertical="center"/>
    </xf>
    <xf numFmtId="0" fontId="7" fillId="8" borderId="24" xfId="58" applyFont="1" applyFill="1" applyBorder="1" applyAlignment="1" applyProtection="1">
      <alignment horizontal="center" vertical="center"/>
    </xf>
    <xf numFmtId="0" fontId="7" fillId="8" borderId="41" xfId="58" applyFont="1" applyFill="1" applyBorder="1" applyAlignment="1" applyProtection="1">
      <alignment horizontal="center" vertical="center"/>
    </xf>
    <xf numFmtId="0" fontId="25" fillId="9" borderId="4" xfId="58" applyFont="1" applyFill="1" applyBorder="1" applyAlignment="1" applyProtection="1">
      <alignment horizontal="center" vertical="center" wrapText="1"/>
    </xf>
    <xf numFmtId="0" fontId="25" fillId="9" borderId="32" xfId="58" applyFont="1" applyFill="1" applyBorder="1" applyAlignment="1" applyProtection="1">
      <alignment horizontal="center" vertical="center" wrapText="1"/>
    </xf>
    <xf numFmtId="0" fontId="25" fillId="9" borderId="39" xfId="58" applyFont="1" applyFill="1" applyBorder="1" applyAlignment="1" applyProtection="1">
      <alignment horizontal="center" vertical="center" wrapText="1"/>
    </xf>
    <xf numFmtId="2" fontId="25" fillId="9" borderId="56" xfId="58" applyNumberFormat="1" applyFont="1" applyFill="1" applyBorder="1" applyAlignment="1" applyProtection="1">
      <alignment vertical="center"/>
    </xf>
    <xf numFmtId="2" fontId="25" fillId="9" borderId="57" xfId="58" applyNumberFormat="1" applyFont="1" applyFill="1" applyBorder="1" applyAlignment="1" applyProtection="1">
      <alignment vertical="center"/>
    </xf>
    <xf numFmtId="2" fontId="25" fillId="9" borderId="58" xfId="58" applyNumberFormat="1" applyFont="1" applyFill="1" applyBorder="1" applyAlignment="1" applyProtection="1">
      <alignment vertical="center"/>
    </xf>
    <xf numFmtId="0" fontId="79" fillId="63" borderId="0" xfId="473" applyFont="1" applyBorder="1" applyAlignment="1" applyProtection="1">
      <alignment horizontal="left" vertical="center"/>
    </xf>
    <xf numFmtId="0" fontId="80" fillId="77" borderId="35" xfId="58" applyFont="1" applyFill="1" applyBorder="1" applyAlignment="1" applyProtection="1">
      <alignment horizontal="left" vertical="center" indent="1"/>
    </xf>
    <xf numFmtId="0" fontId="80" fillId="77" borderId="26" xfId="58" applyFont="1" applyFill="1" applyBorder="1" applyAlignment="1" applyProtection="1">
      <alignment horizontal="center" vertical="center"/>
    </xf>
    <xf numFmtId="0" fontId="78" fillId="77" borderId="43" xfId="58" applyFont="1" applyFill="1" applyBorder="1" applyAlignment="1" applyProtection="1">
      <alignment horizontal="left" vertical="center" wrapText="1" indent="1"/>
    </xf>
    <xf numFmtId="0" fontId="78" fillId="77" borderId="44" xfId="58" applyFont="1" applyFill="1" applyBorder="1" applyAlignment="1" applyProtection="1">
      <alignment horizontal="left" vertical="center" wrapText="1" indent="1"/>
    </xf>
    <xf numFmtId="0" fontId="78" fillId="77" borderId="45" xfId="58" applyFont="1" applyFill="1" applyBorder="1" applyAlignment="1" applyProtection="1">
      <alignment horizontal="left" vertical="center" wrapText="1" indent="1"/>
    </xf>
    <xf numFmtId="0" fontId="78" fillId="77" borderId="58" xfId="58" applyFont="1" applyFill="1" applyBorder="1" applyAlignment="1" applyProtection="1">
      <alignment horizontal="left" vertical="center" wrapText="1" indent="1"/>
    </xf>
    <xf numFmtId="0" fontId="80" fillId="77" borderId="49" xfId="58" applyFont="1" applyFill="1" applyBorder="1" applyAlignment="1" applyProtection="1">
      <alignment vertical="center"/>
    </xf>
    <xf numFmtId="0" fontId="80" fillId="77" borderId="50" xfId="58" applyFont="1" applyFill="1" applyBorder="1" applyAlignment="1" applyProtection="1">
      <alignment vertical="center"/>
    </xf>
    <xf numFmtId="0" fontId="78" fillId="77" borderId="59" xfId="58" applyFont="1" applyFill="1" applyBorder="1" applyAlignment="1" applyProtection="1">
      <alignment horizontal="left" vertical="center" wrapText="1" indent="1"/>
    </xf>
    <xf numFmtId="0" fontId="7" fillId="8" borderId="19" xfId="58" applyFont="1" applyFill="1" applyBorder="1" applyAlignment="1" applyProtection="1">
      <alignment horizontal="center" vertical="center"/>
    </xf>
    <xf numFmtId="0" fontId="7" fillId="8" borderId="48" xfId="58" applyFont="1" applyFill="1" applyBorder="1" applyAlignment="1" applyProtection="1">
      <alignment horizontal="center" vertical="center" wrapText="1"/>
    </xf>
    <xf numFmtId="0" fontId="80" fillId="77" borderId="46" xfId="58" applyFont="1" applyFill="1" applyBorder="1" applyAlignment="1" applyProtection="1">
      <alignment horizontal="left" vertical="center" wrapText="1" indent="1"/>
    </xf>
    <xf numFmtId="0" fontId="80" fillId="77" borderId="15" xfId="58" applyFont="1" applyFill="1" applyBorder="1" applyAlignment="1" applyProtection="1">
      <alignment horizontal="center" vertical="center"/>
    </xf>
    <xf numFmtId="0" fontId="26" fillId="77" borderId="47" xfId="58" applyFont="1" applyFill="1" applyBorder="1" applyAlignment="1" applyProtection="1">
      <alignment horizontal="center" vertical="center"/>
    </xf>
    <xf numFmtId="0" fontId="25" fillId="9" borderId="5" xfId="58" applyFont="1" applyFill="1" applyBorder="1" applyAlignment="1" applyProtection="1">
      <alignment horizontal="center" vertical="center"/>
    </xf>
    <xf numFmtId="0" fontId="25" fillId="9" borderId="19" xfId="58" applyFont="1" applyFill="1" applyBorder="1" applyAlignment="1" applyProtection="1">
      <alignment horizontal="center" vertical="center"/>
    </xf>
    <xf numFmtId="0" fontId="25" fillId="8" borderId="48" xfId="58" applyFont="1" applyFill="1" applyBorder="1" applyAlignment="1" applyProtection="1">
      <alignment vertical="center" wrapText="1"/>
    </xf>
    <xf numFmtId="0" fontId="80" fillId="77" borderId="46" xfId="58" applyFont="1" applyFill="1" applyBorder="1" applyAlignment="1" applyProtection="1">
      <alignment horizontal="left" vertical="center" indent="1"/>
    </xf>
    <xf numFmtId="0" fontId="80" fillId="77" borderId="35" xfId="58" applyFont="1" applyFill="1" applyBorder="1" applyAlignment="1" applyProtection="1">
      <alignment horizontal="center" vertical="center"/>
    </xf>
    <xf numFmtId="0" fontId="80" fillId="77" borderId="27" xfId="58" applyFont="1" applyFill="1" applyBorder="1" applyAlignment="1" applyProtection="1">
      <alignment horizontal="center" vertical="center"/>
    </xf>
    <xf numFmtId="0" fontId="78" fillId="77" borderId="30" xfId="58" applyFont="1" applyFill="1" applyBorder="1" applyAlignment="1" applyProtection="1">
      <alignment horizontal="left" vertical="center"/>
    </xf>
    <xf numFmtId="0" fontId="78" fillId="77" borderId="81" xfId="58" applyFont="1" applyFill="1" applyBorder="1" applyAlignment="1" applyProtection="1">
      <alignment horizontal="left" vertical="center"/>
    </xf>
    <xf numFmtId="0" fontId="78" fillId="77" borderId="82" xfId="58" applyFont="1" applyFill="1" applyBorder="1" applyAlignment="1" applyProtection="1">
      <alignment horizontal="left" vertical="center"/>
    </xf>
    <xf numFmtId="0" fontId="78" fillId="77" borderId="48" xfId="58" applyFont="1" applyFill="1" applyBorder="1" applyAlignment="1" applyProtection="1">
      <alignment horizontal="left" vertical="center"/>
    </xf>
    <xf numFmtId="0" fontId="78" fillId="77" borderId="31" xfId="58" applyFont="1" applyFill="1" applyBorder="1" applyAlignment="1" applyProtection="1">
      <alignment horizontal="left" vertical="center"/>
    </xf>
    <xf numFmtId="0" fontId="78" fillId="77" borderId="32" xfId="58" applyFont="1" applyFill="1" applyBorder="1" applyAlignment="1" applyProtection="1">
      <alignment horizontal="left" vertical="center"/>
    </xf>
    <xf numFmtId="0" fontId="80" fillId="77" borderId="38" xfId="58" applyFont="1" applyFill="1" applyBorder="1" applyAlignment="1" applyProtection="1">
      <alignment vertical="center"/>
    </xf>
    <xf numFmtId="0" fontId="78" fillId="77" borderId="9" xfId="58" applyFont="1" applyFill="1" applyBorder="1" applyAlignment="1" applyProtection="1">
      <alignment horizontal="right" vertical="center"/>
    </xf>
    <xf numFmtId="0" fontId="78" fillId="77" borderId="32" xfId="58" applyFont="1" applyFill="1" applyBorder="1" applyAlignment="1" applyProtection="1">
      <alignment horizontal="right" vertical="center"/>
    </xf>
    <xf numFmtId="0" fontId="78" fillId="77" borderId="56" xfId="58" applyFont="1" applyFill="1" applyBorder="1" applyAlignment="1" applyProtection="1">
      <alignment vertical="center"/>
    </xf>
    <xf numFmtId="0" fontId="78" fillId="77" borderId="57" xfId="58" applyFont="1" applyFill="1" applyBorder="1" applyAlignment="1" applyProtection="1">
      <alignment vertical="center"/>
    </xf>
    <xf numFmtId="0" fontId="78" fillId="77" borderId="58" xfId="58" applyFont="1" applyFill="1" applyBorder="1" applyAlignment="1" applyProtection="1">
      <alignment vertical="center"/>
    </xf>
    <xf numFmtId="0" fontId="78" fillId="77" borderId="43" xfId="58" applyFont="1" applyFill="1" applyBorder="1" applyAlignment="1" applyProtection="1">
      <alignment horizontal="left" vertical="center" wrapText="1"/>
    </xf>
    <xf numFmtId="0" fontId="78" fillId="77" borderId="44" xfId="58" applyFont="1" applyFill="1" applyBorder="1" applyAlignment="1" applyProtection="1">
      <alignment horizontal="left" vertical="center" wrapText="1"/>
    </xf>
    <xf numFmtId="0" fontId="78" fillId="77" borderId="45" xfId="58" applyFont="1" applyFill="1" applyBorder="1" applyAlignment="1" applyProtection="1">
      <alignment horizontal="left" vertical="center" wrapText="1"/>
    </xf>
    <xf numFmtId="0" fontId="80" fillId="77" borderId="15" xfId="58" applyFont="1" applyFill="1" applyBorder="1" applyAlignment="1" applyProtection="1">
      <alignment horizontal="left" vertical="center" wrapText="1"/>
    </xf>
    <xf numFmtId="3" fontId="0" fillId="0" borderId="0" xfId="0" applyFill="1" applyBorder="1" applyProtection="1">
      <alignment vertical="center"/>
    </xf>
    <xf numFmtId="3" fontId="0" fillId="0" borderId="0" xfId="0" applyFill="1" applyBorder="1" applyAlignment="1" applyProtection="1">
      <alignment horizontal="left" vertical="center" indent="1"/>
    </xf>
    <xf numFmtId="3" fontId="82" fillId="31" borderId="0" xfId="0" applyFont="1" applyFill="1" applyBorder="1" applyAlignment="1" applyProtection="1">
      <alignment horizontal="left" vertical="center" indent="1"/>
    </xf>
    <xf numFmtId="3" fontId="0" fillId="78" borderId="0" xfId="0" applyFill="1" applyBorder="1" applyProtection="1">
      <alignment vertical="center"/>
    </xf>
    <xf numFmtId="3" fontId="0" fillId="78" borderId="0" xfId="0" applyFill="1" applyBorder="1" applyAlignment="1" applyProtection="1">
      <alignment horizontal="left" vertical="center" indent="1"/>
    </xf>
    <xf numFmtId="3" fontId="10" fillId="78" borderId="0" xfId="0" applyFont="1" applyFill="1" applyBorder="1" applyAlignment="1" applyProtection="1">
      <alignment horizontal="left" vertical="center" wrapText="1" indent="1"/>
    </xf>
    <xf numFmtId="3" fontId="15" fillId="78" borderId="0" xfId="0" applyFont="1" applyFill="1" applyBorder="1" applyAlignment="1" applyProtection="1">
      <alignment horizontal="left" vertical="top" wrapText="1" indent="1"/>
    </xf>
    <xf numFmtId="3" fontId="10" fillId="78" borderId="0" xfId="0" applyFont="1" applyFill="1" applyBorder="1" applyAlignment="1" applyProtection="1">
      <alignment horizontal="left" vertical="top" wrapText="1" indent="1"/>
    </xf>
    <xf numFmtId="3" fontId="15" fillId="78" borderId="0" xfId="0" applyFont="1" applyFill="1" applyBorder="1" applyAlignment="1" applyProtection="1">
      <alignment horizontal="left" vertical="center" wrapText="1" indent="1"/>
    </xf>
    <xf numFmtId="3" fontId="13" fillId="78" borderId="0" xfId="44" applyNumberFormat="1" applyFill="1" applyBorder="1" applyAlignment="1" applyProtection="1">
      <alignment horizontal="left" vertical="center" wrapText="1" indent="1"/>
    </xf>
    <xf numFmtId="3" fontId="0" fillId="0" borderId="85" xfId="0" applyFill="1" applyBorder="1" applyProtection="1">
      <alignment vertical="center"/>
    </xf>
    <xf numFmtId="3" fontId="0" fillId="31" borderId="0" xfId="0" applyFill="1" applyBorder="1" applyProtection="1">
      <alignment vertical="center"/>
    </xf>
    <xf numFmtId="0" fontId="78" fillId="77" borderId="33" xfId="58" applyFont="1" applyFill="1" applyBorder="1" applyAlignment="1" applyProtection="1">
      <alignment horizontal="left" vertical="center" wrapText="1"/>
    </xf>
    <xf numFmtId="0" fontId="78" fillId="77" borderId="2" xfId="58" applyFont="1" applyFill="1" applyBorder="1" applyAlignment="1" applyProtection="1">
      <alignment horizontal="left" vertical="center" wrapText="1"/>
    </xf>
    <xf numFmtId="0" fontId="78" fillId="77" borderId="31" xfId="58" applyFont="1" applyFill="1" applyBorder="1" applyAlignment="1" applyProtection="1">
      <alignment horizontal="left" vertical="center" wrapText="1"/>
    </xf>
    <xf numFmtId="0" fontId="33" fillId="20" borderId="10" xfId="58" applyFont="1" applyFill="1" applyBorder="1" applyAlignment="1" applyProtection="1">
      <alignment horizontal="left" vertical="center" indent="1"/>
    </xf>
    <xf numFmtId="3" fontId="0" fillId="79" borderId="0" xfId="0" applyFill="1" applyProtection="1">
      <alignment vertical="center"/>
    </xf>
    <xf numFmtId="0" fontId="25" fillId="79" borderId="0" xfId="58" applyFont="1" applyFill="1" applyAlignment="1" applyProtection="1">
      <alignment vertical="center"/>
    </xf>
    <xf numFmtId="3" fontId="0" fillId="79" borderId="0" xfId="0" applyFill="1">
      <alignment vertical="center"/>
    </xf>
    <xf numFmtId="3" fontId="0" fillId="70" borderId="79" xfId="0" applyFill="1" applyBorder="1">
      <alignment vertical="center"/>
    </xf>
    <xf numFmtId="3" fontId="78" fillId="31" borderId="18" xfId="0" applyFont="1" applyFill="1" applyBorder="1">
      <alignment vertical="center"/>
    </xf>
    <xf numFmtId="0" fontId="25" fillId="70" borderId="12" xfId="58" applyFont="1" applyFill="1" applyBorder="1" applyAlignment="1" applyProtection="1">
      <alignment vertical="center"/>
    </xf>
    <xf numFmtId="0" fontId="25" fillId="70" borderId="19" xfId="58" applyFont="1" applyFill="1" applyBorder="1" applyAlignment="1" applyProtection="1">
      <alignment vertical="center"/>
    </xf>
    <xf numFmtId="3" fontId="0" fillId="70" borderId="67" xfId="0" applyFill="1" applyBorder="1">
      <alignment vertical="center"/>
    </xf>
    <xf numFmtId="0" fontId="25" fillId="79" borderId="0" xfId="58" applyFont="1" applyFill="1" applyBorder="1" applyAlignment="1" applyProtection="1">
      <alignment vertical="center"/>
    </xf>
    <xf numFmtId="2" fontId="25" fillId="24" borderId="8" xfId="58" applyNumberFormat="1" applyFont="1" applyFill="1" applyBorder="1" applyAlignment="1" applyProtection="1">
      <alignment horizontal="center" vertical="center"/>
    </xf>
    <xf numFmtId="2" fontId="25" fillId="24" borderId="0" xfId="58" applyNumberFormat="1" applyFont="1" applyFill="1" applyBorder="1" applyAlignment="1" applyProtection="1">
      <alignment horizontal="center" vertical="center"/>
    </xf>
    <xf numFmtId="2" fontId="25" fillId="24" borderId="10" xfId="58" applyNumberFormat="1" applyFont="1" applyFill="1" applyBorder="1" applyAlignment="1" applyProtection="1">
      <alignment horizontal="center" vertical="center"/>
    </xf>
    <xf numFmtId="2" fontId="25" fillId="24" borderId="16" xfId="58" applyNumberFormat="1" applyFont="1" applyFill="1" applyBorder="1" applyAlignment="1" applyProtection="1">
      <alignment horizontal="center" vertical="center"/>
    </xf>
    <xf numFmtId="2" fontId="25" fillId="24" borderId="18" xfId="58" applyNumberFormat="1" applyFont="1" applyFill="1" applyBorder="1" applyAlignment="1" applyProtection="1">
      <alignment horizontal="center" vertical="center"/>
    </xf>
    <xf numFmtId="2" fontId="25" fillId="24" borderId="21" xfId="58" applyNumberFormat="1" applyFont="1" applyFill="1" applyBorder="1" applyAlignment="1" applyProtection="1">
      <alignment horizontal="center" vertical="center"/>
    </xf>
    <xf numFmtId="2" fontId="25" fillId="24" borderId="12" xfId="58" applyNumberFormat="1" applyFont="1" applyFill="1" applyBorder="1" applyAlignment="1" applyProtection="1">
      <alignment horizontal="center" vertical="center"/>
    </xf>
    <xf numFmtId="2" fontId="25" fillId="24" borderId="20" xfId="58" applyNumberFormat="1" applyFont="1" applyFill="1" applyBorder="1" applyAlignment="1" applyProtection="1">
      <alignment horizontal="center" vertical="center"/>
    </xf>
    <xf numFmtId="2" fontId="25" fillId="24" borderId="19" xfId="58" applyNumberFormat="1" applyFont="1" applyFill="1" applyBorder="1" applyAlignment="1" applyProtection="1">
      <alignment horizontal="center" vertical="center"/>
    </xf>
    <xf numFmtId="206" fontId="25" fillId="24" borderId="22" xfId="94" applyNumberFormat="1" applyFont="1" applyFill="1" applyBorder="1" applyAlignment="1" applyProtection="1">
      <alignment horizontal="center" vertical="center"/>
    </xf>
    <xf numFmtId="206" fontId="25" fillId="24" borderId="23" xfId="58" applyNumberFormat="1" applyFont="1" applyFill="1" applyBorder="1" applyAlignment="1" applyProtection="1">
      <alignment horizontal="center" vertical="center"/>
    </xf>
    <xf numFmtId="206" fontId="25" fillId="24" borderId="24" xfId="58" applyNumberFormat="1" applyFont="1" applyFill="1" applyBorder="1" applyAlignment="1" applyProtection="1">
      <alignment horizontal="center" vertical="center"/>
    </xf>
    <xf numFmtId="3" fontId="15" fillId="0" borderId="0" xfId="56" applyFont="1" applyAlignment="1" applyProtection="1">
      <alignment horizontal="center"/>
    </xf>
    <xf numFmtId="3" fontId="10" fillId="17" borderId="1" xfId="55" applyFill="1" applyBorder="1" applyAlignment="1" applyProtection="1">
      <alignment horizontal="center"/>
    </xf>
    <xf numFmtId="3" fontId="15" fillId="0" borderId="0" xfId="0" applyFont="1" applyAlignment="1">
      <alignment horizontal="left"/>
    </xf>
    <xf numFmtId="3" fontId="15" fillId="17" borderId="5" xfId="55" applyFont="1" applyFill="1" applyBorder="1" applyAlignment="1" applyProtection="1">
      <alignment horizontal="center"/>
    </xf>
    <xf numFmtId="3" fontId="10" fillId="0" borderId="10" xfId="56" applyBorder="1" applyAlignment="1" applyProtection="1">
      <alignment horizontal="center"/>
    </xf>
    <xf numFmtId="3" fontId="0" fillId="0" borderId="10" xfId="0" applyBorder="1">
      <alignment vertical="center"/>
    </xf>
    <xf numFmtId="0" fontId="77" fillId="0" borderId="16" xfId="472" applyFont="1" applyFill="1" applyBorder="1" applyAlignment="1" applyProtection="1">
      <alignment vertical="center"/>
    </xf>
    <xf numFmtId="0" fontId="77" fillId="0" borderId="8" xfId="472" applyFont="1" applyFill="1" applyBorder="1" applyAlignment="1" applyProtection="1">
      <alignment vertical="center"/>
    </xf>
    <xf numFmtId="0" fontId="77" fillId="0" borderId="8" xfId="472" applyFont="1" applyFill="1" applyBorder="1" applyAlignment="1" applyProtection="1">
      <alignment horizontal="center" vertical="center"/>
    </xf>
    <xf numFmtId="0" fontId="77" fillId="0" borderId="18" xfId="472" applyFont="1" applyFill="1" applyBorder="1" applyAlignment="1" applyProtection="1">
      <alignment vertical="center"/>
    </xf>
    <xf numFmtId="0" fontId="77" fillId="0" borderId="21" xfId="472" applyFont="1" applyFill="1" applyBorder="1" applyAlignment="1" applyProtection="1">
      <alignment vertical="center"/>
    </xf>
    <xf numFmtId="0" fontId="77" fillId="0" borderId="0" xfId="472" applyFont="1" applyFill="1" applyBorder="1" applyAlignment="1" applyProtection="1">
      <alignment vertical="center"/>
    </xf>
    <xf numFmtId="0" fontId="77" fillId="0" borderId="0" xfId="472" applyFont="1" applyFill="1" applyBorder="1" applyAlignment="1" applyProtection="1">
      <alignment horizontal="center" vertical="center"/>
    </xf>
    <xf numFmtId="0" fontId="77" fillId="0" borderId="12" xfId="472" applyFont="1" applyFill="1" applyBorder="1" applyAlignment="1" applyProtection="1">
      <alignment vertical="center"/>
    </xf>
    <xf numFmtId="0" fontId="25" fillId="79" borderId="16" xfId="58" applyFont="1" applyFill="1" applyBorder="1" applyAlignment="1" applyProtection="1">
      <alignment vertical="center"/>
    </xf>
    <xf numFmtId="0" fontId="78" fillId="79" borderId="8" xfId="58" applyFont="1" applyFill="1" applyBorder="1" applyAlignment="1" applyProtection="1">
      <alignment vertical="center"/>
    </xf>
    <xf numFmtId="0" fontId="78" fillId="79" borderId="8" xfId="58" applyFont="1" applyFill="1" applyBorder="1" applyAlignment="1" applyProtection="1">
      <alignment horizontal="center" vertical="center"/>
    </xf>
    <xf numFmtId="0" fontId="78" fillId="79" borderId="18" xfId="58" applyFont="1" applyFill="1" applyBorder="1" applyAlignment="1" applyProtection="1">
      <alignment vertical="center"/>
    </xf>
    <xf numFmtId="0" fontId="25" fillId="79" borderId="21" xfId="58" applyFont="1" applyFill="1" applyBorder="1" applyAlignment="1" applyProtection="1">
      <alignment vertical="center"/>
    </xf>
    <xf numFmtId="0" fontId="78" fillId="79" borderId="0" xfId="58" applyFont="1" applyFill="1" applyBorder="1" applyAlignment="1" applyProtection="1">
      <alignment vertical="center"/>
    </xf>
    <xf numFmtId="0" fontId="78" fillId="79" borderId="0" xfId="58" applyFont="1" applyFill="1" applyBorder="1" applyAlignment="1" applyProtection="1">
      <alignment horizontal="center" vertical="center"/>
    </xf>
    <xf numFmtId="0" fontId="78" fillId="79" borderId="12" xfId="58" applyFont="1" applyFill="1" applyBorder="1" applyAlignment="1" applyProtection="1">
      <alignment vertical="center"/>
    </xf>
    <xf numFmtId="0" fontId="25" fillId="79" borderId="8" xfId="58" applyFont="1" applyFill="1" applyBorder="1" applyAlignment="1" applyProtection="1">
      <alignment vertical="center"/>
    </xf>
    <xf numFmtId="0" fontId="25" fillId="79" borderId="8" xfId="58" applyFont="1" applyFill="1" applyBorder="1" applyAlignment="1" applyProtection="1">
      <alignment horizontal="center" vertical="center"/>
    </xf>
    <xf numFmtId="0" fontId="25" fillId="79" borderId="18" xfId="58" applyFont="1" applyFill="1" applyBorder="1" applyAlignment="1" applyProtection="1">
      <alignment vertical="center"/>
    </xf>
    <xf numFmtId="0" fontId="25" fillId="79" borderId="0" xfId="58" applyFont="1" applyFill="1" applyBorder="1" applyAlignment="1" applyProtection="1">
      <alignment horizontal="center" vertical="center"/>
    </xf>
    <xf numFmtId="0" fontId="25" fillId="79" borderId="12" xfId="58" applyFont="1" applyFill="1" applyBorder="1" applyAlignment="1" applyProtection="1">
      <alignment vertical="center"/>
    </xf>
    <xf numFmtId="2" fontId="25" fillId="17" borderId="22" xfId="58" applyNumberFormat="1" applyFont="1" applyFill="1" applyBorder="1" applyAlignment="1" applyProtection="1">
      <alignment horizontal="center" vertical="center"/>
    </xf>
    <xf numFmtId="3" fontId="0" fillId="0" borderId="0" xfId="0" applyAlignment="1"/>
    <xf numFmtId="0" fontId="25" fillId="9" borderId="1" xfId="58" applyFont="1" applyFill="1" applyBorder="1" applyAlignment="1" applyProtection="1">
      <alignment horizontal="center" vertical="center" wrapText="1"/>
    </xf>
    <xf numFmtId="0" fontId="25" fillId="9" borderId="4" xfId="58" applyFont="1" applyFill="1" applyBorder="1" applyAlignment="1" applyProtection="1">
      <alignment horizontal="center" vertical="center" wrapText="1"/>
    </xf>
    <xf numFmtId="0" fontId="25" fillId="9" borderId="38" xfId="58" applyFont="1" applyFill="1" applyBorder="1" applyAlignment="1" applyProtection="1">
      <alignment horizontal="center" vertical="center" wrapText="1"/>
    </xf>
    <xf numFmtId="0" fontId="25" fillId="9" borderId="39" xfId="58" applyFont="1" applyFill="1" applyBorder="1" applyAlignment="1" applyProtection="1">
      <alignment horizontal="center" vertical="center" wrapText="1"/>
    </xf>
    <xf numFmtId="0" fontId="25" fillId="9" borderId="9" xfId="58" applyFont="1" applyFill="1" applyBorder="1" applyAlignment="1" applyProtection="1">
      <alignment horizontal="center" vertical="center" wrapText="1"/>
    </xf>
    <xf numFmtId="0" fontId="25" fillId="9" borderId="32" xfId="58" applyFont="1" applyFill="1" applyBorder="1" applyAlignment="1" applyProtection="1">
      <alignment horizontal="center" vertical="center" wrapText="1"/>
    </xf>
    <xf numFmtId="2" fontId="25" fillId="81" borderId="1" xfId="58" applyNumberFormat="1" applyFont="1" applyFill="1" applyBorder="1" applyAlignment="1" applyProtection="1">
      <alignment horizontal="center" vertical="center"/>
    </xf>
    <xf numFmtId="2" fontId="25" fillId="82" borderId="8" xfId="58" applyNumberFormat="1" applyFont="1" applyFill="1" applyBorder="1" applyAlignment="1" applyProtection="1">
      <alignment horizontal="center" vertical="center"/>
    </xf>
    <xf numFmtId="2" fontId="25" fillId="82" borderId="18" xfId="58" applyNumberFormat="1" applyFont="1" applyFill="1" applyBorder="1" applyAlignment="1" applyProtection="1">
      <alignment horizontal="center" vertical="center"/>
    </xf>
    <xf numFmtId="2" fontId="25" fillId="82" borderId="16" xfId="58" applyNumberFormat="1" applyFont="1" applyFill="1" applyBorder="1" applyAlignment="1" applyProtection="1">
      <alignment horizontal="center" vertical="center"/>
    </xf>
    <xf numFmtId="2" fontId="25" fillId="82" borderId="0" xfId="58" applyNumberFormat="1" applyFont="1" applyFill="1" applyBorder="1" applyAlignment="1" applyProtection="1">
      <alignment horizontal="center" vertical="center"/>
    </xf>
    <xf numFmtId="2" fontId="25" fillId="82" borderId="12" xfId="58" applyNumberFormat="1" applyFont="1" applyFill="1" applyBorder="1" applyAlignment="1" applyProtection="1">
      <alignment horizontal="center" vertical="center"/>
    </xf>
    <xf numFmtId="2" fontId="25" fillId="82" borderId="21" xfId="58" applyNumberFormat="1" applyFont="1" applyFill="1" applyBorder="1" applyAlignment="1" applyProtection="1">
      <alignment horizontal="center" vertical="center"/>
    </xf>
    <xf numFmtId="199" fontId="25" fillId="82" borderId="8" xfId="58" applyNumberFormat="1" applyFont="1" applyFill="1" applyBorder="1" applyAlignment="1" applyProtection="1">
      <alignment horizontal="center" vertical="center"/>
    </xf>
    <xf numFmtId="203" fontId="25" fillId="82" borderId="8" xfId="58" applyNumberFormat="1" applyFont="1" applyFill="1" applyBorder="1" applyAlignment="1" applyProtection="1">
      <alignment horizontal="center" vertical="center"/>
    </xf>
    <xf numFmtId="2" fontId="25" fillId="82" borderId="10" xfId="58" applyNumberFormat="1" applyFont="1" applyFill="1" applyBorder="1" applyAlignment="1" applyProtection="1">
      <alignment horizontal="center" vertical="center"/>
    </xf>
    <xf numFmtId="2" fontId="25" fillId="82" borderId="19" xfId="58" applyNumberFormat="1" applyFont="1" applyFill="1" applyBorder="1" applyAlignment="1" applyProtection="1">
      <alignment horizontal="center" vertical="center"/>
    </xf>
    <xf numFmtId="2" fontId="25" fillId="82" borderId="20" xfId="58" applyNumberFormat="1" applyFont="1" applyFill="1" applyBorder="1" applyAlignment="1" applyProtection="1">
      <alignment horizontal="center" vertical="center"/>
    </xf>
    <xf numFmtId="199" fontId="25" fillId="82" borderId="10" xfId="58" applyNumberFormat="1" applyFont="1" applyFill="1" applyBorder="1" applyAlignment="1" applyProtection="1">
      <alignment horizontal="center" vertical="center"/>
    </xf>
    <xf numFmtId="199" fontId="25" fillId="82" borderId="19" xfId="58" applyNumberFormat="1" applyFont="1" applyFill="1" applyBorder="1" applyAlignment="1" applyProtection="1">
      <alignment horizontal="center" vertical="center"/>
    </xf>
    <xf numFmtId="199" fontId="25" fillId="82" borderId="20" xfId="58" applyNumberFormat="1" applyFont="1" applyFill="1" applyBorder="1" applyAlignment="1" applyProtection="1">
      <alignment horizontal="center" vertical="center"/>
    </xf>
    <xf numFmtId="1" fontId="25" fillId="82" borderId="8" xfId="58" applyNumberFormat="1" applyFont="1" applyFill="1" applyBorder="1" applyAlignment="1" applyProtection="1">
      <alignment horizontal="center" vertical="center"/>
    </xf>
    <xf numFmtId="1" fontId="25" fillId="82" borderId="18" xfId="58" applyNumberFormat="1" applyFont="1" applyFill="1" applyBorder="1" applyAlignment="1" applyProtection="1">
      <alignment horizontal="center" vertical="center"/>
    </xf>
    <xf numFmtId="1" fontId="25" fillId="82" borderId="16" xfId="58" applyNumberFormat="1" applyFont="1" applyFill="1" applyBorder="1" applyAlignment="1" applyProtection="1">
      <alignment horizontal="center" vertical="center"/>
    </xf>
    <xf numFmtId="1" fontId="25" fillId="82" borderId="0" xfId="58" applyNumberFormat="1" applyFont="1" applyFill="1" applyBorder="1" applyAlignment="1" applyProtection="1">
      <alignment horizontal="center" vertical="center"/>
    </xf>
    <xf numFmtId="1" fontId="25" fillId="82" borderId="12" xfId="58" applyNumberFormat="1" applyFont="1" applyFill="1" applyBorder="1" applyAlignment="1" applyProtection="1">
      <alignment horizontal="center" vertical="center"/>
    </xf>
    <xf numFmtId="1" fontId="25" fillId="82" borderId="21" xfId="58" applyNumberFormat="1" applyFont="1" applyFill="1" applyBorder="1" applyAlignment="1" applyProtection="1">
      <alignment horizontal="center" vertical="center"/>
    </xf>
    <xf numFmtId="1" fontId="25" fillId="82" borderId="10" xfId="58" applyNumberFormat="1" applyFont="1" applyFill="1" applyBorder="1" applyAlignment="1" applyProtection="1">
      <alignment horizontal="center" vertical="center"/>
    </xf>
    <xf numFmtId="1" fontId="25" fillId="82" borderId="19" xfId="58" applyNumberFormat="1" applyFont="1" applyFill="1" applyBorder="1" applyAlignment="1" applyProtection="1">
      <alignment horizontal="center" vertical="center"/>
    </xf>
    <xf numFmtId="1" fontId="25" fillId="82" borderId="20" xfId="58" applyNumberFormat="1" applyFont="1" applyFill="1" applyBorder="1" applyAlignment="1" applyProtection="1">
      <alignment horizontal="center" vertical="center"/>
    </xf>
    <xf numFmtId="0" fontId="72" fillId="0" borderId="0" xfId="58" applyFont="1" applyFill="1" applyBorder="1" applyAlignment="1" applyProtection="1">
      <alignment horizontal="left" vertical="center" wrapText="1"/>
    </xf>
    <xf numFmtId="0" fontId="41" fillId="0" borderId="0" xfId="58" applyNumberFormat="1" applyFont="1" applyFill="1" applyBorder="1" applyAlignment="1" applyProtection="1">
      <alignment vertical="center"/>
    </xf>
    <xf numFmtId="0" fontId="41" fillId="0" borderId="0" xfId="58" applyNumberFormat="1" applyFont="1" applyFill="1" applyBorder="1" applyAlignment="1" applyProtection="1">
      <alignment horizontal="center" vertical="center"/>
    </xf>
    <xf numFmtId="14" fontId="41" fillId="0" borderId="0" xfId="58" applyNumberFormat="1" applyFont="1" applyFill="1" applyBorder="1" applyAlignment="1" applyProtection="1">
      <alignment horizontal="center" vertical="center"/>
    </xf>
    <xf numFmtId="2" fontId="41" fillId="0" borderId="0" xfId="58" applyNumberFormat="1" applyFont="1" applyFill="1" applyBorder="1" applyAlignment="1" applyProtection="1">
      <alignment horizontal="center" vertical="center"/>
    </xf>
    <xf numFmtId="203" fontId="41" fillId="0" borderId="0" xfId="58" applyNumberFormat="1" applyFont="1" applyFill="1" applyBorder="1" applyAlignment="1" applyProtection="1">
      <alignment horizontal="center" vertical="center"/>
    </xf>
    <xf numFmtId="0" fontId="43" fillId="0" borderId="0" xfId="58" applyNumberFormat="1" applyFont="1" applyFill="1" applyBorder="1" applyAlignment="1" applyProtection="1">
      <alignment horizontal="center" vertical="center"/>
    </xf>
    <xf numFmtId="0" fontId="85" fillId="0" borderId="0" xfId="471" applyProtection="1"/>
    <xf numFmtId="0" fontId="5" fillId="0" borderId="0" xfId="471" applyFont="1" applyProtection="1"/>
    <xf numFmtId="0" fontId="74" fillId="58" borderId="0" xfId="471" applyFont="1" applyFill="1" applyBorder="1" applyAlignment="1" applyProtection="1">
      <alignment vertical="top" wrapText="1"/>
    </xf>
    <xf numFmtId="0" fontId="4" fillId="0" borderId="0" xfId="471" applyFont="1" applyProtection="1"/>
    <xf numFmtId="3" fontId="75" fillId="0" borderId="0" xfId="471" applyNumberFormat="1" applyFont="1" applyFill="1" applyBorder="1" applyProtection="1"/>
    <xf numFmtId="0" fontId="73" fillId="0" borderId="0" xfId="471" applyFont="1" applyProtection="1"/>
    <xf numFmtId="0" fontId="74" fillId="59" borderId="0" xfId="471" applyFont="1" applyFill="1" applyBorder="1" applyProtection="1"/>
    <xf numFmtId="0" fontId="85" fillId="60" borderId="0" xfId="471" applyFill="1" applyProtection="1"/>
    <xf numFmtId="0" fontId="74" fillId="58" borderId="0" xfId="471" applyFont="1" applyFill="1" applyBorder="1" applyAlignment="1" applyProtection="1">
      <alignment vertical="top"/>
    </xf>
    <xf numFmtId="4" fontId="76" fillId="60" borderId="0" xfId="471" applyNumberFormat="1" applyFont="1" applyFill="1" applyProtection="1"/>
    <xf numFmtId="4" fontId="34" fillId="62" borderId="0" xfId="471" applyNumberFormat="1" applyFont="1" applyFill="1" applyBorder="1" applyProtection="1"/>
    <xf numFmtId="2" fontId="41" fillId="0" borderId="0" xfId="58" applyNumberFormat="1" applyFont="1" applyFill="1" applyBorder="1" applyAlignment="1" applyProtection="1">
      <alignment horizontal="left" vertical="center"/>
    </xf>
    <xf numFmtId="206" fontId="25" fillId="0" borderId="0" xfId="94" applyNumberFormat="1" applyFont="1" applyFill="1" applyBorder="1" applyAlignment="1" applyProtection="1">
      <alignment horizontal="center" vertical="center"/>
    </xf>
    <xf numFmtId="10" fontId="41" fillId="0" borderId="0" xfId="58" applyNumberFormat="1" applyFont="1" applyFill="1" applyBorder="1" applyAlignment="1" applyProtection="1">
      <alignment vertical="center"/>
    </xf>
    <xf numFmtId="3" fontId="0" fillId="70" borderId="21" xfId="0" applyFill="1" applyBorder="1" applyProtection="1">
      <alignment vertical="center"/>
    </xf>
    <xf numFmtId="3" fontId="0" fillId="70" borderId="0" xfId="0" applyFill="1" applyBorder="1" applyAlignment="1" applyProtection="1">
      <alignment vertical="center" wrapText="1"/>
    </xf>
    <xf numFmtId="3" fontId="0" fillId="70" borderId="0" xfId="0" applyFill="1" applyBorder="1" applyProtection="1">
      <alignment vertical="center"/>
    </xf>
    <xf numFmtId="3" fontId="0" fillId="70" borderId="12" xfId="0" applyFill="1" applyBorder="1" applyProtection="1">
      <alignment vertical="center"/>
    </xf>
    <xf numFmtId="0" fontId="10" fillId="9" borderId="33" xfId="58" applyFont="1" applyFill="1" applyBorder="1" applyAlignment="1" applyProtection="1">
      <alignment horizontal="center" vertical="center" wrapText="1"/>
    </xf>
    <xf numFmtId="0" fontId="25" fillId="9" borderId="33" xfId="58" applyFont="1" applyFill="1" applyBorder="1" applyAlignment="1" applyProtection="1">
      <alignment horizontal="center" vertical="center" wrapText="1"/>
    </xf>
    <xf numFmtId="0" fontId="10" fillId="9" borderId="2" xfId="58" applyFont="1" applyFill="1" applyBorder="1" applyAlignment="1" applyProtection="1">
      <alignment horizontal="center" vertical="center" wrapText="1"/>
    </xf>
    <xf numFmtId="0" fontId="25" fillId="9" borderId="2" xfId="58" applyFont="1" applyFill="1" applyBorder="1" applyAlignment="1" applyProtection="1">
      <alignment horizontal="center" vertical="center" wrapText="1"/>
    </xf>
    <xf numFmtId="0" fontId="10" fillId="9" borderId="31" xfId="58" applyFont="1" applyFill="1" applyBorder="1" applyAlignment="1" applyProtection="1">
      <alignment horizontal="center" vertical="center" wrapText="1"/>
    </xf>
    <xf numFmtId="0" fontId="25" fillId="9" borderId="31" xfId="58" applyFont="1" applyFill="1" applyBorder="1" applyAlignment="1" applyProtection="1">
      <alignment horizontal="center" vertical="center" wrapText="1"/>
    </xf>
    <xf numFmtId="0" fontId="25" fillId="14" borderId="29" xfId="58" applyNumberFormat="1" applyFont="1" applyFill="1" applyBorder="1" applyAlignment="1" applyProtection="1">
      <alignment horizontal="center" vertical="center" wrapText="1"/>
      <protection locked="0"/>
    </xf>
    <xf numFmtId="0" fontId="25" fillId="9" borderId="41" xfId="58" applyFont="1" applyFill="1" applyBorder="1" applyAlignment="1" applyProtection="1">
      <alignment horizontal="center" vertical="center" wrapText="1"/>
    </xf>
    <xf numFmtId="0" fontId="25" fillId="9" borderId="24" xfId="58" applyFont="1" applyFill="1" applyBorder="1" applyAlignment="1" applyProtection="1">
      <alignment horizontal="center" vertical="center" wrapText="1"/>
    </xf>
    <xf numFmtId="9" fontId="25" fillId="9" borderId="42" xfId="94" applyFont="1" applyFill="1" applyBorder="1" applyAlignment="1" applyProtection="1">
      <alignment horizontal="center" vertical="center" wrapText="1"/>
    </xf>
    <xf numFmtId="0" fontId="25" fillId="9" borderId="24" xfId="58" applyNumberFormat="1" applyFont="1" applyFill="1" applyBorder="1" applyAlignment="1" applyProtection="1">
      <alignment horizontal="center" vertical="center" wrapText="1"/>
    </xf>
    <xf numFmtId="0" fontId="25" fillId="9" borderId="42" xfId="58" applyFont="1" applyFill="1" applyBorder="1" applyAlignment="1" applyProtection="1">
      <alignment horizontal="center" vertical="center" wrapText="1"/>
    </xf>
    <xf numFmtId="0" fontId="25" fillId="9" borderId="19" xfId="58" applyFont="1" applyFill="1" applyBorder="1" applyAlignment="1" applyProtection="1">
      <alignment horizontal="center" vertical="center" wrapText="1"/>
    </xf>
    <xf numFmtId="0" fontId="80" fillId="77" borderId="29" xfId="58" applyFont="1" applyFill="1" applyBorder="1" applyAlignment="1" applyProtection="1">
      <alignment horizontal="left" vertical="center" wrapText="1"/>
    </xf>
    <xf numFmtId="3" fontId="0" fillId="70" borderId="20" xfId="0" applyFill="1" applyBorder="1" applyProtection="1">
      <alignment vertical="center"/>
    </xf>
    <xf numFmtId="0" fontId="25" fillId="70" borderId="10" xfId="58" applyFont="1" applyFill="1" applyBorder="1" applyAlignment="1" applyProtection="1">
      <alignment horizontal="left" vertical="center" wrapText="1"/>
    </xf>
    <xf numFmtId="3" fontId="0" fillId="70" borderId="10" xfId="0" applyFill="1" applyBorder="1" applyAlignment="1" applyProtection="1">
      <alignment vertical="center" wrapText="1"/>
    </xf>
    <xf numFmtId="3" fontId="0" fillId="70" borderId="10" xfId="0" applyFill="1" applyBorder="1" applyProtection="1">
      <alignment vertical="center"/>
    </xf>
    <xf numFmtId="3" fontId="0" fillId="70" borderId="19" xfId="0" applyFill="1" applyBorder="1" applyProtection="1">
      <alignment vertical="center"/>
    </xf>
    <xf numFmtId="0" fontId="25" fillId="20" borderId="29" xfId="58" applyNumberFormat="1" applyFont="1" applyFill="1" applyBorder="1" applyAlignment="1" applyProtection="1">
      <alignment horizontal="right" vertical="center" indent="1"/>
      <protection locked="0"/>
    </xf>
    <xf numFmtId="0" fontId="26" fillId="25" borderId="29" xfId="58" applyNumberFormat="1" applyFont="1" applyFill="1" applyBorder="1" applyAlignment="1" applyProtection="1">
      <alignment horizontal="center" vertical="center"/>
    </xf>
    <xf numFmtId="2" fontId="25" fillId="10" borderId="24" xfId="58" applyNumberFormat="1" applyFont="1" applyFill="1" applyBorder="1" applyAlignment="1" applyProtection="1">
      <alignment horizontal="right" vertical="center"/>
    </xf>
    <xf numFmtId="4" fontId="35" fillId="0" borderId="41" xfId="0" applyNumberFormat="1" applyFont="1" applyBorder="1" applyProtection="1">
      <alignment vertical="center"/>
    </xf>
    <xf numFmtId="2" fontId="25" fillId="8" borderId="24" xfId="58" applyNumberFormat="1" applyFont="1" applyFill="1" applyBorder="1" applyAlignment="1" applyProtection="1">
      <alignment horizontal="right" vertical="center"/>
    </xf>
    <xf numFmtId="195" fontId="25" fillId="10" borderId="22" xfId="58" applyNumberFormat="1" applyFont="1" applyFill="1" applyBorder="1" applyAlignment="1" applyProtection="1">
      <alignment horizontal="right" vertical="center"/>
    </xf>
    <xf numFmtId="195" fontId="25" fillId="10" borderId="23" xfId="58" applyNumberFormat="1" applyFont="1" applyFill="1" applyBorder="1" applyAlignment="1" applyProtection="1">
      <alignment horizontal="right" vertical="center"/>
    </xf>
    <xf numFmtId="195" fontId="25" fillId="10" borderId="24" xfId="58" applyNumberFormat="1" applyFont="1" applyFill="1" applyBorder="1" applyAlignment="1" applyProtection="1">
      <alignment horizontal="right" vertical="center"/>
    </xf>
    <xf numFmtId="195" fontId="25" fillId="0" borderId="16" xfId="58" applyNumberFormat="1" applyFont="1" applyFill="1" applyBorder="1" applyAlignment="1" applyProtection="1">
      <alignment horizontal="right" vertical="center"/>
    </xf>
    <xf numFmtId="195" fontId="25" fillId="0" borderId="8" xfId="58" applyNumberFormat="1" applyFont="1" applyFill="1" applyBorder="1" applyAlignment="1" applyProtection="1">
      <alignment horizontal="right" vertical="center"/>
    </xf>
    <xf numFmtId="195" fontId="25" fillId="0" borderId="20" xfId="58" applyNumberFormat="1" applyFont="1" applyFill="1" applyBorder="1" applyAlignment="1" applyProtection="1">
      <alignment horizontal="right" vertical="center"/>
    </xf>
    <xf numFmtId="195" fontId="25" fillId="0" borderId="10" xfId="58" applyNumberFormat="1" applyFont="1" applyFill="1" applyBorder="1" applyAlignment="1" applyProtection="1">
      <alignment horizontal="right" vertical="center"/>
    </xf>
    <xf numFmtId="195" fontId="25" fillId="0" borderId="18" xfId="58" applyNumberFormat="1" applyFont="1" applyFill="1" applyBorder="1" applyAlignment="1" applyProtection="1">
      <alignment horizontal="right" vertical="center"/>
    </xf>
    <xf numFmtId="195" fontId="25" fillId="0" borderId="12" xfId="58" applyNumberFormat="1" applyFont="1" applyFill="1" applyBorder="1" applyAlignment="1" applyProtection="1">
      <alignment horizontal="right" vertical="center"/>
    </xf>
    <xf numFmtId="195" fontId="25" fillId="0" borderId="19" xfId="58" applyNumberFormat="1" applyFont="1" applyFill="1" applyBorder="1" applyAlignment="1" applyProtection="1">
      <alignment horizontal="right" vertical="center"/>
    </xf>
    <xf numFmtId="2" fontId="25" fillId="0" borderId="20" xfId="58" applyNumberFormat="1" applyFont="1" applyFill="1" applyBorder="1" applyAlignment="1" applyProtection="1">
      <alignment horizontal="center" vertical="center"/>
    </xf>
    <xf numFmtId="2" fontId="25" fillId="0" borderId="10" xfId="58" applyNumberFormat="1" applyFont="1" applyFill="1" applyBorder="1" applyAlignment="1" applyProtection="1">
      <alignment horizontal="center" vertical="center"/>
    </xf>
    <xf numFmtId="2" fontId="26" fillId="0" borderId="22" xfId="58" applyNumberFormat="1" applyFont="1" applyFill="1" applyBorder="1" applyAlignment="1" applyProtection="1">
      <alignment horizontal="center" vertical="center"/>
    </xf>
    <xf numFmtId="2" fontId="26" fillId="0" borderId="23" xfId="58" applyNumberFormat="1" applyFont="1" applyFill="1" applyBorder="1" applyAlignment="1" applyProtection="1">
      <alignment horizontal="center" vertical="center"/>
    </xf>
    <xf numFmtId="2" fontId="25" fillId="26" borderId="17" xfId="58" applyNumberFormat="1" applyFont="1" applyFill="1" applyBorder="1" applyAlignment="1" applyProtection="1">
      <alignment horizontal="center" vertical="center"/>
    </xf>
    <xf numFmtId="2" fontId="25" fillId="26" borderId="11" xfId="58" applyNumberFormat="1" applyFont="1" applyFill="1" applyBorder="1" applyAlignment="1" applyProtection="1">
      <alignment horizontal="center" vertical="center"/>
    </xf>
    <xf numFmtId="2" fontId="25" fillId="26" borderId="5" xfId="58" applyNumberFormat="1" applyFont="1" applyFill="1" applyBorder="1" applyAlignment="1" applyProtection="1">
      <alignment horizontal="center" vertical="center"/>
    </xf>
    <xf numFmtId="195" fontId="25" fillId="26" borderId="18" xfId="58" applyNumberFormat="1" applyFont="1" applyFill="1" applyBorder="1" applyAlignment="1" applyProtection="1">
      <alignment horizontal="right" vertical="center"/>
    </xf>
    <xf numFmtId="195" fontId="25" fillId="26" borderId="12" xfId="58" applyNumberFormat="1" applyFont="1" applyFill="1" applyBorder="1" applyAlignment="1" applyProtection="1">
      <alignment horizontal="right" vertical="center"/>
    </xf>
    <xf numFmtId="195" fontId="25" fillId="26" borderId="19" xfId="58" applyNumberFormat="1" applyFont="1" applyFill="1" applyBorder="1" applyAlignment="1" applyProtection="1">
      <alignment horizontal="right" vertical="center"/>
    </xf>
    <xf numFmtId="195" fontId="25" fillId="26" borderId="17" xfId="58" applyNumberFormat="1" applyFont="1" applyFill="1" applyBorder="1" applyAlignment="1" applyProtection="1">
      <alignment horizontal="right" vertical="center"/>
    </xf>
    <xf numFmtId="195" fontId="25" fillId="26" borderId="11" xfId="58" applyNumberFormat="1" applyFont="1" applyFill="1" applyBorder="1" applyAlignment="1" applyProtection="1">
      <alignment horizontal="right" vertical="center"/>
    </xf>
    <xf numFmtId="195" fontId="25" fillId="10" borderId="5" xfId="58" applyNumberFormat="1" applyFont="1" applyFill="1" applyBorder="1" applyAlignment="1" applyProtection="1">
      <alignment horizontal="right" vertical="center"/>
    </xf>
    <xf numFmtId="2" fontId="25" fillId="14" borderId="5" xfId="58" applyNumberFormat="1" applyFont="1" applyFill="1" applyBorder="1" applyAlignment="1" applyProtection="1">
      <alignment horizontal="center" vertical="center"/>
    </xf>
    <xf numFmtId="195" fontId="25" fillId="26" borderId="1" xfId="58" applyNumberFormat="1" applyFont="1" applyFill="1" applyBorder="1" applyAlignment="1" applyProtection="1">
      <alignment horizontal="left" vertical="center"/>
    </xf>
    <xf numFmtId="195" fontId="25" fillId="10" borderId="1" xfId="58" applyNumberFormat="1" applyFont="1" applyFill="1" applyBorder="1" applyAlignment="1" applyProtection="1">
      <alignment horizontal="left" vertical="center"/>
    </xf>
    <xf numFmtId="4" fontId="0" fillId="83" borderId="21" xfId="0" applyNumberFormat="1" applyFill="1" applyBorder="1" applyProtection="1">
      <alignment vertical="center"/>
    </xf>
    <xf numFmtId="4" fontId="0" fillId="83" borderId="17" xfId="0" applyNumberFormat="1" applyFill="1" applyBorder="1" applyProtection="1">
      <alignment vertical="center"/>
    </xf>
    <xf numFmtId="2" fontId="26" fillId="83" borderId="53" xfId="58" applyNumberFormat="1" applyFont="1" applyFill="1" applyBorder="1" applyAlignment="1" applyProtection="1">
      <alignment horizontal="right" vertical="center"/>
    </xf>
    <xf numFmtId="195" fontId="25" fillId="10" borderId="85" xfId="58" applyNumberFormat="1" applyFont="1" applyFill="1" applyBorder="1" applyAlignment="1" applyProtection="1">
      <alignment horizontal="right" vertical="center"/>
    </xf>
    <xf numFmtId="3" fontId="0" fillId="0" borderId="0" xfId="0" applyFill="1" applyProtection="1">
      <alignment vertical="center"/>
    </xf>
    <xf numFmtId="195" fontId="26" fillId="0" borderId="13" xfId="58" applyNumberFormat="1" applyFont="1" applyFill="1" applyBorder="1" applyAlignment="1" applyProtection="1">
      <alignment horizontal="right" vertical="center"/>
    </xf>
    <xf numFmtId="2" fontId="26" fillId="0" borderId="47" xfId="58" applyNumberFormat="1" applyFont="1" applyFill="1" applyBorder="1" applyAlignment="1" applyProtection="1">
      <alignment horizontal="right" vertical="center"/>
    </xf>
    <xf numFmtId="0" fontId="26" fillId="26" borderId="56" xfId="58" applyNumberFormat="1" applyFont="1" applyFill="1" applyBorder="1" applyAlignment="1" applyProtection="1">
      <alignment vertical="center"/>
    </xf>
    <xf numFmtId="0" fontId="25" fillId="0" borderId="24" xfId="58" applyNumberFormat="1" applyFont="1" applyFill="1" applyBorder="1" applyAlignment="1" applyProtection="1">
      <alignment vertical="center"/>
    </xf>
    <xf numFmtId="0" fontId="25" fillId="0" borderId="1" xfId="58" applyNumberFormat="1" applyFont="1" applyFill="1" applyBorder="1" applyAlignment="1" applyProtection="1">
      <alignment vertical="center"/>
    </xf>
    <xf numFmtId="0" fontId="90" fillId="13" borderId="0" xfId="471" applyFont="1" applyFill="1" applyBorder="1"/>
    <xf numFmtId="0" fontId="85" fillId="13" borderId="0" xfId="471" applyFill="1" applyBorder="1"/>
    <xf numFmtId="0" fontId="85" fillId="13" borderId="0" xfId="471" applyFill="1"/>
    <xf numFmtId="0" fontId="25" fillId="0" borderId="0" xfId="58" quotePrefix="1" applyFont="1" applyFill="1" applyBorder="1" applyAlignment="1" applyProtection="1">
      <alignment horizontal="left" vertical="center" wrapText="1" indent="1"/>
    </xf>
    <xf numFmtId="0" fontId="42" fillId="0" borderId="0" xfId="58" quotePrefix="1" applyNumberFormat="1" applyFont="1" applyFill="1" applyBorder="1" applyAlignment="1" applyProtection="1">
      <alignment horizontal="left" vertical="center" wrapText="1" indent="1"/>
      <protection locked="0"/>
    </xf>
    <xf numFmtId="0" fontId="25" fillId="0" borderId="11" xfId="58" quotePrefix="1" applyFont="1" applyFill="1" applyBorder="1" applyAlignment="1" applyProtection="1">
      <alignment horizontal="left" vertical="center" wrapText="1" indent="1"/>
    </xf>
    <xf numFmtId="195" fontId="25" fillId="0" borderId="10" xfId="58" applyNumberFormat="1" applyFont="1" applyFill="1" applyBorder="1" applyAlignment="1" applyProtection="1">
      <alignment horizontal="left" vertical="center" wrapText="1" indent="1"/>
      <protection locked="0"/>
    </xf>
    <xf numFmtId="196" fontId="46" fillId="11" borderId="14" xfId="58" applyNumberFormat="1" applyFont="1" applyFill="1" applyBorder="1" applyAlignment="1" applyProtection="1">
      <alignment horizontal="left" vertical="center" wrapText="1" indent="1"/>
    </xf>
    <xf numFmtId="196" fontId="25" fillId="11" borderId="14" xfId="58" quotePrefix="1" applyNumberFormat="1" applyFont="1" applyFill="1" applyBorder="1" applyAlignment="1" applyProtection="1">
      <alignment horizontal="left" vertical="center" indent="1"/>
    </xf>
    <xf numFmtId="196" fontId="25" fillId="11" borderId="25" xfId="58" applyNumberFormat="1" applyFont="1" applyFill="1" applyBorder="1" applyAlignment="1" applyProtection="1">
      <alignment horizontal="left" vertical="center" indent="1"/>
    </xf>
    <xf numFmtId="2" fontId="25" fillId="19" borderId="24" xfId="58" applyNumberFormat="1" applyFont="1" applyFill="1" applyBorder="1" applyAlignment="1" applyProtection="1">
      <alignment horizontal="center" vertical="center"/>
    </xf>
    <xf numFmtId="2" fontId="25" fillId="13" borderId="18" xfId="58" applyNumberFormat="1" applyFont="1" applyFill="1" applyBorder="1" applyAlignment="1" applyProtection="1">
      <alignment horizontal="center" vertical="center"/>
    </xf>
    <xf numFmtId="2" fontId="25" fillId="13" borderId="12" xfId="58" applyNumberFormat="1" applyFont="1" applyFill="1" applyBorder="1" applyAlignment="1" applyProtection="1">
      <alignment horizontal="center" vertical="center"/>
    </xf>
    <xf numFmtId="2" fontId="25" fillId="13" borderId="19" xfId="58" applyNumberFormat="1" applyFont="1" applyFill="1" applyBorder="1" applyAlignment="1" applyProtection="1">
      <alignment horizontal="center" vertical="center"/>
    </xf>
    <xf numFmtId="0" fontId="26" fillId="0" borderId="22" xfId="58" applyNumberFormat="1" applyFont="1" applyFill="1" applyBorder="1" applyAlignment="1" applyProtection="1">
      <alignment horizontal="center" vertical="center"/>
    </xf>
    <xf numFmtId="0" fontId="26" fillId="0" borderId="23" xfId="58" applyNumberFormat="1" applyFont="1" applyFill="1" applyBorder="1" applyAlignment="1" applyProtection="1">
      <alignment horizontal="center" vertical="center"/>
    </xf>
    <xf numFmtId="0" fontId="25" fillId="0" borderId="23" xfId="58" applyNumberFormat="1" applyFont="1" applyFill="1" applyBorder="1" applyAlignment="1" applyProtection="1">
      <alignment vertical="center" wrapText="1"/>
    </xf>
    <xf numFmtId="2" fontId="25" fillId="0" borderId="11" xfId="58" applyNumberFormat="1" applyFont="1" applyFill="1" applyBorder="1" applyAlignment="1" applyProtection="1">
      <alignment horizontal="left" vertical="center" wrapText="1"/>
      <protection locked="0"/>
    </xf>
    <xf numFmtId="2" fontId="25" fillId="0" borderId="0" xfId="58" applyNumberFormat="1" applyFont="1" applyFill="1" applyBorder="1" applyAlignment="1" applyProtection="1">
      <alignment horizontal="left" vertical="center" wrapText="1"/>
      <protection locked="0"/>
    </xf>
    <xf numFmtId="203" fontId="25" fillId="0" borderId="0" xfId="58" applyNumberFormat="1" applyFont="1" applyFill="1" applyBorder="1" applyAlignment="1" applyProtection="1">
      <alignment vertical="center" wrapText="1"/>
    </xf>
    <xf numFmtId="0" fontId="25" fillId="0" borderId="0" xfId="58" applyNumberFormat="1" applyFont="1" applyFill="1" applyBorder="1" applyAlignment="1" applyProtection="1">
      <alignment vertical="center" wrapText="1"/>
      <protection locked="0"/>
    </xf>
    <xf numFmtId="2" fontId="25" fillId="0" borderId="8" xfId="58" applyNumberFormat="1" applyFont="1" applyFill="1" applyBorder="1" applyAlignment="1" applyProtection="1">
      <alignment horizontal="left" vertical="center" wrapText="1" indent="1"/>
    </xf>
    <xf numFmtId="0" fontId="41" fillId="0" borderId="0" xfId="58" applyNumberFormat="1" applyFont="1" applyFill="1" applyBorder="1" applyAlignment="1" applyProtection="1">
      <alignment horizontal="left" vertical="center"/>
    </xf>
    <xf numFmtId="0" fontId="41" fillId="0" borderId="0" xfId="58" quotePrefix="1" applyNumberFormat="1" applyFont="1" applyFill="1" applyBorder="1" applyAlignment="1" applyProtection="1">
      <alignment horizontal="left" vertical="center"/>
    </xf>
    <xf numFmtId="14" fontId="41" fillId="0" borderId="0" xfId="58" applyNumberFormat="1" applyFont="1" applyFill="1" applyBorder="1" applyAlignment="1" applyProtection="1">
      <alignment horizontal="left" vertical="center"/>
    </xf>
    <xf numFmtId="0" fontId="41" fillId="12" borderId="0" xfId="58" applyNumberFormat="1" applyFont="1" applyFill="1" applyBorder="1" applyAlignment="1" applyProtection="1">
      <alignment horizontal="left" vertical="center"/>
    </xf>
    <xf numFmtId="0" fontId="91" fillId="85" borderId="23" xfId="58" applyNumberFormat="1" applyFont="1" applyFill="1" applyBorder="1" applyAlignment="1" applyProtection="1">
      <alignment vertical="center" wrapText="1"/>
    </xf>
    <xf numFmtId="0" fontId="38" fillId="0" borderId="0" xfId="58" applyNumberFormat="1" applyFont="1" applyFill="1" applyBorder="1" applyAlignment="1" applyProtection="1">
      <alignment horizontal="center" vertical="center"/>
    </xf>
    <xf numFmtId="0" fontId="38" fillId="0" borderId="0" xfId="58" applyNumberFormat="1" applyFont="1" applyFill="1" applyBorder="1" applyAlignment="1" applyProtection="1">
      <alignment horizontal="left" vertical="center"/>
    </xf>
    <xf numFmtId="0" fontId="38" fillId="0" borderId="0" xfId="58" quotePrefix="1" applyNumberFormat="1" applyFont="1" applyFill="1" applyBorder="1" applyAlignment="1" applyProtection="1">
      <alignment horizontal="left" vertical="center"/>
    </xf>
    <xf numFmtId="199" fontId="26" fillId="15" borderId="23" xfId="58" applyNumberFormat="1" applyFont="1" applyFill="1" applyBorder="1" applyAlignment="1" applyProtection="1">
      <alignment horizontal="center" vertical="center"/>
    </xf>
    <xf numFmtId="9" fontId="25" fillId="0" borderId="0" xfId="94" applyFont="1" applyFill="1" applyBorder="1" applyAlignment="1" applyProtection="1">
      <alignment horizontal="center" vertical="center"/>
    </xf>
    <xf numFmtId="203" fontId="25" fillId="0" borderId="0" xfId="58" applyNumberFormat="1" applyFont="1" applyFill="1" applyBorder="1" applyAlignment="1" applyProtection="1">
      <alignment horizontal="center" vertical="center"/>
    </xf>
    <xf numFmtId="2" fontId="26" fillId="7" borderId="0" xfId="58" applyNumberFormat="1" applyFont="1" applyFill="1" applyBorder="1" applyAlignment="1" applyProtection="1">
      <alignment horizontal="left" vertical="center" wrapText="1"/>
    </xf>
    <xf numFmtId="2" fontId="25" fillId="0" borderId="8" xfId="58" applyNumberFormat="1" applyFont="1" applyFill="1" applyBorder="1" applyAlignment="1" applyProtection="1">
      <alignment horizontal="left" vertical="center" wrapText="1"/>
    </xf>
    <xf numFmtId="2" fontId="25" fillId="0" borderId="0" xfId="58" applyNumberFormat="1" applyFont="1" applyFill="1" applyBorder="1" applyAlignment="1" applyProtection="1">
      <alignment horizontal="left" vertical="center" wrapText="1"/>
    </xf>
    <xf numFmtId="196" fontId="25" fillId="11" borderId="14" xfId="58" applyNumberFormat="1" applyFont="1" applyFill="1" applyBorder="1" applyAlignment="1" applyProtection="1">
      <alignment horizontal="left" vertical="center" wrapText="1"/>
    </xf>
    <xf numFmtId="0" fontId="25" fillId="0" borderId="0" xfId="58" quotePrefix="1" applyNumberFormat="1" applyFont="1" applyFill="1" applyBorder="1" applyAlignment="1" applyProtection="1">
      <alignment horizontal="left" vertical="center" wrapText="1"/>
    </xf>
    <xf numFmtId="2" fontId="26" fillId="7" borderId="0" xfId="58" applyNumberFormat="1" applyFont="1" applyFill="1" applyBorder="1" applyAlignment="1" applyProtection="1">
      <alignment horizontal="left" vertical="center" wrapText="1" indent="1"/>
    </xf>
    <xf numFmtId="2" fontId="25" fillId="0" borderId="0" xfId="58" applyNumberFormat="1" applyFont="1" applyFill="1" applyBorder="1" applyAlignment="1" applyProtection="1">
      <alignment horizontal="left" vertical="center" wrapText="1" indent="1"/>
    </xf>
    <xf numFmtId="2" fontId="25" fillId="0" borderId="17" xfId="58" applyNumberFormat="1" applyFont="1" applyFill="1" applyBorder="1" applyAlignment="1" applyProtection="1">
      <alignment horizontal="left" vertical="center" wrapText="1" indent="1"/>
    </xf>
    <xf numFmtId="2" fontId="25" fillId="0" borderId="11" xfId="58" applyNumberFormat="1" applyFont="1" applyFill="1" applyBorder="1" applyAlignment="1" applyProtection="1">
      <alignment horizontal="left" vertical="center" wrapText="1" indent="1"/>
    </xf>
    <xf numFmtId="2" fontId="25" fillId="11" borderId="14" xfId="58" applyNumberFormat="1" applyFont="1" applyFill="1" applyBorder="1" applyAlignment="1" applyProtection="1">
      <alignment horizontal="left" vertical="center" wrapText="1" indent="1"/>
    </xf>
    <xf numFmtId="2" fontId="25" fillId="0" borderId="11" xfId="58" applyNumberFormat="1" applyFont="1" applyFill="1" applyBorder="1" applyAlignment="1" applyProtection="1">
      <alignment horizontal="left" vertical="center" wrapText="1" indent="1"/>
      <protection locked="0"/>
    </xf>
    <xf numFmtId="0" fontId="25" fillId="22" borderId="29" xfId="58" applyFont="1" applyFill="1" applyBorder="1" applyAlignment="1" applyProtection="1">
      <alignment horizontal="center" vertical="center" wrapText="1"/>
    </xf>
    <xf numFmtId="0" fontId="25" fillId="15" borderId="29" xfId="58" applyFont="1" applyFill="1" applyBorder="1" applyAlignment="1" applyProtection="1">
      <alignment horizontal="center" vertical="center" wrapText="1"/>
    </xf>
    <xf numFmtId="0" fontId="26" fillId="21" borderId="29" xfId="58" applyFont="1" applyFill="1" applyBorder="1" applyAlignment="1" applyProtection="1">
      <alignment horizontal="center" vertical="center"/>
    </xf>
    <xf numFmtId="0" fontId="78" fillId="77" borderId="29" xfId="58" applyFont="1" applyFill="1" applyBorder="1" applyAlignment="1" applyProtection="1">
      <alignment horizontal="left" vertical="center" wrapText="1" indent="1"/>
    </xf>
    <xf numFmtId="0" fontId="7" fillId="8" borderId="40" xfId="58" applyFont="1" applyFill="1" applyBorder="1" applyAlignment="1" applyProtection="1">
      <alignment horizontal="center" vertical="center" wrapText="1"/>
    </xf>
    <xf numFmtId="0" fontId="7" fillId="8" borderId="15" xfId="58" applyFont="1" applyFill="1" applyBorder="1" applyAlignment="1" applyProtection="1">
      <alignment horizontal="center" vertical="center" wrapText="1"/>
    </xf>
    <xf numFmtId="196" fontId="25" fillId="11" borderId="25" xfId="58" applyNumberFormat="1" applyFont="1" applyFill="1" applyBorder="1" applyAlignment="1" applyProtection="1">
      <alignment horizontal="left" vertical="center" wrapText="1" indent="1"/>
    </xf>
    <xf numFmtId="2" fontId="25" fillId="13" borderId="85" xfId="58" applyNumberFormat="1" applyFont="1" applyFill="1" applyBorder="1" applyAlignment="1" applyProtection="1">
      <alignment horizontal="center" vertical="center"/>
    </xf>
    <xf numFmtId="2" fontId="25" fillId="17" borderId="85" xfId="58" applyNumberFormat="1" applyFont="1" applyFill="1" applyBorder="1" applyAlignment="1" applyProtection="1">
      <alignment horizontal="center" vertical="center"/>
    </xf>
    <xf numFmtId="0" fontId="25" fillId="0" borderId="22" xfId="58" applyNumberFormat="1" applyFont="1" applyFill="1" applyBorder="1" applyAlignment="1" applyProtection="1">
      <alignment horizontal="left" vertical="center" indent="1"/>
    </xf>
    <xf numFmtId="2" fontId="25" fillId="84" borderId="8" xfId="58" applyNumberFormat="1" applyFont="1" applyFill="1" applyBorder="1" applyAlignment="1" applyProtection="1">
      <alignment horizontal="center" vertical="center"/>
    </xf>
    <xf numFmtId="2" fontId="25" fillId="84" borderId="0" xfId="58" applyNumberFormat="1" applyFont="1" applyFill="1" applyBorder="1" applyAlignment="1" applyProtection="1">
      <alignment horizontal="center" vertical="center"/>
    </xf>
    <xf numFmtId="2" fontId="25" fillId="84" borderId="10" xfId="58" applyNumberFormat="1" applyFont="1" applyFill="1" applyBorder="1" applyAlignment="1" applyProtection="1">
      <alignment horizontal="center" vertical="center"/>
    </xf>
    <xf numFmtId="199" fontId="25" fillId="84" borderId="22" xfId="58" applyNumberFormat="1" applyFont="1" applyFill="1" applyBorder="1" applyAlignment="1" applyProtection="1">
      <alignment horizontal="center" vertical="center"/>
    </xf>
    <xf numFmtId="199" fontId="25" fillId="84" borderId="23" xfId="58" applyNumberFormat="1" applyFont="1" applyFill="1" applyBorder="1" applyAlignment="1" applyProtection="1">
      <alignment horizontal="center" vertical="center"/>
    </xf>
    <xf numFmtId="199" fontId="25" fillId="84" borderId="24" xfId="58" applyNumberFormat="1" applyFont="1" applyFill="1" applyBorder="1" applyAlignment="1" applyProtection="1">
      <alignment horizontal="center" vertical="center"/>
    </xf>
    <xf numFmtId="0" fontId="38" fillId="0" borderId="0" xfId="58" applyNumberFormat="1" applyFont="1" applyFill="1" applyBorder="1" applyAlignment="1" applyProtection="1">
      <alignment vertical="center"/>
      <protection locked="0"/>
    </xf>
    <xf numFmtId="195" fontId="38" fillId="10" borderId="0" xfId="58" applyNumberFormat="1" applyFont="1" applyFill="1" applyBorder="1" applyAlignment="1" applyProtection="1">
      <alignment horizontal="right" vertical="center"/>
      <protection locked="0"/>
    </xf>
    <xf numFmtId="2" fontId="10" fillId="0" borderId="11" xfId="58" applyNumberFormat="1" applyFont="1" applyFill="1" applyBorder="1" applyAlignment="1" applyProtection="1">
      <alignment horizontal="left" vertical="center" wrapText="1" indent="1"/>
      <protection locked="0"/>
    </xf>
    <xf numFmtId="2" fontId="10" fillId="0" borderId="0" xfId="58" applyNumberFormat="1" applyFont="1" applyFill="1" applyBorder="1" applyAlignment="1" applyProtection="1">
      <alignment horizontal="left" vertical="center" wrapText="1"/>
      <protection locked="0"/>
    </xf>
    <xf numFmtId="199" fontId="10" fillId="10" borderId="0" xfId="58" applyNumberFormat="1" applyFont="1" applyFill="1" applyBorder="1" applyAlignment="1" applyProtection="1">
      <alignment horizontal="right" vertical="center"/>
      <protection locked="0"/>
    </xf>
    <xf numFmtId="2" fontId="10" fillId="0" borderId="12" xfId="58" applyNumberFormat="1" applyFont="1" applyFill="1" applyBorder="1" applyAlignment="1" applyProtection="1">
      <alignment horizontal="left" vertical="center" indent="1"/>
      <protection locked="0"/>
    </xf>
    <xf numFmtId="200" fontId="25" fillId="11" borderId="13" xfId="58" applyNumberFormat="1" applyFont="1" applyFill="1" applyBorder="1" applyAlignment="1" applyProtection="1">
      <alignment horizontal="right" vertical="center"/>
    </xf>
    <xf numFmtId="199" fontId="25" fillId="82" borderId="0" xfId="58" applyNumberFormat="1" applyFont="1" applyFill="1" applyBorder="1" applyAlignment="1" applyProtection="1">
      <alignment horizontal="center" vertical="center"/>
    </xf>
    <xf numFmtId="203" fontId="25" fillId="82" borderId="0" xfId="58" applyNumberFormat="1" applyFont="1" applyFill="1" applyBorder="1" applyAlignment="1" applyProtection="1">
      <alignment horizontal="center" vertical="center"/>
    </xf>
    <xf numFmtId="203" fontId="25" fillId="82" borderId="10" xfId="58" applyNumberFormat="1" applyFont="1" applyFill="1" applyBorder="1" applyAlignment="1" applyProtection="1">
      <alignment horizontal="center" vertical="center"/>
    </xf>
    <xf numFmtId="195" fontId="10" fillId="10" borderId="0" xfId="58" applyNumberFormat="1" applyFont="1" applyFill="1" applyBorder="1" applyAlignment="1" applyProtection="1">
      <alignment horizontal="right" vertical="center"/>
      <protection locked="0"/>
    </xf>
    <xf numFmtId="0" fontId="10" fillId="0" borderId="0" xfId="58" quotePrefix="1" applyNumberFormat="1" applyFont="1" applyFill="1" applyBorder="1" applyAlignment="1" applyProtection="1">
      <alignment horizontal="left" vertical="center" wrapText="1" indent="1"/>
    </xf>
    <xf numFmtId="200" fontId="25" fillId="12" borderId="13" xfId="58" applyNumberFormat="1" applyFont="1" applyFill="1" applyBorder="1" applyAlignment="1" applyProtection="1">
      <alignment horizontal="right" vertical="center"/>
    </xf>
    <xf numFmtId="4" fontId="25" fillId="11" borderId="13" xfId="58" applyNumberFormat="1" applyFont="1" applyFill="1" applyBorder="1" applyAlignment="1" applyProtection="1">
      <alignment horizontal="right" vertical="center"/>
    </xf>
    <xf numFmtId="208" fontId="25" fillId="0" borderId="0" xfId="58" applyNumberFormat="1" applyFont="1" applyFill="1" applyBorder="1" applyAlignment="1" applyProtection="1">
      <alignment vertical="center"/>
    </xf>
    <xf numFmtId="166" fontId="25" fillId="0" borderId="0" xfId="58" applyNumberFormat="1" applyFont="1" applyFill="1" applyBorder="1" applyAlignment="1" applyProtection="1">
      <alignment horizontal="center" vertical="center"/>
    </xf>
    <xf numFmtId="2" fontId="72" fillId="0" borderId="0" xfId="58" applyNumberFormat="1" applyFont="1" applyFill="1" applyBorder="1" applyAlignment="1" applyProtection="1">
      <alignment horizontal="center" vertical="center"/>
    </xf>
    <xf numFmtId="203" fontId="25" fillId="84" borderId="23" xfId="58" applyNumberFormat="1" applyFont="1" applyFill="1" applyBorder="1" applyAlignment="1" applyProtection="1">
      <alignment horizontal="center" vertical="center"/>
    </xf>
    <xf numFmtId="208" fontId="25" fillId="0" borderId="0" xfId="58" applyNumberFormat="1" applyFont="1" applyFill="1" applyBorder="1" applyAlignment="1" applyProtection="1">
      <alignment horizontal="center" vertical="center"/>
    </xf>
    <xf numFmtId="208" fontId="25" fillId="0" borderId="0" xfId="58" applyNumberFormat="1" applyFont="1" applyFill="1" applyBorder="1" applyAlignment="1" applyProtection="1">
      <alignment horizontal="right" vertical="center"/>
    </xf>
    <xf numFmtId="199" fontId="10" fillId="14" borderId="10" xfId="58" applyNumberFormat="1" applyFont="1" applyFill="1" applyBorder="1" applyAlignment="1" applyProtection="1">
      <alignment horizontal="center" vertical="center"/>
    </xf>
    <xf numFmtId="199" fontId="10" fillId="10" borderId="0" xfId="58" applyNumberFormat="1" applyFont="1" applyFill="1" applyBorder="1" applyAlignment="1" applyProtection="1">
      <alignment horizontal="right" vertical="center"/>
    </xf>
    <xf numFmtId="1" fontId="25" fillId="13" borderId="0" xfId="58" applyNumberFormat="1" applyFont="1" applyFill="1" applyBorder="1" applyAlignment="1" applyProtection="1">
      <alignment horizontal="center" vertical="center"/>
    </xf>
    <xf numFmtId="203" fontId="10" fillId="10" borderId="8" xfId="58" applyNumberFormat="1" applyFont="1" applyFill="1" applyBorder="1" applyAlignment="1" applyProtection="1">
      <alignment horizontal="right" vertical="center"/>
    </xf>
    <xf numFmtId="0" fontId="25" fillId="0" borderId="85" xfId="58" quotePrefix="1" applyNumberFormat="1" applyFont="1" applyFill="1" applyBorder="1" applyAlignment="1" applyProtection="1">
      <alignment horizontal="left" vertical="center" wrapText="1"/>
    </xf>
    <xf numFmtId="2" fontId="25" fillId="15" borderId="8" xfId="58" applyNumberFormat="1" applyFont="1" applyFill="1" applyBorder="1" applyAlignment="1" applyProtection="1">
      <alignment horizontal="center" vertical="center"/>
    </xf>
    <xf numFmtId="2" fontId="25" fillId="15" borderId="0" xfId="58" applyNumberFormat="1" applyFont="1" applyFill="1" applyBorder="1" applyAlignment="1" applyProtection="1">
      <alignment horizontal="center" vertical="center"/>
    </xf>
    <xf numFmtId="2" fontId="25" fillId="15" borderId="10" xfId="58" applyNumberFormat="1" applyFont="1" applyFill="1" applyBorder="1" applyAlignment="1" applyProtection="1">
      <alignment horizontal="center" vertical="center"/>
    </xf>
    <xf numFmtId="0" fontId="15" fillId="0" borderId="0" xfId="58" applyNumberFormat="1" applyFont="1" applyFill="1" applyBorder="1" applyAlignment="1" applyProtection="1">
      <alignment horizontal="left" vertical="center" wrapText="1" indent="1"/>
    </xf>
    <xf numFmtId="3" fontId="0" fillId="79" borderId="0" xfId="0" applyFill="1" applyBorder="1" applyProtection="1">
      <alignment vertical="center"/>
    </xf>
    <xf numFmtId="3" fontId="0" fillId="79" borderId="0" xfId="0" applyFill="1" applyBorder="1" applyAlignment="1" applyProtection="1">
      <alignment horizontal="left" vertical="center" indent="1"/>
    </xf>
    <xf numFmtId="0" fontId="3" fillId="13" borderId="0" xfId="471" applyFont="1" applyFill="1" applyProtection="1"/>
    <xf numFmtId="0" fontId="85" fillId="13" borderId="0" xfId="471" applyFill="1" applyProtection="1"/>
    <xf numFmtId="2" fontId="2" fillId="0" borderId="0" xfId="471" applyNumberFormat="1" applyFont="1" applyFill="1" applyBorder="1"/>
    <xf numFmtId="2" fontId="25" fillId="0" borderId="0" xfId="58" applyNumberFormat="1" applyFont="1" applyFill="1" applyBorder="1" applyAlignment="1" applyProtection="1">
      <alignment horizontal="center" vertical="center" wrapText="1"/>
    </xf>
    <xf numFmtId="0" fontId="85" fillId="0" borderId="0" xfId="471" applyFill="1" applyBorder="1" applyAlignment="1">
      <alignment wrapText="1"/>
    </xf>
    <xf numFmtId="2" fontId="74" fillId="0" borderId="0" xfId="471" applyNumberFormat="1" applyFont="1" applyFill="1" applyBorder="1" applyAlignment="1">
      <alignment wrapText="1"/>
    </xf>
    <xf numFmtId="1" fontId="85" fillId="0" borderId="0" xfId="471" applyNumberFormat="1" applyFill="1" applyBorder="1" applyAlignment="1">
      <alignment wrapText="1"/>
    </xf>
    <xf numFmtId="3" fontId="15" fillId="13" borderId="86" xfId="0" applyFont="1" applyFill="1" applyBorder="1">
      <alignment vertical="center"/>
    </xf>
    <xf numFmtId="3" fontId="0" fillId="13" borderId="87" xfId="0" applyFill="1" applyBorder="1" applyProtection="1">
      <alignment vertical="center"/>
    </xf>
    <xf numFmtId="3" fontId="15" fillId="13" borderId="88" xfId="0" applyFont="1" applyFill="1" applyBorder="1">
      <alignment vertical="center"/>
    </xf>
    <xf numFmtId="3" fontId="0" fillId="13" borderId="89" xfId="0" applyFill="1" applyBorder="1" applyProtection="1">
      <alignment vertical="center"/>
    </xf>
    <xf numFmtId="3" fontId="15" fillId="13" borderId="88" xfId="0" applyFont="1" applyFill="1" applyBorder="1" applyAlignment="1">
      <alignment vertical="center" wrapText="1"/>
    </xf>
    <xf numFmtId="3" fontId="15" fillId="13" borderId="90" xfId="0" applyFont="1" applyFill="1" applyBorder="1" applyAlignment="1">
      <alignment vertical="center" wrapText="1"/>
    </xf>
    <xf numFmtId="3" fontId="0" fillId="13" borderId="91" xfId="0" applyFill="1" applyBorder="1" applyProtection="1">
      <alignment vertical="center"/>
    </xf>
    <xf numFmtId="0" fontId="38" fillId="0" borderId="11" xfId="58" applyNumberFormat="1" applyFont="1" applyFill="1" applyBorder="1" applyAlignment="1" applyProtection="1">
      <alignment horizontal="left" vertical="center" indent="1"/>
      <protection locked="0"/>
    </xf>
    <xf numFmtId="196" fontId="38" fillId="0" borderId="12" xfId="58" applyNumberFormat="1" applyFont="1" applyFill="1" applyBorder="1" applyAlignment="1" applyProtection="1">
      <alignment horizontal="left" vertical="center" indent="1"/>
      <protection locked="0"/>
    </xf>
    <xf numFmtId="195" fontId="38" fillId="0" borderId="11" xfId="58" applyNumberFormat="1" applyFont="1" applyFill="1" applyBorder="1" applyAlignment="1" applyProtection="1">
      <alignment horizontal="left" vertical="center" indent="1"/>
      <protection locked="0"/>
    </xf>
    <xf numFmtId="195" fontId="38" fillId="0" borderId="0" xfId="58" applyNumberFormat="1" applyFont="1" applyFill="1" applyBorder="1" applyAlignment="1" applyProtection="1">
      <alignment horizontal="left" vertical="center" indent="1"/>
      <protection locked="0"/>
    </xf>
    <xf numFmtId="196" fontId="38" fillId="0" borderId="11" xfId="58" applyNumberFormat="1" applyFont="1" applyFill="1" applyBorder="1" applyAlignment="1" applyProtection="1">
      <alignment horizontal="left" vertical="center" indent="1"/>
      <protection locked="0"/>
    </xf>
    <xf numFmtId="0" fontId="38" fillId="0" borderId="11" xfId="58" quotePrefix="1" applyNumberFormat="1" applyFont="1" applyFill="1" applyBorder="1" applyAlignment="1" applyProtection="1">
      <alignment horizontal="left" vertical="center" indent="1"/>
      <protection locked="0"/>
    </xf>
    <xf numFmtId="0" fontId="38" fillId="0" borderId="0" xfId="58" quotePrefix="1" applyNumberFormat="1" applyFont="1" applyFill="1" applyBorder="1" applyAlignment="1" applyProtection="1">
      <alignment horizontal="left" vertical="center" wrapText="1" indent="1"/>
      <protection locked="0"/>
    </xf>
    <xf numFmtId="199" fontId="26" fillId="15" borderId="24" xfId="58" applyNumberFormat="1" applyFont="1" applyFill="1" applyBorder="1" applyAlignment="1" applyProtection="1">
      <alignment horizontal="center" vertical="center"/>
    </xf>
    <xf numFmtId="208" fontId="25" fillId="15" borderId="10" xfId="58" applyNumberFormat="1" applyFont="1" applyFill="1" applyBorder="1" applyAlignment="1" applyProtection="1">
      <alignment horizontal="center" vertical="center"/>
    </xf>
    <xf numFmtId="2" fontId="25" fillId="14" borderId="85" xfId="58" applyNumberFormat="1" applyFont="1" applyFill="1" applyBorder="1" applyAlignment="1" applyProtection="1">
      <alignment horizontal="center" vertical="center"/>
    </xf>
    <xf numFmtId="2" fontId="25" fillId="15" borderId="20" xfId="58" applyNumberFormat="1" applyFont="1" applyFill="1" applyBorder="1" applyAlignment="1" applyProtection="1">
      <alignment horizontal="center" vertical="center"/>
    </xf>
    <xf numFmtId="2" fontId="25" fillId="15" borderId="19" xfId="58" applyNumberFormat="1" applyFont="1" applyFill="1" applyBorder="1" applyAlignment="1" applyProtection="1">
      <alignment horizontal="center" vertical="center"/>
    </xf>
    <xf numFmtId="199" fontId="25" fillId="14" borderId="85" xfId="58" applyNumberFormat="1" applyFont="1" applyFill="1" applyBorder="1" applyAlignment="1" applyProtection="1">
      <alignment horizontal="center" vertical="center"/>
    </xf>
    <xf numFmtId="0" fontId="26" fillId="0" borderId="11" xfId="58" applyNumberFormat="1" applyFont="1" applyFill="1" applyBorder="1" applyAlignment="1" applyProtection="1">
      <alignment horizontal="left" vertical="center" wrapText="1" indent="1"/>
    </xf>
    <xf numFmtId="0" fontId="26" fillId="0" borderId="0" xfId="58" applyNumberFormat="1" applyFont="1" applyFill="1" applyBorder="1" applyAlignment="1" applyProtection="1">
      <alignment vertical="center"/>
    </xf>
    <xf numFmtId="0" fontId="26" fillId="0" borderId="0" xfId="58" applyNumberFormat="1" applyFont="1" applyFill="1" applyBorder="1" applyAlignment="1" applyProtection="1"/>
    <xf numFmtId="0" fontId="10" fillId="0" borderId="17" xfId="58" applyNumberFormat="1" applyFont="1" applyFill="1" applyBorder="1" applyAlignment="1" applyProtection="1">
      <alignment horizontal="left" vertical="center" wrapText="1" indent="1"/>
    </xf>
    <xf numFmtId="3" fontId="0" fillId="9" borderId="0" xfId="0" applyFill="1" applyBorder="1" applyAlignment="1" applyProtection="1">
      <alignment vertical="center" wrapText="1"/>
    </xf>
    <xf numFmtId="203" fontId="25" fillId="14" borderId="21" xfId="58" applyNumberFormat="1" applyFont="1" applyFill="1" applyBorder="1" applyAlignment="1" applyProtection="1">
      <alignment horizontal="center" vertical="center"/>
    </xf>
    <xf numFmtId="203" fontId="25" fillId="14" borderId="20" xfId="58" applyNumberFormat="1" applyFont="1" applyFill="1" applyBorder="1" applyAlignment="1" applyProtection="1">
      <alignment horizontal="center" vertical="center"/>
    </xf>
    <xf numFmtId="199" fontId="26" fillId="15" borderId="22" xfId="58" applyNumberFormat="1" applyFont="1" applyFill="1" applyBorder="1" applyAlignment="1" applyProtection="1">
      <alignment horizontal="center" vertical="center"/>
    </xf>
    <xf numFmtId="199" fontId="25" fillId="9" borderId="41" xfId="58" applyNumberFormat="1" applyFont="1" applyFill="1" applyBorder="1" applyAlignment="1" applyProtection="1">
      <alignment vertical="center"/>
    </xf>
    <xf numFmtId="199" fontId="25" fillId="9" borderId="38" xfId="58" applyNumberFormat="1" applyFont="1" applyFill="1" applyBorder="1" applyAlignment="1" applyProtection="1">
      <alignment vertical="center"/>
    </xf>
    <xf numFmtId="199" fontId="25" fillId="9" borderId="39" xfId="58" applyNumberFormat="1" applyFont="1" applyFill="1" applyBorder="1" applyAlignment="1" applyProtection="1">
      <alignment vertical="center"/>
    </xf>
    <xf numFmtId="199" fontId="7" fillId="8" borderId="41" xfId="58" applyNumberFormat="1" applyFont="1" applyFill="1" applyBorder="1" applyAlignment="1" applyProtection="1">
      <alignment vertical="center"/>
    </xf>
    <xf numFmtId="199" fontId="7" fillId="8" borderId="38" xfId="58" applyNumberFormat="1" applyFont="1" applyFill="1" applyBorder="1" applyAlignment="1" applyProtection="1">
      <alignment vertical="center"/>
    </xf>
    <xf numFmtId="199" fontId="7" fillId="8" borderId="39" xfId="58" applyNumberFormat="1" applyFont="1" applyFill="1" applyBorder="1" applyAlignment="1" applyProtection="1">
      <alignment vertical="center"/>
    </xf>
    <xf numFmtId="199" fontId="25" fillId="10" borderId="85" xfId="58" applyNumberFormat="1" applyFont="1" applyFill="1" applyBorder="1" applyAlignment="1" applyProtection="1">
      <alignment horizontal="right" vertical="center"/>
    </xf>
    <xf numFmtId="209" fontId="25" fillId="0" borderId="0" xfId="58" applyNumberFormat="1" applyFont="1" applyFill="1" applyBorder="1" applyAlignment="1" applyProtection="1">
      <alignment vertical="center"/>
    </xf>
    <xf numFmtId="195" fontId="25" fillId="11" borderId="67" xfId="58" applyNumberFormat="1" applyFont="1" applyFill="1" applyBorder="1" applyAlignment="1" applyProtection="1">
      <alignment horizontal="right" vertical="center"/>
    </xf>
    <xf numFmtId="196" fontId="25" fillId="0" borderId="21" xfId="58" applyNumberFormat="1" applyFont="1" applyFill="1" applyBorder="1" applyAlignment="1" applyProtection="1">
      <alignment horizontal="left" vertical="center" indent="1"/>
    </xf>
    <xf numFmtId="2" fontId="10" fillId="0" borderId="0" xfId="58" applyNumberFormat="1" applyFont="1" applyFill="1" applyBorder="1" applyAlignment="1" applyProtection="1">
      <alignment horizontal="left" vertical="center" indent="1"/>
      <protection locked="0"/>
    </xf>
    <xf numFmtId="2" fontId="25" fillId="0" borderId="0" xfId="58" applyNumberFormat="1" applyFont="1" applyFill="1" applyBorder="1" applyAlignment="1" applyProtection="1">
      <alignment horizontal="left" vertical="center" indent="1"/>
      <protection locked="0"/>
    </xf>
    <xf numFmtId="2" fontId="25" fillId="0" borderId="5" xfId="58" applyNumberFormat="1" applyFont="1" applyFill="1" applyBorder="1" applyAlignment="1" applyProtection="1">
      <alignment horizontal="left" vertical="center" wrapText="1" indent="1"/>
      <protection locked="0"/>
    </xf>
    <xf numFmtId="2" fontId="25" fillId="0" borderId="12" xfId="58" applyNumberFormat="1" applyFont="1" applyFill="1" applyBorder="1" applyAlignment="1" applyProtection="1">
      <alignment horizontal="left" vertical="center" wrapText="1"/>
      <protection locked="0"/>
    </xf>
    <xf numFmtId="195" fontId="10" fillId="10" borderId="85" xfId="58" applyNumberFormat="1" applyFont="1" applyFill="1" applyBorder="1" applyAlignment="1" applyProtection="1">
      <alignment horizontal="right" vertical="center"/>
    </xf>
    <xf numFmtId="196" fontId="25" fillId="0" borderId="85" xfId="58" applyNumberFormat="1" applyFont="1" applyFill="1" applyBorder="1" applyAlignment="1" applyProtection="1">
      <alignment horizontal="left" vertical="center" indent="1"/>
    </xf>
    <xf numFmtId="196" fontId="25" fillId="0" borderId="0" xfId="58" applyNumberFormat="1" applyFont="1" applyFill="1" applyBorder="1" applyAlignment="1" applyProtection="1">
      <alignment horizontal="left" vertical="center" indent="1"/>
      <protection locked="0"/>
    </xf>
    <xf numFmtId="196" fontId="25" fillId="0" borderId="10" xfId="58" applyNumberFormat="1" applyFont="1" applyFill="1" applyBorder="1" applyAlignment="1" applyProtection="1">
      <alignment horizontal="left" vertical="center" indent="1"/>
      <protection locked="0"/>
    </xf>
    <xf numFmtId="196" fontId="25" fillId="0" borderId="17" xfId="58" applyNumberFormat="1" applyFont="1" applyFill="1" applyBorder="1" applyAlignment="1" applyProtection="1">
      <alignment horizontal="left" vertical="center" wrapText="1" indent="1"/>
    </xf>
    <xf numFmtId="196" fontId="25" fillId="0" borderId="11" xfId="58" applyNumberFormat="1" applyFont="1" applyFill="1" applyBorder="1" applyAlignment="1" applyProtection="1">
      <alignment horizontal="left" vertical="center" wrapText="1" indent="1"/>
    </xf>
    <xf numFmtId="2" fontId="25" fillId="0" borderId="17" xfId="58" applyNumberFormat="1" applyFont="1" applyFill="1" applyBorder="1" applyAlignment="1" applyProtection="1">
      <alignment horizontal="left" vertical="center" wrapText="1"/>
    </xf>
    <xf numFmtId="4" fontId="25" fillId="0" borderId="0" xfId="58" applyNumberFormat="1" applyFont="1" applyFill="1" applyBorder="1" applyAlignment="1" applyProtection="1">
      <alignment vertical="center"/>
      <protection locked="0"/>
    </xf>
    <xf numFmtId="195" fontId="10" fillId="10" borderId="0" xfId="58" applyNumberFormat="1" applyFont="1" applyFill="1" applyBorder="1" applyAlignment="1" applyProtection="1">
      <alignment horizontal="right" vertical="center"/>
    </xf>
    <xf numFmtId="0" fontId="25" fillId="0" borderId="21" xfId="58" applyNumberFormat="1" applyFont="1" applyFill="1" applyBorder="1" applyAlignment="1" applyProtection="1">
      <alignment horizontal="left" vertical="center" indent="1"/>
      <protection locked="0"/>
    </xf>
    <xf numFmtId="2" fontId="25" fillId="0" borderId="0" xfId="58" quotePrefix="1" applyNumberFormat="1" applyFont="1" applyFill="1" applyBorder="1" applyAlignment="1" applyProtection="1">
      <alignment horizontal="left" vertical="center" wrapText="1"/>
      <protection locked="0"/>
    </xf>
    <xf numFmtId="196" fontId="25" fillId="0" borderId="16" xfId="58" applyNumberFormat="1" applyFont="1" applyFill="1" applyBorder="1" applyAlignment="1" applyProtection="1">
      <alignment horizontal="left" vertical="center" indent="1"/>
    </xf>
    <xf numFmtId="2" fontId="25" fillId="0" borderId="0" xfId="58" quotePrefix="1" applyNumberFormat="1" applyFont="1" applyFill="1" applyBorder="1" applyAlignment="1" applyProtection="1">
      <alignment horizontal="left" vertical="center" wrapText="1"/>
    </xf>
    <xf numFmtId="3" fontId="0" fillId="83" borderId="21" xfId="0" applyNumberFormat="1" applyFill="1" applyBorder="1" applyProtection="1">
      <alignment vertical="center"/>
    </xf>
    <xf numFmtId="9" fontId="25" fillId="0" borderId="11" xfId="58" applyNumberFormat="1" applyFont="1" applyFill="1" applyBorder="1" applyAlignment="1" applyProtection="1">
      <alignment horizontal="left" vertical="center" indent="1"/>
    </xf>
    <xf numFmtId="0" fontId="38" fillId="0" borderId="11" xfId="58" applyNumberFormat="1" applyFont="1" applyFill="1" applyBorder="1" applyAlignment="1" applyProtection="1">
      <alignment vertical="center"/>
    </xf>
    <xf numFmtId="2" fontId="10" fillId="0" borderId="0" xfId="58" applyNumberFormat="1" applyFont="1" applyFill="1" applyBorder="1" applyAlignment="1" applyProtection="1">
      <alignment horizontal="left" vertical="center" indent="1"/>
    </xf>
    <xf numFmtId="2" fontId="10" fillId="0" borderId="11" xfId="58" applyNumberFormat="1" applyFont="1" applyFill="1" applyBorder="1" applyAlignment="1" applyProtection="1">
      <alignment horizontal="left" vertical="center" wrapText="1" indent="1"/>
    </xf>
    <xf numFmtId="2" fontId="10" fillId="0" borderId="0" xfId="58" applyNumberFormat="1" applyFont="1" applyFill="1" applyBorder="1" applyAlignment="1" applyProtection="1">
      <alignment horizontal="left" vertical="center" wrapText="1"/>
    </xf>
    <xf numFmtId="2" fontId="10" fillId="0" borderId="12" xfId="58" applyNumberFormat="1" applyFont="1" applyFill="1" applyBorder="1" applyAlignment="1" applyProtection="1">
      <alignment horizontal="left" vertical="center" indent="1"/>
    </xf>
    <xf numFmtId="2" fontId="25" fillId="0" borderId="11" xfId="58" applyNumberFormat="1" applyFont="1" applyFill="1" applyBorder="1" applyAlignment="1" applyProtection="1">
      <alignment horizontal="left" vertical="center" wrapText="1"/>
    </xf>
    <xf numFmtId="199" fontId="25" fillId="10" borderId="0" xfId="58" applyNumberFormat="1" applyFont="1" applyFill="1" applyBorder="1" applyAlignment="1" applyProtection="1">
      <alignment horizontal="right" vertical="center" wrapText="1"/>
    </xf>
    <xf numFmtId="0" fontId="26" fillId="0" borderId="17" xfId="58" applyNumberFormat="1" applyFont="1" applyFill="1" applyBorder="1" applyAlignment="1" applyProtection="1">
      <alignment horizontal="left" vertical="center" wrapText="1"/>
    </xf>
    <xf numFmtId="2" fontId="25" fillId="0" borderId="85" xfId="58" applyNumberFormat="1" applyFont="1" applyFill="1" applyBorder="1" applyAlignment="1" applyProtection="1">
      <alignment horizontal="left" vertical="center" wrapText="1"/>
    </xf>
    <xf numFmtId="0" fontId="25" fillId="0" borderId="17" xfId="58" applyNumberFormat="1" applyFont="1" applyFill="1" applyBorder="1" applyAlignment="1" applyProtection="1">
      <alignment horizontal="left" vertical="center" wrapText="1"/>
    </xf>
    <xf numFmtId="199" fontId="10" fillId="10" borderId="8" xfId="58" applyNumberFormat="1" applyFont="1" applyFill="1" applyBorder="1" applyAlignment="1" applyProtection="1">
      <alignment horizontal="right" vertical="center" wrapText="1"/>
    </xf>
    <xf numFmtId="0" fontId="25" fillId="0" borderId="11" xfId="58" applyNumberFormat="1" applyFont="1" applyFill="1" applyBorder="1" applyAlignment="1" applyProtection="1">
      <alignment vertical="center" wrapText="1"/>
    </xf>
    <xf numFmtId="199" fontId="10" fillId="10" borderId="0" xfId="58" applyNumberFormat="1" applyFont="1" applyFill="1" applyBorder="1" applyAlignment="1" applyProtection="1">
      <alignment horizontal="right" vertical="center" wrapText="1"/>
    </xf>
    <xf numFmtId="0" fontId="25" fillId="0" borderId="11" xfId="58" applyNumberFormat="1" applyFont="1" applyFill="1" applyBorder="1" applyAlignment="1" applyProtection="1">
      <alignment horizontal="left" vertical="center" wrapText="1"/>
    </xf>
    <xf numFmtId="196" fontId="25" fillId="0" borderId="21" xfId="58" applyNumberFormat="1" applyFont="1" applyFill="1" applyBorder="1" applyAlignment="1" applyProtection="1">
      <alignment horizontal="left" vertical="center" wrapText="1"/>
    </xf>
    <xf numFmtId="202" fontId="25" fillId="10" borderId="0" xfId="58" applyNumberFormat="1" applyFont="1" applyFill="1" applyBorder="1" applyAlignment="1" applyProtection="1">
      <alignment horizontal="right" vertical="center" wrapText="1"/>
    </xf>
    <xf numFmtId="0" fontId="25" fillId="0" borderId="12" xfId="58" quotePrefix="1" applyNumberFormat="1" applyFont="1" applyFill="1" applyBorder="1" applyAlignment="1" applyProtection="1">
      <alignment horizontal="left" vertical="center" indent="1"/>
    </xf>
    <xf numFmtId="195" fontId="7" fillId="10" borderId="0" xfId="58" applyNumberFormat="1" applyFont="1" applyFill="1" applyBorder="1" applyAlignment="1" applyProtection="1">
      <alignment horizontal="right" vertical="center"/>
    </xf>
    <xf numFmtId="0" fontId="25" fillId="0" borderId="11" xfId="58" quotePrefix="1" applyNumberFormat="1" applyFont="1" applyFill="1" applyBorder="1" applyAlignment="1" applyProtection="1">
      <alignment horizontal="left" vertical="center" wrapText="1" indent="1"/>
      <protection locked="0"/>
    </xf>
    <xf numFmtId="0" fontId="25" fillId="0" borderId="0" xfId="58" quotePrefix="1" applyNumberFormat="1" applyFont="1" applyFill="1" applyBorder="1" applyAlignment="1" applyProtection="1">
      <alignment horizontal="left" vertical="center" wrapText="1"/>
      <protection locked="0"/>
    </xf>
    <xf numFmtId="199" fontId="25" fillId="10" borderId="85" xfId="58" applyNumberFormat="1" applyFont="1" applyFill="1" applyBorder="1" applyAlignment="1" applyProtection="1">
      <alignment horizontal="right" vertical="center" wrapText="1"/>
    </xf>
    <xf numFmtId="196" fontId="25" fillId="0" borderId="11" xfId="58" applyNumberFormat="1" applyFont="1" applyFill="1" applyBorder="1" applyAlignment="1" applyProtection="1">
      <alignment horizontal="left" vertical="center" wrapText="1" indent="1"/>
      <protection locked="0"/>
    </xf>
    <xf numFmtId="9" fontId="25" fillId="0" borderId="0" xfId="58" quotePrefix="1" applyNumberFormat="1" applyFont="1" applyFill="1" applyBorder="1" applyAlignment="1" applyProtection="1">
      <alignment horizontal="left" vertical="center" wrapText="1" indent="1"/>
      <protection locked="0"/>
    </xf>
    <xf numFmtId="9" fontId="25" fillId="0" borderId="0" xfId="94" applyFont="1" applyFill="1" applyBorder="1" applyAlignment="1" applyProtection="1">
      <alignment horizontal="left" vertical="center" indent="1"/>
    </xf>
    <xf numFmtId="196" fontId="25" fillId="0" borderId="11" xfId="58" quotePrefix="1" applyNumberFormat="1" applyFont="1" applyFill="1" applyBorder="1" applyAlignment="1" applyProtection="1">
      <alignment horizontal="left" vertical="center" indent="1"/>
      <protection locked="0"/>
    </xf>
    <xf numFmtId="9" fontId="38" fillId="0" borderId="11" xfId="58" applyNumberFormat="1" applyFont="1" applyFill="1" applyBorder="1" applyAlignment="1" applyProtection="1">
      <alignment horizontal="left" vertical="center" indent="1"/>
      <protection locked="0"/>
    </xf>
    <xf numFmtId="195" fontId="38" fillId="0" borderId="11" xfId="58" quotePrefix="1" applyNumberFormat="1" applyFont="1" applyFill="1" applyBorder="1" applyAlignment="1" applyProtection="1">
      <alignment horizontal="left" vertical="center" indent="1"/>
      <protection locked="0"/>
    </xf>
    <xf numFmtId="195" fontId="38" fillId="0" borderId="0" xfId="58" quotePrefix="1" applyNumberFormat="1" applyFont="1" applyFill="1" applyBorder="1" applyAlignment="1" applyProtection="1">
      <alignment horizontal="left" vertical="center" indent="1"/>
      <protection locked="0"/>
    </xf>
    <xf numFmtId="166" fontId="38" fillId="10" borderId="0" xfId="58" applyNumberFormat="1" applyFont="1" applyFill="1" applyBorder="1" applyAlignment="1" applyProtection="1">
      <alignment horizontal="right" vertical="center"/>
      <protection locked="0"/>
    </xf>
    <xf numFmtId="196" fontId="38" fillId="0" borderId="0" xfId="58" applyNumberFormat="1" applyFont="1" applyFill="1" applyBorder="1" applyAlignment="1" applyProtection="1">
      <alignment horizontal="left" vertical="center" indent="1"/>
      <protection locked="0"/>
    </xf>
    <xf numFmtId="196" fontId="25" fillId="0" borderId="49" xfId="58" applyNumberFormat="1" applyFont="1" applyFill="1" applyBorder="1" applyAlignment="1" applyProtection="1">
      <alignment horizontal="left" vertical="center" indent="1"/>
      <protection locked="0"/>
    </xf>
    <xf numFmtId="196" fontId="25" fillId="0" borderId="0" xfId="58" applyNumberFormat="1" applyFont="1" applyFill="1" applyBorder="1" applyAlignment="1" applyProtection="1">
      <alignment horizontal="left" vertical="center" wrapText="1" indent="1"/>
      <protection locked="0"/>
    </xf>
    <xf numFmtId="195" fontId="38" fillId="10" borderId="0" xfId="58" applyNumberFormat="1" applyFont="1" applyFill="1" applyBorder="1" applyAlignment="1" applyProtection="1">
      <alignment horizontal="left" vertical="center"/>
      <protection locked="0"/>
    </xf>
    <xf numFmtId="0" fontId="25" fillId="0" borderId="21" xfId="58" applyNumberFormat="1" applyFont="1" applyFill="1" applyBorder="1" applyAlignment="1" applyProtection="1">
      <alignment horizontal="left" vertical="center" wrapText="1" indent="1"/>
    </xf>
    <xf numFmtId="0" fontId="10" fillId="0" borderId="11" xfId="58" applyNumberFormat="1" applyFont="1" applyFill="1" applyBorder="1" applyAlignment="1" applyProtection="1">
      <alignment horizontal="left" vertical="center" wrapText="1" indent="1"/>
    </xf>
    <xf numFmtId="197" fontId="25" fillId="84" borderId="0" xfId="58" applyNumberFormat="1" applyFont="1" applyFill="1" applyBorder="1" applyAlignment="1" applyProtection="1">
      <alignment horizontal="right" vertical="center"/>
    </xf>
    <xf numFmtId="0" fontId="26" fillId="0" borderId="0" xfId="58" applyNumberFormat="1" applyFont="1" applyFill="1" applyBorder="1" applyAlignment="1" applyProtection="1">
      <alignment horizontal="left" vertical="center"/>
    </xf>
    <xf numFmtId="196" fontId="25" fillId="0" borderId="27" xfId="58" quotePrefix="1" applyNumberFormat="1" applyFont="1" applyFill="1" applyBorder="1" applyAlignment="1" applyProtection="1">
      <alignment horizontal="left" vertical="center" wrapText="1" indent="1"/>
    </xf>
    <xf numFmtId="0" fontId="38" fillId="0" borderId="0" xfId="58" quotePrefix="1" applyNumberFormat="1" applyFont="1" applyFill="1" applyBorder="1" applyAlignment="1" applyProtection="1">
      <alignment horizontal="center" vertical="center"/>
    </xf>
    <xf numFmtId="0" fontId="26" fillId="0" borderId="11" xfId="58" applyNumberFormat="1" applyFont="1" applyFill="1" applyBorder="1" applyAlignment="1" applyProtection="1">
      <alignment horizontal="left" vertical="center" wrapText="1"/>
    </xf>
    <xf numFmtId="203" fontId="10" fillId="10" borderId="0" xfId="58" applyNumberFormat="1" applyFont="1" applyFill="1" applyBorder="1" applyAlignment="1" applyProtection="1">
      <alignment horizontal="right" vertical="center"/>
    </xf>
    <xf numFmtId="210" fontId="25" fillId="17" borderId="8" xfId="58" applyNumberFormat="1" applyFont="1" applyFill="1" applyBorder="1" applyAlignment="1" applyProtection="1">
      <alignment horizontal="center" vertical="center"/>
    </xf>
    <xf numFmtId="3" fontId="14" fillId="0" borderId="0" xfId="0" applyFont="1">
      <alignment vertical="center"/>
    </xf>
    <xf numFmtId="14" fontId="10" fillId="9" borderId="0" xfId="0" quotePrefix="1" applyNumberFormat="1" applyFont="1" applyFill="1" applyProtection="1">
      <alignment vertical="center"/>
    </xf>
    <xf numFmtId="0" fontId="80" fillId="77" borderId="46" xfId="58" applyFont="1" applyFill="1" applyBorder="1" applyAlignment="1" applyProtection="1">
      <alignment horizontal="center" vertical="center"/>
    </xf>
    <xf numFmtId="0" fontId="25" fillId="9" borderId="4" xfId="58" applyFont="1" applyFill="1" applyBorder="1" applyAlignment="1" applyProtection="1">
      <alignment horizontal="center" vertical="center" wrapText="1"/>
    </xf>
    <xf numFmtId="3" fontId="72" fillId="0" borderId="0" xfId="0" quotePrefix="1" applyFont="1" applyFill="1" applyAlignment="1" applyProtection="1">
      <alignment horizontal="left" vertical="center"/>
    </xf>
    <xf numFmtId="0" fontId="95" fillId="70" borderId="12" xfId="58" applyNumberFormat="1" applyFont="1" applyFill="1" applyBorder="1" applyAlignment="1" applyProtection="1">
      <alignment horizontal="left" vertical="center" indent="1"/>
    </xf>
    <xf numFmtId="2" fontId="45" fillId="70" borderId="0" xfId="58" applyNumberFormat="1" applyFont="1" applyFill="1" applyBorder="1" applyAlignment="1" applyProtection="1">
      <alignment horizontal="center" vertical="center"/>
    </xf>
    <xf numFmtId="0" fontId="7" fillId="15" borderId="1" xfId="58" applyFont="1" applyFill="1" applyBorder="1" applyAlignment="1" applyProtection="1">
      <alignment horizontal="center" vertical="center"/>
      <protection locked="0"/>
    </xf>
    <xf numFmtId="0" fontId="78" fillId="77" borderId="2" xfId="58" applyFont="1" applyFill="1" applyBorder="1" applyAlignment="1" applyProtection="1">
      <alignment horizontal="left" vertical="center" wrapText="1" indent="1"/>
    </xf>
    <xf numFmtId="0" fontId="78" fillId="77" borderId="31" xfId="58" applyFont="1" applyFill="1" applyBorder="1" applyAlignment="1" applyProtection="1">
      <alignment horizontal="left" vertical="center" wrapText="1" indent="1"/>
    </xf>
    <xf numFmtId="0" fontId="25" fillId="9" borderId="47" xfId="58" applyFont="1" applyFill="1" applyBorder="1" applyAlignment="1" applyProtection="1">
      <alignment vertical="center" wrapText="1"/>
    </xf>
    <xf numFmtId="0" fontId="26" fillId="20" borderId="62" xfId="58" applyFont="1" applyFill="1" applyBorder="1" applyAlignment="1" applyProtection="1">
      <alignment vertical="center"/>
    </xf>
    <xf numFmtId="0" fontId="78" fillId="64" borderId="30" xfId="58" applyFont="1" applyFill="1" applyBorder="1" applyAlignment="1" applyProtection="1">
      <alignment horizontal="left" vertical="center" indent="1"/>
    </xf>
    <xf numFmtId="0" fontId="78" fillId="65" borderId="6" xfId="58" applyFont="1" applyFill="1" applyBorder="1" applyAlignment="1" applyProtection="1">
      <alignment horizontal="left" vertical="center" indent="1"/>
    </xf>
    <xf numFmtId="0" fontId="7" fillId="66" borderId="6" xfId="58" applyFont="1" applyFill="1" applyBorder="1" applyAlignment="1" applyProtection="1">
      <alignment horizontal="left" vertical="center" wrapText="1" indent="1"/>
    </xf>
    <xf numFmtId="0" fontId="78" fillId="67" borderId="6" xfId="58" applyFont="1" applyFill="1" applyBorder="1" applyAlignment="1" applyProtection="1">
      <alignment horizontal="left" vertical="center" indent="1"/>
    </xf>
    <xf numFmtId="0" fontId="78" fillId="68" borderId="6" xfId="58" applyFont="1" applyFill="1" applyBorder="1" applyAlignment="1" applyProtection="1">
      <alignment horizontal="left" vertical="center" indent="1"/>
    </xf>
    <xf numFmtId="0" fontId="78" fillId="69" borderId="6" xfId="58" applyFont="1" applyFill="1" applyBorder="1" applyAlignment="1" applyProtection="1">
      <alignment horizontal="left" vertical="center" indent="1"/>
    </xf>
    <xf numFmtId="0" fontId="78" fillId="67" borderId="37" xfId="58" applyFont="1" applyFill="1" applyBorder="1" applyAlignment="1" applyProtection="1">
      <alignment horizontal="left" vertical="center" indent="1"/>
    </xf>
    <xf numFmtId="0" fontId="25" fillId="15" borderId="41" xfId="58" applyFont="1" applyFill="1" applyBorder="1" applyAlignment="1" applyProtection="1">
      <alignment horizontal="center" vertical="center"/>
      <protection locked="0"/>
    </xf>
    <xf numFmtId="0" fontId="25" fillId="15" borderId="24" xfId="58" applyFont="1" applyFill="1" applyBorder="1" applyAlignment="1" applyProtection="1">
      <alignment horizontal="center" vertical="center"/>
      <protection locked="0"/>
    </xf>
    <xf numFmtId="0" fontId="7" fillId="22" borderId="24" xfId="58" applyFont="1" applyFill="1" applyBorder="1" applyAlignment="1" applyProtection="1">
      <alignment horizontal="center" vertical="center"/>
      <protection locked="0"/>
    </xf>
    <xf numFmtId="0" fontId="7" fillId="22" borderId="42" xfId="58" applyFont="1" applyFill="1" applyBorder="1" applyAlignment="1" applyProtection="1">
      <alignment horizontal="center" vertical="center"/>
      <protection locked="0"/>
    </xf>
    <xf numFmtId="0" fontId="7" fillId="8" borderId="43" xfId="58" applyFont="1" applyFill="1" applyBorder="1" applyAlignment="1" applyProtection="1">
      <alignment horizontal="center" vertical="center"/>
    </xf>
    <xf numFmtId="0" fontId="7" fillId="8" borderId="44" xfId="58" applyFont="1" applyFill="1" applyBorder="1" applyAlignment="1" applyProtection="1">
      <alignment horizontal="center" vertical="center"/>
    </xf>
    <xf numFmtId="0" fontId="7" fillId="8" borderId="45" xfId="58" applyFont="1" applyFill="1" applyBorder="1" applyAlignment="1" applyProtection="1">
      <alignment horizontal="center" vertical="center"/>
    </xf>
    <xf numFmtId="0" fontId="25" fillId="14" borderId="33" xfId="58" applyFont="1" applyFill="1" applyBorder="1" applyAlignment="1" applyProtection="1">
      <alignment horizontal="center" vertical="center"/>
    </xf>
    <xf numFmtId="0" fontId="25" fillId="14" borderId="2" xfId="58" applyFont="1" applyFill="1" applyBorder="1" applyAlignment="1" applyProtection="1">
      <alignment horizontal="center" vertical="center"/>
    </xf>
    <xf numFmtId="0" fontId="25" fillId="14" borderId="31" xfId="58" applyFont="1" applyFill="1" applyBorder="1" applyAlignment="1" applyProtection="1">
      <alignment horizontal="center" vertical="center"/>
    </xf>
    <xf numFmtId="0" fontId="25" fillId="14" borderId="78" xfId="58" applyFont="1" applyFill="1" applyBorder="1" applyAlignment="1" applyProtection="1">
      <alignment horizontal="center" vertical="center"/>
    </xf>
    <xf numFmtId="0" fontId="25" fillId="14" borderId="1" xfId="58" applyNumberFormat="1" applyFont="1" applyFill="1" applyBorder="1" applyAlignment="1" applyProtection="1">
      <alignment horizontal="left" vertical="center"/>
    </xf>
    <xf numFmtId="3" fontId="0" fillId="0" borderId="0" xfId="0" applyAlignment="1" applyProtection="1">
      <alignment horizontal="left" vertical="center"/>
    </xf>
    <xf numFmtId="0" fontId="25" fillId="0" borderId="0" xfId="58" applyNumberFormat="1" applyFont="1" applyFill="1" applyBorder="1" applyAlignment="1" applyProtection="1">
      <alignment horizontal="right" vertical="center"/>
    </xf>
    <xf numFmtId="208" fontId="41" fillId="0" borderId="0" xfId="58" applyNumberFormat="1" applyFont="1" applyFill="1" applyBorder="1" applyAlignment="1" applyProtection="1">
      <alignment horizontal="left" vertical="center"/>
    </xf>
    <xf numFmtId="0" fontId="41" fillId="0" borderId="0" xfId="58" applyNumberFormat="1" applyFont="1" applyFill="1" applyBorder="1" applyAlignment="1" applyProtection="1">
      <alignment horizontal="left" vertical="center" wrapText="1"/>
    </xf>
    <xf numFmtId="2" fontId="41" fillId="0" borderId="0" xfId="58" quotePrefix="1" applyNumberFormat="1" applyFont="1" applyFill="1" applyBorder="1" applyAlignment="1" applyProtection="1">
      <alignment horizontal="left" vertical="center"/>
    </xf>
    <xf numFmtId="0" fontId="41" fillId="0" borderId="0" xfId="58" quotePrefix="1" applyNumberFormat="1" applyFont="1" applyFill="1" applyBorder="1" applyAlignment="1" applyProtection="1">
      <alignment horizontal="left" vertical="center" wrapText="1"/>
    </xf>
    <xf numFmtId="0" fontId="34" fillId="0" borderId="5" xfId="58" applyNumberFormat="1" applyFont="1" applyFill="1" applyBorder="1" applyAlignment="1" applyProtection="1">
      <alignment horizontal="left" vertical="center" indent="1"/>
    </xf>
    <xf numFmtId="0" fontId="1" fillId="86" borderId="0" xfId="471" applyFont="1" applyFill="1" applyAlignment="1" applyProtection="1">
      <alignment wrapText="1"/>
    </xf>
    <xf numFmtId="2" fontId="25" fillId="12" borderId="14" xfId="58" applyNumberFormat="1" applyFont="1" applyFill="1" applyBorder="1" applyAlignment="1" applyProtection="1">
      <alignment vertical="center"/>
    </xf>
    <xf numFmtId="2" fontId="25" fillId="0" borderId="17" xfId="58" applyNumberFormat="1" applyFont="1" applyFill="1" applyBorder="1" applyAlignment="1" applyProtection="1">
      <alignment vertical="center"/>
    </xf>
    <xf numFmtId="2" fontId="25" fillId="0" borderId="12" xfId="58" applyNumberFormat="1" applyFont="1" applyFill="1" applyBorder="1" applyAlignment="1" applyProtection="1">
      <alignment vertical="center"/>
      <protection locked="0"/>
    </xf>
    <xf numFmtId="2" fontId="25" fillId="0" borderId="11" xfId="58" applyNumberFormat="1" applyFont="1" applyFill="1" applyBorder="1" applyAlignment="1" applyProtection="1">
      <alignment vertical="center"/>
    </xf>
    <xf numFmtId="2" fontId="10" fillId="0" borderId="12" xfId="58" quotePrefix="1" applyNumberFormat="1" applyFont="1" applyFill="1" applyBorder="1" applyAlignment="1" applyProtection="1">
      <alignment vertical="center"/>
    </xf>
    <xf numFmtId="2" fontId="10" fillId="0" borderId="12" xfId="58" quotePrefix="1" applyNumberFormat="1" applyFont="1" applyFill="1" applyBorder="1" applyAlignment="1" applyProtection="1">
      <alignment vertical="center"/>
      <protection locked="0"/>
    </xf>
    <xf numFmtId="2" fontId="25" fillId="0" borderId="11" xfId="58" applyNumberFormat="1" applyFont="1" applyFill="1" applyBorder="1" applyAlignment="1" applyProtection="1">
      <alignment vertical="center" wrapText="1"/>
    </xf>
    <xf numFmtId="2" fontId="25" fillId="0" borderId="12" xfId="58" applyNumberFormat="1" applyFont="1" applyFill="1" applyBorder="1" applyAlignment="1" applyProtection="1">
      <alignment vertical="center" wrapText="1"/>
    </xf>
    <xf numFmtId="0" fontId="80" fillId="77" borderId="53" xfId="58" applyFont="1" applyFill="1" applyBorder="1" applyAlignment="1" applyProtection="1">
      <alignment horizontal="center" vertical="center"/>
    </xf>
    <xf numFmtId="0" fontId="80" fillId="77" borderId="47" xfId="58" applyFont="1" applyFill="1" applyBorder="1" applyAlignment="1" applyProtection="1">
      <alignment horizontal="center" vertical="center"/>
    </xf>
    <xf numFmtId="0" fontId="80" fillId="77" borderId="46" xfId="58" applyFont="1" applyFill="1" applyBorder="1" applyAlignment="1" applyProtection="1">
      <alignment horizontal="center" vertical="center"/>
    </xf>
    <xf numFmtId="0" fontId="80" fillId="77" borderId="14" xfId="58" applyFont="1" applyFill="1" applyBorder="1" applyAlignment="1" applyProtection="1">
      <alignment horizontal="center" vertical="center"/>
    </xf>
    <xf numFmtId="0" fontId="25" fillId="9" borderId="78" xfId="58" applyFont="1" applyFill="1" applyBorder="1" applyAlignment="1" applyProtection="1">
      <alignment horizontal="center" vertical="center"/>
    </xf>
    <xf numFmtId="0" fontId="25" fillId="9" borderId="51" xfId="58" applyFont="1" applyFill="1" applyBorder="1" applyAlignment="1" applyProtection="1">
      <alignment horizontal="center" vertical="center"/>
    </xf>
    <xf numFmtId="0" fontId="80" fillId="76" borderId="46" xfId="58" applyFont="1" applyFill="1" applyBorder="1" applyAlignment="1" applyProtection="1">
      <alignment horizontal="center" vertical="center"/>
    </xf>
    <xf numFmtId="0" fontId="80" fillId="76" borderId="13" xfId="58" applyFont="1" applyFill="1" applyBorder="1" applyAlignment="1" applyProtection="1">
      <alignment horizontal="center" vertical="center"/>
    </xf>
    <xf numFmtId="0" fontId="80" fillId="76" borderId="14" xfId="58" applyFont="1" applyFill="1" applyBorder="1" applyAlignment="1" applyProtection="1">
      <alignment horizontal="center" vertical="center"/>
    </xf>
    <xf numFmtId="0" fontId="80" fillId="76" borderId="46" xfId="58" applyFont="1" applyFill="1" applyBorder="1" applyAlignment="1" applyProtection="1">
      <alignment horizontal="center" vertical="center" wrapText="1"/>
    </xf>
    <xf numFmtId="0" fontId="80" fillId="76" borderId="47" xfId="58" applyFont="1" applyFill="1" applyBorder="1" applyAlignment="1" applyProtection="1">
      <alignment horizontal="center" vertical="center" wrapText="1"/>
    </xf>
    <xf numFmtId="0" fontId="10" fillId="79" borderId="8" xfId="58" applyFont="1" applyFill="1" applyBorder="1" applyAlignment="1" applyProtection="1">
      <alignment horizontal="center" vertical="center"/>
    </xf>
    <xf numFmtId="0" fontId="10" fillId="79" borderId="0" xfId="58" applyFont="1" applyFill="1" applyBorder="1" applyAlignment="1" applyProtection="1">
      <alignment horizontal="center" vertical="center"/>
    </xf>
    <xf numFmtId="0" fontId="80" fillId="76" borderId="47" xfId="58" applyFont="1" applyFill="1" applyBorder="1" applyAlignment="1" applyProtection="1">
      <alignment horizontal="center" vertical="center"/>
    </xf>
    <xf numFmtId="0" fontId="25" fillId="9" borderId="30" xfId="58" applyFont="1" applyFill="1" applyBorder="1" applyAlignment="1" applyProtection="1">
      <alignment horizontal="center" vertical="center"/>
    </xf>
    <xf numFmtId="0" fontId="25" fillId="9" borderId="41" xfId="58" applyFont="1" applyFill="1" applyBorder="1" applyAlignment="1" applyProtection="1">
      <alignment horizontal="center" vertical="center"/>
    </xf>
    <xf numFmtId="0" fontId="25" fillId="9" borderId="6" xfId="58" applyFont="1" applyFill="1" applyBorder="1" applyAlignment="1" applyProtection="1">
      <alignment horizontal="center" vertical="center"/>
    </xf>
    <xf numFmtId="0" fontId="25" fillId="9" borderId="24" xfId="58" applyFont="1" applyFill="1" applyBorder="1" applyAlignment="1" applyProtection="1">
      <alignment horizontal="center" vertical="center"/>
    </xf>
    <xf numFmtId="0" fontId="25" fillId="9" borderId="37" xfId="58" applyFont="1" applyFill="1" applyBorder="1" applyAlignment="1" applyProtection="1">
      <alignment horizontal="center" vertical="center"/>
    </xf>
    <xf numFmtId="0" fontId="25" fillId="9" borderId="42" xfId="58" applyFont="1" applyFill="1" applyBorder="1" applyAlignment="1" applyProtection="1">
      <alignment horizontal="center" vertical="center"/>
    </xf>
    <xf numFmtId="0" fontId="80" fillId="76" borderId="13" xfId="58" applyFont="1" applyFill="1" applyBorder="1" applyAlignment="1" applyProtection="1">
      <alignment horizontal="center" vertical="center" wrapText="1"/>
    </xf>
    <xf numFmtId="0" fontId="25" fillId="9" borderId="1" xfId="58" applyFont="1" applyFill="1" applyBorder="1" applyAlignment="1" applyProtection="1">
      <alignment horizontal="center" vertical="center"/>
    </xf>
    <xf numFmtId="0" fontId="37" fillId="79" borderId="8" xfId="58" applyFont="1" applyFill="1" applyBorder="1" applyAlignment="1" applyProtection="1">
      <alignment horizontal="left" vertical="center"/>
    </xf>
    <xf numFmtId="0" fontId="37" fillId="79" borderId="0" xfId="58" applyFont="1" applyFill="1" applyBorder="1" applyAlignment="1" applyProtection="1">
      <alignment horizontal="left" vertical="center"/>
    </xf>
    <xf numFmtId="0" fontId="7" fillId="8" borderId="30" xfId="58" applyFont="1" applyFill="1" applyBorder="1" applyAlignment="1" applyProtection="1">
      <alignment horizontal="center" vertical="center"/>
    </xf>
    <xf numFmtId="0" fontId="7" fillId="8" borderId="41" xfId="58" applyFont="1" applyFill="1" applyBorder="1" applyAlignment="1" applyProtection="1">
      <alignment horizontal="center" vertical="center"/>
    </xf>
    <xf numFmtId="0" fontId="7" fillId="8" borderId="6" xfId="58" applyFont="1" applyFill="1" applyBorder="1" applyAlignment="1" applyProtection="1">
      <alignment horizontal="center" vertical="center"/>
    </xf>
    <xf numFmtId="0" fontId="7" fillId="8" borderId="24" xfId="58" applyFont="1" applyFill="1" applyBorder="1" applyAlignment="1" applyProtection="1">
      <alignment horizontal="center" vertical="center"/>
    </xf>
    <xf numFmtId="0" fontId="80" fillId="77" borderId="13" xfId="58" applyFont="1" applyFill="1" applyBorder="1" applyAlignment="1" applyProtection="1">
      <alignment horizontal="center" vertical="center"/>
    </xf>
    <xf numFmtId="0" fontId="26" fillId="9" borderId="46" xfId="58" applyFont="1" applyFill="1" applyBorder="1" applyAlignment="1" applyProtection="1">
      <alignment horizontal="right" vertical="center" wrapText="1"/>
    </xf>
    <xf numFmtId="0" fontId="26" fillId="9" borderId="13" xfId="58" applyFont="1" applyFill="1" applyBorder="1" applyAlignment="1" applyProtection="1">
      <alignment horizontal="right" vertical="center" wrapText="1"/>
    </xf>
    <xf numFmtId="0" fontId="26" fillId="9" borderId="47" xfId="58" applyFont="1" applyFill="1" applyBorder="1" applyAlignment="1" applyProtection="1">
      <alignment horizontal="right" vertical="center" wrapText="1"/>
    </xf>
    <xf numFmtId="0" fontId="80" fillId="77" borderId="35" xfId="58" applyFont="1" applyFill="1" applyBorder="1" applyAlignment="1" applyProtection="1">
      <alignment horizontal="center" vertical="center"/>
    </xf>
    <xf numFmtId="0" fontId="80" fillId="77" borderId="28" xfId="58" applyFont="1" applyFill="1" applyBorder="1" applyAlignment="1" applyProtection="1">
      <alignment horizontal="center" vertical="center"/>
    </xf>
    <xf numFmtId="0" fontId="25" fillId="9" borderId="38" xfId="58" applyFont="1" applyFill="1" applyBorder="1" applyAlignment="1" applyProtection="1">
      <alignment horizontal="center" vertical="center"/>
    </xf>
    <xf numFmtId="0" fontId="25" fillId="9" borderId="9" xfId="58" applyFont="1" applyFill="1" applyBorder="1" applyAlignment="1" applyProtection="1">
      <alignment horizontal="center" vertical="center"/>
    </xf>
    <xf numFmtId="0" fontId="48" fillId="28" borderId="46" xfId="58" applyFont="1" applyFill="1" applyBorder="1" applyAlignment="1" applyProtection="1">
      <alignment horizontal="center" vertical="center" wrapText="1"/>
    </xf>
    <xf numFmtId="0" fontId="48" fillId="28" borderId="13" xfId="58" applyFont="1" applyFill="1" applyBorder="1" applyAlignment="1" applyProtection="1">
      <alignment horizontal="center" vertical="center" wrapText="1"/>
    </xf>
    <xf numFmtId="0" fontId="48" fillId="28" borderId="47" xfId="58" applyFont="1" applyFill="1" applyBorder="1" applyAlignment="1" applyProtection="1">
      <alignment horizontal="center" vertical="center" wrapText="1"/>
    </xf>
    <xf numFmtId="0" fontId="26" fillId="21" borderId="53" xfId="58" applyFont="1" applyFill="1" applyBorder="1" applyAlignment="1" applyProtection="1">
      <alignment horizontal="center" vertical="center"/>
    </xf>
    <xf numFmtId="0" fontId="26" fillId="21" borderId="47" xfId="58" applyFont="1" applyFill="1" applyBorder="1" applyAlignment="1" applyProtection="1">
      <alignment horizontal="center" vertical="center"/>
    </xf>
    <xf numFmtId="0" fontId="26" fillId="21" borderId="35" xfId="58" applyFont="1" applyFill="1" applyBorder="1" applyAlignment="1" applyProtection="1">
      <alignment horizontal="center" vertical="center"/>
    </xf>
    <xf numFmtId="0" fontId="26" fillId="21" borderId="27" xfId="58" applyFont="1" applyFill="1" applyBorder="1" applyAlignment="1" applyProtection="1">
      <alignment horizontal="center" vertical="center"/>
    </xf>
    <xf numFmtId="0" fontId="26" fillId="21" borderId="64" xfId="58" applyFont="1" applyFill="1" applyBorder="1" applyAlignment="1" applyProtection="1">
      <alignment horizontal="center" vertical="center"/>
    </xf>
    <xf numFmtId="0" fontId="26" fillId="21" borderId="36" xfId="58" applyFont="1" applyFill="1" applyBorder="1" applyAlignment="1" applyProtection="1">
      <alignment horizontal="center" vertical="center"/>
    </xf>
    <xf numFmtId="0" fontId="25" fillId="14" borderId="30" xfId="58" applyFont="1" applyFill="1" applyBorder="1" applyAlignment="1" applyProtection="1">
      <alignment horizontal="center" vertical="center"/>
    </xf>
    <xf numFmtId="0" fontId="25" fillId="14" borderId="41" xfId="58" applyFont="1" applyFill="1" applyBorder="1" applyAlignment="1" applyProtection="1">
      <alignment horizontal="center" vertical="center"/>
    </xf>
    <xf numFmtId="0" fontId="25" fillId="14" borderId="6" xfId="58" applyFont="1" applyFill="1" applyBorder="1" applyAlignment="1" applyProtection="1">
      <alignment horizontal="center" vertical="center"/>
    </xf>
    <xf numFmtId="0" fontId="25" fillId="14" borderId="24" xfId="58" applyFont="1" applyFill="1" applyBorder="1" applyAlignment="1" applyProtection="1">
      <alignment horizontal="center" vertical="center"/>
    </xf>
    <xf numFmtId="0" fontId="25" fillId="14" borderId="37" xfId="58" applyFont="1" applyFill="1" applyBorder="1" applyAlignment="1" applyProtection="1">
      <alignment horizontal="center" vertical="center"/>
    </xf>
    <xf numFmtId="0" fontId="25" fillId="14" borderId="42" xfId="58" applyFont="1" applyFill="1" applyBorder="1" applyAlignment="1" applyProtection="1">
      <alignment horizontal="center" vertical="center"/>
    </xf>
    <xf numFmtId="0" fontId="26" fillId="21" borderId="46" xfId="58" applyFont="1" applyFill="1" applyBorder="1" applyAlignment="1" applyProtection="1">
      <alignment horizontal="center" vertical="center"/>
    </xf>
    <xf numFmtId="0" fontId="25" fillId="14" borderId="23" xfId="58" applyFont="1" applyFill="1" applyBorder="1" applyAlignment="1" applyProtection="1">
      <alignment horizontal="center" vertical="center"/>
    </xf>
    <xf numFmtId="0" fontId="25" fillId="14" borderId="79" xfId="58" applyFont="1" applyFill="1" applyBorder="1" applyAlignment="1" applyProtection="1">
      <alignment horizontal="center" vertical="center"/>
    </xf>
    <xf numFmtId="0" fontId="25" fillId="13" borderId="8" xfId="58" applyFont="1" applyFill="1" applyBorder="1" applyAlignment="1" applyProtection="1">
      <alignment horizontal="center" vertical="center"/>
    </xf>
    <xf numFmtId="0" fontId="25" fillId="13" borderId="0" xfId="58" applyFont="1" applyFill="1" applyBorder="1" applyAlignment="1" applyProtection="1">
      <alignment horizontal="center" vertical="center"/>
    </xf>
    <xf numFmtId="0" fontId="30" fillId="13" borderId="8" xfId="58" applyFont="1" applyFill="1" applyBorder="1" applyAlignment="1" applyProtection="1">
      <alignment horizontal="left" vertical="center"/>
    </xf>
    <xf numFmtId="0" fontId="30" fillId="13" borderId="0" xfId="58" applyFont="1" applyFill="1" applyBorder="1" applyAlignment="1" applyProtection="1">
      <alignment horizontal="left" vertical="center"/>
    </xf>
    <xf numFmtId="0" fontId="48" fillId="28" borderId="13" xfId="58" applyFont="1" applyFill="1" applyBorder="1" applyAlignment="1" applyProtection="1">
      <alignment horizontal="center" vertical="center"/>
    </xf>
    <xf numFmtId="0" fontId="48" fillId="28" borderId="47" xfId="58" applyFont="1" applyFill="1" applyBorder="1" applyAlignment="1" applyProtection="1">
      <alignment horizontal="center" vertical="center"/>
    </xf>
    <xf numFmtId="0" fontId="26" fillId="21" borderId="14" xfId="58" applyFont="1" applyFill="1" applyBorder="1" applyAlignment="1" applyProtection="1">
      <alignment horizontal="center" vertical="center"/>
    </xf>
    <xf numFmtId="0" fontId="25" fillId="14" borderId="67" xfId="58" applyFont="1" applyFill="1" applyBorder="1" applyAlignment="1" applyProtection="1">
      <alignment horizontal="center" vertical="center"/>
    </xf>
    <xf numFmtId="0" fontId="48" fillId="29" borderId="46" xfId="58" applyFont="1" applyFill="1" applyBorder="1" applyAlignment="1" applyProtection="1">
      <alignment horizontal="center" vertical="center" wrapText="1"/>
    </xf>
    <xf numFmtId="0" fontId="48" fillId="29" borderId="13" xfId="58" applyFont="1" applyFill="1" applyBorder="1" applyAlignment="1" applyProtection="1">
      <alignment horizontal="center" vertical="center" wrapText="1"/>
    </xf>
    <xf numFmtId="0" fontId="48" fillId="29" borderId="47" xfId="58" applyFont="1" applyFill="1" applyBorder="1" applyAlignment="1" applyProtection="1">
      <alignment horizontal="center" vertical="center" wrapText="1"/>
    </xf>
    <xf numFmtId="0" fontId="48" fillId="29" borderId="46" xfId="58" applyFont="1" applyFill="1" applyBorder="1" applyAlignment="1" applyProtection="1">
      <alignment horizontal="center" vertical="center"/>
    </xf>
    <xf numFmtId="0" fontId="48" fillId="29" borderId="13" xfId="58" applyFont="1" applyFill="1" applyBorder="1" applyAlignment="1" applyProtection="1">
      <alignment horizontal="center" vertical="center"/>
    </xf>
    <xf numFmtId="0" fontId="48" fillId="29" borderId="47" xfId="58" applyFont="1" applyFill="1" applyBorder="1" applyAlignment="1" applyProtection="1">
      <alignment horizontal="center" vertical="center"/>
    </xf>
    <xf numFmtId="0" fontId="26" fillId="21" borderId="13" xfId="58" applyFont="1" applyFill="1" applyBorder="1" applyAlignment="1" applyProtection="1">
      <alignment horizontal="center" vertical="center"/>
    </xf>
    <xf numFmtId="0" fontId="25" fillId="21" borderId="56" xfId="58" applyFont="1" applyFill="1" applyBorder="1" applyAlignment="1" applyProtection="1">
      <alignment horizontal="center" vertical="center" textRotation="90" wrapText="1"/>
    </xf>
    <xf numFmtId="0" fontId="25" fillId="21" borderId="57" xfId="58" applyFont="1" applyFill="1" applyBorder="1" applyAlignment="1" applyProtection="1">
      <alignment horizontal="center" vertical="center" textRotation="90" wrapText="1"/>
    </xf>
    <xf numFmtId="0" fontId="25" fillId="21" borderId="58" xfId="58" applyFont="1" applyFill="1" applyBorder="1" applyAlignment="1" applyProtection="1">
      <alignment horizontal="center" vertical="center" textRotation="90" wrapText="1"/>
    </xf>
    <xf numFmtId="0" fontId="7" fillId="8" borderId="9" xfId="58" applyFont="1" applyFill="1" applyBorder="1" applyAlignment="1" applyProtection="1">
      <alignment horizontal="center" vertical="center"/>
    </xf>
    <xf numFmtId="0" fontId="7" fillId="8" borderId="1" xfId="58" applyFont="1" applyFill="1" applyBorder="1" applyAlignment="1" applyProtection="1">
      <alignment horizontal="center" vertical="center"/>
    </xf>
    <xf numFmtId="0" fontId="89" fillId="0" borderId="8" xfId="472" applyFont="1" applyFill="1" applyBorder="1" applyAlignment="1" applyProtection="1">
      <alignment horizontal="left" vertical="center"/>
    </xf>
    <xf numFmtId="0" fontId="89" fillId="0" borderId="0" xfId="472" applyFont="1" applyFill="1" applyBorder="1" applyAlignment="1" applyProtection="1">
      <alignment horizontal="left" vertical="center"/>
    </xf>
    <xf numFmtId="0" fontId="80" fillId="77" borderId="64" xfId="58" applyFont="1" applyFill="1" applyBorder="1" applyAlignment="1" applyProtection="1">
      <alignment horizontal="center" vertical="center"/>
    </xf>
    <xf numFmtId="0" fontId="80" fillId="77" borderId="36" xfId="58" applyFont="1" applyFill="1" applyBorder="1" applyAlignment="1" applyProtection="1">
      <alignment horizontal="center" vertical="center"/>
    </xf>
    <xf numFmtId="0" fontId="87" fillId="0" borderId="8" xfId="472" applyFont="1" applyFill="1" applyBorder="1" applyAlignment="1" applyProtection="1">
      <alignment horizontal="center" vertical="center"/>
    </xf>
    <xf numFmtId="0" fontId="87" fillId="0" borderId="0" xfId="472" applyFont="1" applyFill="1" applyBorder="1" applyAlignment="1" applyProtection="1">
      <alignment horizontal="center" vertical="center"/>
    </xf>
    <xf numFmtId="0" fontId="80" fillId="77" borderId="27" xfId="58" applyFont="1" applyFill="1" applyBorder="1" applyAlignment="1" applyProtection="1">
      <alignment horizontal="center" vertical="center"/>
    </xf>
    <xf numFmtId="0" fontId="7" fillId="8" borderId="37" xfId="58" applyFont="1" applyFill="1" applyBorder="1" applyAlignment="1" applyProtection="1">
      <alignment horizontal="center" vertical="center"/>
    </xf>
    <xf numFmtId="0" fontId="7" fillId="8" borderId="42" xfId="58" applyFont="1" applyFill="1" applyBorder="1" applyAlignment="1" applyProtection="1">
      <alignment horizontal="center" vertical="center"/>
    </xf>
    <xf numFmtId="0" fontId="76" fillId="9" borderId="46" xfId="58" applyFont="1" applyFill="1" applyBorder="1" applyAlignment="1" applyProtection="1">
      <alignment horizontal="right" vertical="center" wrapText="1"/>
    </xf>
    <xf numFmtId="0" fontId="76" fillId="9" borderId="13" xfId="58" applyFont="1" applyFill="1" applyBorder="1" applyAlignment="1" applyProtection="1">
      <alignment horizontal="right" vertical="center" wrapText="1"/>
    </xf>
    <xf numFmtId="0" fontId="76" fillId="9" borderId="47" xfId="58" applyFont="1" applyFill="1" applyBorder="1" applyAlignment="1" applyProtection="1">
      <alignment horizontal="right" vertical="center" wrapText="1"/>
    </xf>
    <xf numFmtId="0" fontId="78" fillId="77" borderId="37" xfId="58" applyFont="1" applyFill="1" applyBorder="1" applyAlignment="1" applyProtection="1">
      <alignment horizontal="left" vertical="center"/>
    </xf>
    <xf numFmtId="0" fontId="78" fillId="77" borderId="65" xfId="58" applyFont="1" applyFill="1" applyBorder="1" applyAlignment="1" applyProtection="1">
      <alignment horizontal="left" vertical="center"/>
    </xf>
    <xf numFmtId="0" fontId="78" fillId="77" borderId="30" xfId="58" applyFont="1" applyFill="1" applyBorder="1" applyAlignment="1" applyProtection="1">
      <alignment horizontal="left" vertical="center"/>
    </xf>
    <xf numFmtId="0" fontId="78" fillId="77" borderId="81" xfId="58" applyFont="1" applyFill="1" applyBorder="1" applyAlignment="1" applyProtection="1">
      <alignment horizontal="left" vertical="center"/>
    </xf>
    <xf numFmtId="0" fontId="78" fillId="77" borderId="6" xfId="58" applyFont="1" applyFill="1" applyBorder="1" applyAlignment="1" applyProtection="1">
      <alignment horizontal="left" vertical="center"/>
    </xf>
    <xf numFmtId="0" fontId="78" fillId="77" borderId="80" xfId="58" applyFont="1" applyFill="1" applyBorder="1" applyAlignment="1" applyProtection="1">
      <alignment horizontal="left" vertical="center"/>
    </xf>
    <xf numFmtId="0" fontId="78" fillId="77" borderId="66" xfId="58" applyFont="1" applyFill="1" applyBorder="1" applyAlignment="1" applyProtection="1">
      <alignment horizontal="left" vertical="center"/>
    </xf>
    <xf numFmtId="0" fontId="78" fillId="77" borderId="62" xfId="58" applyFont="1" applyFill="1" applyBorder="1" applyAlignment="1" applyProtection="1">
      <alignment horizontal="left" vertical="center"/>
    </xf>
    <xf numFmtId="2" fontId="7" fillId="8" borderId="53" xfId="58" applyNumberFormat="1" applyFont="1" applyFill="1" applyBorder="1" applyAlignment="1" applyProtection="1">
      <alignment vertical="center"/>
    </xf>
    <xf numFmtId="3" fontId="0" fillId="0" borderId="14" xfId="0" applyBorder="1" applyAlignment="1">
      <alignment vertical="center"/>
    </xf>
    <xf numFmtId="0" fontId="78" fillId="77" borderId="56" xfId="58" applyFont="1" applyFill="1" applyBorder="1" applyAlignment="1" applyProtection="1">
      <alignment horizontal="center" vertical="center" textRotation="90" wrapText="1"/>
    </xf>
    <xf numFmtId="0" fontId="78" fillId="77" borderId="57" xfId="58" applyFont="1" applyFill="1" applyBorder="1" applyAlignment="1" applyProtection="1">
      <alignment horizontal="center" vertical="center" textRotation="90" wrapText="1"/>
    </xf>
    <xf numFmtId="0" fontId="78" fillId="77" borderId="58" xfId="58" applyFont="1" applyFill="1" applyBorder="1" applyAlignment="1" applyProtection="1">
      <alignment horizontal="center" vertical="center" textRotation="90" wrapText="1"/>
    </xf>
    <xf numFmtId="0" fontId="88" fillId="80" borderId="8" xfId="472" applyFont="1" applyFill="1" applyBorder="1" applyAlignment="1" applyProtection="1">
      <alignment horizontal="left" vertical="center"/>
    </xf>
    <xf numFmtId="0" fontId="88" fillId="80" borderId="0" xfId="472" applyFont="1" applyFill="1" applyBorder="1" applyAlignment="1" applyProtection="1">
      <alignment horizontal="left" vertical="center"/>
    </xf>
    <xf numFmtId="0" fontId="26" fillId="9" borderId="35" xfId="58" applyFont="1" applyFill="1" applyBorder="1" applyAlignment="1" applyProtection="1">
      <alignment horizontal="center" vertical="center" wrapText="1"/>
    </xf>
    <xf numFmtId="0" fontId="26" fillId="9" borderId="36" xfId="58" applyFont="1" applyFill="1" applyBorder="1" applyAlignment="1" applyProtection="1">
      <alignment horizontal="center" vertical="center" wrapText="1"/>
    </xf>
    <xf numFmtId="0" fontId="26" fillId="9" borderId="7" xfId="58" applyFont="1" applyFill="1" applyBorder="1" applyAlignment="1" applyProtection="1">
      <alignment horizontal="center" vertical="center" wrapText="1"/>
    </xf>
    <xf numFmtId="0" fontId="26" fillId="9" borderId="60" xfId="58" applyFont="1" applyFill="1" applyBorder="1" applyAlignment="1" applyProtection="1">
      <alignment horizontal="center" vertical="center" wrapText="1"/>
    </xf>
    <xf numFmtId="0" fontId="26" fillId="9" borderId="66" xfId="58" applyFont="1" applyFill="1" applyBorder="1" applyAlignment="1" applyProtection="1">
      <alignment horizontal="center" vertical="center" wrapText="1"/>
    </xf>
    <xf numFmtId="0" fontId="26" fillId="9" borderId="62" xfId="58" applyFont="1" applyFill="1" applyBorder="1" applyAlignment="1" applyProtection="1">
      <alignment horizontal="center" vertical="center" wrapText="1"/>
    </xf>
    <xf numFmtId="0" fontId="26" fillId="25" borderId="46" xfId="58" applyNumberFormat="1" applyFont="1" applyFill="1" applyBorder="1" applyAlignment="1" applyProtection="1">
      <alignment horizontal="center" vertical="center"/>
    </xf>
    <xf numFmtId="0" fontId="26" fillId="25" borderId="47" xfId="58" applyNumberFormat="1" applyFont="1" applyFill="1" applyBorder="1" applyAlignment="1" applyProtection="1">
      <alignment horizontal="center" vertical="center"/>
    </xf>
    <xf numFmtId="0" fontId="43" fillId="9" borderId="35" xfId="58" applyFont="1" applyFill="1" applyBorder="1" applyAlignment="1" applyProtection="1">
      <alignment horizontal="center" vertical="center"/>
    </xf>
    <xf numFmtId="0" fontId="43" fillId="9" borderId="36" xfId="58" applyFont="1" applyFill="1" applyBorder="1" applyAlignment="1" applyProtection="1">
      <alignment horizontal="center" vertical="center"/>
    </xf>
    <xf numFmtId="0" fontId="78" fillId="77" borderId="83" xfId="58" applyFont="1" applyFill="1" applyBorder="1" applyAlignment="1" applyProtection="1">
      <alignment horizontal="left" vertical="center"/>
    </xf>
    <xf numFmtId="0" fontId="78" fillId="77" borderId="84" xfId="58" applyFont="1" applyFill="1" applyBorder="1" applyAlignment="1" applyProtection="1">
      <alignment horizontal="left" vertical="center"/>
    </xf>
    <xf numFmtId="0" fontId="80" fillId="76" borderId="15" xfId="58" applyFont="1" applyFill="1" applyBorder="1" applyAlignment="1" applyProtection="1">
      <alignment horizontal="center" vertical="center" wrapText="1"/>
    </xf>
    <xf numFmtId="0" fontId="80" fillId="76" borderId="25" xfId="58" applyFont="1" applyFill="1" applyBorder="1" applyAlignment="1" applyProtection="1">
      <alignment horizontal="center" vertical="center" wrapText="1"/>
    </xf>
    <xf numFmtId="0" fontId="80" fillId="76" borderId="40" xfId="58" applyFont="1" applyFill="1" applyBorder="1" applyAlignment="1" applyProtection="1">
      <alignment horizontal="center" vertical="center" wrapText="1"/>
    </xf>
    <xf numFmtId="0" fontId="78" fillId="77" borderId="30" xfId="58" applyFont="1" applyFill="1" applyBorder="1" applyAlignment="1" applyProtection="1">
      <alignment horizontal="left" vertical="center" wrapText="1"/>
    </xf>
    <xf numFmtId="0" fontId="78" fillId="77" borderId="67" xfId="58" applyFont="1" applyFill="1" applyBorder="1" applyAlignment="1" applyProtection="1">
      <alignment horizontal="left" vertical="center" wrapText="1"/>
    </xf>
    <xf numFmtId="0" fontId="78" fillId="77" borderId="81" xfId="58" applyFont="1" applyFill="1" applyBorder="1" applyAlignment="1" applyProtection="1">
      <alignment horizontal="left" vertical="center" wrapText="1"/>
    </xf>
    <xf numFmtId="0" fontId="78" fillId="77" borderId="6" xfId="58" applyFont="1" applyFill="1" applyBorder="1" applyAlignment="1" applyProtection="1">
      <alignment horizontal="left" vertical="center" wrapText="1"/>
    </xf>
    <xf numFmtId="0" fontId="78" fillId="77" borderId="23" xfId="58" applyFont="1" applyFill="1" applyBorder="1" applyAlignment="1" applyProtection="1">
      <alignment horizontal="left" vertical="center" wrapText="1"/>
    </xf>
    <xf numFmtId="0" fontId="78" fillId="77" borderId="80" xfId="58" applyFont="1" applyFill="1" applyBorder="1" applyAlignment="1" applyProtection="1">
      <alignment horizontal="left" vertical="center" wrapText="1"/>
    </xf>
    <xf numFmtId="0" fontId="80" fillId="77" borderId="46" xfId="58" applyFont="1" applyFill="1" applyBorder="1" applyAlignment="1" applyProtection="1">
      <alignment horizontal="left" vertical="center" wrapText="1"/>
    </xf>
    <xf numFmtId="0" fontId="80" fillId="77" borderId="13" xfId="58" applyFont="1" applyFill="1" applyBorder="1" applyAlignment="1" applyProtection="1">
      <alignment horizontal="left" vertical="center" wrapText="1"/>
    </xf>
    <xf numFmtId="0" fontId="80" fillId="77" borderId="47" xfId="58" applyFont="1" applyFill="1" applyBorder="1" applyAlignment="1" applyProtection="1">
      <alignment horizontal="left" vertical="center" wrapText="1"/>
    </xf>
    <xf numFmtId="0" fontId="80" fillId="77" borderId="13" xfId="58" applyFont="1" applyFill="1" applyBorder="1" applyAlignment="1" applyProtection="1">
      <alignment horizontal="center" vertical="center" wrapText="1"/>
    </xf>
    <xf numFmtId="0" fontId="80" fillId="77" borderId="47" xfId="58" applyFont="1" applyFill="1" applyBorder="1" applyAlignment="1" applyProtection="1">
      <alignment horizontal="center" vertical="center" wrapText="1"/>
    </xf>
    <xf numFmtId="195" fontId="25" fillId="9" borderId="1" xfId="58" applyNumberFormat="1" applyFont="1" applyFill="1" applyBorder="1" applyAlignment="1" applyProtection="1">
      <alignment horizontal="center" vertical="center" wrapText="1"/>
    </xf>
    <xf numFmtId="195" fontId="25" fillId="9" borderId="4" xfId="58" applyNumberFormat="1" applyFont="1" applyFill="1" applyBorder="1" applyAlignment="1" applyProtection="1">
      <alignment horizontal="center" vertical="center" wrapText="1"/>
    </xf>
    <xf numFmtId="0" fontId="25" fillId="9" borderId="1" xfId="58" applyFont="1" applyFill="1" applyBorder="1" applyAlignment="1" applyProtection="1">
      <alignment horizontal="center" vertical="center" wrapText="1"/>
    </xf>
    <xf numFmtId="0" fontId="25" fillId="9" borderId="4" xfId="58" applyFont="1" applyFill="1" applyBorder="1" applyAlignment="1" applyProtection="1">
      <alignment horizontal="center" vertical="center" wrapText="1"/>
    </xf>
    <xf numFmtId="195" fontId="25" fillId="9" borderId="38" xfId="58" applyNumberFormat="1" applyFont="1" applyFill="1" applyBorder="1" applyAlignment="1" applyProtection="1">
      <alignment horizontal="center" vertical="center" wrapText="1"/>
    </xf>
    <xf numFmtId="195" fontId="25" fillId="9" borderId="39" xfId="58" applyNumberFormat="1" applyFont="1" applyFill="1" applyBorder="1" applyAlignment="1" applyProtection="1">
      <alignment horizontal="center" vertical="center" wrapText="1"/>
    </xf>
    <xf numFmtId="0" fontId="80" fillId="77" borderId="28" xfId="58" applyFont="1" applyFill="1" applyBorder="1" applyAlignment="1" applyProtection="1">
      <alignment horizontal="center" vertical="center" wrapText="1"/>
    </xf>
    <xf numFmtId="0" fontId="80" fillId="77" borderId="36" xfId="58" applyFont="1" applyFill="1" applyBorder="1" applyAlignment="1" applyProtection="1">
      <alignment horizontal="center" vertical="center" wrapText="1"/>
    </xf>
    <xf numFmtId="0" fontId="78" fillId="77" borderId="33" xfId="58" applyFont="1" applyFill="1" applyBorder="1" applyAlignment="1" applyProtection="1">
      <alignment horizontal="left" vertical="center" wrapText="1"/>
    </xf>
    <xf numFmtId="0" fontId="78" fillId="77" borderId="38" xfId="58" applyFont="1" applyFill="1" applyBorder="1" applyAlignment="1" applyProtection="1">
      <alignment horizontal="left" vertical="center" wrapText="1"/>
    </xf>
    <xf numFmtId="0" fontId="78" fillId="77" borderId="39" xfId="58" applyFont="1" applyFill="1" applyBorder="1" applyAlignment="1" applyProtection="1">
      <alignment horizontal="left" vertical="center" wrapText="1"/>
    </xf>
    <xf numFmtId="0" fontId="78" fillId="77" borderId="2" xfId="58" applyFont="1" applyFill="1" applyBorder="1" applyAlignment="1" applyProtection="1">
      <alignment horizontal="left" vertical="center" wrapText="1"/>
    </xf>
    <xf numFmtId="0" fontId="78" fillId="77" borderId="1" xfId="58" applyFont="1" applyFill="1" applyBorder="1" applyAlignment="1" applyProtection="1">
      <alignment horizontal="left" vertical="center" wrapText="1"/>
    </xf>
    <xf numFmtId="0" fontId="78" fillId="77" borderId="4" xfId="58" applyFont="1" applyFill="1" applyBorder="1" applyAlignment="1" applyProtection="1">
      <alignment horizontal="left" vertical="center" wrapText="1"/>
    </xf>
    <xf numFmtId="0" fontId="25" fillId="9" borderId="9" xfId="58" applyFont="1" applyFill="1" applyBorder="1" applyAlignment="1" applyProtection="1">
      <alignment horizontal="center" vertical="center" wrapText="1"/>
    </xf>
    <xf numFmtId="0" fontId="25" fillId="9" borderId="32" xfId="58" applyFont="1" applyFill="1" applyBorder="1" applyAlignment="1" applyProtection="1">
      <alignment horizontal="center" vertical="center" wrapText="1"/>
    </xf>
    <xf numFmtId="0" fontId="25" fillId="9" borderId="38" xfId="58" applyFont="1" applyFill="1" applyBorder="1" applyAlignment="1" applyProtection="1">
      <alignment horizontal="center" vertical="center" wrapText="1"/>
    </xf>
    <xf numFmtId="0" fontId="25" fillId="9" borderId="39" xfId="58" applyFont="1" applyFill="1" applyBorder="1" applyAlignment="1" applyProtection="1">
      <alignment horizontal="center" vertical="center" wrapText="1"/>
    </xf>
    <xf numFmtId="9" fontId="25" fillId="9" borderId="9" xfId="94" applyFont="1" applyFill="1" applyBorder="1" applyAlignment="1" applyProtection="1">
      <alignment horizontal="center" vertical="center" wrapText="1"/>
    </xf>
    <xf numFmtId="9" fontId="25" fillId="9" borderId="32" xfId="94" applyFont="1" applyFill="1" applyBorder="1" applyAlignment="1" applyProtection="1">
      <alignment horizontal="center" vertical="center" wrapText="1"/>
    </xf>
    <xf numFmtId="0" fontId="80" fillId="77" borderId="46" xfId="58" applyFont="1" applyFill="1" applyBorder="1" applyAlignment="1" applyProtection="1">
      <alignment horizontal="center" vertical="center" wrapText="1"/>
    </xf>
    <xf numFmtId="0" fontId="80" fillId="77" borderId="15" xfId="58" applyFont="1" applyFill="1" applyBorder="1" applyAlignment="1" applyProtection="1">
      <alignment horizontal="left" vertical="center" wrapText="1"/>
    </xf>
    <xf numFmtId="0" fontId="80" fillId="77" borderId="25" xfId="58" applyFont="1" applyFill="1" applyBorder="1" applyAlignment="1" applyProtection="1">
      <alignment horizontal="left" vertical="center" wrapText="1"/>
    </xf>
    <xf numFmtId="0" fontId="80" fillId="77" borderId="40" xfId="58" applyFont="1" applyFill="1" applyBorder="1" applyAlignment="1" applyProtection="1">
      <alignment horizontal="left" vertical="center" wrapText="1"/>
    </xf>
    <xf numFmtId="0" fontId="78" fillId="77" borderId="37" xfId="58" applyFont="1" applyFill="1" applyBorder="1" applyAlignment="1" applyProtection="1">
      <alignment horizontal="left" vertical="center" wrapText="1"/>
    </xf>
    <xf numFmtId="0" fontId="78" fillId="77" borderId="79" xfId="58" applyFont="1" applyFill="1" applyBorder="1" applyAlignment="1" applyProtection="1">
      <alignment horizontal="left" vertical="center" wrapText="1"/>
    </xf>
    <xf numFmtId="0" fontId="78" fillId="77" borderId="65" xfId="58" applyFont="1" applyFill="1" applyBorder="1" applyAlignment="1" applyProtection="1">
      <alignment horizontal="left" vertical="center" wrapText="1"/>
    </xf>
    <xf numFmtId="9" fontId="25" fillId="9" borderId="1" xfId="94" applyFont="1" applyFill="1" applyBorder="1" applyAlignment="1" applyProtection="1">
      <alignment horizontal="center" vertical="center" wrapText="1"/>
    </xf>
    <xf numFmtId="9" fontId="25" fillId="9" borderId="4" xfId="94" applyFont="1" applyFill="1" applyBorder="1" applyAlignment="1" applyProtection="1">
      <alignment horizontal="center" vertical="center" wrapText="1"/>
    </xf>
    <xf numFmtId="0" fontId="80" fillId="77" borderId="14" xfId="58" applyFont="1" applyFill="1" applyBorder="1" applyAlignment="1" applyProtection="1">
      <alignment horizontal="center" vertical="center" wrapText="1"/>
    </xf>
    <xf numFmtId="0" fontId="80" fillId="77" borderId="40" xfId="58" applyFont="1" applyFill="1" applyBorder="1" applyAlignment="1" applyProtection="1">
      <alignment horizontal="center" vertical="center" wrapText="1"/>
    </xf>
    <xf numFmtId="0" fontId="78" fillId="77" borderId="31" xfId="58" applyFont="1" applyFill="1" applyBorder="1" applyAlignment="1" applyProtection="1">
      <alignment horizontal="left" vertical="center" wrapText="1"/>
    </xf>
    <xf numFmtId="0" fontId="78" fillId="77" borderId="9" xfId="58" applyFont="1" applyFill="1" applyBorder="1" applyAlignment="1" applyProtection="1">
      <alignment horizontal="left" vertical="center" wrapText="1"/>
    </xf>
    <xf numFmtId="0" fontId="78" fillId="77" borderId="32" xfId="58" applyFont="1" applyFill="1" applyBorder="1" applyAlignment="1" applyProtection="1">
      <alignment horizontal="left" vertical="center" wrapText="1"/>
    </xf>
    <xf numFmtId="3" fontId="0" fillId="7" borderId="0" xfId="56" applyFont="1" applyFill="1" applyAlignment="1">
      <alignment horizontal="center" vertical="center"/>
    </xf>
    <xf numFmtId="3" fontId="10" fillId="7" borderId="0" xfId="56" applyFill="1" applyAlignment="1">
      <alignment horizontal="center" vertical="center"/>
    </xf>
  </cellXfs>
  <cellStyles count="479">
    <cellStyle name="0mitP" xfId="1" xr:uid="{00000000-0005-0000-0000-000000000000}"/>
    <cellStyle name="0mitP 2" xfId="66" xr:uid="{00000000-0005-0000-0000-000001000000}"/>
    <cellStyle name="0ohneP" xfId="2" xr:uid="{00000000-0005-0000-0000-000002000000}"/>
    <cellStyle name="0ohneP 2" xfId="67" xr:uid="{00000000-0005-0000-0000-000003000000}"/>
    <cellStyle name="10mitP" xfId="3" xr:uid="{00000000-0005-0000-0000-000004000000}"/>
    <cellStyle name="10mitP 2" xfId="68" xr:uid="{00000000-0005-0000-0000-000005000000}"/>
    <cellStyle name="12mitP" xfId="4" xr:uid="{00000000-0005-0000-0000-000006000000}"/>
    <cellStyle name="12mitP 2" xfId="69" xr:uid="{00000000-0005-0000-0000-000007000000}"/>
    <cellStyle name="12ohneP" xfId="5" xr:uid="{00000000-0005-0000-0000-000008000000}"/>
    <cellStyle name="12ohneP 2" xfId="70" xr:uid="{00000000-0005-0000-0000-000009000000}"/>
    <cellStyle name="13mitP" xfId="6" xr:uid="{00000000-0005-0000-0000-00000A000000}"/>
    <cellStyle name="13mitP 2" xfId="71" xr:uid="{00000000-0005-0000-0000-00000B000000}"/>
    <cellStyle name="1mitP" xfId="7" xr:uid="{00000000-0005-0000-0000-00000C000000}"/>
    <cellStyle name="1mitP 2" xfId="72" xr:uid="{00000000-0005-0000-0000-00000D000000}"/>
    <cellStyle name="1ohneP" xfId="8" xr:uid="{00000000-0005-0000-0000-00000E000000}"/>
    <cellStyle name="20% - Akzent1" xfId="96" xr:uid="{00000000-0005-0000-0000-00000F000000}"/>
    <cellStyle name="20% - Akzent1 2" xfId="97" xr:uid="{00000000-0005-0000-0000-000010000000}"/>
    <cellStyle name="20% - Akzent1 3" xfId="98" xr:uid="{00000000-0005-0000-0000-000011000000}"/>
    <cellStyle name="20% - Akzent1 4" xfId="99" xr:uid="{00000000-0005-0000-0000-000012000000}"/>
    <cellStyle name="20% - Akzent1 5" xfId="100" xr:uid="{00000000-0005-0000-0000-000013000000}"/>
    <cellStyle name="20% - Akzent1 6" xfId="101" xr:uid="{00000000-0005-0000-0000-000014000000}"/>
    <cellStyle name="20% - Akzent1_XY Diagramm 1 jg.ms" xfId="102" xr:uid="{00000000-0005-0000-0000-000015000000}"/>
    <cellStyle name="20% - Akzent2" xfId="103" xr:uid="{00000000-0005-0000-0000-000016000000}"/>
    <cellStyle name="20% - Akzent2 2" xfId="104" xr:uid="{00000000-0005-0000-0000-000017000000}"/>
    <cellStyle name="20% - Akzent2 3" xfId="105" xr:uid="{00000000-0005-0000-0000-000018000000}"/>
    <cellStyle name="20% - Akzent2 4" xfId="106" xr:uid="{00000000-0005-0000-0000-000019000000}"/>
    <cellStyle name="20% - Akzent2 5" xfId="107" xr:uid="{00000000-0005-0000-0000-00001A000000}"/>
    <cellStyle name="20% - Akzent2 6" xfId="108" xr:uid="{00000000-0005-0000-0000-00001B000000}"/>
    <cellStyle name="20% - Akzent2_XY Diagramm 1 jg.ms" xfId="109" xr:uid="{00000000-0005-0000-0000-00001C000000}"/>
    <cellStyle name="20% - Akzent3" xfId="110" xr:uid="{00000000-0005-0000-0000-00001D000000}"/>
    <cellStyle name="20% - Akzent3 2" xfId="111" xr:uid="{00000000-0005-0000-0000-00001E000000}"/>
    <cellStyle name="20% - Akzent3 3" xfId="112" xr:uid="{00000000-0005-0000-0000-00001F000000}"/>
    <cellStyle name="20% - Akzent3 4" xfId="113" xr:uid="{00000000-0005-0000-0000-000020000000}"/>
    <cellStyle name="20% - Akzent3 5" xfId="114" xr:uid="{00000000-0005-0000-0000-000021000000}"/>
    <cellStyle name="20% - Akzent3 6" xfId="115" xr:uid="{00000000-0005-0000-0000-000022000000}"/>
    <cellStyle name="20% - Akzent3_XY Diagramm 1 jg.ms" xfId="116" xr:uid="{00000000-0005-0000-0000-000023000000}"/>
    <cellStyle name="20% - Akzent4" xfId="117" xr:uid="{00000000-0005-0000-0000-000024000000}"/>
    <cellStyle name="20% - Akzent4 2" xfId="118" xr:uid="{00000000-0005-0000-0000-000025000000}"/>
    <cellStyle name="20% - Akzent4 3" xfId="119" xr:uid="{00000000-0005-0000-0000-000026000000}"/>
    <cellStyle name="20% - Akzent4 4" xfId="120" xr:uid="{00000000-0005-0000-0000-000027000000}"/>
    <cellStyle name="20% - Akzent4 5" xfId="121" xr:uid="{00000000-0005-0000-0000-000028000000}"/>
    <cellStyle name="20% - Akzent4 6" xfId="122" xr:uid="{00000000-0005-0000-0000-000029000000}"/>
    <cellStyle name="20% - Akzent4_XY Diagramm 1 jg.ms" xfId="123" xr:uid="{00000000-0005-0000-0000-00002A000000}"/>
    <cellStyle name="20% - Akzent5" xfId="124" xr:uid="{00000000-0005-0000-0000-00002B000000}"/>
    <cellStyle name="20% - Akzent5 2" xfId="125" xr:uid="{00000000-0005-0000-0000-00002C000000}"/>
    <cellStyle name="20% - Akzent5 3" xfId="126" xr:uid="{00000000-0005-0000-0000-00002D000000}"/>
    <cellStyle name="20% - Akzent5 4" xfId="127" xr:uid="{00000000-0005-0000-0000-00002E000000}"/>
    <cellStyle name="20% - Akzent5 5" xfId="128" xr:uid="{00000000-0005-0000-0000-00002F000000}"/>
    <cellStyle name="20% - Akzent5 6" xfId="129" xr:uid="{00000000-0005-0000-0000-000030000000}"/>
    <cellStyle name="20% - Akzent5_XY Diagramm 1 jg.ms" xfId="130" xr:uid="{00000000-0005-0000-0000-000031000000}"/>
    <cellStyle name="20% - Akzent6" xfId="131" xr:uid="{00000000-0005-0000-0000-000032000000}"/>
    <cellStyle name="20% - Akzent6 2" xfId="132" xr:uid="{00000000-0005-0000-0000-000033000000}"/>
    <cellStyle name="20% - Akzent6 3" xfId="133" xr:uid="{00000000-0005-0000-0000-000034000000}"/>
    <cellStyle name="20% - Akzent6 4" xfId="134" xr:uid="{00000000-0005-0000-0000-000035000000}"/>
    <cellStyle name="20% - Akzent6 5" xfId="135" xr:uid="{00000000-0005-0000-0000-000036000000}"/>
    <cellStyle name="20% - Akzent6 6" xfId="136" xr:uid="{00000000-0005-0000-0000-000037000000}"/>
    <cellStyle name="20% - Akzent6_XY Diagramm 1 jg.ms" xfId="137" xr:uid="{00000000-0005-0000-0000-000038000000}"/>
    <cellStyle name="2mitP" xfId="9" xr:uid="{00000000-0005-0000-0000-000039000000}"/>
    <cellStyle name="2ohneP" xfId="10" xr:uid="{00000000-0005-0000-0000-00003A000000}"/>
    <cellStyle name="2x indented GHG Textfiels" xfId="11" xr:uid="{00000000-0005-0000-0000-00003B000000}"/>
    <cellStyle name="3mitP" xfId="12" xr:uid="{00000000-0005-0000-0000-00003C000000}"/>
    <cellStyle name="3mitP 2" xfId="73" xr:uid="{00000000-0005-0000-0000-00003D000000}"/>
    <cellStyle name="3ohneP" xfId="13" xr:uid="{00000000-0005-0000-0000-00003E000000}"/>
    <cellStyle name="3ohneP 2" xfId="74" xr:uid="{00000000-0005-0000-0000-00003F000000}"/>
    <cellStyle name="40% - Akzent1" xfId="138" xr:uid="{00000000-0005-0000-0000-000040000000}"/>
    <cellStyle name="40% - Akzent1 2" xfId="139" xr:uid="{00000000-0005-0000-0000-000041000000}"/>
    <cellStyle name="40% - Akzent1 3" xfId="140" xr:uid="{00000000-0005-0000-0000-000042000000}"/>
    <cellStyle name="40% - Akzent1 4" xfId="141" xr:uid="{00000000-0005-0000-0000-000043000000}"/>
    <cellStyle name="40% - Akzent1 5" xfId="142" xr:uid="{00000000-0005-0000-0000-000044000000}"/>
    <cellStyle name="40% - Akzent1 6" xfId="143" xr:uid="{00000000-0005-0000-0000-000045000000}"/>
    <cellStyle name="40% - Akzent1_XY Diagramm 1 jg.ms" xfId="144" xr:uid="{00000000-0005-0000-0000-000046000000}"/>
    <cellStyle name="40% - Akzent2" xfId="145" xr:uid="{00000000-0005-0000-0000-000047000000}"/>
    <cellStyle name="40% - Akzent2 2" xfId="146" xr:uid="{00000000-0005-0000-0000-000048000000}"/>
    <cellStyle name="40% - Akzent2 3" xfId="147" xr:uid="{00000000-0005-0000-0000-000049000000}"/>
    <cellStyle name="40% - Akzent2 4" xfId="148" xr:uid="{00000000-0005-0000-0000-00004A000000}"/>
    <cellStyle name="40% - Akzent2 5" xfId="149" xr:uid="{00000000-0005-0000-0000-00004B000000}"/>
    <cellStyle name="40% - Akzent2 6" xfId="150" xr:uid="{00000000-0005-0000-0000-00004C000000}"/>
    <cellStyle name="40% - Akzent2_XY Diagramm 1 jg.ms" xfId="151" xr:uid="{00000000-0005-0000-0000-00004D000000}"/>
    <cellStyle name="40% - Akzent3" xfId="152" xr:uid="{00000000-0005-0000-0000-00004E000000}"/>
    <cellStyle name="40% - Akzent3 2" xfId="153" xr:uid="{00000000-0005-0000-0000-00004F000000}"/>
    <cellStyle name="40% - Akzent3 3" xfId="154" xr:uid="{00000000-0005-0000-0000-000050000000}"/>
    <cellStyle name="40% - Akzent3 4" xfId="155" xr:uid="{00000000-0005-0000-0000-000051000000}"/>
    <cellStyle name="40% - Akzent3 5" xfId="156" xr:uid="{00000000-0005-0000-0000-000052000000}"/>
    <cellStyle name="40% - Akzent3 6" xfId="157" xr:uid="{00000000-0005-0000-0000-000053000000}"/>
    <cellStyle name="40% - Akzent3_XY Diagramm 1 jg.ms" xfId="158" xr:uid="{00000000-0005-0000-0000-000054000000}"/>
    <cellStyle name="40% - Akzent4" xfId="159" xr:uid="{00000000-0005-0000-0000-000055000000}"/>
    <cellStyle name="40% - Akzent4 2" xfId="160" xr:uid="{00000000-0005-0000-0000-000056000000}"/>
    <cellStyle name="40% - Akzent4 3" xfId="161" xr:uid="{00000000-0005-0000-0000-000057000000}"/>
    <cellStyle name="40% - Akzent4 4" xfId="162" xr:uid="{00000000-0005-0000-0000-000058000000}"/>
    <cellStyle name="40% - Akzent4 5" xfId="163" xr:uid="{00000000-0005-0000-0000-000059000000}"/>
    <cellStyle name="40% - Akzent4 6" xfId="164" xr:uid="{00000000-0005-0000-0000-00005A000000}"/>
    <cellStyle name="40% - Akzent4_XY Diagramm 1 jg.ms" xfId="165" xr:uid="{00000000-0005-0000-0000-00005B000000}"/>
    <cellStyle name="40% - Akzent5" xfId="166" xr:uid="{00000000-0005-0000-0000-00005C000000}"/>
    <cellStyle name="40% - Akzent5 2" xfId="167" xr:uid="{00000000-0005-0000-0000-00005D000000}"/>
    <cellStyle name="40% - Akzent5 3" xfId="168" xr:uid="{00000000-0005-0000-0000-00005E000000}"/>
    <cellStyle name="40% - Akzent5 4" xfId="169" xr:uid="{00000000-0005-0000-0000-00005F000000}"/>
    <cellStyle name="40% - Akzent5 5" xfId="170" xr:uid="{00000000-0005-0000-0000-000060000000}"/>
    <cellStyle name="40% - Akzent5 6" xfId="171" xr:uid="{00000000-0005-0000-0000-000061000000}"/>
    <cellStyle name="40% - Akzent5_XY Diagramm 1 jg.ms" xfId="172" xr:uid="{00000000-0005-0000-0000-000062000000}"/>
    <cellStyle name="40% - Akzent6" xfId="173" xr:uid="{00000000-0005-0000-0000-000063000000}"/>
    <cellStyle name="40% - Akzent6 2" xfId="174" xr:uid="{00000000-0005-0000-0000-000064000000}"/>
    <cellStyle name="40% - Akzent6 3" xfId="175" xr:uid="{00000000-0005-0000-0000-000065000000}"/>
    <cellStyle name="40% - Akzent6 4" xfId="176" xr:uid="{00000000-0005-0000-0000-000066000000}"/>
    <cellStyle name="40% - Akzent6 5" xfId="177" xr:uid="{00000000-0005-0000-0000-000067000000}"/>
    <cellStyle name="40% - Akzent6 6" xfId="178" xr:uid="{00000000-0005-0000-0000-000068000000}"/>
    <cellStyle name="40% - Akzent6_XY Diagramm 1 jg.ms" xfId="179" xr:uid="{00000000-0005-0000-0000-000069000000}"/>
    <cellStyle name="4mitP" xfId="14" xr:uid="{00000000-0005-0000-0000-00006A000000}"/>
    <cellStyle name="4mitP 2" xfId="75" xr:uid="{00000000-0005-0000-0000-00006B000000}"/>
    <cellStyle name="4ohneP" xfId="15" xr:uid="{00000000-0005-0000-0000-00006C000000}"/>
    <cellStyle name="5x indented GHG Textfiels" xfId="16" xr:uid="{00000000-0005-0000-0000-00006D000000}"/>
    <cellStyle name="60% - Accent3" xfId="474" builtinId="40" customBuiltin="1"/>
    <cellStyle name="60% - Accent4" xfId="475" builtinId="44" customBuiltin="1"/>
    <cellStyle name="60% - Accent5" xfId="476" builtinId="48" customBuiltin="1"/>
    <cellStyle name="60% - Accent6" xfId="477" builtinId="52" customBuiltin="1"/>
    <cellStyle name="60% - Akzent1" xfId="180" xr:uid="{00000000-0005-0000-0000-000072000000}"/>
    <cellStyle name="60% - Akzent1 2" xfId="181" xr:uid="{00000000-0005-0000-0000-000073000000}"/>
    <cellStyle name="60% - Akzent1 3" xfId="182" xr:uid="{00000000-0005-0000-0000-000074000000}"/>
    <cellStyle name="60% - Akzent1 4" xfId="183" xr:uid="{00000000-0005-0000-0000-000075000000}"/>
    <cellStyle name="60% - Akzent1 5" xfId="184" xr:uid="{00000000-0005-0000-0000-000076000000}"/>
    <cellStyle name="60% - Akzent1 6" xfId="185" xr:uid="{00000000-0005-0000-0000-000077000000}"/>
    <cellStyle name="60% - Akzent1_XY Diagramm 1 jg.ms" xfId="186" xr:uid="{00000000-0005-0000-0000-000078000000}"/>
    <cellStyle name="60% - Akzent2" xfId="187" xr:uid="{00000000-0005-0000-0000-000079000000}"/>
    <cellStyle name="60% - Akzent2 2" xfId="188" xr:uid="{00000000-0005-0000-0000-00007A000000}"/>
    <cellStyle name="60% - Akzent2 3" xfId="189" xr:uid="{00000000-0005-0000-0000-00007B000000}"/>
    <cellStyle name="60% - Akzent2 4" xfId="190" xr:uid="{00000000-0005-0000-0000-00007C000000}"/>
    <cellStyle name="60% - Akzent2 5" xfId="191" xr:uid="{00000000-0005-0000-0000-00007D000000}"/>
    <cellStyle name="60% - Akzent2 6" xfId="192" xr:uid="{00000000-0005-0000-0000-00007E000000}"/>
    <cellStyle name="60% - Akzent2_XY Diagramm 1 jg.ms" xfId="193" xr:uid="{00000000-0005-0000-0000-00007F000000}"/>
    <cellStyle name="60% - Akzent3" xfId="194" xr:uid="{00000000-0005-0000-0000-000080000000}"/>
    <cellStyle name="60% - Akzent3 2" xfId="195" xr:uid="{00000000-0005-0000-0000-000081000000}"/>
    <cellStyle name="60% - Akzent3 3" xfId="196" xr:uid="{00000000-0005-0000-0000-000082000000}"/>
    <cellStyle name="60% - Akzent3 4" xfId="197" xr:uid="{00000000-0005-0000-0000-000083000000}"/>
    <cellStyle name="60% - Akzent3 5" xfId="198" xr:uid="{00000000-0005-0000-0000-000084000000}"/>
    <cellStyle name="60% - Akzent3 6" xfId="199" xr:uid="{00000000-0005-0000-0000-000085000000}"/>
    <cellStyle name="60% - Akzent3_XY Diagramm 1 jg.ms" xfId="200" xr:uid="{00000000-0005-0000-0000-000086000000}"/>
    <cellStyle name="60% - Akzent4" xfId="201" xr:uid="{00000000-0005-0000-0000-000087000000}"/>
    <cellStyle name="60% - Akzent4 2" xfId="202" xr:uid="{00000000-0005-0000-0000-000088000000}"/>
    <cellStyle name="60% - Akzent4 3" xfId="203" xr:uid="{00000000-0005-0000-0000-000089000000}"/>
    <cellStyle name="60% - Akzent4 4" xfId="204" xr:uid="{00000000-0005-0000-0000-00008A000000}"/>
    <cellStyle name="60% - Akzent4 5" xfId="205" xr:uid="{00000000-0005-0000-0000-00008B000000}"/>
    <cellStyle name="60% - Akzent4 6" xfId="206" xr:uid="{00000000-0005-0000-0000-00008C000000}"/>
    <cellStyle name="60% - Akzent4_XY Diagramm 1 jg.ms" xfId="207" xr:uid="{00000000-0005-0000-0000-00008D000000}"/>
    <cellStyle name="60% - Akzent5" xfId="208" xr:uid="{00000000-0005-0000-0000-00008E000000}"/>
    <cellStyle name="60% - Akzent5 2" xfId="209" xr:uid="{00000000-0005-0000-0000-00008F000000}"/>
    <cellStyle name="60% - Akzent5 3" xfId="210" xr:uid="{00000000-0005-0000-0000-000090000000}"/>
    <cellStyle name="60% - Akzent5 4" xfId="211" xr:uid="{00000000-0005-0000-0000-000091000000}"/>
    <cellStyle name="60% - Akzent5 5" xfId="212" xr:uid="{00000000-0005-0000-0000-000092000000}"/>
    <cellStyle name="60% - Akzent5 6" xfId="213" xr:uid="{00000000-0005-0000-0000-000093000000}"/>
    <cellStyle name="60% - Akzent5_XY Diagramm 1 jg.ms" xfId="214" xr:uid="{00000000-0005-0000-0000-000094000000}"/>
    <cellStyle name="60% - Akzent6" xfId="215" xr:uid="{00000000-0005-0000-0000-000095000000}"/>
    <cellStyle name="60% - Akzent6 2" xfId="216" xr:uid="{00000000-0005-0000-0000-000096000000}"/>
    <cellStyle name="60% - Akzent6 3" xfId="217" xr:uid="{00000000-0005-0000-0000-000097000000}"/>
    <cellStyle name="60% - Akzent6 4" xfId="218" xr:uid="{00000000-0005-0000-0000-000098000000}"/>
    <cellStyle name="60% - Akzent6 5" xfId="219" xr:uid="{00000000-0005-0000-0000-000099000000}"/>
    <cellStyle name="60% - Akzent6 6" xfId="220" xr:uid="{00000000-0005-0000-0000-00009A000000}"/>
    <cellStyle name="60% - Akzent6_XY Diagramm 1 jg.ms" xfId="221" xr:uid="{00000000-0005-0000-0000-00009B000000}"/>
    <cellStyle name="6mitP" xfId="17" xr:uid="{00000000-0005-0000-0000-00009C000000}"/>
    <cellStyle name="6mitP 2" xfId="76" xr:uid="{00000000-0005-0000-0000-00009D000000}"/>
    <cellStyle name="6ohneP" xfId="18" xr:uid="{00000000-0005-0000-0000-00009E000000}"/>
    <cellStyle name="6ohneP 2" xfId="77" xr:uid="{00000000-0005-0000-0000-00009F000000}"/>
    <cellStyle name="7mitP" xfId="19" xr:uid="{00000000-0005-0000-0000-0000A0000000}"/>
    <cellStyle name="7mitP 2" xfId="78" xr:uid="{00000000-0005-0000-0000-0000A1000000}"/>
    <cellStyle name="9mitP" xfId="20" xr:uid="{00000000-0005-0000-0000-0000A2000000}"/>
    <cellStyle name="9mitP 2" xfId="79" xr:uid="{00000000-0005-0000-0000-0000A3000000}"/>
    <cellStyle name="9ohneP" xfId="21" xr:uid="{00000000-0005-0000-0000-0000A4000000}"/>
    <cellStyle name="9ohneP 2" xfId="80" xr:uid="{00000000-0005-0000-0000-0000A5000000}"/>
    <cellStyle name="A4 Auto Format" xfId="22" xr:uid="{00000000-0005-0000-0000-0000A6000000}"/>
    <cellStyle name="A4 Auto Format 2" xfId="222" xr:uid="{00000000-0005-0000-0000-0000A7000000}"/>
    <cellStyle name="A4 Auto Format 2 2" xfId="424" xr:uid="{00000000-0005-0000-0000-0000A8000000}"/>
    <cellStyle name="A4 Auto Format 3" xfId="423" xr:uid="{00000000-0005-0000-0000-0000A9000000}"/>
    <cellStyle name="A4 Gg" xfId="23" xr:uid="{00000000-0005-0000-0000-0000AA000000}"/>
    <cellStyle name="A4 Gg 2" xfId="81" xr:uid="{00000000-0005-0000-0000-0000AB000000}"/>
    <cellStyle name="A4 kg" xfId="24" xr:uid="{00000000-0005-0000-0000-0000AC000000}"/>
    <cellStyle name="A4 kg 2" xfId="82" xr:uid="{00000000-0005-0000-0000-0000AD000000}"/>
    <cellStyle name="A4 kt" xfId="25" xr:uid="{00000000-0005-0000-0000-0000AE000000}"/>
    <cellStyle name="A4 kt 2" xfId="83" xr:uid="{00000000-0005-0000-0000-0000AF000000}"/>
    <cellStyle name="A4 No Format" xfId="26" xr:uid="{00000000-0005-0000-0000-0000B0000000}"/>
    <cellStyle name="A4 No Format 2" xfId="223" xr:uid="{00000000-0005-0000-0000-0000B1000000}"/>
    <cellStyle name="A4 No Format 2 2" xfId="426" xr:uid="{00000000-0005-0000-0000-0000B2000000}"/>
    <cellStyle name="A4 No Format 3" xfId="425" xr:uid="{00000000-0005-0000-0000-0000B3000000}"/>
    <cellStyle name="A4 Normal" xfId="27" xr:uid="{00000000-0005-0000-0000-0000B4000000}"/>
    <cellStyle name="A4 Normal 2" xfId="224" xr:uid="{00000000-0005-0000-0000-0000B5000000}"/>
    <cellStyle name="A4 Normal 2 2" xfId="428" xr:uid="{00000000-0005-0000-0000-0000B6000000}"/>
    <cellStyle name="A4 Normal 3" xfId="427" xr:uid="{00000000-0005-0000-0000-0000B7000000}"/>
    <cellStyle name="A4 Stck" xfId="28" xr:uid="{00000000-0005-0000-0000-0000B8000000}"/>
    <cellStyle name="A4 Stck 2" xfId="84" xr:uid="{00000000-0005-0000-0000-0000B9000000}"/>
    <cellStyle name="A4 Stk" xfId="29" xr:uid="{00000000-0005-0000-0000-0000BA000000}"/>
    <cellStyle name="A4 Stk 2" xfId="85" xr:uid="{00000000-0005-0000-0000-0000BB000000}"/>
    <cellStyle name="A4 T.Stk" xfId="30" xr:uid="{00000000-0005-0000-0000-0000BC000000}"/>
    <cellStyle name="A4 T.Stk 2" xfId="86" xr:uid="{00000000-0005-0000-0000-0000BD000000}"/>
    <cellStyle name="A4 TJ" xfId="31" xr:uid="{00000000-0005-0000-0000-0000BE000000}"/>
    <cellStyle name="A4 TJ 2" xfId="87" xr:uid="{00000000-0005-0000-0000-0000BF000000}"/>
    <cellStyle name="A4 TStk" xfId="32" xr:uid="{00000000-0005-0000-0000-0000C0000000}"/>
    <cellStyle name="A4 TStk 2" xfId="88" xr:uid="{00000000-0005-0000-0000-0000C1000000}"/>
    <cellStyle name="A4 Year" xfId="33" xr:uid="{00000000-0005-0000-0000-0000C2000000}"/>
    <cellStyle name="A4 Year 2" xfId="89" xr:uid="{00000000-0005-0000-0000-0000C3000000}"/>
    <cellStyle name="Accent1" xfId="472" builtinId="29" customBuiltin="1"/>
    <cellStyle name="Accent2" xfId="473" builtinId="33" customBuiltin="1"/>
    <cellStyle name="AggblueBoldCels" xfId="225" xr:uid="{00000000-0005-0000-0000-0000C4000000}"/>
    <cellStyle name="AggblueCels" xfId="226" xr:uid="{00000000-0005-0000-0000-0000C5000000}"/>
    <cellStyle name="AggBoldCells" xfId="227" xr:uid="{00000000-0005-0000-0000-0000C6000000}"/>
    <cellStyle name="AggCels" xfId="34" xr:uid="{00000000-0005-0000-0000-0000C7000000}"/>
    <cellStyle name="AggGreen" xfId="228" xr:uid="{00000000-0005-0000-0000-0000C8000000}"/>
    <cellStyle name="AggGreen12" xfId="229" xr:uid="{00000000-0005-0000-0000-0000C9000000}"/>
    <cellStyle name="AggOrange" xfId="230" xr:uid="{00000000-0005-0000-0000-0000CA000000}"/>
    <cellStyle name="AggOrange9" xfId="231" xr:uid="{00000000-0005-0000-0000-0000CB000000}"/>
    <cellStyle name="AggOrangeLB_2x" xfId="232" xr:uid="{00000000-0005-0000-0000-0000CC000000}"/>
    <cellStyle name="AggOrangeLBorder" xfId="233" xr:uid="{00000000-0005-0000-0000-0000CD000000}"/>
    <cellStyle name="AggOrangeRBorder" xfId="234" xr:uid="{00000000-0005-0000-0000-0000CE000000}"/>
    <cellStyle name="Akzent1 2" xfId="235" xr:uid="{00000000-0005-0000-0000-0000D0000000}"/>
    <cellStyle name="Akzent1 3" xfId="236" xr:uid="{00000000-0005-0000-0000-0000D1000000}"/>
    <cellStyle name="Akzent1 4" xfId="237" xr:uid="{00000000-0005-0000-0000-0000D2000000}"/>
    <cellStyle name="Akzent1 5" xfId="238" xr:uid="{00000000-0005-0000-0000-0000D3000000}"/>
    <cellStyle name="Akzent1 6" xfId="239" xr:uid="{00000000-0005-0000-0000-0000D4000000}"/>
    <cellStyle name="Akzent1 7" xfId="240" xr:uid="{00000000-0005-0000-0000-0000D5000000}"/>
    <cellStyle name="Akzent2 2" xfId="241" xr:uid="{00000000-0005-0000-0000-0000D7000000}"/>
    <cellStyle name="Akzent2 3" xfId="242" xr:uid="{00000000-0005-0000-0000-0000D8000000}"/>
    <cellStyle name="Akzent2 4" xfId="243" xr:uid="{00000000-0005-0000-0000-0000D9000000}"/>
    <cellStyle name="Akzent2 5" xfId="244" xr:uid="{00000000-0005-0000-0000-0000DA000000}"/>
    <cellStyle name="Akzent2 6" xfId="245" xr:uid="{00000000-0005-0000-0000-0000DB000000}"/>
    <cellStyle name="Akzent2 7" xfId="246" xr:uid="{00000000-0005-0000-0000-0000DC000000}"/>
    <cellStyle name="Akzent3 2" xfId="247" xr:uid="{00000000-0005-0000-0000-0000DD000000}"/>
    <cellStyle name="Akzent3 3" xfId="248" xr:uid="{00000000-0005-0000-0000-0000DE000000}"/>
    <cellStyle name="Akzent3 4" xfId="249" xr:uid="{00000000-0005-0000-0000-0000DF000000}"/>
    <cellStyle name="Akzent3 5" xfId="250" xr:uid="{00000000-0005-0000-0000-0000E0000000}"/>
    <cellStyle name="Akzent3 6" xfId="251" xr:uid="{00000000-0005-0000-0000-0000E1000000}"/>
    <cellStyle name="Akzent3 7" xfId="252" xr:uid="{00000000-0005-0000-0000-0000E2000000}"/>
    <cellStyle name="Akzent4 2" xfId="253" xr:uid="{00000000-0005-0000-0000-0000E3000000}"/>
    <cellStyle name="Akzent4 3" xfId="254" xr:uid="{00000000-0005-0000-0000-0000E4000000}"/>
    <cellStyle name="Akzent4 4" xfId="255" xr:uid="{00000000-0005-0000-0000-0000E5000000}"/>
    <cellStyle name="Akzent4 5" xfId="256" xr:uid="{00000000-0005-0000-0000-0000E6000000}"/>
    <cellStyle name="Akzent4 6" xfId="257" xr:uid="{00000000-0005-0000-0000-0000E7000000}"/>
    <cellStyle name="Akzent4 7" xfId="258" xr:uid="{00000000-0005-0000-0000-0000E8000000}"/>
    <cellStyle name="Akzent5 2" xfId="259" xr:uid="{00000000-0005-0000-0000-0000E9000000}"/>
    <cellStyle name="Akzent5 3" xfId="260" xr:uid="{00000000-0005-0000-0000-0000EA000000}"/>
    <cellStyle name="Akzent5 4" xfId="261" xr:uid="{00000000-0005-0000-0000-0000EB000000}"/>
    <cellStyle name="Akzent5 5" xfId="262" xr:uid="{00000000-0005-0000-0000-0000EC000000}"/>
    <cellStyle name="Akzent5 6" xfId="263" xr:uid="{00000000-0005-0000-0000-0000ED000000}"/>
    <cellStyle name="Akzent5 7" xfId="264" xr:uid="{00000000-0005-0000-0000-0000EE000000}"/>
    <cellStyle name="Akzent6 2" xfId="265" xr:uid="{00000000-0005-0000-0000-0000EF000000}"/>
    <cellStyle name="Akzent6 3" xfId="266" xr:uid="{00000000-0005-0000-0000-0000F0000000}"/>
    <cellStyle name="Akzent6 4" xfId="267" xr:uid="{00000000-0005-0000-0000-0000F1000000}"/>
    <cellStyle name="Akzent6 5" xfId="268" xr:uid="{00000000-0005-0000-0000-0000F2000000}"/>
    <cellStyle name="Akzent6 6" xfId="269" xr:uid="{00000000-0005-0000-0000-0000F3000000}"/>
    <cellStyle name="Akzent6 7" xfId="270" xr:uid="{00000000-0005-0000-0000-0000F4000000}"/>
    <cellStyle name="Ausgabe 2" xfId="271" xr:uid="{00000000-0005-0000-0000-0000F5000000}"/>
    <cellStyle name="Ausgabe 3" xfId="272" xr:uid="{00000000-0005-0000-0000-0000F6000000}"/>
    <cellStyle name="Ausgabe 4" xfId="273" xr:uid="{00000000-0005-0000-0000-0000F7000000}"/>
    <cellStyle name="Ausgabe 5" xfId="274" xr:uid="{00000000-0005-0000-0000-0000F8000000}"/>
    <cellStyle name="Ausgabe 6" xfId="275" xr:uid="{00000000-0005-0000-0000-0000F9000000}"/>
    <cellStyle name="Ausgabe 7" xfId="276" xr:uid="{00000000-0005-0000-0000-0000FA000000}"/>
    <cellStyle name="Berechnung 2" xfId="277" xr:uid="{00000000-0005-0000-0000-0000FB000000}"/>
    <cellStyle name="Berechnung 3" xfId="278" xr:uid="{00000000-0005-0000-0000-0000FC000000}"/>
    <cellStyle name="Berechnung 4" xfId="279" xr:uid="{00000000-0005-0000-0000-0000FD000000}"/>
    <cellStyle name="Berechnung 5" xfId="280" xr:uid="{00000000-0005-0000-0000-0000FE000000}"/>
    <cellStyle name="Berechnung 6" xfId="281" xr:uid="{00000000-0005-0000-0000-0000FF000000}"/>
    <cellStyle name="Berechnung 7" xfId="282" xr:uid="{00000000-0005-0000-0000-000000010000}"/>
    <cellStyle name="Bold GHG Numbers (0.00)" xfId="35" xr:uid="{00000000-0005-0000-0000-000001010000}"/>
    <cellStyle name="Constants" xfId="283" xr:uid="{00000000-0005-0000-0000-000002010000}"/>
    <cellStyle name="CustomCellsOrange" xfId="284" xr:uid="{00000000-0005-0000-0000-000003010000}"/>
    <cellStyle name="CustomizationCells" xfId="36" xr:uid="{00000000-0005-0000-0000-000004010000}"/>
    <cellStyle name="CustomizationGreenCells" xfId="37" xr:uid="{00000000-0005-0000-0000-000005010000}"/>
    <cellStyle name="Datum" xfId="38" xr:uid="{00000000-0005-0000-0000-000006010000}"/>
    <cellStyle name="Datum 2" xfId="285" xr:uid="{00000000-0005-0000-0000-000007010000}"/>
    <cellStyle name="Datum 2 2" xfId="430" xr:uid="{00000000-0005-0000-0000-000008010000}"/>
    <cellStyle name="Datum 3" xfId="429" xr:uid="{00000000-0005-0000-0000-000009010000}"/>
    <cellStyle name="Datum, Uhrzeit" xfId="39" xr:uid="{00000000-0005-0000-0000-00000A010000}"/>
    <cellStyle name="Datum, Uhrzeit 2" xfId="286" xr:uid="{00000000-0005-0000-0000-00000B010000}"/>
    <cellStyle name="Datum, Uhrzeit 2 2" xfId="432" xr:uid="{00000000-0005-0000-0000-00000C010000}"/>
    <cellStyle name="Datum, Uhrzeit 3" xfId="431" xr:uid="{00000000-0005-0000-0000-00000D010000}"/>
    <cellStyle name="Datum_Tabelle" xfId="40" xr:uid="{00000000-0005-0000-0000-00000E010000}"/>
    <cellStyle name="DocBox_EmptyRow" xfId="287" xr:uid="{00000000-0005-0000-0000-00000F010000}"/>
    <cellStyle name="Eingabe 2" xfId="288" xr:uid="{00000000-0005-0000-0000-000010010000}"/>
    <cellStyle name="Eingabe 3" xfId="289" xr:uid="{00000000-0005-0000-0000-000011010000}"/>
    <cellStyle name="Eingabe 4" xfId="290" xr:uid="{00000000-0005-0000-0000-000012010000}"/>
    <cellStyle name="Eingabe 5" xfId="291" xr:uid="{00000000-0005-0000-0000-000013010000}"/>
    <cellStyle name="Eingabe 6" xfId="292" xr:uid="{00000000-0005-0000-0000-000014010000}"/>
    <cellStyle name="Eingabe 7" xfId="293" xr:uid="{00000000-0005-0000-0000-000015010000}"/>
    <cellStyle name="Empty_B_border" xfId="294" xr:uid="{00000000-0005-0000-0000-000016010000}"/>
    <cellStyle name="Ergebnis 2" xfId="295" xr:uid="{00000000-0005-0000-0000-000017010000}"/>
    <cellStyle name="Ergebnis 3" xfId="296" xr:uid="{00000000-0005-0000-0000-000018010000}"/>
    <cellStyle name="Ergebnis 4" xfId="297" xr:uid="{00000000-0005-0000-0000-000019010000}"/>
    <cellStyle name="Ergebnis 5" xfId="298" xr:uid="{00000000-0005-0000-0000-00001A010000}"/>
    <cellStyle name="Ergebnis 6" xfId="299" xr:uid="{00000000-0005-0000-0000-00001B010000}"/>
    <cellStyle name="Ergebnis 7" xfId="300" xr:uid="{00000000-0005-0000-0000-00001C010000}"/>
    <cellStyle name="Erklärender Text 2" xfId="301" xr:uid="{00000000-0005-0000-0000-00001D010000}"/>
    <cellStyle name="Erklärender Text 3" xfId="302" xr:uid="{00000000-0005-0000-0000-00001E010000}"/>
    <cellStyle name="Erklärender Text 4" xfId="303" xr:uid="{00000000-0005-0000-0000-00001F010000}"/>
    <cellStyle name="Erklärender Text 5" xfId="304" xr:uid="{00000000-0005-0000-0000-000020010000}"/>
    <cellStyle name="Erklärender Text 6" xfId="305" xr:uid="{00000000-0005-0000-0000-000021010000}"/>
    <cellStyle name="Erklärender Text 7" xfId="306" xr:uid="{00000000-0005-0000-0000-000022010000}"/>
    <cellStyle name="Euro" xfId="41" xr:uid="{00000000-0005-0000-0000-000023010000}"/>
    <cellStyle name="Euro 2" xfId="307" xr:uid="{00000000-0005-0000-0000-000024010000}"/>
    <cellStyle name="Euro 2 2" xfId="434" xr:uid="{00000000-0005-0000-0000-000025010000}"/>
    <cellStyle name="Euro 3" xfId="433" xr:uid="{00000000-0005-0000-0000-000026010000}"/>
    <cellStyle name="Fuss" xfId="42" xr:uid="{00000000-0005-0000-0000-000027010000}"/>
    <cellStyle name="Fuss 2" xfId="90" xr:uid="{00000000-0005-0000-0000-000028010000}"/>
    <cellStyle name="Gut 2" xfId="308" xr:uid="{00000000-0005-0000-0000-000029010000}"/>
    <cellStyle name="Gut 3" xfId="309" xr:uid="{00000000-0005-0000-0000-00002A010000}"/>
    <cellStyle name="Gut 4" xfId="310" xr:uid="{00000000-0005-0000-0000-00002B010000}"/>
    <cellStyle name="Gut 5" xfId="311" xr:uid="{00000000-0005-0000-0000-00002C010000}"/>
    <cellStyle name="Gut 6" xfId="312" xr:uid="{00000000-0005-0000-0000-00002D010000}"/>
    <cellStyle name="Gut 7" xfId="313" xr:uid="{00000000-0005-0000-0000-00002E010000}"/>
    <cellStyle name="Headline" xfId="43" xr:uid="{00000000-0005-0000-0000-00002F010000}"/>
    <cellStyle name="Hyperlink" xfId="44" builtinId="8"/>
    <cellStyle name="InputCells" xfId="45" xr:uid="{00000000-0005-0000-0000-000031010000}"/>
    <cellStyle name="InputCells12" xfId="314" xr:uid="{00000000-0005-0000-0000-000032010000}"/>
    <cellStyle name="IntCells" xfId="315" xr:uid="{00000000-0005-0000-0000-000033010000}"/>
    <cellStyle name="interpoliert" xfId="46" xr:uid="{00000000-0005-0000-0000-000034010000}"/>
    <cellStyle name="Komma 2" xfId="316" xr:uid="{00000000-0005-0000-0000-000035010000}"/>
    <cellStyle name="Komma 2 2" xfId="435" xr:uid="{00000000-0005-0000-0000-000036010000}"/>
    <cellStyle name="mitP" xfId="47" xr:uid="{00000000-0005-0000-0000-000037010000}"/>
    <cellStyle name="Navadno_CRFReport-template" xfId="317" xr:uid="{00000000-0005-0000-0000-000038010000}"/>
    <cellStyle name="Neutral 2" xfId="318" xr:uid="{00000000-0005-0000-0000-000039010000}"/>
    <cellStyle name="Neutral 3" xfId="319" xr:uid="{00000000-0005-0000-0000-00003A010000}"/>
    <cellStyle name="Neutral 4" xfId="320" xr:uid="{00000000-0005-0000-0000-00003B010000}"/>
    <cellStyle name="Neutral 5" xfId="321" xr:uid="{00000000-0005-0000-0000-00003C010000}"/>
    <cellStyle name="Neutral 6" xfId="322" xr:uid="{00000000-0005-0000-0000-00003D010000}"/>
    <cellStyle name="Neutral 7" xfId="323" xr:uid="{00000000-0005-0000-0000-00003E010000}"/>
    <cellStyle name="Normaali_CRFReport-template" xfId="324" xr:uid="{00000000-0005-0000-0000-00003F010000}"/>
    <cellStyle name="Normaallaad_CRFReport-template" xfId="325" xr:uid="{00000000-0005-0000-0000-000040010000}"/>
    <cellStyle name="Normal" xfId="0" builtinId="0"/>
    <cellStyle name="Normal 2" xfId="326" xr:uid="{00000000-0005-0000-0000-000041010000}"/>
    <cellStyle name="Normal 2 2" xfId="436" xr:uid="{00000000-0005-0000-0000-000042010000}"/>
    <cellStyle name="Normal GHG Numbers (0.00)" xfId="48" xr:uid="{00000000-0005-0000-0000-000043010000}"/>
    <cellStyle name="Normal GHG Textfiels Bold" xfId="49" xr:uid="{00000000-0005-0000-0000-000044010000}"/>
    <cellStyle name="Normal GHG whole table" xfId="50" xr:uid="{00000000-0005-0000-0000-000045010000}"/>
    <cellStyle name="Normal GHG-Shade" xfId="51" xr:uid="{00000000-0005-0000-0000-000046010000}"/>
    <cellStyle name="Normal GHG-Shade 2" xfId="91" xr:uid="{00000000-0005-0000-0000-000047010000}"/>
    <cellStyle name="Normal GHG-Shade 2 2" xfId="438" xr:uid="{00000000-0005-0000-0000-000048010000}"/>
    <cellStyle name="Normal GHG-Shade 2 3" xfId="327" xr:uid="{00000000-0005-0000-0000-000049010000}"/>
    <cellStyle name="Normal GHG-Shade 3" xfId="437" xr:uid="{00000000-0005-0000-0000-00004A010000}"/>
    <cellStyle name="Normál_CRFReport-template" xfId="328" xr:uid="{00000000-0005-0000-0000-00004C010000}"/>
    <cellStyle name="Normale_CRFReport-template" xfId="329" xr:uid="{00000000-0005-0000-0000-00004E010000}"/>
    <cellStyle name="normálne_CRFReport-template" xfId="330" xr:uid="{00000000-0005-0000-0000-00004F010000}"/>
    <cellStyle name="normální_CRFReport-template" xfId="331" xr:uid="{00000000-0005-0000-0000-000050010000}"/>
    <cellStyle name="Normalny_CRFReport-template" xfId="332" xr:uid="{00000000-0005-0000-0000-000051010000}"/>
    <cellStyle name="Notiz 2" xfId="333" xr:uid="{00000000-0005-0000-0000-000052010000}"/>
    <cellStyle name="Notiz 2 2" xfId="439" xr:uid="{00000000-0005-0000-0000-000053010000}"/>
    <cellStyle name="Notiz 3" xfId="334" xr:uid="{00000000-0005-0000-0000-000054010000}"/>
    <cellStyle name="Notiz 3 2" xfId="440" xr:uid="{00000000-0005-0000-0000-000055010000}"/>
    <cellStyle name="Notiz 4" xfId="335" xr:uid="{00000000-0005-0000-0000-000056010000}"/>
    <cellStyle name="Notiz 4 2" xfId="441" xr:uid="{00000000-0005-0000-0000-000057010000}"/>
    <cellStyle name="Notiz 5" xfId="336" xr:uid="{00000000-0005-0000-0000-000058010000}"/>
    <cellStyle name="Notiz 5 2" xfId="442" xr:uid="{00000000-0005-0000-0000-000059010000}"/>
    <cellStyle name="Notiz 6" xfId="337" xr:uid="{00000000-0005-0000-0000-00005A010000}"/>
    <cellStyle name="Notiz 6 2" xfId="443" xr:uid="{00000000-0005-0000-0000-00005B010000}"/>
    <cellStyle name="Notiz 7" xfId="338" xr:uid="{00000000-0005-0000-0000-00005C010000}"/>
    <cellStyle name="Notiz 7 2" xfId="444" xr:uid="{00000000-0005-0000-0000-00005D010000}"/>
    <cellStyle name="ohneP" xfId="52" xr:uid="{00000000-0005-0000-0000-00005E010000}"/>
    <cellStyle name="Parameterfeld" xfId="53" xr:uid="{00000000-0005-0000-0000-00005F010000}"/>
    <cellStyle name="Pattern" xfId="54" xr:uid="{00000000-0005-0000-0000-000060010000}"/>
    <cellStyle name="Percent" xfId="94" builtinId="5"/>
    <cellStyle name="Prozent 2" xfId="60" xr:uid="{00000000-0005-0000-0000-000062010000}"/>
    <cellStyle name="Prozent 2 2" xfId="445" xr:uid="{00000000-0005-0000-0000-000063010000}"/>
    <cellStyle name="Prozent 3" xfId="63" xr:uid="{00000000-0005-0000-0000-000064010000}"/>
    <cellStyle name="Prozent 3 2" xfId="93" xr:uid="{00000000-0005-0000-0000-000065010000}"/>
    <cellStyle name="Prozent 3 2 2" xfId="446" xr:uid="{00000000-0005-0000-0000-000066010000}"/>
    <cellStyle name="Prozent 3 2 3" xfId="469" xr:uid="{00000000-0005-0000-0000-000067010000}"/>
    <cellStyle name="Prozent 3 3" xfId="340" xr:uid="{00000000-0005-0000-0000-000068010000}"/>
    <cellStyle name="Prozent 3 4" xfId="467" xr:uid="{00000000-0005-0000-0000-000069010000}"/>
    <cellStyle name="Prozent 4" xfId="421" xr:uid="{00000000-0005-0000-0000-00006A010000}"/>
    <cellStyle name="Prozent 4 2" xfId="464" xr:uid="{00000000-0005-0000-0000-00006B010000}"/>
    <cellStyle name="Prozent 4 3" xfId="470" xr:uid="{00000000-0005-0000-0000-00006C010000}"/>
    <cellStyle name="Schlecht 2" xfId="341" xr:uid="{00000000-0005-0000-0000-00006D010000}"/>
    <cellStyle name="Schlecht 3" xfId="342" xr:uid="{00000000-0005-0000-0000-00006E010000}"/>
    <cellStyle name="Schlecht 4" xfId="343" xr:uid="{00000000-0005-0000-0000-00006F010000}"/>
    <cellStyle name="Schlecht 5" xfId="344" xr:uid="{00000000-0005-0000-0000-000070010000}"/>
    <cellStyle name="Schlecht 6" xfId="345" xr:uid="{00000000-0005-0000-0000-000071010000}"/>
    <cellStyle name="Schlecht 7" xfId="346" xr:uid="{00000000-0005-0000-0000-000072010000}"/>
    <cellStyle name="Shade" xfId="347" xr:uid="{00000000-0005-0000-0000-000073010000}"/>
    <cellStyle name="Standard 10" xfId="348" xr:uid="{00000000-0005-0000-0000-000075010000}"/>
    <cellStyle name="Standard 11" xfId="61" xr:uid="{00000000-0005-0000-0000-000076010000}"/>
    <cellStyle name="Standard 11 2" xfId="447" xr:uid="{00000000-0005-0000-0000-000077010000}"/>
    <cellStyle name="Standard 11 3" xfId="349" xr:uid="{00000000-0005-0000-0000-000078010000}"/>
    <cellStyle name="Standard 12" xfId="64" xr:uid="{00000000-0005-0000-0000-000079010000}"/>
    <cellStyle name="Standard 12 2" xfId="465" xr:uid="{00000000-0005-0000-0000-00007A010000}"/>
    <cellStyle name="Standard 12 3" xfId="422" xr:uid="{00000000-0005-0000-0000-00007B010000}"/>
    <cellStyle name="Standard 13" xfId="95" xr:uid="{00000000-0005-0000-0000-00007C010000}"/>
    <cellStyle name="Standard 14" xfId="399" xr:uid="{00000000-0005-0000-0000-00007D010000}"/>
    <cellStyle name="Standard 15" xfId="471" xr:uid="{00000000-0005-0000-0000-00007E010000}"/>
    <cellStyle name="Standard 16" xfId="478" xr:uid="{00000000-0005-0000-0000-00007F010000}"/>
    <cellStyle name="Standard 2" xfId="58" xr:uid="{00000000-0005-0000-0000-000080010000}"/>
    <cellStyle name="Standard 2 2" xfId="351" xr:uid="{00000000-0005-0000-0000-000081010000}"/>
    <cellStyle name="Standard 2 2 2" xfId="449" xr:uid="{00000000-0005-0000-0000-000082010000}"/>
    <cellStyle name="Standard 2 3" xfId="352" xr:uid="{00000000-0005-0000-0000-000083010000}"/>
    <cellStyle name="Standard 2 3 2" xfId="450" xr:uid="{00000000-0005-0000-0000-000084010000}"/>
    <cellStyle name="Standard 2 4" xfId="353" xr:uid="{00000000-0005-0000-0000-000085010000}"/>
    <cellStyle name="Standard 2 4 2" xfId="451" xr:uid="{00000000-0005-0000-0000-000086010000}"/>
    <cellStyle name="Standard 2 5" xfId="354" xr:uid="{00000000-0005-0000-0000-000087010000}"/>
    <cellStyle name="Standard 2 5 2" xfId="452" xr:uid="{00000000-0005-0000-0000-000088010000}"/>
    <cellStyle name="Standard 2 6" xfId="355" xr:uid="{00000000-0005-0000-0000-000089010000}"/>
    <cellStyle name="Standard 2 6 2" xfId="453" xr:uid="{00000000-0005-0000-0000-00008A010000}"/>
    <cellStyle name="Standard 2 7" xfId="448" xr:uid="{00000000-0005-0000-0000-00008B010000}"/>
    <cellStyle name="Standard 2 8" xfId="350" xr:uid="{00000000-0005-0000-0000-00008C010000}"/>
    <cellStyle name="Standard 3" xfId="59" xr:uid="{00000000-0005-0000-0000-00008D010000}"/>
    <cellStyle name="Standard 3 2" xfId="454" xr:uid="{00000000-0005-0000-0000-00008E010000}"/>
    <cellStyle name="Standard 3 3" xfId="356" xr:uid="{00000000-0005-0000-0000-00008F010000}"/>
    <cellStyle name="Standard 4" xfId="62" xr:uid="{00000000-0005-0000-0000-000090010000}"/>
    <cellStyle name="Standard 4 2" xfId="92" xr:uid="{00000000-0005-0000-0000-000091010000}"/>
    <cellStyle name="Standard 4 2 2" xfId="455" xr:uid="{00000000-0005-0000-0000-000092010000}"/>
    <cellStyle name="Standard 4 2 3" xfId="468" xr:uid="{00000000-0005-0000-0000-000093010000}"/>
    <cellStyle name="Standard 4 3" xfId="357" xr:uid="{00000000-0005-0000-0000-000094010000}"/>
    <cellStyle name="Standard 4 4" xfId="466" xr:uid="{00000000-0005-0000-0000-000095010000}"/>
    <cellStyle name="Standard 5" xfId="65" xr:uid="{00000000-0005-0000-0000-000096010000}"/>
    <cellStyle name="Standard 5 2" xfId="456" xr:uid="{00000000-0005-0000-0000-000097010000}"/>
    <cellStyle name="Standard 5 3" xfId="358" xr:uid="{00000000-0005-0000-0000-000098010000}"/>
    <cellStyle name="Standard 6" xfId="359" xr:uid="{00000000-0005-0000-0000-000099010000}"/>
    <cellStyle name="Standard 6 2" xfId="457" xr:uid="{00000000-0005-0000-0000-00009A010000}"/>
    <cellStyle name="Standard 6 3" xfId="339" xr:uid="{00000000-0005-0000-0000-00009B010000}"/>
    <cellStyle name="Standard 7" xfId="360" xr:uid="{00000000-0005-0000-0000-00009C010000}"/>
    <cellStyle name="Standard 7 2" xfId="458" xr:uid="{00000000-0005-0000-0000-00009D010000}"/>
    <cellStyle name="Standard 8" xfId="361" xr:uid="{00000000-0005-0000-0000-00009E010000}"/>
    <cellStyle name="Standard 8 2" xfId="459" xr:uid="{00000000-0005-0000-0000-00009F010000}"/>
    <cellStyle name="Standard 9" xfId="362" xr:uid="{00000000-0005-0000-0000-0000A0010000}"/>
    <cellStyle name="Standard_NIR 2007 - Analyse 1A1a" xfId="55" xr:uid="{00000000-0005-0000-0000-0000A1010000}"/>
    <cellStyle name="Standard_PSz IV - Ist-Daten MI1b" xfId="56" xr:uid="{00000000-0005-0000-0000-0000A2010000}"/>
    <cellStyle name="Style 21" xfId="363" xr:uid="{00000000-0005-0000-0000-0000A3010000}"/>
    <cellStyle name="Style 21 2" xfId="460" xr:uid="{00000000-0005-0000-0000-0000A4010000}"/>
    <cellStyle name="Style 22" xfId="364" xr:uid="{00000000-0005-0000-0000-0000A5010000}"/>
    <cellStyle name="Style 23" xfId="365" xr:uid="{00000000-0005-0000-0000-0000A6010000}"/>
    <cellStyle name="Style 24" xfId="366" xr:uid="{00000000-0005-0000-0000-0000A7010000}"/>
    <cellStyle name="Style 25" xfId="367" xr:uid="{00000000-0005-0000-0000-0000A8010000}"/>
    <cellStyle name="Style 25 2" xfId="461" xr:uid="{00000000-0005-0000-0000-0000A9010000}"/>
    <cellStyle name="Style 26" xfId="368" xr:uid="{00000000-0005-0000-0000-0000AA010000}"/>
    <cellStyle name="Überschrift 1 2" xfId="369" xr:uid="{00000000-0005-0000-0000-0000AB010000}"/>
    <cellStyle name="Überschrift 1 3" xfId="370" xr:uid="{00000000-0005-0000-0000-0000AC010000}"/>
    <cellStyle name="Überschrift 1 4" xfId="371" xr:uid="{00000000-0005-0000-0000-0000AD010000}"/>
    <cellStyle name="Überschrift 1 5" xfId="372" xr:uid="{00000000-0005-0000-0000-0000AE010000}"/>
    <cellStyle name="Überschrift 1 6" xfId="373" xr:uid="{00000000-0005-0000-0000-0000AF010000}"/>
    <cellStyle name="Überschrift 1 7" xfId="374" xr:uid="{00000000-0005-0000-0000-0000B0010000}"/>
    <cellStyle name="Überschrift 10" xfId="375" xr:uid="{00000000-0005-0000-0000-0000B1010000}"/>
    <cellStyle name="Überschrift 2 2" xfId="376" xr:uid="{00000000-0005-0000-0000-0000B2010000}"/>
    <cellStyle name="Überschrift 2 3" xfId="377" xr:uid="{00000000-0005-0000-0000-0000B3010000}"/>
    <cellStyle name="Überschrift 2 4" xfId="378" xr:uid="{00000000-0005-0000-0000-0000B4010000}"/>
    <cellStyle name="Überschrift 2 5" xfId="379" xr:uid="{00000000-0005-0000-0000-0000B5010000}"/>
    <cellStyle name="Überschrift 2 6" xfId="380" xr:uid="{00000000-0005-0000-0000-0000B6010000}"/>
    <cellStyle name="Überschrift 2 7" xfId="381" xr:uid="{00000000-0005-0000-0000-0000B7010000}"/>
    <cellStyle name="Überschrift 3 2" xfId="382" xr:uid="{00000000-0005-0000-0000-0000B8010000}"/>
    <cellStyle name="Überschrift 3 3" xfId="383" xr:uid="{00000000-0005-0000-0000-0000B9010000}"/>
    <cellStyle name="Überschrift 3 4" xfId="384" xr:uid="{00000000-0005-0000-0000-0000BA010000}"/>
    <cellStyle name="Überschrift 3 5" xfId="385" xr:uid="{00000000-0005-0000-0000-0000BB010000}"/>
    <cellStyle name="Überschrift 3 6" xfId="386" xr:uid="{00000000-0005-0000-0000-0000BC010000}"/>
    <cellStyle name="Überschrift 3 7" xfId="387" xr:uid="{00000000-0005-0000-0000-0000BD010000}"/>
    <cellStyle name="Überschrift 4 2" xfId="388" xr:uid="{00000000-0005-0000-0000-0000BE010000}"/>
    <cellStyle name="Überschrift 4 3" xfId="389" xr:uid="{00000000-0005-0000-0000-0000BF010000}"/>
    <cellStyle name="Überschrift 4 4" xfId="390" xr:uid="{00000000-0005-0000-0000-0000C0010000}"/>
    <cellStyle name="Überschrift 4 5" xfId="391" xr:uid="{00000000-0005-0000-0000-0000C1010000}"/>
    <cellStyle name="Überschrift 4 6" xfId="392" xr:uid="{00000000-0005-0000-0000-0000C2010000}"/>
    <cellStyle name="Überschrift 4 7" xfId="393" xr:uid="{00000000-0005-0000-0000-0000C3010000}"/>
    <cellStyle name="Überschrift 5" xfId="394" xr:uid="{00000000-0005-0000-0000-0000C4010000}"/>
    <cellStyle name="Überschrift 6" xfId="395" xr:uid="{00000000-0005-0000-0000-0000C5010000}"/>
    <cellStyle name="Überschrift 7" xfId="396" xr:uid="{00000000-0005-0000-0000-0000C6010000}"/>
    <cellStyle name="Überschrift 8" xfId="397" xr:uid="{00000000-0005-0000-0000-0000C7010000}"/>
    <cellStyle name="Überschrift 9" xfId="398" xr:uid="{00000000-0005-0000-0000-0000C8010000}"/>
    <cellStyle name="Uhrzeit" xfId="57" xr:uid="{00000000-0005-0000-0000-0000C9010000}"/>
    <cellStyle name="Uhrzeit 2" xfId="400" xr:uid="{00000000-0005-0000-0000-0000CA010000}"/>
    <cellStyle name="Uhrzeit 2 2" xfId="463" xr:uid="{00000000-0005-0000-0000-0000CB010000}"/>
    <cellStyle name="Uhrzeit 3" xfId="462" xr:uid="{00000000-0005-0000-0000-0000CC010000}"/>
    <cellStyle name="Verknüpfte Zelle 2" xfId="401" xr:uid="{00000000-0005-0000-0000-0000CD010000}"/>
    <cellStyle name="Verknüpfte Zelle 3" xfId="402" xr:uid="{00000000-0005-0000-0000-0000CE010000}"/>
    <cellStyle name="Verknüpfte Zelle 4" xfId="403" xr:uid="{00000000-0005-0000-0000-0000CF010000}"/>
    <cellStyle name="Verknüpfte Zelle 5" xfId="404" xr:uid="{00000000-0005-0000-0000-0000D0010000}"/>
    <cellStyle name="Verknüpfte Zelle 6" xfId="405" xr:uid="{00000000-0005-0000-0000-0000D1010000}"/>
    <cellStyle name="Verknüpfte Zelle 7" xfId="406" xr:uid="{00000000-0005-0000-0000-0000D2010000}"/>
    <cellStyle name="Warnender Text 2" xfId="407" xr:uid="{00000000-0005-0000-0000-0000D3010000}"/>
    <cellStyle name="Warnender Text 3" xfId="408" xr:uid="{00000000-0005-0000-0000-0000D4010000}"/>
    <cellStyle name="Warnender Text 4" xfId="409" xr:uid="{00000000-0005-0000-0000-0000D5010000}"/>
    <cellStyle name="Warnender Text 5" xfId="410" xr:uid="{00000000-0005-0000-0000-0000D6010000}"/>
    <cellStyle name="Warnender Text 6" xfId="411" xr:uid="{00000000-0005-0000-0000-0000D7010000}"/>
    <cellStyle name="Warnender Text 7" xfId="412" xr:uid="{00000000-0005-0000-0000-0000D8010000}"/>
    <cellStyle name="Zelle überprüfen 2" xfId="413" xr:uid="{00000000-0005-0000-0000-0000D9010000}"/>
    <cellStyle name="Zelle überprüfen 3" xfId="414" xr:uid="{00000000-0005-0000-0000-0000DA010000}"/>
    <cellStyle name="Zelle überprüfen 4" xfId="415" xr:uid="{00000000-0005-0000-0000-0000DB010000}"/>
    <cellStyle name="Zelle überprüfen 5" xfId="416" xr:uid="{00000000-0005-0000-0000-0000DC010000}"/>
    <cellStyle name="Zelle überprüfen 6" xfId="417" xr:uid="{00000000-0005-0000-0000-0000DD010000}"/>
    <cellStyle name="Zelle überprüfen 7" xfId="418" xr:uid="{00000000-0005-0000-0000-0000DE010000}"/>
    <cellStyle name="Гиперссылка" xfId="419" xr:uid="{00000000-0005-0000-0000-0000DF010000}"/>
    <cellStyle name="Обычный_2++" xfId="420" xr:uid="{00000000-0005-0000-0000-0000E0010000}"/>
  </cellStyles>
  <dxfs count="270">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bgColor rgb="FFC6EFCE"/>
        </patternFill>
      </fill>
    </dxf>
    <dxf>
      <font>
        <color rgb="FF9C6500"/>
      </font>
      <fill>
        <patternFill>
          <bgColor rgb="FFFFEB9C"/>
        </patternFill>
      </fill>
    </dxf>
    <dxf>
      <font>
        <color rgb="FF006100"/>
      </font>
      <fill>
        <patternFill>
          <fgColor indexed="64"/>
          <bgColor rgb="FFC6EFCE"/>
        </patternFill>
      </fill>
    </dxf>
    <dxf>
      <font>
        <color rgb="FF006100"/>
      </font>
      <fill>
        <patternFill>
          <bgColor rgb="FFC6EFCE"/>
        </patternFill>
      </fill>
    </dxf>
    <dxf>
      <font>
        <color rgb="FF9C6500"/>
      </font>
      <fill>
        <patternFill>
          <bgColor rgb="FFFFEB9C"/>
        </patternFill>
      </fill>
    </dxf>
    <dxf>
      <font>
        <color rgb="FF006100"/>
      </font>
      <fill>
        <patternFill>
          <fgColor indexed="64"/>
          <bgColor rgb="FFC6EFCE"/>
        </patternFill>
      </fill>
    </dxf>
    <dxf>
      <font>
        <color rgb="FF006100"/>
      </font>
      <fill>
        <patternFill>
          <bgColor rgb="FFC6EFCE"/>
        </patternFill>
      </fill>
    </dxf>
    <dxf>
      <font>
        <color rgb="FF9C6500"/>
      </font>
      <fill>
        <patternFill>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bgColor rgb="FFC6EFCE"/>
        </patternFill>
      </fill>
    </dxf>
    <dxf>
      <font>
        <color rgb="FF9C6500"/>
      </font>
      <fill>
        <patternFill>
          <bgColor rgb="FFFFEB9C"/>
        </patternFill>
      </fill>
    </dxf>
    <dxf>
      <font>
        <color rgb="FF006100"/>
      </font>
      <fill>
        <patternFill>
          <fgColor indexed="64"/>
          <bgColor rgb="FFC6EFCE"/>
        </patternFill>
      </fill>
    </dxf>
    <dxf>
      <font>
        <color rgb="FF006100"/>
      </font>
      <fill>
        <patternFill>
          <bgColor rgb="FFC6EFCE"/>
        </patternFill>
      </fill>
    </dxf>
    <dxf>
      <font>
        <color rgb="FF9C6500"/>
      </font>
      <fill>
        <patternFill>
          <bgColor rgb="FFFFEB9C"/>
        </patternFill>
      </fill>
    </dxf>
    <dxf>
      <font>
        <color rgb="FF006100"/>
      </font>
      <fill>
        <patternFill>
          <fgColor indexed="64"/>
          <bgColor rgb="FFC6EFCE"/>
        </patternFill>
      </fill>
    </dxf>
    <dxf>
      <font>
        <color rgb="FF006100"/>
      </font>
      <fill>
        <patternFill>
          <bgColor rgb="FFC6EFCE"/>
        </patternFill>
      </fill>
    </dxf>
    <dxf>
      <font>
        <color rgb="FF9C6500"/>
      </font>
      <fill>
        <patternFill>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bgColor rgb="FFC6EFCE"/>
        </patternFill>
      </fill>
    </dxf>
    <dxf>
      <font>
        <color rgb="FF9C6500"/>
      </font>
      <fill>
        <patternFill>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9C6500"/>
      </font>
      <fill>
        <patternFill>
          <fgColor indexed="64"/>
          <bgColor rgb="FFFFEB9C"/>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rgb="FFFFFF66"/>
        </patternFill>
      </fill>
      <border>
        <left style="thin">
          <color rgb="FFFF0000"/>
        </left>
        <right style="thin">
          <color rgb="FFFF0000"/>
        </right>
        <top style="thin">
          <color rgb="FFFF0000"/>
        </top>
        <bottom style="thin">
          <color rgb="FFFF0000"/>
        </bottom>
        <vertical/>
        <horizontal/>
      </border>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006100"/>
      </font>
      <fill>
        <patternFill>
          <fgColor indexed="64"/>
          <bgColor rgb="FFC6EFCE"/>
        </patternFill>
      </fill>
    </dxf>
    <dxf>
      <font>
        <color rgb="FF006100"/>
      </font>
      <fill>
        <patternFill>
          <fgColor indexed="64"/>
          <bgColor rgb="FFC6EFCE"/>
        </patternFill>
      </fill>
    </dxf>
    <dxf>
      <font>
        <color rgb="FF9C6500"/>
      </font>
      <fill>
        <patternFill>
          <fgColor indexed="64"/>
          <bgColor rgb="FFFFEB9C"/>
        </patternFill>
      </fill>
    </dxf>
    <dxf>
      <font>
        <color rgb="FF9C0006"/>
      </font>
    </dxf>
    <dxf>
      <font>
        <color rgb="FF9C0006"/>
      </font>
    </dxf>
    <dxf>
      <font>
        <color rgb="FF9C0006"/>
      </font>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fill>
        <patternFill>
          <bgColor rgb="FFFFC7CE"/>
        </patternFill>
      </fill>
    </dxf>
    <dxf>
      <font>
        <color rgb="FF006100"/>
      </font>
      <fill>
        <patternFill>
          <bgColor rgb="FFC6EFCE"/>
        </patternFill>
      </fill>
    </dxf>
    <dxf>
      <font>
        <color rgb="FF9C0006"/>
      </font>
    </dxf>
    <dxf>
      <font>
        <color rgb="FF9C0006"/>
      </font>
    </dxf>
    <dxf>
      <font>
        <color rgb="FF9C0006"/>
      </font>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D744"/>
      <color rgb="FF8393BE"/>
      <color rgb="FFCCFF99"/>
      <color rgb="FFCCFF33"/>
      <color rgb="FF48A8AE"/>
      <color rgb="FF1E83B3"/>
      <color rgb="FF467850"/>
      <color rgb="FF1F82C0"/>
      <color rgb="FF9EA8CC"/>
      <color rgb="FF00C1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400">
                <a:latin typeface="Arial" pitchFamily="34" charset="0"/>
                <a:cs typeface="Arial" pitchFamily="34" charset="0"/>
              </a:defRPr>
            </a:pPr>
            <a:r>
              <a:rPr lang="de-DE" sz="1400">
                <a:latin typeface="Arial" pitchFamily="34" charset="0"/>
                <a:cs typeface="Arial" pitchFamily="34" charset="0"/>
              </a:rPr>
              <a:t>Evolution du Prélèvement</a:t>
            </a:r>
            <a:r>
              <a:rPr lang="de-DE" sz="1400" baseline="0">
                <a:latin typeface="Arial" pitchFamily="34" charset="0"/>
                <a:cs typeface="Arial" pitchFamily="34" charset="0"/>
              </a:rPr>
              <a:t> EEG</a:t>
            </a:r>
            <a:endParaRPr lang="de-DE" sz="1400">
              <a:latin typeface="Arial" pitchFamily="34" charset="0"/>
              <a:cs typeface="Arial" pitchFamily="34" charset="0"/>
            </a:endParaRPr>
          </a:p>
        </c:rich>
      </c:tx>
      <c:layout>
        <c:manualLayout>
          <c:xMode val="edge"/>
          <c:yMode val="edge"/>
          <c:x val="0.10110475002475836"/>
          <c:y val="5.398074654600829E-2"/>
        </c:manualLayout>
      </c:layout>
      <c:overlay val="1"/>
      <c:spPr>
        <a:solidFill>
          <a:schemeClr val="bg1"/>
        </a:solidFill>
      </c:spPr>
    </c:title>
    <c:autoTitleDeleted val="0"/>
    <c:plotArea>
      <c:layout>
        <c:manualLayout>
          <c:layoutTarget val="inner"/>
          <c:xMode val="edge"/>
          <c:yMode val="edge"/>
          <c:x val="9.1045430353048865E-2"/>
          <c:y val="4.2086647811172669E-2"/>
          <c:w val="0.53804238010145411"/>
          <c:h val="0.87445371667596183"/>
        </c:manualLayout>
      </c:layout>
      <c:barChart>
        <c:barDir val="col"/>
        <c:grouping val="stacked"/>
        <c:varyColors val="0"/>
        <c:ser>
          <c:idx val="7"/>
          <c:order val="0"/>
          <c:tx>
            <c:strRef>
              <c:f>'GrD-Grafikdaten'!$E$124</c:f>
              <c:strCache>
                <c:ptCount val="1"/>
                <c:pt idx="0">
                  <c:v>Revenu de l'exploitant du réseau en fonction du taux de rémunération (année de construction &lt;2015)</c:v>
                </c:pt>
              </c:strCache>
            </c:strRef>
          </c:tx>
          <c:spPr>
            <a:solidFill>
              <a:schemeClr val="accent2"/>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'GrD-Grafikdaten'!$F$124:$AE$124</c:f>
              <c:numCache>
                <c:formatCode>0.00</c:formatCode>
                <c:ptCount val="26"/>
                <c:pt idx="0">
                  <c:v>3.149123966277187</c:v>
                </c:pt>
                <c:pt idx="1">
                  <c:v>4.1888003025421927</c:v>
                </c:pt>
                <c:pt idx="2">
                  <c:v>4.8064331813660583</c:v>
                </c:pt>
                <c:pt idx="3">
                  <c:v>5.8986442334188212</c:v>
                </c:pt>
                <c:pt idx="4">
                  <c:v>6.6832122779814043</c:v>
                </c:pt>
                <c:pt idx="5">
                  <c:v>7.2605747709420232</c:v>
                </c:pt>
                <c:pt idx="6">
                  <c:v>7.2651634727558241</c:v>
                </c:pt>
                <c:pt idx="7">
                  <c:v>7.2945220235633075</c:v>
                </c:pt>
                <c:pt idx="8">
                  <c:v>7.3262240696841623</c:v>
                </c:pt>
                <c:pt idx="9">
                  <c:v>7.2304552480362698</c:v>
                </c:pt>
                <c:pt idx="10">
                  <c:v>7.0668251307150873</c:v>
                </c:pt>
                <c:pt idx="11">
                  <c:v>7.2119900040302625</c:v>
                </c:pt>
                <c:pt idx="12">
                  <c:v>7.0551581431323172</c:v>
                </c:pt>
                <c:pt idx="13">
                  <c:v>6.8742755240380555</c:v>
                </c:pt>
                <c:pt idx="14">
                  <c:v>6.7150491559820242</c:v>
                </c:pt>
                <c:pt idx="15">
                  <c:v>6.3707577818056675</c:v>
                </c:pt>
                <c:pt idx="16">
                  <c:v>5.8794727155137121</c:v>
                </c:pt>
                <c:pt idx="17">
                  <c:v>5.3912271787399693</c:v>
                </c:pt>
                <c:pt idx="18">
                  <c:v>4.886251526793699</c:v>
                </c:pt>
                <c:pt idx="19">
                  <c:v>4.463317885918479</c:v>
                </c:pt>
                <c:pt idx="20">
                  <c:v>3.6741282866765723</c:v>
                </c:pt>
                <c:pt idx="21">
                  <c:v>2.5849247015331804</c:v>
                </c:pt>
                <c:pt idx="22">
                  <c:v>1.433032964998753</c:v>
                </c:pt>
                <c:pt idx="23">
                  <c:v>0.79368336817599949</c:v>
                </c:pt>
                <c:pt idx="24">
                  <c:v>0.50532344728518275</c:v>
                </c:pt>
                <c:pt idx="25">
                  <c:v>0.24460911425248719</c:v>
                </c:pt>
              </c:numCache>
            </c:numRef>
          </c:val>
          <c:extLst>
            <c:ext xmlns:c16="http://schemas.microsoft.com/office/drawing/2014/chart" uri="{C3380CC4-5D6E-409C-BE32-E72D297353CC}">
              <c16:uniqueId val="{00000000-9554-4458-B1A8-848D3B5E18A5}"/>
            </c:ext>
          </c:extLst>
        </c:ser>
        <c:ser>
          <c:idx val="2"/>
          <c:order val="1"/>
          <c:tx>
            <c:strRef>
              <c:f>'GrD-Grafikdaten'!$E$118</c:f>
              <c:strCache>
                <c:ptCount val="1"/>
                <c:pt idx="0">
                  <c:v>Revenu de l'exploitant du réseau en fonction du taux de rémunération (année de construction&gt; 2014)</c:v>
                </c:pt>
              </c:strCache>
            </c:strRef>
          </c:tx>
          <c:spPr>
            <a:solidFill>
              <a:srgbClr val="00C1C9"/>
            </a:solidFill>
          </c:spPr>
          <c:invertIfNegative val="0"/>
          <c:dPt>
            <c:idx val="0"/>
            <c:invertIfNegative val="0"/>
            <c:bubble3D val="0"/>
            <c:extLst>
              <c:ext xmlns:c16="http://schemas.microsoft.com/office/drawing/2014/chart" uri="{C3380CC4-5D6E-409C-BE32-E72D297353CC}">
                <c16:uniqueId val="{00000001-9554-4458-B1A8-848D3B5E18A5}"/>
              </c:ext>
            </c:extLst>
          </c:dPt>
          <c:dPt>
            <c:idx val="1"/>
            <c:invertIfNegative val="0"/>
            <c:bubble3D val="0"/>
            <c:extLst>
              <c:ext xmlns:c16="http://schemas.microsoft.com/office/drawing/2014/chart" uri="{C3380CC4-5D6E-409C-BE32-E72D297353CC}">
                <c16:uniqueId val="{00000002-9554-4458-B1A8-848D3B5E18A5}"/>
              </c:ext>
            </c:extLst>
          </c:dPt>
          <c:dPt>
            <c:idx val="2"/>
            <c:invertIfNegative val="0"/>
            <c:bubble3D val="0"/>
            <c:extLst>
              <c:ext xmlns:c16="http://schemas.microsoft.com/office/drawing/2014/chart" uri="{C3380CC4-5D6E-409C-BE32-E72D297353CC}">
                <c16:uniqueId val="{00000003-9554-4458-B1A8-848D3B5E18A5}"/>
              </c:ext>
            </c:extLst>
          </c:dPt>
          <c:dPt>
            <c:idx val="3"/>
            <c:invertIfNegative val="0"/>
            <c:bubble3D val="0"/>
            <c:extLst>
              <c:ext xmlns:c16="http://schemas.microsoft.com/office/drawing/2014/chart" uri="{C3380CC4-5D6E-409C-BE32-E72D297353CC}">
                <c16:uniqueId val="{00000004-9554-4458-B1A8-848D3B5E18A5}"/>
              </c:ext>
            </c:extLst>
          </c:dPt>
          <c:dPt>
            <c:idx val="4"/>
            <c:invertIfNegative val="0"/>
            <c:bubble3D val="0"/>
            <c:extLst>
              <c:ext xmlns:c16="http://schemas.microsoft.com/office/drawing/2014/chart" uri="{C3380CC4-5D6E-409C-BE32-E72D297353CC}">
                <c16:uniqueId val="{00000005-9554-4458-B1A8-848D3B5E18A5}"/>
              </c:ext>
            </c:extLst>
          </c:dPt>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'GrD-Grafikdaten'!$F$118:$AE$118</c:f>
              <c:numCache>
                <c:formatCode>0.00</c:formatCode>
                <c:ptCount val="26"/>
                <c:pt idx="0">
                  <c:v>0</c:v>
                </c:pt>
                <c:pt idx="1">
                  <c:v>0</c:v>
                </c:pt>
                <c:pt idx="2">
                  <c:v>0</c:v>
                </c:pt>
                <c:pt idx="3">
                  <c:v>0</c:v>
                </c:pt>
                <c:pt idx="4">
                  <c:v>0</c:v>
                </c:pt>
                <c:pt idx="5">
                  <c:v>0.27526511402651638</c:v>
                </c:pt>
                <c:pt idx="6">
                  <c:v>0.73692083848655465</c:v>
                </c:pt>
                <c:pt idx="7">
                  <c:v>1.261606914201997</c:v>
                </c:pt>
                <c:pt idx="8">
                  <c:v>1.7408809002236225</c:v>
                </c:pt>
                <c:pt idx="9">
                  <c:v>2.118535365484663</c:v>
                </c:pt>
                <c:pt idx="10">
                  <c:v>2.3841528184769496</c:v>
                </c:pt>
                <c:pt idx="11">
                  <c:v>2.6435447597049153</c:v>
                </c:pt>
                <c:pt idx="12">
                  <c:v>2.8521121267879193</c:v>
                </c:pt>
                <c:pt idx="13">
                  <c:v>3.0768520290350003</c:v>
                </c:pt>
                <c:pt idx="14">
                  <c:v>3.243023913711963</c:v>
                </c:pt>
                <c:pt idx="15">
                  <c:v>3.4379072424233019</c:v>
                </c:pt>
                <c:pt idx="16">
                  <c:v>3.5856190471659146</c:v>
                </c:pt>
                <c:pt idx="17">
                  <c:v>3.5901440818513777</c:v>
                </c:pt>
                <c:pt idx="18">
                  <c:v>3.7648969858728556</c:v>
                </c:pt>
                <c:pt idx="19">
                  <c:v>3.8632796300172036</c:v>
                </c:pt>
                <c:pt idx="20">
                  <c:v>4.1164683538944296</c:v>
                </c:pt>
                <c:pt idx="21">
                  <c:v>4.3698502799917378</c:v>
                </c:pt>
                <c:pt idx="22">
                  <c:v>4.6253781744495504</c:v>
                </c:pt>
                <c:pt idx="23">
                  <c:v>4.8813343973593168</c:v>
                </c:pt>
                <c:pt idx="24">
                  <c:v>5.0460223532652364</c:v>
                </c:pt>
                <c:pt idx="25">
                  <c:v>5.1966021808733842</c:v>
                </c:pt>
              </c:numCache>
            </c:numRef>
          </c:val>
          <c:extLst>
            <c:ext xmlns:c16="http://schemas.microsoft.com/office/drawing/2014/chart" uri="{C3380CC4-5D6E-409C-BE32-E72D297353CC}">
              <c16:uniqueId val="{00000006-9554-4458-B1A8-848D3B5E18A5}"/>
            </c:ext>
          </c:extLst>
        </c:ser>
        <c:ser>
          <c:idx val="4"/>
          <c:order val="2"/>
          <c:tx>
            <c:strRef>
              <c:f>'GrD-Grafikdaten'!$E$119</c:f>
              <c:strCache>
                <c:ptCount val="1"/>
                <c:pt idx="0">
                  <c:v>Revenus du marketing</c:v>
                </c:pt>
              </c:strCache>
            </c:strRef>
          </c:tx>
          <c:spPr>
            <a:solidFill>
              <a:srgbClr val="00B0F0"/>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'GrD-Grafikdaten'!$F$119:$AE$119</c:f>
              <c:numCache>
                <c:formatCode>0.00</c:formatCode>
                <c:ptCount val="26"/>
                <c:pt idx="0">
                  <c:v>-1.1143275278744671</c:v>
                </c:pt>
                <c:pt idx="1">
                  <c:v>-1.1481771217342542</c:v>
                </c:pt>
                <c:pt idx="2">
                  <c:v>-1.4749351709875336</c:v>
                </c:pt>
                <c:pt idx="3">
                  <c:v>-1.6337029152159672</c:v>
                </c:pt>
                <c:pt idx="4">
                  <c:v>-1.4657694443600116</c:v>
                </c:pt>
                <c:pt idx="5">
                  <c:v>-1.4328005764190632</c:v>
                </c:pt>
                <c:pt idx="6">
                  <c:v>-1.4095609981357589</c:v>
                </c:pt>
                <c:pt idx="7">
                  <c:v>-1.3270921153532014</c:v>
                </c:pt>
                <c:pt idx="8">
                  <c:v>-1.6104835267042028</c:v>
                </c:pt>
                <c:pt idx="9">
                  <c:v>-2.2002230961690588</c:v>
                </c:pt>
                <c:pt idx="10">
                  <c:v>-2.539085556155213</c:v>
                </c:pt>
                <c:pt idx="11">
                  <c:v>-2.0917764931417389</c:v>
                </c:pt>
                <c:pt idx="12">
                  <c:v>-2.6923972599236521</c:v>
                </c:pt>
                <c:pt idx="13">
                  <c:v>-2.9134304294121263</c:v>
                </c:pt>
                <c:pt idx="14">
                  <c:v>-3.0799736772373834</c:v>
                </c:pt>
                <c:pt idx="15">
                  <c:v>-3.4392455967984956</c:v>
                </c:pt>
                <c:pt idx="16">
                  <c:v>-3.5895016133866502</c:v>
                </c:pt>
                <c:pt idx="17">
                  <c:v>-3.7135260971578719</c:v>
                </c:pt>
                <c:pt idx="18">
                  <c:v>-3.8620962197488562</c:v>
                </c:pt>
                <c:pt idx="19">
                  <c:v>-4.0526508588623447</c:v>
                </c:pt>
                <c:pt idx="20">
                  <c:v>-4.1354490158368584</c:v>
                </c:pt>
                <c:pt idx="21">
                  <c:v>-4.1731827434415418</c:v>
                </c:pt>
                <c:pt idx="22">
                  <c:v>-4.1307329166680207</c:v>
                </c:pt>
                <c:pt idx="23">
                  <c:v>-4.1965303400763467</c:v>
                </c:pt>
                <c:pt idx="24">
                  <c:v>-4.2747022707286435</c:v>
                </c:pt>
                <c:pt idx="25">
                  <c:v>-3.8757352807791459</c:v>
                </c:pt>
              </c:numCache>
            </c:numRef>
          </c:val>
          <c:extLst>
            <c:ext xmlns:c16="http://schemas.microsoft.com/office/drawing/2014/chart" uri="{C3380CC4-5D6E-409C-BE32-E72D297353CC}">
              <c16:uniqueId val="{00000007-9554-4458-B1A8-848D3B5E18A5}"/>
            </c:ext>
          </c:extLst>
        </c:ser>
        <c:ser>
          <c:idx val="5"/>
          <c:order val="3"/>
          <c:tx>
            <c:strRef>
              <c:f>'GrD-Grafikdaten'!$E$120</c:f>
              <c:strCache>
                <c:ptCount val="1"/>
                <c:pt idx="0">
                  <c:v>Réserve de liquidité</c:v>
                </c:pt>
              </c:strCache>
            </c:strRef>
          </c:tx>
          <c:spPr>
            <a:solidFill>
              <a:srgbClr val="AD86B0"/>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'GrD-Grafikdaten'!$F$120:$AE$120</c:f>
              <c:numCache>
                <c:formatCode>0.00</c:formatCode>
                <c:ptCount val="26"/>
                <c:pt idx="0">
                  <c:v>0</c:v>
                </c:pt>
                <c:pt idx="1">
                  <c:v>0</c:v>
                </c:pt>
                <c:pt idx="2">
                  <c:v>9.9363640268897269E-2</c:v>
                </c:pt>
                <c:pt idx="3">
                  <c:v>0.41882948767683209</c:v>
                </c:pt>
                <c:pt idx="4">
                  <c:v>0.51450044762037139</c:v>
                </c:pt>
                <c:pt idx="5">
                  <c:v>0.59592027659530522</c:v>
                </c:pt>
                <c:pt idx="6">
                  <c:v>0.6392913186789364</c:v>
                </c:pt>
                <c:pt idx="7">
                  <c:v>0.41988501655095822</c:v>
                </c:pt>
                <c:pt idx="8">
                  <c:v>0.4372705524825396</c:v>
                </c:pt>
                <c:pt idx="9">
                  <c:v>0.42087878819618457</c:v>
                </c:pt>
                <c:pt idx="10">
                  <c:v>0.54603990988413686</c:v>
                </c:pt>
                <c:pt idx="11">
                  <c:v>0.76827342258007802</c:v>
                </c:pt>
                <c:pt idx="12">
                  <c:v>0.42705156848223186</c:v>
                </c:pt>
                <c:pt idx="13">
                  <c:v>0.41643702371245611</c:v>
                </c:pt>
                <c:pt idx="14">
                  <c:v>0.40692010918926608</c:v>
                </c:pt>
                <c:pt idx="15">
                  <c:v>0.37672724990734097</c:v>
                </c:pt>
                <c:pt idx="16">
                  <c:v>0.34747003585854214</c:v>
                </c:pt>
                <c:pt idx="17">
                  <c:v>0.31150149170074976</c:v>
                </c:pt>
                <c:pt idx="18">
                  <c:v>0.2831171986519056</c:v>
                </c:pt>
                <c:pt idx="19">
                  <c:v>0.25232068765046278</c:v>
                </c:pt>
                <c:pt idx="20">
                  <c:v>0.21549171121523691</c:v>
                </c:pt>
                <c:pt idx="21">
                  <c:v>0.1635916929538925</c:v>
                </c:pt>
                <c:pt idx="22">
                  <c:v>0.11329908546148226</c:v>
                </c:pt>
                <c:pt idx="23">
                  <c:v>8.6446614747409001E-2</c:v>
                </c:pt>
                <c:pt idx="24">
                  <c:v>7.4469010093960925E-2</c:v>
                </c:pt>
                <c:pt idx="25">
                  <c:v>9.1789785915857874E-2</c:v>
                </c:pt>
              </c:numCache>
            </c:numRef>
          </c:val>
          <c:extLst>
            <c:ext xmlns:c16="http://schemas.microsoft.com/office/drawing/2014/chart" uri="{C3380CC4-5D6E-409C-BE32-E72D297353CC}">
              <c16:uniqueId val="{00000008-9554-4458-B1A8-848D3B5E18A5}"/>
            </c:ext>
          </c:extLst>
        </c:ser>
        <c:ser>
          <c:idx val="6"/>
          <c:order val="4"/>
          <c:tx>
            <c:strRef>
              <c:f>'GrD-Grafikdaten'!$E$121</c:f>
              <c:strCache>
                <c:ptCount val="1"/>
                <c:pt idx="0">
                  <c:v>Solde de l'année précédente</c:v>
                </c:pt>
              </c:strCache>
            </c:strRef>
          </c:tx>
          <c:spPr>
            <a:solidFill>
              <a:srgbClr val="8393BE"/>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'GrD-Grafikdaten'!$F$121:$AE$121</c:f>
              <c:numCache>
                <c:formatCode>0.00</c:formatCode>
                <c:ptCount val="26"/>
                <c:pt idx="0">
                  <c:v>0</c:v>
                </c:pt>
                <c:pt idx="1">
                  <c:v>0.27301911687690317</c:v>
                </c:pt>
                <c:pt idx="2">
                  <c:v>0.18051501743452761</c:v>
                </c:pt>
                <c:pt idx="3">
                  <c:v>0.66987563555484619</c:v>
                </c:pt>
                <c:pt idx="4">
                  <c:v>0.580495076175914</c:v>
                </c:pt>
                <c:pt idx="5">
                  <c:v>-0.38512304254835578</c:v>
                </c:pt>
                <c:pt idx="6">
                  <c:v>-0.69271211027684976</c:v>
                </c:pt>
                <c:pt idx="7">
                  <c:v>-0.55509788074223432</c:v>
                </c:pt>
                <c:pt idx="8">
                  <c:v>-0.94436923548353968</c:v>
                </c:pt>
                <c:pt idx="9">
                  <c:v>-1.0296002547372551</c:v>
                </c:pt>
                <c:pt idx="10">
                  <c:v>-0.61546559483866781</c:v>
                </c:pt>
                <c:pt idx="11">
                  <c:v>1.1845036077210573</c:v>
                </c:pt>
                <c:pt idx="12">
                  <c:v>0</c:v>
                </c:pt>
                <c:pt idx="13">
                  <c:v>-0.15803383786392977</c:v>
                </c:pt>
                <c:pt idx="14">
                  <c:v>-0.12546454540738267</c:v>
                </c:pt>
                <c:pt idx="15">
                  <c:v>-9.9020671665210114E-2</c:v>
                </c:pt>
                <c:pt idx="16">
                  <c:v>-3.2808480704583497E-2</c:v>
                </c:pt>
                <c:pt idx="17">
                  <c:v>1.1480973116834488E-2</c:v>
                </c:pt>
                <c:pt idx="18">
                  <c:v>5.9849050629596133E-2</c:v>
                </c:pt>
                <c:pt idx="19">
                  <c:v>0.10304745059200858</c:v>
                </c:pt>
                <c:pt idx="20">
                  <c:v>0.15280559790603168</c:v>
                </c:pt>
                <c:pt idx="21">
                  <c:v>0.19787046168788544</c:v>
                </c:pt>
                <c:pt idx="22">
                  <c:v>0.25348817617010533</c:v>
                </c:pt>
                <c:pt idx="23">
                  <c:v>0.29970050051144126</c:v>
                </c:pt>
                <c:pt idx="24">
                  <c:v>0.33319964748112973</c:v>
                </c:pt>
                <c:pt idx="25">
                  <c:v>0.35310353131546357</c:v>
                </c:pt>
              </c:numCache>
            </c:numRef>
          </c:val>
          <c:extLst>
            <c:ext xmlns:c16="http://schemas.microsoft.com/office/drawing/2014/chart" uri="{C3380CC4-5D6E-409C-BE32-E72D297353CC}">
              <c16:uniqueId val="{00000009-9554-4458-B1A8-848D3B5E18A5}"/>
            </c:ext>
          </c:extLst>
        </c:ser>
        <c:ser>
          <c:idx val="10"/>
          <c:order val="5"/>
          <c:tx>
            <c:strRef>
              <c:f>'GrD-Grafikdaten'!$E$123</c:f>
              <c:strCache>
                <c:ptCount val="1"/>
                <c:pt idx="0">
                  <c:v>"Autres effets *
* Frais de réseau évités, privilège électricité verte, autres coûts "</c:v>
                </c:pt>
              </c:strCache>
            </c:strRef>
          </c:tx>
          <c:spPr>
            <a:solidFill>
              <a:schemeClr val="bg2">
                <a:lumMod val="65000"/>
              </a:schemeClr>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'GrD-Grafikdaten'!$F$123:$AE$123</c:f>
              <c:numCache>
                <c:formatCode>0.00</c:formatCode>
                <c:ptCount val="26"/>
                <c:pt idx="0">
                  <c:v>1.2621203479080452E-2</c:v>
                </c:pt>
                <c:pt idx="1">
                  <c:v>0.21705777646400023</c:v>
                </c:pt>
                <c:pt idx="2">
                  <c:v>-2.030389836889188E-2</c:v>
                </c:pt>
                <c:pt idx="3">
                  <c:v>-7.6196695631972927E-2</c:v>
                </c:pt>
                <c:pt idx="4">
                  <c:v>-7.2646252065796002E-2</c:v>
                </c:pt>
                <c:pt idx="5">
                  <c:v>-0.15408666759749157</c:v>
                </c:pt>
                <c:pt idx="6">
                  <c:v>-0.19539192604954267</c:v>
                </c:pt>
                <c:pt idx="7">
                  <c:v>-0.23263388338516494</c:v>
                </c:pt>
                <c:pt idx="8">
                  <c:v>-0.17237399192742237</c:v>
                </c:pt>
                <c:pt idx="9">
                  <c:v>-0.1341210474154646</c:v>
                </c:pt>
                <c:pt idx="10">
                  <c:v>-8.0430990471640276E-2</c:v>
                </c:pt>
                <c:pt idx="11">
                  <c:v>-8.2765793546279165E-2</c:v>
                </c:pt>
                <c:pt idx="12">
                  <c:v>-9.7346868626052616E-2</c:v>
                </c:pt>
                <c:pt idx="13">
                  <c:v>-9.7080061786660399E-2</c:v>
                </c:pt>
                <c:pt idx="14">
                  <c:v>-9.6097572635502587E-2</c:v>
                </c:pt>
                <c:pt idx="15">
                  <c:v>-9.0631928974791109E-2</c:v>
                </c:pt>
                <c:pt idx="16">
                  <c:v>-8.4422884983941709E-2</c:v>
                </c:pt>
                <c:pt idx="17">
                  <c:v>-7.6153635087647095E-2</c:v>
                </c:pt>
                <c:pt idx="18">
                  <c:v>-7.0432315385937416E-2</c:v>
                </c:pt>
                <c:pt idx="19">
                  <c:v>-6.8601862898958088E-2</c:v>
                </c:pt>
                <c:pt idx="20">
                  <c:v>-6.3619104480194602E-2</c:v>
                </c:pt>
                <c:pt idx="21">
                  <c:v>-5.5064022185168385E-2</c:v>
                </c:pt>
                <c:pt idx="22">
                  <c:v>-3.9360131755578946E-2</c:v>
                </c:pt>
                <c:pt idx="23">
                  <c:v>-3.7710513002152932E-2</c:v>
                </c:pt>
                <c:pt idx="24">
                  <c:v>-3.5493361589093185E-2</c:v>
                </c:pt>
                <c:pt idx="25">
                  <c:v>-3.5646249082427896E-2</c:v>
                </c:pt>
              </c:numCache>
            </c:numRef>
          </c:val>
          <c:extLst>
            <c:ext xmlns:c16="http://schemas.microsoft.com/office/drawing/2014/chart" uri="{C3380CC4-5D6E-409C-BE32-E72D297353CC}">
              <c16:uniqueId val="{0000000A-9554-4458-B1A8-848D3B5E18A5}"/>
            </c:ext>
          </c:extLst>
        </c:ser>
        <c:ser>
          <c:idx val="0"/>
          <c:order val="8"/>
          <c:tx>
            <c:strRef>
              <c:f>'GrD-Grafikdaten'!$E$122</c:f>
              <c:strCache>
                <c:ptCount val="1"/>
                <c:pt idx="0">
                  <c:v>Subventions du budget fédéral</c:v>
                </c:pt>
              </c:strCache>
            </c:strRef>
          </c:tx>
          <c:invertIfNegative val="0"/>
          <c:val>
            <c:numRef>
              <c:f>'GrD-Grafikdaten'!$F$122:$AE$122</c:f>
              <c:numCache>
                <c:formatCode>0.00</c:formatCode>
                <c:ptCount val="26"/>
                <c:pt idx="0">
                  <c:v>0</c:v>
                </c:pt>
                <c:pt idx="1">
                  <c:v>0</c:v>
                </c:pt>
                <c:pt idx="2">
                  <c:v>0</c:v>
                </c:pt>
                <c:pt idx="3">
                  <c:v>0</c:v>
                </c:pt>
                <c:pt idx="4">
                  <c:v>0</c:v>
                </c:pt>
                <c:pt idx="5">
                  <c:v>0</c:v>
                </c:pt>
                <c:pt idx="6">
                  <c:v>0</c:v>
                </c:pt>
                <c:pt idx="7">
                  <c:v>0</c:v>
                </c:pt>
                <c:pt idx="8">
                  <c:v>0</c:v>
                </c:pt>
                <c:pt idx="9">
                  <c:v>0</c:v>
                </c:pt>
                <c:pt idx="10">
                  <c:v>0</c:v>
                </c:pt>
                <c:pt idx="11">
                  <c:v>-3.135147756514379</c:v>
                </c:pt>
                <c:pt idx="12">
                  <c:v>-1.1990313049014476</c:v>
                </c:pt>
                <c:pt idx="13">
                  <c:v>-1.4612607926185883</c:v>
                </c:pt>
                <c:pt idx="14">
                  <c:v>-1.4655894707099137</c:v>
                </c:pt>
                <c:pt idx="15">
                  <c:v>-1.4670403551819031</c:v>
                </c:pt>
                <c:pt idx="16">
                  <c:v>-1.4672993236845011</c:v>
                </c:pt>
                <c:pt idx="17">
                  <c:v>-1.4674076619406262</c:v>
                </c:pt>
                <c:pt idx="18">
                  <c:v>-1.467356974546018</c:v>
                </c:pt>
                <c:pt idx="19">
                  <c:v>-1.4667168591202011</c:v>
                </c:pt>
                <c:pt idx="20">
                  <c:v>-1.4653857820357914</c:v>
                </c:pt>
                <c:pt idx="21">
                  <c:v>-1.4640337815455702</c:v>
                </c:pt>
                <c:pt idx="22">
                  <c:v>-1.4626581539148638</c:v>
                </c:pt>
                <c:pt idx="23">
                  <c:v>-1.4622985291309107</c:v>
                </c:pt>
                <c:pt idx="24">
                  <c:v>-1.4622688107280257</c:v>
                </c:pt>
                <c:pt idx="25">
                  <c:v>-1.4626926366414963</c:v>
                </c:pt>
              </c:numCache>
            </c:numRef>
          </c:val>
          <c:extLst>
            <c:ext xmlns:c16="http://schemas.microsoft.com/office/drawing/2014/chart" uri="{C3380CC4-5D6E-409C-BE32-E72D297353CC}">
              <c16:uniqueId val="{00000005-AC47-423A-A3D6-2D5A2D1F67B7}"/>
            </c:ext>
          </c:extLst>
        </c:ser>
        <c:dLbls>
          <c:showLegendKey val="0"/>
          <c:showVal val="0"/>
          <c:showCatName val="0"/>
          <c:showSerName val="0"/>
          <c:showPercent val="0"/>
          <c:showBubbleSize val="0"/>
        </c:dLbls>
        <c:gapWidth val="20"/>
        <c:overlap val="100"/>
        <c:axId val="331118464"/>
        <c:axId val="332730752"/>
      </c:barChart>
      <c:lineChart>
        <c:grouping val="standard"/>
        <c:varyColors val="0"/>
        <c:ser>
          <c:idx val="8"/>
          <c:order val="6"/>
          <c:tx>
            <c:strRef>
              <c:f>'GrD-Grafikdaten'!$E$126</c:f>
              <c:strCache>
                <c:ptCount val="1"/>
                <c:pt idx="0">
                  <c:v>Prélèvement (Prévision)</c:v>
                </c:pt>
              </c:strCache>
            </c:strRef>
          </c:tx>
          <c:spPr>
            <a:ln>
              <a:solidFill>
                <a:srgbClr val="FF0000"/>
              </a:solidFill>
              <a:prstDash val="solid"/>
            </a:ln>
          </c:spPr>
          <c:marker>
            <c:symbol val="none"/>
          </c:marker>
          <c:val>
            <c:numRef>
              <c:f>'GrD-Grafikdaten'!$F$126:$AE$126</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6.5003634995875359</c:v>
                </c:pt>
                <c:pt idx="12">
                  <c:v>6.3455464049513157</c:v>
                </c:pt>
                <c:pt idx="13">
                  <c:v>5.7377594551042073</c:v>
                </c:pt>
                <c:pt idx="14">
                  <c:v>5.5978679128930713</c:v>
                </c:pt>
                <c:pt idx="15">
                  <c:v>5.0894537215159117</c:v>
                </c:pt>
                <c:pt idx="16">
                  <c:v>4.6385294957784931</c:v>
                </c:pt>
                <c:pt idx="17">
                  <c:v>4.0472663312227866</c:v>
                </c:pt>
                <c:pt idx="18">
                  <c:v>3.5942292522672457</c:v>
                </c:pt>
                <c:pt idx="19">
                  <c:v>3.0939960732966507</c:v>
                </c:pt>
                <c:pt idx="20">
                  <c:v>2.4944400473394257</c:v>
                </c:pt>
                <c:pt idx="21">
                  <c:v>1.6239565889944165</c:v>
                </c:pt>
                <c:pt idx="22">
                  <c:v>0.7924471987414281</c:v>
                </c:pt>
                <c:pt idx="23">
                  <c:v>0.36462549858475624</c:v>
                </c:pt>
                <c:pt idx="24">
                  <c:v>0.18655001507974711</c:v>
                </c:pt>
                <c:pt idx="25">
                  <c:v>0.51203044585412305</c:v>
                </c:pt>
              </c:numCache>
            </c:numRef>
          </c:val>
          <c:smooth val="0"/>
          <c:extLst>
            <c:ext xmlns:c16="http://schemas.microsoft.com/office/drawing/2014/chart" uri="{C3380CC4-5D6E-409C-BE32-E72D297353CC}">
              <c16:uniqueId val="{0000000B-9554-4458-B1A8-848D3B5E18A5}"/>
            </c:ext>
          </c:extLst>
        </c:ser>
        <c:ser>
          <c:idx val="9"/>
          <c:order val="7"/>
          <c:tx>
            <c:strRef>
              <c:f>'GrD-Grafikdaten'!$E$125</c:f>
              <c:strCache>
                <c:ptCount val="1"/>
                <c:pt idx="0">
                  <c:v>Prélèvement (Référence)</c:v>
                </c:pt>
              </c:strCache>
            </c:strRef>
          </c:tx>
          <c:spPr>
            <a:ln>
              <a:solidFill>
                <a:srgbClr val="7030A0"/>
              </a:solidFill>
            </a:ln>
          </c:spPr>
          <c:marker>
            <c:symbol val="circle"/>
            <c:size val="5"/>
            <c:spPr>
              <a:solidFill>
                <a:srgbClr val="7030A0"/>
              </a:solidFill>
              <a:ln>
                <a:solidFill>
                  <a:srgbClr val="7030A0"/>
                </a:solidFill>
              </a:ln>
            </c:spPr>
          </c:marker>
          <c:val>
            <c:numRef>
              <c:f>'GrD-Grafikdaten'!$F$125:$AE$125</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6.5003634995875341</c:v>
                </c:pt>
                <c:pt idx="12">
                  <c:v>5.999829931707656</c:v>
                </c:pt>
                <c:pt idx="13">
                  <c:v>5.7540581975897345</c:v>
                </c:pt>
                <c:pt idx="14">
                  <c:v>5.6173863183219579</c:v>
                </c:pt>
                <c:pt idx="15">
                  <c:v>5.1106041596116398</c:v>
                </c:pt>
                <c:pt idx="16">
                  <c:v>4.6618439243304826</c:v>
                </c:pt>
                <c:pt idx="17">
                  <c:v>4.0727911568283961</c:v>
                </c:pt>
                <c:pt idx="18">
                  <c:v>3.6215750816789316</c:v>
                </c:pt>
                <c:pt idx="19">
                  <c:v>3.1227738888994274</c:v>
                </c:pt>
                <c:pt idx="20">
                  <c:v>2.5242573906001367</c:v>
                </c:pt>
                <c:pt idx="21">
                  <c:v>1.6544335601121409</c:v>
                </c:pt>
                <c:pt idx="22">
                  <c:v>0.82320329708978601</c:v>
                </c:pt>
                <c:pt idx="23">
                  <c:v>0.39530094707806102</c:v>
                </c:pt>
                <c:pt idx="24">
                  <c:v>0.21676830628474378</c:v>
                </c:pt>
                <c:pt idx="25">
                  <c:v>0.54192582780461751</c:v>
                </c:pt>
              </c:numCache>
            </c:numRef>
          </c:val>
          <c:smooth val="0"/>
          <c:extLst>
            <c:ext xmlns:c16="http://schemas.microsoft.com/office/drawing/2014/chart" uri="{C3380CC4-5D6E-409C-BE32-E72D297353CC}">
              <c16:uniqueId val="{0000000C-9554-4458-B1A8-848D3B5E18A5}"/>
            </c:ext>
          </c:extLst>
        </c:ser>
        <c:dLbls>
          <c:showLegendKey val="0"/>
          <c:showVal val="0"/>
          <c:showCatName val="0"/>
          <c:showSerName val="0"/>
          <c:showPercent val="0"/>
          <c:showBubbleSize val="0"/>
        </c:dLbls>
        <c:marker val="1"/>
        <c:smooth val="0"/>
        <c:axId val="331118464"/>
        <c:axId val="332730752"/>
      </c:lineChart>
      <c:catAx>
        <c:axId val="331118464"/>
        <c:scaling>
          <c:orientation val="minMax"/>
        </c:scaling>
        <c:delete val="0"/>
        <c:axPos val="b"/>
        <c:numFmt formatCode="0" sourceLinked="1"/>
        <c:majorTickMark val="out"/>
        <c:minorTickMark val="none"/>
        <c:tickLblPos val="low"/>
        <c:txPr>
          <a:bodyPr/>
          <a:lstStyle/>
          <a:p>
            <a:pPr>
              <a:defRPr>
                <a:latin typeface="Arial" panose="020B0604020202020204" pitchFamily="34" charset="0"/>
                <a:cs typeface="Arial" panose="020B0604020202020204" pitchFamily="34" charset="0"/>
              </a:defRPr>
            </a:pPr>
            <a:endParaRPr lang="en-US"/>
          </a:p>
        </c:txPr>
        <c:crossAx val="332730752"/>
        <c:crosses val="autoZero"/>
        <c:auto val="1"/>
        <c:lblAlgn val="ctr"/>
        <c:lblOffset val="100"/>
        <c:noMultiLvlLbl val="0"/>
      </c:catAx>
      <c:valAx>
        <c:axId val="332730752"/>
        <c:scaling>
          <c:orientation val="minMax"/>
        </c:scaling>
        <c:delete val="0"/>
        <c:axPos val="l"/>
        <c:majorGridlines/>
        <c:title>
          <c:tx>
            <c:strRef>
              <c:f>ControlPanel!$R$13</c:f>
              <c:strCache>
                <c:ptCount val="1"/>
                <c:pt idx="0">
                  <c:v>ct/kWh</c:v>
                </c:pt>
              </c:strCache>
            </c:strRef>
          </c:tx>
          <c:overlay val="0"/>
          <c:txPr>
            <a:bodyPr rot="-5400000" vert="horz"/>
            <a:lstStyle/>
            <a:p>
              <a:pPr>
                <a:defRPr>
                  <a:latin typeface="Arial" pitchFamily="34" charset="0"/>
                  <a:cs typeface="Arial" pitchFamily="34" charset="0"/>
                </a:defRPr>
              </a:pPr>
              <a:endParaRPr lang="en-US"/>
            </a:p>
          </c:txPr>
        </c:title>
        <c:numFmt formatCode="#,##0" sourceLinked="0"/>
        <c:majorTickMark val="out"/>
        <c:minorTickMark val="none"/>
        <c:tickLblPos val="nextTo"/>
        <c:txPr>
          <a:bodyPr/>
          <a:lstStyle/>
          <a:p>
            <a:pPr>
              <a:defRPr>
                <a:latin typeface="Arial" pitchFamily="34" charset="0"/>
                <a:cs typeface="Arial" pitchFamily="34" charset="0"/>
              </a:defRPr>
            </a:pPr>
            <a:endParaRPr lang="en-US"/>
          </a:p>
        </c:txPr>
        <c:crossAx val="331118464"/>
        <c:crosses val="autoZero"/>
        <c:crossBetween val="between"/>
      </c:valAx>
      <c:spPr>
        <a:solidFill>
          <a:schemeClr val="bg1"/>
        </a:solidFill>
      </c:spPr>
    </c:plotArea>
    <c:legend>
      <c:legendPos val="r"/>
      <c:layout>
        <c:manualLayout>
          <c:xMode val="edge"/>
          <c:yMode val="edge"/>
          <c:x val="0.64504052997659023"/>
          <c:y val="3.1881195168316223E-2"/>
          <c:w val="0.29426922777067216"/>
          <c:h val="0.90007062219288902"/>
        </c:manualLayout>
      </c:layout>
      <c:overlay val="0"/>
    </c:legend>
    <c:plotVisOnly val="1"/>
    <c:dispBlanksAs val="gap"/>
    <c:showDLblsOverMax val="0"/>
  </c:chart>
  <c:spPr>
    <a:solidFill>
      <a:schemeClr val="bg1"/>
    </a:solidFill>
    <a:ln>
      <a:solidFill>
        <a:schemeClr val="tx1"/>
      </a:solidFill>
    </a:ln>
  </c:sp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800">
                <a:latin typeface="Arial" panose="020B0604020202020204" pitchFamily="34" charset="0"/>
                <a:cs typeface="Arial" panose="020B0604020202020204" pitchFamily="34" charset="0"/>
              </a:defRPr>
            </a:pPr>
            <a:r>
              <a:rPr lang="de-DE" sz="1800">
                <a:latin typeface="Arial" panose="020B0604020202020204" pitchFamily="34" charset="0"/>
                <a:cs typeface="Arial" panose="020B0604020202020204" pitchFamily="34" charset="0"/>
              </a:rPr>
              <a:t>Prix de l'électricité et prélèvement</a:t>
            </a:r>
          </a:p>
        </c:rich>
      </c:tx>
      <c:layout>
        <c:manualLayout>
          <c:xMode val="edge"/>
          <c:yMode val="edge"/>
          <c:x val="0.20588228645967974"/>
          <c:y val="7.8063072400950131E-2"/>
        </c:manualLayout>
      </c:layout>
      <c:overlay val="1"/>
    </c:title>
    <c:autoTitleDeleted val="0"/>
    <c:plotArea>
      <c:layout>
        <c:manualLayout>
          <c:layoutTarget val="inner"/>
          <c:xMode val="edge"/>
          <c:yMode val="edge"/>
          <c:x val="0.1126586703987395"/>
          <c:y val="4.2524152047853307E-2"/>
          <c:w val="0.66123001337924681"/>
          <c:h val="0.84035802057976827"/>
        </c:manualLayout>
      </c:layout>
      <c:barChart>
        <c:barDir val="col"/>
        <c:grouping val="stacked"/>
        <c:varyColors val="0"/>
        <c:ser>
          <c:idx val="0"/>
          <c:order val="1"/>
          <c:tx>
            <c:strRef>
              <c:f>'GrD-Grafikdaten'!$E$150</c:f>
              <c:strCache>
                <c:ptCount val="1"/>
                <c:pt idx="0">
                  <c:v>Prix ​​de l'électricité</c:v>
                </c:pt>
              </c:strCache>
            </c:strRef>
          </c:tx>
          <c:spPr>
            <a:solidFill>
              <a:schemeClr val="accent6">
                <a:lumMod val="75000"/>
              </a:schemeClr>
            </a:solidFill>
          </c:spPr>
          <c:invertIfNegative val="0"/>
          <c:dLbls>
            <c:numFmt formatCode="#,##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'GrD-Grafikdaten'!$F$150:$AE$150</c:f>
              <c:numCache>
                <c:formatCode>0.00</c:formatCode>
                <c:ptCount val="26"/>
                <c:pt idx="0">
                  <c:v>5.3650479999999998</c:v>
                </c:pt>
                <c:pt idx="1">
                  <c:v>5.0739089999999996</c:v>
                </c:pt>
                <c:pt idx="2">
                  <c:v>5.5220000000000002</c:v>
                </c:pt>
                <c:pt idx="3">
                  <c:v>5.1150000000000002</c:v>
                </c:pt>
                <c:pt idx="4">
                  <c:v>4.1450000000000005</c:v>
                </c:pt>
                <c:pt idx="5">
                  <c:v>3.5670000000000002</c:v>
                </c:pt>
                <c:pt idx="6">
                  <c:v>3.1260000000000003</c:v>
                </c:pt>
                <c:pt idx="7">
                  <c:v>2.6749999999999998</c:v>
                </c:pt>
                <c:pt idx="8">
                  <c:v>3.222</c:v>
                </c:pt>
                <c:pt idx="9">
                  <c:v>4.6280000000000001</c:v>
                </c:pt>
                <c:pt idx="10">
                  <c:v>4.9340000000000002</c:v>
                </c:pt>
                <c:pt idx="11">
                  <c:v>4.0739999999999998</c:v>
                </c:pt>
                <c:pt idx="12">
                  <c:v>4.4938414499999988</c:v>
                </c:pt>
                <c:pt idx="13">
                  <c:v>4.752608214374999</c:v>
                </c:pt>
                <c:pt idx="14">
                  <c:v>4.9525876681039041</c:v>
                </c:pt>
                <c:pt idx="15">
                  <c:v>5.1574971685964419</c:v>
                </c:pt>
                <c:pt idx="16">
                  <c:v>5.3674396218784333</c:v>
                </c:pt>
                <c:pt idx="17">
                  <c:v>5.5825199118959494</c:v>
                </c:pt>
                <c:pt idx="18">
                  <c:v>5.8028449366990689</c:v>
                </c:pt>
                <c:pt idx="19">
                  <c:v>6.0285236452661053</c:v>
                </c:pt>
                <c:pt idx="20">
                  <c:v>6.2596670749793955</c:v>
                </c:pt>
                <c:pt idx="21">
                  <c:v>6.496388389763899</c:v>
                </c:pt>
                <c:pt idx="22">
                  <c:v>6.7388029189000687</c:v>
                </c:pt>
                <c:pt idx="23">
                  <c:v>6.9870281965226253</c:v>
                </c:pt>
                <c:pt idx="24">
                  <c:v>7.2411840018171061</c:v>
                </c:pt>
                <c:pt idx="25">
                  <c:v>7.5013923999262051</c:v>
                </c:pt>
              </c:numCache>
            </c:numRef>
          </c:val>
          <c:extLst>
            <c:ext xmlns:c16="http://schemas.microsoft.com/office/drawing/2014/chart" uri="{C3380CC4-5D6E-409C-BE32-E72D297353CC}">
              <c16:uniqueId val="{00000000-6A44-49DF-8E1B-C316EFB1C9DC}"/>
            </c:ext>
          </c:extLst>
        </c:ser>
        <c:ser>
          <c:idx val="2"/>
          <c:order val="2"/>
          <c:tx>
            <c:strRef>
              <c:f>'GrD-Grafikdaten'!$E$151</c:f>
              <c:strCache>
                <c:ptCount val="1"/>
                <c:pt idx="0">
                  <c:v>Prélèvement</c:v>
                </c:pt>
              </c:strCache>
            </c:strRef>
          </c:tx>
          <c:spPr>
            <a:solidFill>
              <a:srgbClr val="00B0F0"/>
            </a:solidFill>
          </c:spPr>
          <c:invertIfNegative val="0"/>
          <c:dLbls>
            <c:numFmt formatCode="#,##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'GrD-Grafikdaten'!$F$151:$AE$151</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6.5003634995875359</c:v>
                </c:pt>
                <c:pt idx="12">
                  <c:v>6.3455464049513157</c:v>
                </c:pt>
                <c:pt idx="13">
                  <c:v>5.7377594551042073</c:v>
                </c:pt>
                <c:pt idx="14">
                  <c:v>5.5978679128930713</c:v>
                </c:pt>
                <c:pt idx="15">
                  <c:v>5.0894537215159117</c:v>
                </c:pt>
                <c:pt idx="16">
                  <c:v>4.6385294957784931</c:v>
                </c:pt>
                <c:pt idx="17">
                  <c:v>4.0472663312227866</c:v>
                </c:pt>
                <c:pt idx="18">
                  <c:v>3.5942292522672457</c:v>
                </c:pt>
                <c:pt idx="19">
                  <c:v>3.0939960732966507</c:v>
                </c:pt>
                <c:pt idx="20">
                  <c:v>2.4944400473394257</c:v>
                </c:pt>
                <c:pt idx="21">
                  <c:v>1.6239565889944165</c:v>
                </c:pt>
                <c:pt idx="22">
                  <c:v>0.7924471987414281</c:v>
                </c:pt>
                <c:pt idx="23">
                  <c:v>0.36462549858475624</c:v>
                </c:pt>
                <c:pt idx="24">
                  <c:v>0.18655001507974711</c:v>
                </c:pt>
                <c:pt idx="25">
                  <c:v>0.51203044585412305</c:v>
                </c:pt>
              </c:numCache>
            </c:numRef>
          </c:val>
          <c:extLst>
            <c:ext xmlns:c16="http://schemas.microsoft.com/office/drawing/2014/chart" uri="{C3380CC4-5D6E-409C-BE32-E72D297353CC}">
              <c16:uniqueId val="{00000001-6A44-49DF-8E1B-C316EFB1C9DC}"/>
            </c:ext>
          </c:extLst>
        </c:ser>
        <c:dLbls>
          <c:showLegendKey val="0"/>
          <c:showVal val="0"/>
          <c:showCatName val="0"/>
          <c:showSerName val="0"/>
          <c:showPercent val="0"/>
          <c:showBubbleSize val="0"/>
        </c:dLbls>
        <c:gapWidth val="10"/>
        <c:overlap val="100"/>
        <c:serLines/>
        <c:axId val="365263104"/>
        <c:axId val="365294336"/>
      </c:barChart>
      <c:lineChart>
        <c:grouping val="standard"/>
        <c:varyColors val="0"/>
        <c:ser>
          <c:idx val="1"/>
          <c:order val="0"/>
          <c:tx>
            <c:strRef>
              <c:f>'GrD-Grafikdaten'!$E$149</c:f>
              <c:strCache>
                <c:ptCount val="1"/>
                <c:pt idx="0">
                  <c:v>Prix ​​total de l'électricité + taxe</c:v>
                </c:pt>
              </c:strCache>
            </c:strRef>
          </c:tx>
          <c:spPr>
            <a:ln>
              <a:solidFill>
                <a:srgbClr val="7030A0"/>
              </a:solidFill>
            </a:ln>
          </c:spPr>
          <c:marker>
            <c:symbol val="none"/>
          </c:marker>
          <c:dLbls>
            <c:numFmt formatCode="#,##0.0" sourceLinked="0"/>
            <c:spPr>
              <a:solidFill>
                <a:srgbClr val="FFFFFF">
                  <a:alpha val="69804"/>
                </a:srgbClr>
              </a:solidFill>
              <a:ln cap="rnd">
                <a:solidFill>
                  <a:schemeClr val="accent6">
                    <a:lumMod val="60000"/>
                    <a:lumOff val="40000"/>
                  </a:schemeClr>
                </a:solidFill>
                <a:round/>
              </a:ln>
              <a:effectLst>
                <a:softEdge rad="0"/>
              </a:effectLst>
            </c:spPr>
            <c:txPr>
              <a:bodyPr/>
              <a:lstStyle/>
              <a:p>
                <a:pPr>
                  <a:defRPr sz="900">
                    <a:latin typeface="Arial" panose="020B0604020202020204" pitchFamily="34" charset="0"/>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'GrD-Grafikdaten'!$F$149:$AE$149</c:f>
              <c:numCache>
                <c:formatCode>0.00</c:formatCode>
                <c:ptCount val="26"/>
                <c:pt idx="0">
                  <c:v>7.4120479999999995</c:v>
                </c:pt>
                <c:pt idx="1">
                  <c:v>8.6039089999999998</c:v>
                </c:pt>
                <c:pt idx="2">
                  <c:v>9.1140000000000008</c:v>
                </c:pt>
                <c:pt idx="3">
                  <c:v>10.391999999999999</c:v>
                </c:pt>
                <c:pt idx="4">
                  <c:v>10.385</c:v>
                </c:pt>
                <c:pt idx="5">
                  <c:v>9.7370000000000001</c:v>
                </c:pt>
                <c:pt idx="6">
                  <c:v>9.4654923951914505</c:v>
                </c:pt>
                <c:pt idx="7">
                  <c:v>9.5378707449913627</c:v>
                </c:pt>
                <c:pt idx="8">
                  <c:v>10.002743858374661</c:v>
                </c:pt>
                <c:pt idx="9">
                  <c:v>11.033925003395339</c:v>
                </c:pt>
                <c:pt idx="10">
                  <c:v>11.690073188597182</c:v>
                </c:pt>
                <c:pt idx="11">
                  <c:v>10.574363499587536</c:v>
                </c:pt>
                <c:pt idx="12">
                  <c:v>10.839387854951315</c:v>
                </c:pt>
                <c:pt idx="13">
                  <c:v>10.490367669479205</c:v>
                </c:pt>
                <c:pt idx="14">
                  <c:v>10.550455580996974</c:v>
                </c:pt>
                <c:pt idx="15">
                  <c:v>10.246950890112354</c:v>
                </c:pt>
                <c:pt idx="16">
                  <c:v>10.005969117656926</c:v>
                </c:pt>
                <c:pt idx="17">
                  <c:v>9.6297862431187369</c:v>
                </c:pt>
                <c:pt idx="18">
                  <c:v>9.3970741889663145</c:v>
                </c:pt>
                <c:pt idx="19">
                  <c:v>9.1225197185627565</c:v>
                </c:pt>
                <c:pt idx="20">
                  <c:v>8.7541071223188212</c:v>
                </c:pt>
                <c:pt idx="21">
                  <c:v>8.1203449787583146</c:v>
                </c:pt>
                <c:pt idx="22">
                  <c:v>7.5312501176414965</c:v>
                </c:pt>
                <c:pt idx="23">
                  <c:v>7.3516536951073812</c:v>
                </c:pt>
                <c:pt idx="24">
                  <c:v>7.4277340168968529</c:v>
                </c:pt>
                <c:pt idx="25">
                  <c:v>8.0134228457803278</c:v>
                </c:pt>
              </c:numCache>
            </c:numRef>
          </c:val>
          <c:smooth val="0"/>
          <c:extLst>
            <c:ext xmlns:c16="http://schemas.microsoft.com/office/drawing/2014/chart" uri="{C3380CC4-5D6E-409C-BE32-E72D297353CC}">
              <c16:uniqueId val="{00000002-6A44-49DF-8E1B-C316EFB1C9DC}"/>
            </c:ext>
          </c:extLst>
        </c:ser>
        <c:dLbls>
          <c:showLegendKey val="0"/>
          <c:showVal val="0"/>
          <c:showCatName val="0"/>
          <c:showSerName val="0"/>
          <c:showPercent val="0"/>
          <c:showBubbleSize val="0"/>
        </c:dLbls>
        <c:marker val="1"/>
        <c:smooth val="0"/>
        <c:axId val="365263104"/>
        <c:axId val="365294336"/>
      </c:lineChart>
      <c:catAx>
        <c:axId val="365263104"/>
        <c:scaling>
          <c:orientation val="minMax"/>
        </c:scaling>
        <c:delete val="0"/>
        <c:axPos val="b"/>
        <c:numFmt formatCode="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65294336"/>
        <c:crosses val="autoZero"/>
        <c:auto val="1"/>
        <c:lblAlgn val="ctr"/>
        <c:lblOffset val="100"/>
        <c:noMultiLvlLbl val="0"/>
      </c:catAx>
      <c:valAx>
        <c:axId val="365294336"/>
        <c:scaling>
          <c:orientation val="minMax"/>
          <c:max val="15"/>
          <c:min val="0"/>
        </c:scaling>
        <c:delete val="0"/>
        <c:axPos val="l"/>
        <c:majorGridlines/>
        <c:title>
          <c:tx>
            <c:strRef>
              <c:f>ControlPanel!$R$13</c:f>
              <c:strCache>
                <c:ptCount val="1"/>
                <c:pt idx="0">
                  <c:v>ct/kWh</c:v>
                </c:pt>
              </c:strCache>
            </c:strRef>
          </c:tx>
          <c:layout>
            <c:manualLayout>
              <c:xMode val="edge"/>
              <c:yMode val="edge"/>
              <c:x val="2.4058025417757915E-2"/>
              <c:y val="0.45102308548739756"/>
            </c:manualLayout>
          </c:layout>
          <c:overlay val="0"/>
          <c:txPr>
            <a:bodyPr rot="-5400000" vert="horz"/>
            <a:lstStyle/>
            <a:p>
              <a:pPr>
                <a:defRPr b="1">
                  <a:latin typeface="Arial" panose="020B0604020202020204" pitchFamily="34" charset="0"/>
                  <a:cs typeface="Arial" panose="020B0604020202020204" pitchFamily="34" charset="0"/>
                </a:defRPr>
              </a:pPr>
              <a:endParaRPr lang="en-US"/>
            </a:p>
          </c:txPr>
        </c:title>
        <c:numFmt formatCode="0.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365263104"/>
        <c:crosses val="autoZero"/>
        <c:crossBetween val="between"/>
        <c:majorUnit val="2.5"/>
      </c:valAx>
      <c:spPr>
        <a:solidFill>
          <a:schemeClr val="bg1"/>
        </a:solidFill>
      </c:spPr>
    </c:plotArea>
    <c:legend>
      <c:legendPos val="r"/>
      <c:overlay val="0"/>
    </c:legend>
    <c:plotVisOnly val="1"/>
    <c:dispBlanksAs val="gap"/>
    <c:showDLblsOverMax val="0"/>
  </c:chart>
  <c:spPr>
    <a:ln>
      <a:solidFill>
        <a:schemeClr val="tx1"/>
      </a:solidFill>
    </a:ln>
  </c:sp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800">
                <a:latin typeface="Arial" panose="020B0604020202020204" pitchFamily="34" charset="0"/>
                <a:cs typeface="Arial" panose="020B0604020202020204" pitchFamily="34" charset="0"/>
              </a:defRPr>
            </a:pPr>
            <a:r>
              <a:rPr lang="de-DE" sz="1800">
                <a:latin typeface="Arial" panose="020B0604020202020204" pitchFamily="34" charset="0"/>
                <a:cs typeface="Arial" panose="020B0604020202020204" pitchFamily="34" charset="0"/>
              </a:rPr>
              <a:t>Prix de l'électricité et prélèvement</a:t>
            </a:r>
          </a:p>
        </c:rich>
      </c:tx>
      <c:layout>
        <c:manualLayout>
          <c:xMode val="edge"/>
          <c:yMode val="edge"/>
          <c:x val="0.12759125721488246"/>
          <c:y val="7.8063012522738257E-2"/>
        </c:manualLayout>
      </c:layout>
      <c:overlay val="1"/>
    </c:title>
    <c:autoTitleDeleted val="0"/>
    <c:plotArea>
      <c:layout>
        <c:manualLayout>
          <c:layoutTarget val="inner"/>
          <c:xMode val="edge"/>
          <c:yMode val="edge"/>
          <c:x val="0.1126586703987395"/>
          <c:y val="4.2524152047853307E-2"/>
          <c:w val="0.66123001337924681"/>
          <c:h val="0.84035802057976827"/>
        </c:manualLayout>
      </c:layout>
      <c:barChart>
        <c:barDir val="col"/>
        <c:grouping val="stacked"/>
        <c:varyColors val="0"/>
        <c:ser>
          <c:idx val="0"/>
          <c:order val="1"/>
          <c:tx>
            <c:strRef>
              <c:f>'GrD-Grafikdaten'!$E$150</c:f>
              <c:strCache>
                <c:ptCount val="1"/>
                <c:pt idx="0">
                  <c:v>Prix ​​de l'électricité</c:v>
                </c:pt>
              </c:strCache>
            </c:strRef>
          </c:tx>
          <c:spPr>
            <a:solidFill>
              <a:schemeClr val="accent6">
                <a:lumMod val="75000"/>
              </a:schemeClr>
            </a:solidFill>
          </c:spPr>
          <c:invertIfNegative val="0"/>
          <c:dLbls>
            <c:numFmt formatCode="#,##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'GrD-Grafikdaten'!$F$150:$AE$150</c:f>
              <c:numCache>
                <c:formatCode>0.00</c:formatCode>
                <c:ptCount val="26"/>
                <c:pt idx="0">
                  <c:v>5.3650479999999998</c:v>
                </c:pt>
                <c:pt idx="1">
                  <c:v>5.0739089999999996</c:v>
                </c:pt>
                <c:pt idx="2">
                  <c:v>5.5220000000000002</c:v>
                </c:pt>
                <c:pt idx="3">
                  <c:v>5.1150000000000002</c:v>
                </c:pt>
                <c:pt idx="4">
                  <c:v>4.1450000000000005</c:v>
                </c:pt>
                <c:pt idx="5">
                  <c:v>3.5670000000000002</c:v>
                </c:pt>
                <c:pt idx="6">
                  <c:v>3.1260000000000003</c:v>
                </c:pt>
                <c:pt idx="7">
                  <c:v>2.6749999999999998</c:v>
                </c:pt>
                <c:pt idx="8">
                  <c:v>3.222</c:v>
                </c:pt>
                <c:pt idx="9">
                  <c:v>4.6280000000000001</c:v>
                </c:pt>
                <c:pt idx="10">
                  <c:v>4.9340000000000002</c:v>
                </c:pt>
                <c:pt idx="11">
                  <c:v>4.0739999999999998</c:v>
                </c:pt>
                <c:pt idx="12">
                  <c:v>4.4938414499999988</c:v>
                </c:pt>
                <c:pt idx="13">
                  <c:v>4.752608214374999</c:v>
                </c:pt>
                <c:pt idx="14">
                  <c:v>4.9525876681039041</c:v>
                </c:pt>
                <c:pt idx="15">
                  <c:v>5.1574971685964419</c:v>
                </c:pt>
                <c:pt idx="16">
                  <c:v>5.3674396218784333</c:v>
                </c:pt>
                <c:pt idx="17">
                  <c:v>5.5825199118959494</c:v>
                </c:pt>
                <c:pt idx="18">
                  <c:v>5.8028449366990689</c:v>
                </c:pt>
                <c:pt idx="19">
                  <c:v>6.0285236452661053</c:v>
                </c:pt>
                <c:pt idx="20">
                  <c:v>6.2596670749793955</c:v>
                </c:pt>
                <c:pt idx="21">
                  <c:v>6.496388389763899</c:v>
                </c:pt>
                <c:pt idx="22">
                  <c:v>6.7388029189000687</c:v>
                </c:pt>
                <c:pt idx="23">
                  <c:v>6.9870281965226253</c:v>
                </c:pt>
                <c:pt idx="24">
                  <c:v>7.2411840018171061</c:v>
                </c:pt>
                <c:pt idx="25">
                  <c:v>7.5013923999262051</c:v>
                </c:pt>
              </c:numCache>
            </c:numRef>
          </c:val>
          <c:extLst>
            <c:ext xmlns:c16="http://schemas.microsoft.com/office/drawing/2014/chart" uri="{C3380CC4-5D6E-409C-BE32-E72D297353CC}">
              <c16:uniqueId val="{00000000-8EBE-46AA-9610-25D0374D8D9E}"/>
            </c:ext>
          </c:extLst>
        </c:ser>
        <c:ser>
          <c:idx val="2"/>
          <c:order val="2"/>
          <c:tx>
            <c:strRef>
              <c:f>'GrD-Grafikdaten'!$E$151</c:f>
              <c:strCache>
                <c:ptCount val="1"/>
                <c:pt idx="0">
                  <c:v>Prélèvement</c:v>
                </c:pt>
              </c:strCache>
            </c:strRef>
          </c:tx>
          <c:spPr>
            <a:solidFill>
              <a:srgbClr val="00B0F0"/>
            </a:solidFill>
          </c:spPr>
          <c:invertIfNegative val="0"/>
          <c:dLbls>
            <c:numFmt formatCode="#,##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'GrD-Grafikdaten'!$F$151:$AE$151</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6.5003634995875359</c:v>
                </c:pt>
                <c:pt idx="12">
                  <c:v>6.3455464049513157</c:v>
                </c:pt>
                <c:pt idx="13">
                  <c:v>5.7377594551042073</c:v>
                </c:pt>
                <c:pt idx="14">
                  <c:v>5.5978679128930713</c:v>
                </c:pt>
                <c:pt idx="15">
                  <c:v>5.0894537215159117</c:v>
                </c:pt>
                <c:pt idx="16">
                  <c:v>4.6385294957784931</c:v>
                </c:pt>
                <c:pt idx="17">
                  <c:v>4.0472663312227866</c:v>
                </c:pt>
                <c:pt idx="18">
                  <c:v>3.5942292522672457</c:v>
                </c:pt>
                <c:pt idx="19">
                  <c:v>3.0939960732966507</c:v>
                </c:pt>
                <c:pt idx="20">
                  <c:v>2.4944400473394257</c:v>
                </c:pt>
                <c:pt idx="21">
                  <c:v>1.6239565889944165</c:v>
                </c:pt>
                <c:pt idx="22">
                  <c:v>0.7924471987414281</c:v>
                </c:pt>
                <c:pt idx="23">
                  <c:v>0.36462549858475624</c:v>
                </c:pt>
                <c:pt idx="24">
                  <c:v>0.18655001507974711</c:v>
                </c:pt>
                <c:pt idx="25">
                  <c:v>0.51203044585412305</c:v>
                </c:pt>
              </c:numCache>
            </c:numRef>
          </c:val>
          <c:extLst>
            <c:ext xmlns:c16="http://schemas.microsoft.com/office/drawing/2014/chart" uri="{C3380CC4-5D6E-409C-BE32-E72D297353CC}">
              <c16:uniqueId val="{00000001-8EBE-46AA-9610-25D0374D8D9E}"/>
            </c:ext>
          </c:extLst>
        </c:ser>
        <c:dLbls>
          <c:showLegendKey val="0"/>
          <c:showVal val="0"/>
          <c:showCatName val="0"/>
          <c:showSerName val="0"/>
          <c:showPercent val="0"/>
          <c:showBubbleSize val="0"/>
        </c:dLbls>
        <c:gapWidth val="10"/>
        <c:overlap val="100"/>
        <c:serLines/>
        <c:axId val="45626880"/>
        <c:axId val="45628416"/>
      </c:barChart>
      <c:lineChart>
        <c:grouping val="standard"/>
        <c:varyColors val="0"/>
        <c:ser>
          <c:idx val="1"/>
          <c:order val="0"/>
          <c:tx>
            <c:strRef>
              <c:f>'GrD-Grafikdaten'!$E$149</c:f>
              <c:strCache>
                <c:ptCount val="1"/>
                <c:pt idx="0">
                  <c:v>Prix ​​total de l'électricité + taxe</c:v>
                </c:pt>
              </c:strCache>
            </c:strRef>
          </c:tx>
          <c:spPr>
            <a:ln>
              <a:solidFill>
                <a:srgbClr val="7030A0"/>
              </a:solidFill>
            </a:ln>
          </c:spPr>
          <c:marker>
            <c:symbol val="none"/>
          </c:marker>
          <c:dLbls>
            <c:numFmt formatCode="#,##0.0" sourceLinked="0"/>
            <c:spPr>
              <a:solidFill>
                <a:srgbClr val="FFFFFF">
                  <a:alpha val="69804"/>
                </a:srgbClr>
              </a:solidFill>
              <a:ln cap="rnd">
                <a:solidFill>
                  <a:schemeClr val="accent6">
                    <a:lumMod val="60000"/>
                    <a:lumOff val="40000"/>
                  </a:schemeClr>
                </a:solidFill>
                <a:round/>
              </a:ln>
              <a:effectLst>
                <a:softEdge rad="0"/>
              </a:effectLst>
            </c:spPr>
            <c:txPr>
              <a:bodyPr/>
              <a:lstStyle/>
              <a:p>
                <a:pPr>
                  <a:defRPr sz="900">
                    <a:latin typeface="Arial" panose="020B0604020202020204" pitchFamily="34" charset="0"/>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'GrD-Grafikdaten'!$F$149:$AE$149</c:f>
              <c:numCache>
                <c:formatCode>0.00</c:formatCode>
                <c:ptCount val="26"/>
                <c:pt idx="0">
                  <c:v>7.4120479999999995</c:v>
                </c:pt>
                <c:pt idx="1">
                  <c:v>8.6039089999999998</c:v>
                </c:pt>
                <c:pt idx="2">
                  <c:v>9.1140000000000008</c:v>
                </c:pt>
                <c:pt idx="3">
                  <c:v>10.391999999999999</c:v>
                </c:pt>
                <c:pt idx="4">
                  <c:v>10.385</c:v>
                </c:pt>
                <c:pt idx="5">
                  <c:v>9.7370000000000001</c:v>
                </c:pt>
                <c:pt idx="6">
                  <c:v>9.4654923951914505</c:v>
                </c:pt>
                <c:pt idx="7">
                  <c:v>9.5378707449913627</c:v>
                </c:pt>
                <c:pt idx="8">
                  <c:v>10.002743858374661</c:v>
                </c:pt>
                <c:pt idx="9">
                  <c:v>11.033925003395339</c:v>
                </c:pt>
                <c:pt idx="10">
                  <c:v>11.690073188597182</c:v>
                </c:pt>
                <c:pt idx="11">
                  <c:v>10.574363499587536</c:v>
                </c:pt>
                <c:pt idx="12">
                  <c:v>10.839387854951315</c:v>
                </c:pt>
                <c:pt idx="13">
                  <c:v>10.490367669479205</c:v>
                </c:pt>
                <c:pt idx="14">
                  <c:v>10.550455580996974</c:v>
                </c:pt>
                <c:pt idx="15">
                  <c:v>10.246950890112354</c:v>
                </c:pt>
                <c:pt idx="16">
                  <c:v>10.005969117656926</c:v>
                </c:pt>
                <c:pt idx="17">
                  <c:v>9.6297862431187369</c:v>
                </c:pt>
                <c:pt idx="18">
                  <c:v>9.3970741889663145</c:v>
                </c:pt>
                <c:pt idx="19">
                  <c:v>9.1225197185627565</c:v>
                </c:pt>
                <c:pt idx="20">
                  <c:v>8.7541071223188212</c:v>
                </c:pt>
                <c:pt idx="21">
                  <c:v>8.1203449787583146</c:v>
                </c:pt>
                <c:pt idx="22">
                  <c:v>7.5312501176414965</c:v>
                </c:pt>
                <c:pt idx="23">
                  <c:v>7.3516536951073812</c:v>
                </c:pt>
                <c:pt idx="24">
                  <c:v>7.4277340168968529</c:v>
                </c:pt>
                <c:pt idx="25">
                  <c:v>8.0134228457803278</c:v>
                </c:pt>
              </c:numCache>
            </c:numRef>
          </c:val>
          <c:smooth val="0"/>
          <c:extLst>
            <c:ext xmlns:c16="http://schemas.microsoft.com/office/drawing/2014/chart" uri="{C3380CC4-5D6E-409C-BE32-E72D297353CC}">
              <c16:uniqueId val="{00000002-8EBE-46AA-9610-25D0374D8D9E}"/>
            </c:ext>
          </c:extLst>
        </c:ser>
        <c:dLbls>
          <c:showLegendKey val="0"/>
          <c:showVal val="0"/>
          <c:showCatName val="0"/>
          <c:showSerName val="0"/>
          <c:showPercent val="0"/>
          <c:showBubbleSize val="0"/>
        </c:dLbls>
        <c:marker val="1"/>
        <c:smooth val="0"/>
        <c:axId val="45626880"/>
        <c:axId val="45628416"/>
      </c:lineChart>
      <c:catAx>
        <c:axId val="45626880"/>
        <c:scaling>
          <c:orientation val="minMax"/>
        </c:scaling>
        <c:delete val="0"/>
        <c:axPos val="b"/>
        <c:numFmt formatCode="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45628416"/>
        <c:crosses val="autoZero"/>
        <c:auto val="1"/>
        <c:lblAlgn val="ctr"/>
        <c:lblOffset val="100"/>
        <c:noMultiLvlLbl val="0"/>
      </c:catAx>
      <c:valAx>
        <c:axId val="45628416"/>
        <c:scaling>
          <c:orientation val="minMax"/>
          <c:max val="15"/>
          <c:min val="0"/>
        </c:scaling>
        <c:delete val="0"/>
        <c:axPos val="l"/>
        <c:majorGridlines/>
        <c:title>
          <c:tx>
            <c:strRef>
              <c:f>ControlPanel!$R$13</c:f>
              <c:strCache>
                <c:ptCount val="1"/>
                <c:pt idx="0">
                  <c:v>ct/kWh</c:v>
                </c:pt>
              </c:strCache>
            </c:strRef>
          </c:tx>
          <c:layout>
            <c:manualLayout>
              <c:xMode val="edge"/>
              <c:yMode val="edge"/>
              <c:x val="2.4058025417757915E-2"/>
              <c:y val="0.45102308548739756"/>
            </c:manualLayout>
          </c:layout>
          <c:overlay val="0"/>
          <c:txPr>
            <a:bodyPr rot="-5400000" vert="horz"/>
            <a:lstStyle/>
            <a:p>
              <a:pPr>
                <a:defRPr b="1">
                  <a:latin typeface="Arial" panose="020B0604020202020204" pitchFamily="34" charset="0"/>
                  <a:cs typeface="Arial" panose="020B0604020202020204" pitchFamily="34" charset="0"/>
                </a:defRPr>
              </a:pPr>
              <a:endParaRPr lang="en-US"/>
            </a:p>
          </c:txPr>
        </c:title>
        <c:numFmt formatCode="0.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45626880"/>
        <c:crosses val="autoZero"/>
        <c:crossBetween val="between"/>
        <c:majorUnit val="2.5"/>
      </c:valAx>
      <c:spPr>
        <a:solidFill>
          <a:schemeClr val="bg1"/>
        </a:solidFill>
      </c:spPr>
    </c:plotArea>
    <c:legend>
      <c:legendPos val="r"/>
      <c:layout>
        <c:manualLayout>
          <c:xMode val="edge"/>
          <c:yMode val="edge"/>
          <c:x val="0.78816589596233255"/>
          <c:y val="0.26166245065739141"/>
          <c:w val="0.20271773175086508"/>
          <c:h val="0.32122650169830375"/>
        </c:manualLayout>
      </c:layout>
      <c:overlay val="0"/>
    </c:legend>
    <c:plotVisOnly val="1"/>
    <c:dispBlanksAs val="gap"/>
    <c:showDLblsOverMax val="0"/>
  </c:chart>
  <c:spPr>
    <a:ln>
      <a:solidFill>
        <a:schemeClr val="tx1"/>
      </a:solidFill>
    </a:ln>
  </c:sp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400">
                <a:latin typeface="Arial" pitchFamily="34" charset="0"/>
                <a:cs typeface="Arial" pitchFamily="34" charset="0"/>
              </a:defRPr>
            </a:pPr>
            <a:r>
              <a:rPr lang="fr-FR" sz="1400" b="1" i="0" u="none" strike="noStrike" baseline="0"/>
              <a:t>Développement de la Taxe EEG </a:t>
            </a:r>
            <a:endParaRPr lang="de-DE" sz="1400">
              <a:latin typeface="Arial" pitchFamily="34" charset="0"/>
              <a:cs typeface="Arial" pitchFamily="34" charset="0"/>
            </a:endParaRPr>
          </a:p>
        </c:rich>
      </c:tx>
      <c:layout>
        <c:manualLayout>
          <c:xMode val="edge"/>
          <c:yMode val="edge"/>
          <c:x val="0.10110475002475836"/>
          <c:y val="5.398074654600829E-2"/>
        </c:manualLayout>
      </c:layout>
      <c:overlay val="1"/>
      <c:spPr>
        <a:solidFill>
          <a:schemeClr val="bg1"/>
        </a:solidFill>
      </c:spPr>
    </c:title>
    <c:autoTitleDeleted val="0"/>
    <c:plotArea>
      <c:layout>
        <c:manualLayout>
          <c:layoutTarget val="inner"/>
          <c:xMode val="edge"/>
          <c:yMode val="edge"/>
          <c:x val="9.1045430353048865E-2"/>
          <c:y val="4.2086647811172669E-2"/>
          <c:w val="0.54275765941819265"/>
          <c:h val="0.87445371667596183"/>
        </c:manualLayout>
      </c:layout>
      <c:barChart>
        <c:barDir val="col"/>
        <c:grouping val="stacked"/>
        <c:varyColors val="0"/>
        <c:ser>
          <c:idx val="7"/>
          <c:order val="0"/>
          <c:tx>
            <c:strRef>
              <c:f>'GrD-Grafikdaten'!$E$124</c:f>
              <c:strCache>
                <c:ptCount val="1"/>
                <c:pt idx="0">
                  <c:v>Revenu de l'exploitant du réseau en fonction du taux de rémunération (année de construction &lt;2015)</c:v>
                </c:pt>
              </c:strCache>
            </c:strRef>
          </c:tx>
          <c:spPr>
            <a:solidFill>
              <a:schemeClr val="accent2"/>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'GrD-Grafikdaten'!$F$124:$AE$124</c:f>
              <c:numCache>
                <c:formatCode>0.00</c:formatCode>
                <c:ptCount val="26"/>
                <c:pt idx="0">
                  <c:v>3.149123966277187</c:v>
                </c:pt>
                <c:pt idx="1">
                  <c:v>4.1888003025421927</c:v>
                </c:pt>
                <c:pt idx="2">
                  <c:v>4.8064331813660583</c:v>
                </c:pt>
                <c:pt idx="3">
                  <c:v>5.8986442334188212</c:v>
                </c:pt>
                <c:pt idx="4">
                  <c:v>6.6832122779814043</c:v>
                </c:pt>
                <c:pt idx="5">
                  <c:v>7.2605747709420232</c:v>
                </c:pt>
                <c:pt idx="6">
                  <c:v>7.2651634727558241</c:v>
                </c:pt>
                <c:pt idx="7">
                  <c:v>7.2945220235633075</c:v>
                </c:pt>
                <c:pt idx="8">
                  <c:v>7.3262240696841623</c:v>
                </c:pt>
                <c:pt idx="9">
                  <c:v>7.2304552480362698</c:v>
                </c:pt>
                <c:pt idx="10">
                  <c:v>7.0668251307150873</c:v>
                </c:pt>
                <c:pt idx="11">
                  <c:v>7.2119900040302625</c:v>
                </c:pt>
                <c:pt idx="12">
                  <c:v>7.0551581431323172</c:v>
                </c:pt>
                <c:pt idx="13">
                  <c:v>6.8742755240380555</c:v>
                </c:pt>
                <c:pt idx="14">
                  <c:v>6.7150491559820242</c:v>
                </c:pt>
                <c:pt idx="15">
                  <c:v>6.3707577818056675</c:v>
                </c:pt>
                <c:pt idx="16">
                  <c:v>5.8794727155137121</c:v>
                </c:pt>
                <c:pt idx="17">
                  <c:v>5.3912271787399693</c:v>
                </c:pt>
                <c:pt idx="18">
                  <c:v>4.886251526793699</c:v>
                </c:pt>
                <c:pt idx="19">
                  <c:v>4.463317885918479</c:v>
                </c:pt>
                <c:pt idx="20">
                  <c:v>3.6741282866765723</c:v>
                </c:pt>
                <c:pt idx="21">
                  <c:v>2.5849247015331804</c:v>
                </c:pt>
                <c:pt idx="22">
                  <c:v>1.433032964998753</c:v>
                </c:pt>
                <c:pt idx="23">
                  <c:v>0.79368336817599949</c:v>
                </c:pt>
                <c:pt idx="24">
                  <c:v>0.50532344728518275</c:v>
                </c:pt>
                <c:pt idx="25">
                  <c:v>0.24460911425248719</c:v>
                </c:pt>
              </c:numCache>
            </c:numRef>
          </c:val>
          <c:extLst>
            <c:ext xmlns:c16="http://schemas.microsoft.com/office/drawing/2014/chart" uri="{C3380CC4-5D6E-409C-BE32-E72D297353CC}">
              <c16:uniqueId val="{00000000-78D2-4BA7-8657-F57CC8536E8D}"/>
            </c:ext>
          </c:extLst>
        </c:ser>
        <c:ser>
          <c:idx val="2"/>
          <c:order val="1"/>
          <c:tx>
            <c:strRef>
              <c:f>'GrD-Grafikdaten'!$E$118</c:f>
              <c:strCache>
                <c:ptCount val="1"/>
                <c:pt idx="0">
                  <c:v>Revenu de l'exploitant du réseau en fonction du taux de rémunération (année de construction&gt; 2014)</c:v>
                </c:pt>
              </c:strCache>
            </c:strRef>
          </c:tx>
          <c:spPr>
            <a:solidFill>
              <a:srgbClr val="00C1C9"/>
            </a:solidFill>
          </c:spPr>
          <c:invertIfNegative val="0"/>
          <c:dPt>
            <c:idx val="0"/>
            <c:invertIfNegative val="0"/>
            <c:bubble3D val="0"/>
            <c:extLst>
              <c:ext xmlns:c16="http://schemas.microsoft.com/office/drawing/2014/chart" uri="{C3380CC4-5D6E-409C-BE32-E72D297353CC}">
                <c16:uniqueId val="{00000001-78D2-4BA7-8657-F57CC8536E8D}"/>
              </c:ext>
            </c:extLst>
          </c:dPt>
          <c:dPt>
            <c:idx val="1"/>
            <c:invertIfNegative val="0"/>
            <c:bubble3D val="0"/>
            <c:extLst>
              <c:ext xmlns:c16="http://schemas.microsoft.com/office/drawing/2014/chart" uri="{C3380CC4-5D6E-409C-BE32-E72D297353CC}">
                <c16:uniqueId val="{00000002-78D2-4BA7-8657-F57CC8536E8D}"/>
              </c:ext>
            </c:extLst>
          </c:dPt>
          <c:dPt>
            <c:idx val="2"/>
            <c:invertIfNegative val="0"/>
            <c:bubble3D val="0"/>
            <c:extLst>
              <c:ext xmlns:c16="http://schemas.microsoft.com/office/drawing/2014/chart" uri="{C3380CC4-5D6E-409C-BE32-E72D297353CC}">
                <c16:uniqueId val="{00000003-78D2-4BA7-8657-F57CC8536E8D}"/>
              </c:ext>
            </c:extLst>
          </c:dPt>
          <c:dPt>
            <c:idx val="3"/>
            <c:invertIfNegative val="0"/>
            <c:bubble3D val="0"/>
            <c:extLst>
              <c:ext xmlns:c16="http://schemas.microsoft.com/office/drawing/2014/chart" uri="{C3380CC4-5D6E-409C-BE32-E72D297353CC}">
                <c16:uniqueId val="{00000004-78D2-4BA7-8657-F57CC8536E8D}"/>
              </c:ext>
            </c:extLst>
          </c:dPt>
          <c:dPt>
            <c:idx val="4"/>
            <c:invertIfNegative val="0"/>
            <c:bubble3D val="0"/>
            <c:extLst>
              <c:ext xmlns:c16="http://schemas.microsoft.com/office/drawing/2014/chart" uri="{C3380CC4-5D6E-409C-BE32-E72D297353CC}">
                <c16:uniqueId val="{00000005-78D2-4BA7-8657-F57CC8536E8D}"/>
              </c:ext>
            </c:extLst>
          </c:dPt>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'GrD-Grafikdaten'!$F$118:$AE$118</c:f>
              <c:numCache>
                <c:formatCode>0.00</c:formatCode>
                <c:ptCount val="26"/>
                <c:pt idx="0">
                  <c:v>0</c:v>
                </c:pt>
                <c:pt idx="1">
                  <c:v>0</c:v>
                </c:pt>
                <c:pt idx="2">
                  <c:v>0</c:v>
                </c:pt>
                <c:pt idx="3">
                  <c:v>0</c:v>
                </c:pt>
                <c:pt idx="4">
                  <c:v>0</c:v>
                </c:pt>
                <c:pt idx="5">
                  <c:v>0.27526511402651638</c:v>
                </c:pt>
                <c:pt idx="6">
                  <c:v>0.73692083848655465</c:v>
                </c:pt>
                <c:pt idx="7">
                  <c:v>1.261606914201997</c:v>
                </c:pt>
                <c:pt idx="8">
                  <c:v>1.7408809002236225</c:v>
                </c:pt>
                <c:pt idx="9">
                  <c:v>2.118535365484663</c:v>
                </c:pt>
                <c:pt idx="10">
                  <c:v>2.3841528184769496</c:v>
                </c:pt>
                <c:pt idx="11">
                  <c:v>2.6435447597049153</c:v>
                </c:pt>
                <c:pt idx="12">
                  <c:v>2.8521121267879193</c:v>
                </c:pt>
                <c:pt idx="13">
                  <c:v>3.0768520290350003</c:v>
                </c:pt>
                <c:pt idx="14">
                  <c:v>3.243023913711963</c:v>
                </c:pt>
                <c:pt idx="15">
                  <c:v>3.4379072424233019</c:v>
                </c:pt>
                <c:pt idx="16">
                  <c:v>3.5856190471659146</c:v>
                </c:pt>
                <c:pt idx="17">
                  <c:v>3.5901440818513777</c:v>
                </c:pt>
                <c:pt idx="18">
                  <c:v>3.7648969858728556</c:v>
                </c:pt>
                <c:pt idx="19">
                  <c:v>3.8632796300172036</c:v>
                </c:pt>
                <c:pt idx="20">
                  <c:v>4.1164683538944296</c:v>
                </c:pt>
                <c:pt idx="21">
                  <c:v>4.3698502799917378</c:v>
                </c:pt>
                <c:pt idx="22">
                  <c:v>4.6253781744495504</c:v>
                </c:pt>
                <c:pt idx="23">
                  <c:v>4.8813343973593168</c:v>
                </c:pt>
                <c:pt idx="24">
                  <c:v>5.0460223532652364</c:v>
                </c:pt>
                <c:pt idx="25">
                  <c:v>5.1966021808733842</c:v>
                </c:pt>
              </c:numCache>
            </c:numRef>
          </c:val>
          <c:extLst>
            <c:ext xmlns:c16="http://schemas.microsoft.com/office/drawing/2014/chart" uri="{C3380CC4-5D6E-409C-BE32-E72D297353CC}">
              <c16:uniqueId val="{00000006-78D2-4BA7-8657-F57CC8536E8D}"/>
            </c:ext>
          </c:extLst>
        </c:ser>
        <c:ser>
          <c:idx val="4"/>
          <c:order val="2"/>
          <c:tx>
            <c:strRef>
              <c:f>'GrD-Grafikdaten'!$E$119</c:f>
              <c:strCache>
                <c:ptCount val="1"/>
                <c:pt idx="0">
                  <c:v>Revenus du marketing</c:v>
                </c:pt>
              </c:strCache>
            </c:strRef>
          </c:tx>
          <c:spPr>
            <a:solidFill>
              <a:srgbClr val="00B0F0"/>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'GrD-Grafikdaten'!$F$119:$AE$119</c:f>
              <c:numCache>
                <c:formatCode>0.00</c:formatCode>
                <c:ptCount val="26"/>
                <c:pt idx="0">
                  <c:v>-1.1143275278744671</c:v>
                </c:pt>
                <c:pt idx="1">
                  <c:v>-1.1481771217342542</c:v>
                </c:pt>
                <c:pt idx="2">
                  <c:v>-1.4749351709875336</c:v>
                </c:pt>
                <c:pt idx="3">
                  <c:v>-1.6337029152159672</c:v>
                </c:pt>
                <c:pt idx="4">
                  <c:v>-1.4657694443600116</c:v>
                </c:pt>
                <c:pt idx="5">
                  <c:v>-1.4328005764190632</c:v>
                </c:pt>
                <c:pt idx="6">
                  <c:v>-1.4095609981357589</c:v>
                </c:pt>
                <c:pt idx="7">
                  <c:v>-1.3270921153532014</c:v>
                </c:pt>
                <c:pt idx="8">
                  <c:v>-1.6104835267042028</c:v>
                </c:pt>
                <c:pt idx="9">
                  <c:v>-2.2002230961690588</c:v>
                </c:pt>
                <c:pt idx="10">
                  <c:v>-2.539085556155213</c:v>
                </c:pt>
                <c:pt idx="11">
                  <c:v>-2.0917764931417389</c:v>
                </c:pt>
                <c:pt idx="12">
                  <c:v>-2.6923972599236521</c:v>
                </c:pt>
                <c:pt idx="13">
                  <c:v>-2.9134304294121263</c:v>
                </c:pt>
                <c:pt idx="14">
                  <c:v>-3.0799736772373834</c:v>
                </c:pt>
                <c:pt idx="15">
                  <c:v>-3.4392455967984956</c:v>
                </c:pt>
                <c:pt idx="16">
                  <c:v>-3.5895016133866502</c:v>
                </c:pt>
                <c:pt idx="17">
                  <c:v>-3.7135260971578719</c:v>
                </c:pt>
                <c:pt idx="18">
                  <c:v>-3.8620962197488562</c:v>
                </c:pt>
                <c:pt idx="19">
                  <c:v>-4.0526508588623447</c:v>
                </c:pt>
                <c:pt idx="20">
                  <c:v>-4.1354490158368584</c:v>
                </c:pt>
                <c:pt idx="21">
                  <c:v>-4.1731827434415418</c:v>
                </c:pt>
                <c:pt idx="22">
                  <c:v>-4.1307329166680207</c:v>
                </c:pt>
                <c:pt idx="23">
                  <c:v>-4.1965303400763467</c:v>
                </c:pt>
                <c:pt idx="24">
                  <c:v>-4.2747022707286435</c:v>
                </c:pt>
                <c:pt idx="25">
                  <c:v>-3.8757352807791459</c:v>
                </c:pt>
              </c:numCache>
            </c:numRef>
          </c:val>
          <c:extLst>
            <c:ext xmlns:c16="http://schemas.microsoft.com/office/drawing/2014/chart" uri="{C3380CC4-5D6E-409C-BE32-E72D297353CC}">
              <c16:uniqueId val="{00000007-78D2-4BA7-8657-F57CC8536E8D}"/>
            </c:ext>
          </c:extLst>
        </c:ser>
        <c:ser>
          <c:idx val="5"/>
          <c:order val="3"/>
          <c:tx>
            <c:strRef>
              <c:f>'GrD-Grafikdaten'!$E$120</c:f>
              <c:strCache>
                <c:ptCount val="1"/>
                <c:pt idx="0">
                  <c:v>Réserve de liquidité</c:v>
                </c:pt>
              </c:strCache>
            </c:strRef>
          </c:tx>
          <c:spPr>
            <a:solidFill>
              <a:srgbClr val="AD86B0"/>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'GrD-Grafikdaten'!$F$120:$AE$120</c:f>
              <c:numCache>
                <c:formatCode>0.00</c:formatCode>
                <c:ptCount val="26"/>
                <c:pt idx="0">
                  <c:v>0</c:v>
                </c:pt>
                <c:pt idx="1">
                  <c:v>0</c:v>
                </c:pt>
                <c:pt idx="2">
                  <c:v>9.9363640268897269E-2</c:v>
                </c:pt>
                <c:pt idx="3">
                  <c:v>0.41882948767683209</c:v>
                </c:pt>
                <c:pt idx="4">
                  <c:v>0.51450044762037139</c:v>
                </c:pt>
                <c:pt idx="5">
                  <c:v>0.59592027659530522</c:v>
                </c:pt>
                <c:pt idx="6">
                  <c:v>0.6392913186789364</c:v>
                </c:pt>
                <c:pt idx="7">
                  <c:v>0.41988501655095822</c:v>
                </c:pt>
                <c:pt idx="8">
                  <c:v>0.4372705524825396</c:v>
                </c:pt>
                <c:pt idx="9">
                  <c:v>0.42087878819618457</c:v>
                </c:pt>
                <c:pt idx="10">
                  <c:v>0.54603990988413686</c:v>
                </c:pt>
                <c:pt idx="11">
                  <c:v>0.76827342258007802</c:v>
                </c:pt>
                <c:pt idx="12">
                  <c:v>0.42705156848223186</c:v>
                </c:pt>
                <c:pt idx="13">
                  <c:v>0.41643702371245611</c:v>
                </c:pt>
                <c:pt idx="14">
                  <c:v>0.40692010918926608</c:v>
                </c:pt>
                <c:pt idx="15">
                  <c:v>0.37672724990734097</c:v>
                </c:pt>
                <c:pt idx="16">
                  <c:v>0.34747003585854214</c:v>
                </c:pt>
                <c:pt idx="17">
                  <c:v>0.31150149170074976</c:v>
                </c:pt>
                <c:pt idx="18">
                  <c:v>0.2831171986519056</c:v>
                </c:pt>
                <c:pt idx="19">
                  <c:v>0.25232068765046278</c:v>
                </c:pt>
                <c:pt idx="20">
                  <c:v>0.21549171121523691</c:v>
                </c:pt>
                <c:pt idx="21">
                  <c:v>0.1635916929538925</c:v>
                </c:pt>
                <c:pt idx="22">
                  <c:v>0.11329908546148226</c:v>
                </c:pt>
                <c:pt idx="23">
                  <c:v>8.6446614747409001E-2</c:v>
                </c:pt>
                <c:pt idx="24">
                  <c:v>7.4469010093960925E-2</c:v>
                </c:pt>
                <c:pt idx="25">
                  <c:v>9.1789785915857874E-2</c:v>
                </c:pt>
              </c:numCache>
            </c:numRef>
          </c:val>
          <c:extLst>
            <c:ext xmlns:c16="http://schemas.microsoft.com/office/drawing/2014/chart" uri="{C3380CC4-5D6E-409C-BE32-E72D297353CC}">
              <c16:uniqueId val="{00000008-78D2-4BA7-8657-F57CC8536E8D}"/>
            </c:ext>
          </c:extLst>
        </c:ser>
        <c:ser>
          <c:idx val="6"/>
          <c:order val="4"/>
          <c:tx>
            <c:strRef>
              <c:f>'GrD-Grafikdaten'!$E$121</c:f>
              <c:strCache>
                <c:ptCount val="1"/>
                <c:pt idx="0">
                  <c:v>Solde de l'année précédente</c:v>
                </c:pt>
              </c:strCache>
            </c:strRef>
          </c:tx>
          <c:spPr>
            <a:solidFill>
              <a:srgbClr val="8393BE"/>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'GrD-Grafikdaten'!$F$121:$AE$121</c:f>
              <c:numCache>
                <c:formatCode>0.00</c:formatCode>
                <c:ptCount val="26"/>
                <c:pt idx="0">
                  <c:v>0</c:v>
                </c:pt>
                <c:pt idx="1">
                  <c:v>0.27301911687690317</c:v>
                </c:pt>
                <c:pt idx="2">
                  <c:v>0.18051501743452761</c:v>
                </c:pt>
                <c:pt idx="3">
                  <c:v>0.66987563555484619</c:v>
                </c:pt>
                <c:pt idx="4">
                  <c:v>0.580495076175914</c:v>
                </c:pt>
                <c:pt idx="5">
                  <c:v>-0.38512304254835578</c:v>
                </c:pt>
                <c:pt idx="6">
                  <c:v>-0.69271211027684976</c:v>
                </c:pt>
                <c:pt idx="7">
                  <c:v>-0.55509788074223432</c:v>
                </c:pt>
                <c:pt idx="8">
                  <c:v>-0.94436923548353968</c:v>
                </c:pt>
                <c:pt idx="9">
                  <c:v>-1.0296002547372551</c:v>
                </c:pt>
                <c:pt idx="10">
                  <c:v>-0.61546559483866781</c:v>
                </c:pt>
                <c:pt idx="11">
                  <c:v>1.1845036077210573</c:v>
                </c:pt>
                <c:pt idx="12">
                  <c:v>0</c:v>
                </c:pt>
                <c:pt idx="13">
                  <c:v>-0.15803383786392977</c:v>
                </c:pt>
                <c:pt idx="14">
                  <c:v>-0.12546454540738267</c:v>
                </c:pt>
                <c:pt idx="15">
                  <c:v>-9.9020671665210114E-2</c:v>
                </c:pt>
                <c:pt idx="16">
                  <c:v>-3.2808480704583497E-2</c:v>
                </c:pt>
                <c:pt idx="17">
                  <c:v>1.1480973116834488E-2</c:v>
                </c:pt>
                <c:pt idx="18">
                  <c:v>5.9849050629596133E-2</c:v>
                </c:pt>
                <c:pt idx="19">
                  <c:v>0.10304745059200858</c:v>
                </c:pt>
                <c:pt idx="20">
                  <c:v>0.15280559790603168</c:v>
                </c:pt>
                <c:pt idx="21">
                  <c:v>0.19787046168788544</c:v>
                </c:pt>
                <c:pt idx="22">
                  <c:v>0.25348817617010533</c:v>
                </c:pt>
                <c:pt idx="23">
                  <c:v>0.29970050051144126</c:v>
                </c:pt>
                <c:pt idx="24">
                  <c:v>0.33319964748112973</c:v>
                </c:pt>
                <c:pt idx="25">
                  <c:v>0.35310353131546357</c:v>
                </c:pt>
              </c:numCache>
            </c:numRef>
          </c:val>
          <c:extLst>
            <c:ext xmlns:c16="http://schemas.microsoft.com/office/drawing/2014/chart" uri="{C3380CC4-5D6E-409C-BE32-E72D297353CC}">
              <c16:uniqueId val="{00000009-78D2-4BA7-8657-F57CC8536E8D}"/>
            </c:ext>
          </c:extLst>
        </c:ser>
        <c:ser>
          <c:idx val="10"/>
          <c:order val="5"/>
          <c:tx>
            <c:strRef>
              <c:f>'GrD-Grafikdaten'!$E$123</c:f>
              <c:strCache>
                <c:ptCount val="1"/>
                <c:pt idx="0">
                  <c:v>"Autres effets *
* Frais de réseau évités, privilège électricité verte, autres coûts "</c:v>
                </c:pt>
              </c:strCache>
            </c:strRef>
          </c:tx>
          <c:spPr>
            <a:solidFill>
              <a:schemeClr val="bg2">
                <a:lumMod val="65000"/>
              </a:schemeClr>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'GrD-Grafikdaten'!$F$123:$AE$123</c:f>
              <c:numCache>
                <c:formatCode>0.00</c:formatCode>
                <c:ptCount val="26"/>
                <c:pt idx="0">
                  <c:v>1.2621203479080452E-2</c:v>
                </c:pt>
                <c:pt idx="1">
                  <c:v>0.21705777646400023</c:v>
                </c:pt>
                <c:pt idx="2">
                  <c:v>-2.030389836889188E-2</c:v>
                </c:pt>
                <c:pt idx="3">
                  <c:v>-7.6196695631972927E-2</c:v>
                </c:pt>
                <c:pt idx="4">
                  <c:v>-7.2646252065796002E-2</c:v>
                </c:pt>
                <c:pt idx="5">
                  <c:v>-0.15408666759749157</c:v>
                </c:pt>
                <c:pt idx="6">
                  <c:v>-0.19539192604954267</c:v>
                </c:pt>
                <c:pt idx="7">
                  <c:v>-0.23263388338516494</c:v>
                </c:pt>
                <c:pt idx="8">
                  <c:v>-0.17237399192742237</c:v>
                </c:pt>
                <c:pt idx="9">
                  <c:v>-0.1341210474154646</c:v>
                </c:pt>
                <c:pt idx="10">
                  <c:v>-8.0430990471640276E-2</c:v>
                </c:pt>
                <c:pt idx="11">
                  <c:v>-8.2765793546279165E-2</c:v>
                </c:pt>
                <c:pt idx="12">
                  <c:v>-9.7346868626052616E-2</c:v>
                </c:pt>
                <c:pt idx="13">
                  <c:v>-9.7080061786660399E-2</c:v>
                </c:pt>
                <c:pt idx="14">
                  <c:v>-9.6097572635502587E-2</c:v>
                </c:pt>
                <c:pt idx="15">
                  <c:v>-9.0631928974791109E-2</c:v>
                </c:pt>
                <c:pt idx="16">
                  <c:v>-8.4422884983941709E-2</c:v>
                </c:pt>
                <c:pt idx="17">
                  <c:v>-7.6153635087647095E-2</c:v>
                </c:pt>
                <c:pt idx="18">
                  <c:v>-7.0432315385937416E-2</c:v>
                </c:pt>
                <c:pt idx="19">
                  <c:v>-6.8601862898958088E-2</c:v>
                </c:pt>
                <c:pt idx="20">
                  <c:v>-6.3619104480194602E-2</c:v>
                </c:pt>
                <c:pt idx="21">
                  <c:v>-5.5064022185168385E-2</c:v>
                </c:pt>
                <c:pt idx="22">
                  <c:v>-3.9360131755578946E-2</c:v>
                </c:pt>
                <c:pt idx="23">
                  <c:v>-3.7710513002152932E-2</c:v>
                </c:pt>
                <c:pt idx="24">
                  <c:v>-3.5493361589093185E-2</c:v>
                </c:pt>
                <c:pt idx="25">
                  <c:v>-3.5646249082427896E-2</c:v>
                </c:pt>
              </c:numCache>
            </c:numRef>
          </c:val>
          <c:extLst>
            <c:ext xmlns:c16="http://schemas.microsoft.com/office/drawing/2014/chart" uri="{C3380CC4-5D6E-409C-BE32-E72D297353CC}">
              <c16:uniqueId val="{0000000A-78D2-4BA7-8657-F57CC8536E8D}"/>
            </c:ext>
          </c:extLst>
        </c:ser>
        <c:ser>
          <c:idx val="0"/>
          <c:order val="8"/>
          <c:tx>
            <c:strRef>
              <c:f>'GrD-Grafikdaten'!$E$122</c:f>
              <c:strCache>
                <c:ptCount val="1"/>
                <c:pt idx="0">
                  <c:v>Subventions du budget fédéral</c:v>
                </c:pt>
              </c:strCache>
            </c:strRef>
          </c:tx>
          <c:invertIfNegative val="0"/>
          <c:val>
            <c:numRef>
              <c:f>'GrD-Grafikdaten'!$F$122:$AE$122</c:f>
              <c:numCache>
                <c:formatCode>0.00</c:formatCode>
                <c:ptCount val="26"/>
                <c:pt idx="0">
                  <c:v>0</c:v>
                </c:pt>
                <c:pt idx="1">
                  <c:v>0</c:v>
                </c:pt>
                <c:pt idx="2">
                  <c:v>0</c:v>
                </c:pt>
                <c:pt idx="3">
                  <c:v>0</c:v>
                </c:pt>
                <c:pt idx="4">
                  <c:v>0</c:v>
                </c:pt>
                <c:pt idx="5">
                  <c:v>0</c:v>
                </c:pt>
                <c:pt idx="6">
                  <c:v>0</c:v>
                </c:pt>
                <c:pt idx="7">
                  <c:v>0</c:v>
                </c:pt>
                <c:pt idx="8">
                  <c:v>0</c:v>
                </c:pt>
                <c:pt idx="9">
                  <c:v>0</c:v>
                </c:pt>
                <c:pt idx="10">
                  <c:v>0</c:v>
                </c:pt>
                <c:pt idx="11">
                  <c:v>-3.135147756514379</c:v>
                </c:pt>
                <c:pt idx="12">
                  <c:v>-1.1990313049014476</c:v>
                </c:pt>
                <c:pt idx="13">
                  <c:v>-1.4612607926185883</c:v>
                </c:pt>
                <c:pt idx="14">
                  <c:v>-1.4655894707099137</c:v>
                </c:pt>
                <c:pt idx="15">
                  <c:v>-1.4670403551819031</c:v>
                </c:pt>
                <c:pt idx="16">
                  <c:v>-1.4672993236845011</c:v>
                </c:pt>
                <c:pt idx="17">
                  <c:v>-1.4674076619406262</c:v>
                </c:pt>
                <c:pt idx="18">
                  <c:v>-1.467356974546018</c:v>
                </c:pt>
                <c:pt idx="19">
                  <c:v>-1.4667168591202011</c:v>
                </c:pt>
                <c:pt idx="20">
                  <c:v>-1.4653857820357914</c:v>
                </c:pt>
                <c:pt idx="21">
                  <c:v>-1.4640337815455702</c:v>
                </c:pt>
                <c:pt idx="22">
                  <c:v>-1.4626581539148638</c:v>
                </c:pt>
                <c:pt idx="23">
                  <c:v>-1.4622985291309107</c:v>
                </c:pt>
                <c:pt idx="24">
                  <c:v>-1.4622688107280257</c:v>
                </c:pt>
                <c:pt idx="25">
                  <c:v>-1.4626926366414963</c:v>
                </c:pt>
              </c:numCache>
            </c:numRef>
          </c:val>
          <c:extLst>
            <c:ext xmlns:c16="http://schemas.microsoft.com/office/drawing/2014/chart" uri="{C3380CC4-5D6E-409C-BE32-E72D297353CC}">
              <c16:uniqueId val="{0000000B-78D2-4BA7-8657-F57CC8536E8D}"/>
            </c:ext>
          </c:extLst>
        </c:ser>
        <c:dLbls>
          <c:showLegendKey val="0"/>
          <c:showVal val="0"/>
          <c:showCatName val="0"/>
          <c:showSerName val="0"/>
          <c:showPercent val="0"/>
          <c:showBubbleSize val="0"/>
        </c:dLbls>
        <c:gapWidth val="20"/>
        <c:overlap val="100"/>
        <c:axId val="331118464"/>
        <c:axId val="332730752"/>
      </c:barChart>
      <c:lineChart>
        <c:grouping val="standard"/>
        <c:varyColors val="0"/>
        <c:ser>
          <c:idx val="8"/>
          <c:order val="6"/>
          <c:tx>
            <c:strRef>
              <c:f>'GrD-Grafikdaten'!$E$126</c:f>
              <c:strCache>
                <c:ptCount val="1"/>
                <c:pt idx="0">
                  <c:v>Prélèvement (Prévision)</c:v>
                </c:pt>
              </c:strCache>
            </c:strRef>
          </c:tx>
          <c:spPr>
            <a:ln>
              <a:solidFill>
                <a:srgbClr val="FF0000"/>
              </a:solidFill>
              <a:prstDash val="solid"/>
            </a:ln>
          </c:spPr>
          <c:marker>
            <c:symbol val="none"/>
          </c:marker>
          <c:val>
            <c:numRef>
              <c:f>'GrD-Grafikdaten'!$F$126:$AE$126</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6.5003634995875359</c:v>
                </c:pt>
                <c:pt idx="12">
                  <c:v>6.3455464049513157</c:v>
                </c:pt>
                <c:pt idx="13">
                  <c:v>5.7377594551042073</c:v>
                </c:pt>
                <c:pt idx="14">
                  <c:v>5.5978679128930713</c:v>
                </c:pt>
                <c:pt idx="15">
                  <c:v>5.0894537215159117</c:v>
                </c:pt>
                <c:pt idx="16">
                  <c:v>4.6385294957784931</c:v>
                </c:pt>
                <c:pt idx="17">
                  <c:v>4.0472663312227866</c:v>
                </c:pt>
                <c:pt idx="18">
                  <c:v>3.5942292522672457</c:v>
                </c:pt>
                <c:pt idx="19">
                  <c:v>3.0939960732966507</c:v>
                </c:pt>
                <c:pt idx="20">
                  <c:v>2.4944400473394257</c:v>
                </c:pt>
                <c:pt idx="21">
                  <c:v>1.6239565889944165</c:v>
                </c:pt>
                <c:pt idx="22">
                  <c:v>0.7924471987414281</c:v>
                </c:pt>
                <c:pt idx="23">
                  <c:v>0.36462549858475624</c:v>
                </c:pt>
                <c:pt idx="24">
                  <c:v>0.18655001507974711</c:v>
                </c:pt>
                <c:pt idx="25">
                  <c:v>0.51203044585412305</c:v>
                </c:pt>
              </c:numCache>
            </c:numRef>
          </c:val>
          <c:smooth val="0"/>
          <c:extLst>
            <c:ext xmlns:c16="http://schemas.microsoft.com/office/drawing/2014/chart" uri="{C3380CC4-5D6E-409C-BE32-E72D297353CC}">
              <c16:uniqueId val="{0000000C-78D2-4BA7-8657-F57CC8536E8D}"/>
            </c:ext>
          </c:extLst>
        </c:ser>
        <c:ser>
          <c:idx val="9"/>
          <c:order val="7"/>
          <c:tx>
            <c:strRef>
              <c:f>'GrD-Grafikdaten'!$E$125</c:f>
              <c:strCache>
                <c:ptCount val="1"/>
                <c:pt idx="0">
                  <c:v>Prélèvement (Référence)</c:v>
                </c:pt>
              </c:strCache>
            </c:strRef>
          </c:tx>
          <c:spPr>
            <a:ln>
              <a:solidFill>
                <a:srgbClr val="7030A0"/>
              </a:solidFill>
            </a:ln>
          </c:spPr>
          <c:marker>
            <c:symbol val="circle"/>
            <c:size val="5"/>
            <c:spPr>
              <a:solidFill>
                <a:srgbClr val="7030A0"/>
              </a:solidFill>
              <a:ln>
                <a:solidFill>
                  <a:srgbClr val="7030A0"/>
                </a:solidFill>
              </a:ln>
            </c:spPr>
          </c:marker>
          <c:val>
            <c:numRef>
              <c:f>'GrD-Grafikdaten'!$F$125:$AE$125</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6.5003634995875341</c:v>
                </c:pt>
                <c:pt idx="12">
                  <c:v>5.999829931707656</c:v>
                </c:pt>
                <c:pt idx="13">
                  <c:v>5.7540581975897345</c:v>
                </c:pt>
                <c:pt idx="14">
                  <c:v>5.6173863183219579</c:v>
                </c:pt>
                <c:pt idx="15">
                  <c:v>5.1106041596116398</c:v>
                </c:pt>
                <c:pt idx="16">
                  <c:v>4.6618439243304826</c:v>
                </c:pt>
                <c:pt idx="17">
                  <c:v>4.0727911568283961</c:v>
                </c:pt>
                <c:pt idx="18">
                  <c:v>3.6215750816789316</c:v>
                </c:pt>
                <c:pt idx="19">
                  <c:v>3.1227738888994274</c:v>
                </c:pt>
                <c:pt idx="20">
                  <c:v>2.5242573906001367</c:v>
                </c:pt>
                <c:pt idx="21">
                  <c:v>1.6544335601121409</c:v>
                </c:pt>
                <c:pt idx="22">
                  <c:v>0.82320329708978601</c:v>
                </c:pt>
                <c:pt idx="23">
                  <c:v>0.39530094707806102</c:v>
                </c:pt>
                <c:pt idx="24">
                  <c:v>0.21676830628474378</c:v>
                </c:pt>
                <c:pt idx="25">
                  <c:v>0.54192582780461751</c:v>
                </c:pt>
              </c:numCache>
            </c:numRef>
          </c:val>
          <c:smooth val="0"/>
          <c:extLst>
            <c:ext xmlns:c16="http://schemas.microsoft.com/office/drawing/2014/chart" uri="{C3380CC4-5D6E-409C-BE32-E72D297353CC}">
              <c16:uniqueId val="{0000000D-78D2-4BA7-8657-F57CC8536E8D}"/>
            </c:ext>
          </c:extLst>
        </c:ser>
        <c:dLbls>
          <c:showLegendKey val="0"/>
          <c:showVal val="0"/>
          <c:showCatName val="0"/>
          <c:showSerName val="0"/>
          <c:showPercent val="0"/>
          <c:showBubbleSize val="0"/>
        </c:dLbls>
        <c:marker val="1"/>
        <c:smooth val="0"/>
        <c:axId val="331118464"/>
        <c:axId val="332730752"/>
      </c:lineChart>
      <c:catAx>
        <c:axId val="331118464"/>
        <c:scaling>
          <c:orientation val="minMax"/>
        </c:scaling>
        <c:delete val="0"/>
        <c:axPos val="b"/>
        <c:numFmt formatCode="0" sourceLinked="1"/>
        <c:majorTickMark val="out"/>
        <c:minorTickMark val="none"/>
        <c:tickLblPos val="low"/>
        <c:txPr>
          <a:bodyPr/>
          <a:lstStyle/>
          <a:p>
            <a:pPr>
              <a:defRPr>
                <a:latin typeface="Arial" panose="020B0604020202020204" pitchFamily="34" charset="0"/>
                <a:cs typeface="Arial" panose="020B0604020202020204" pitchFamily="34" charset="0"/>
              </a:defRPr>
            </a:pPr>
            <a:endParaRPr lang="en-US"/>
          </a:p>
        </c:txPr>
        <c:crossAx val="332730752"/>
        <c:crosses val="autoZero"/>
        <c:auto val="1"/>
        <c:lblAlgn val="ctr"/>
        <c:lblOffset val="100"/>
        <c:noMultiLvlLbl val="0"/>
      </c:catAx>
      <c:valAx>
        <c:axId val="332730752"/>
        <c:scaling>
          <c:orientation val="minMax"/>
        </c:scaling>
        <c:delete val="0"/>
        <c:axPos val="l"/>
        <c:majorGridlines/>
        <c:title>
          <c:tx>
            <c:strRef>
              <c:f>ControlPanel!$R$13</c:f>
              <c:strCache>
                <c:ptCount val="1"/>
                <c:pt idx="0">
                  <c:v>ct/kWh</c:v>
                </c:pt>
              </c:strCache>
            </c:strRef>
          </c:tx>
          <c:overlay val="0"/>
          <c:txPr>
            <a:bodyPr rot="-5400000" vert="horz"/>
            <a:lstStyle/>
            <a:p>
              <a:pPr>
                <a:defRPr>
                  <a:latin typeface="Arial" pitchFamily="34" charset="0"/>
                  <a:cs typeface="Arial" pitchFamily="34" charset="0"/>
                </a:defRPr>
              </a:pPr>
              <a:endParaRPr lang="en-US"/>
            </a:p>
          </c:txPr>
        </c:title>
        <c:numFmt formatCode="#,##0" sourceLinked="0"/>
        <c:majorTickMark val="out"/>
        <c:minorTickMark val="none"/>
        <c:tickLblPos val="nextTo"/>
        <c:txPr>
          <a:bodyPr/>
          <a:lstStyle/>
          <a:p>
            <a:pPr>
              <a:defRPr>
                <a:latin typeface="Arial" pitchFamily="34" charset="0"/>
                <a:cs typeface="Arial" pitchFamily="34" charset="0"/>
              </a:defRPr>
            </a:pPr>
            <a:endParaRPr lang="en-US"/>
          </a:p>
        </c:txPr>
        <c:crossAx val="331118464"/>
        <c:crosses val="autoZero"/>
        <c:crossBetween val="between"/>
      </c:valAx>
      <c:spPr>
        <a:solidFill>
          <a:schemeClr val="bg1"/>
        </a:solidFill>
      </c:spPr>
    </c:plotArea>
    <c:legend>
      <c:legendPos val="r"/>
      <c:layout>
        <c:manualLayout>
          <c:xMode val="edge"/>
          <c:yMode val="edge"/>
          <c:x val="0.64504052997659023"/>
          <c:y val="3.1881195168316223E-2"/>
          <c:w val="0.29426922777067216"/>
          <c:h val="0.90007062219288902"/>
        </c:manualLayout>
      </c:layout>
      <c:overlay val="0"/>
    </c:legend>
    <c:plotVisOnly val="1"/>
    <c:dispBlanksAs val="gap"/>
    <c:showDLblsOverMax val="0"/>
  </c:chart>
  <c:spPr>
    <a:solidFill>
      <a:schemeClr val="bg1"/>
    </a:solidFill>
    <a:ln>
      <a:solidFill>
        <a:schemeClr val="tx1"/>
      </a:solidFill>
    </a:ln>
  </c:spPr>
  <c:printSettings>
    <c:headerFooter/>
    <c:pageMargins b="0.78740157499999996" l="0.7" r="0.7" t="0.78740157499999996"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Arial" panose="020B0604020202020204" pitchFamily="34" charset="0"/>
                <a:cs typeface="Arial" panose="020B0604020202020204" pitchFamily="34" charset="0"/>
              </a:defRPr>
            </a:pPr>
            <a:r>
              <a:rPr lang="fr-FR" sz="1800" b="1" i="0" u="none" strike="noStrike" baseline="0"/>
              <a:t>Ajouts bruts et ajouts nets </a:t>
            </a:r>
            <a:endParaRPr lang="en-US">
              <a:latin typeface="Arial" panose="020B0604020202020204" pitchFamily="34" charset="0"/>
              <a:cs typeface="Arial" panose="020B0604020202020204" pitchFamily="34" charset="0"/>
            </a:endParaRPr>
          </a:p>
        </c:rich>
      </c:tx>
      <c:layout>
        <c:manualLayout>
          <c:xMode val="edge"/>
          <c:yMode val="edge"/>
          <c:x val="0.25146189329416796"/>
          <c:y val="1.3950866038456605E-2"/>
        </c:manualLayout>
      </c:layout>
      <c:overlay val="1"/>
    </c:title>
    <c:autoTitleDeleted val="0"/>
    <c:plotArea>
      <c:layout>
        <c:manualLayout>
          <c:layoutTarget val="inner"/>
          <c:xMode val="edge"/>
          <c:yMode val="edge"/>
          <c:x val="0.11475227964372385"/>
          <c:y val="0.10463149528842454"/>
          <c:w val="0.67820723730018884"/>
          <c:h val="0.77407725868777821"/>
        </c:manualLayout>
      </c:layout>
      <c:barChart>
        <c:barDir val="col"/>
        <c:grouping val="stacked"/>
        <c:varyColors val="0"/>
        <c:ser>
          <c:idx val="2"/>
          <c:order val="1"/>
          <c:tx>
            <c:strRef>
              <c:f>'GrD-Grafikdaten (2)'!$F$167:$F$167</c:f>
              <c:strCache>
                <c:ptCount val="1"/>
                <c:pt idx="0">
                  <c:v>Expansion brute</c:v>
                </c:pt>
              </c:strCache>
            </c:strRef>
          </c:tx>
          <c:spPr>
            <a:solidFill>
              <a:srgbClr val="00B0F0"/>
            </a:solidFill>
            <a:ln>
              <a:solidFill>
                <a:sysClr val="windowText" lastClr="000000"/>
              </a:solidFill>
            </a:ln>
          </c:spPr>
          <c:invertIfNegative val="0"/>
          <c:cat>
            <c:numRef>
              <c:f>'GrD-Grafikdaten (2)'!$G$164:$AF$164</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(2)'!$G$167:$AF$167</c:f>
              <c:numCache>
                <c:formatCode>0.00</c:formatCode>
                <c:ptCount val="26"/>
                <c:pt idx="0">
                  <c:v>7.3779999999999983</c:v>
                </c:pt>
                <c:pt idx="1">
                  <c:v>7.4849999999999994</c:v>
                </c:pt>
                <c:pt idx="2">
                  <c:v>7.6040000000000028</c:v>
                </c:pt>
                <c:pt idx="3">
                  <c:v>3.304000000000002</c:v>
                </c:pt>
                <c:pt idx="4">
                  <c:v>0.7958877419999979</c:v>
                </c:pt>
                <c:pt idx="5">
                  <c:v>1.498</c:v>
                </c:pt>
                <c:pt idx="6">
                  <c:v>1.5249999999999999</c:v>
                </c:pt>
                <c:pt idx="7">
                  <c:v>2.2440000000000002</c:v>
                </c:pt>
                <c:pt idx="8">
                  <c:v>2.4039999999999999</c:v>
                </c:pt>
                <c:pt idx="9">
                  <c:v>2.6869999999999998</c:v>
                </c:pt>
                <c:pt idx="10">
                  <c:v>3.9910000000000001</c:v>
                </c:pt>
                <c:pt idx="11">
                  <c:v>5.4139999999999997</c:v>
                </c:pt>
                <c:pt idx="12">
                  <c:v>4.9379999999999997</c:v>
                </c:pt>
                <c:pt idx="13">
                  <c:v>3.1520000000000001</c:v>
                </c:pt>
                <c:pt idx="14">
                  <c:v>3.0219999999999998</c:v>
                </c:pt>
                <c:pt idx="15">
                  <c:v>3.129</c:v>
                </c:pt>
                <c:pt idx="16">
                  <c:v>2.5</c:v>
                </c:pt>
                <c:pt idx="17">
                  <c:v>2.5</c:v>
                </c:pt>
                <c:pt idx="18">
                  <c:v>2.5</c:v>
                </c:pt>
                <c:pt idx="19">
                  <c:v>2.5</c:v>
                </c:pt>
                <c:pt idx="20">
                  <c:v>2.5</c:v>
                </c:pt>
                <c:pt idx="21">
                  <c:v>2.5</c:v>
                </c:pt>
                <c:pt idx="22">
                  <c:v>2.5</c:v>
                </c:pt>
                <c:pt idx="23">
                  <c:v>2.5</c:v>
                </c:pt>
                <c:pt idx="24">
                  <c:v>2.5</c:v>
                </c:pt>
                <c:pt idx="25">
                  <c:v>2.5</c:v>
                </c:pt>
              </c:numCache>
            </c:numRef>
          </c:val>
          <c:extLst>
            <c:ext xmlns:c16="http://schemas.microsoft.com/office/drawing/2014/chart" uri="{C3380CC4-5D6E-409C-BE32-E72D297353CC}">
              <c16:uniqueId val="{00000000-0B77-4749-B39D-8708A4EDCA4F}"/>
            </c:ext>
          </c:extLst>
        </c:ser>
        <c:ser>
          <c:idx val="3"/>
          <c:order val="2"/>
          <c:tx>
            <c:strRef>
              <c:f>'GrD-Grafikdaten (2)'!$F$168:$F$168</c:f>
              <c:strCache>
                <c:ptCount val="1"/>
                <c:pt idx="0">
                  <c:v>"Retraite
  depuis EEG "</c:v>
                </c:pt>
              </c:strCache>
            </c:strRef>
          </c:tx>
          <c:spPr>
            <a:solidFill>
              <a:schemeClr val="accent6">
                <a:lumMod val="75000"/>
              </a:schemeClr>
            </a:solidFill>
            <a:ln>
              <a:solidFill>
                <a:sysClr val="windowText" lastClr="000000"/>
              </a:solidFill>
            </a:ln>
          </c:spPr>
          <c:invertIfNegative val="0"/>
          <c:cat>
            <c:numRef>
              <c:f>'GrD-Grafikdaten (2)'!$G$164:$AF$164</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(2)'!$G$168:$AF$168</c:f>
              <c:numCache>
                <c:formatCode>0.00</c:formatCode>
                <c:ptCount val="26"/>
                <c:pt idx="0">
                  <c:v>-3.2297500000311175E-4</c:v>
                </c:pt>
                <c:pt idx="1">
                  <c:v>-8.4221099999837179E-4</c:v>
                </c:pt>
                <c:pt idx="2">
                  <c:v>-1.5947349999976268E-3</c:v>
                </c:pt>
                <c:pt idx="3">
                  <c:v>-1.7542189999986135E-3</c:v>
                </c:pt>
                <c:pt idx="4">
                  <c:v>-1.6965770000041402E-3</c:v>
                </c:pt>
                <c:pt idx="5">
                  <c:v>0</c:v>
                </c:pt>
                <c:pt idx="6">
                  <c:v>0</c:v>
                </c:pt>
                <c:pt idx="7">
                  <c:v>0</c:v>
                </c:pt>
                <c:pt idx="8">
                  <c:v>0</c:v>
                </c:pt>
                <c:pt idx="9">
                  <c:v>0</c:v>
                </c:pt>
                <c:pt idx="10">
                  <c:v>0</c:v>
                </c:pt>
                <c:pt idx="11">
                  <c:v>-7.3862480000002506E-2</c:v>
                </c:pt>
                <c:pt idx="12">
                  <c:v>-0.10863868999999937</c:v>
                </c:pt>
                <c:pt idx="13">
                  <c:v>-0.11022154999999856</c:v>
                </c:pt>
                <c:pt idx="14">
                  <c:v>-0.1424465500000025</c:v>
                </c:pt>
                <c:pt idx="15">
                  <c:v>-0.65602930000000015</c:v>
                </c:pt>
                <c:pt idx="16">
                  <c:v>-0.924602059999998</c:v>
                </c:pt>
                <c:pt idx="17">
                  <c:v>-0.84459495000000118</c:v>
                </c:pt>
                <c:pt idx="18">
                  <c:v>-1.2537511260000045</c:v>
                </c:pt>
                <c:pt idx="19">
                  <c:v>-1.9795431099999981</c:v>
                </c:pt>
                <c:pt idx="20">
                  <c:v>-4.4384598400000144</c:v>
                </c:pt>
                <c:pt idx="21">
                  <c:v>-7.5938763400000333</c:v>
                </c:pt>
                <c:pt idx="22">
                  <c:v>-8.0003900600000044</c:v>
                </c:pt>
                <c:pt idx="23">
                  <c:v>-6.8422938800000237</c:v>
                </c:pt>
                <c:pt idx="24">
                  <c:v>-3.1356207599999868</c:v>
                </c:pt>
                <c:pt idx="25">
                  <c:v>-1.498</c:v>
                </c:pt>
              </c:numCache>
            </c:numRef>
          </c:val>
          <c:extLst>
            <c:ext xmlns:c16="http://schemas.microsoft.com/office/drawing/2014/chart" uri="{C3380CC4-5D6E-409C-BE32-E72D297353CC}">
              <c16:uniqueId val="{00000001-0B77-4749-B39D-8708A4EDCA4F}"/>
            </c:ext>
          </c:extLst>
        </c:ser>
        <c:dLbls>
          <c:showLegendKey val="0"/>
          <c:showVal val="0"/>
          <c:showCatName val="0"/>
          <c:showSerName val="0"/>
          <c:showPercent val="0"/>
          <c:showBubbleSize val="0"/>
        </c:dLbls>
        <c:gapWidth val="20"/>
        <c:overlap val="100"/>
        <c:axId val="45760512"/>
        <c:axId val="45762048"/>
      </c:barChart>
      <c:lineChart>
        <c:grouping val="standard"/>
        <c:varyColors val="0"/>
        <c:ser>
          <c:idx val="1"/>
          <c:order val="0"/>
          <c:tx>
            <c:strRef>
              <c:f>'GrD-Grafikdaten (2)'!$F$166:$F$166</c:f>
              <c:strCache>
                <c:ptCount val="1"/>
                <c:pt idx="0">
                  <c:v>Expansion nette</c:v>
                </c:pt>
              </c:strCache>
            </c:strRef>
          </c:tx>
          <c:spPr>
            <a:ln>
              <a:solidFill>
                <a:srgbClr val="7030A0"/>
              </a:solidFill>
            </a:ln>
          </c:spPr>
          <c:marker>
            <c:symbol val="none"/>
          </c:marker>
          <c:cat>
            <c:numRef>
              <c:f>'GrD-Grafikdaten (2)'!$G$164:$AF$164</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(2)'!$G$166:$AF$166</c:f>
              <c:numCache>
                <c:formatCode>0.00</c:formatCode>
                <c:ptCount val="26"/>
                <c:pt idx="0">
                  <c:v>7.3776770249999952</c:v>
                </c:pt>
                <c:pt idx="1">
                  <c:v>7.4841577890000011</c:v>
                </c:pt>
                <c:pt idx="2">
                  <c:v>7.6024052650000051</c:v>
                </c:pt>
                <c:pt idx="3">
                  <c:v>3.3022457810000034</c:v>
                </c:pt>
                <c:pt idx="4">
                  <c:v>0.79419116499999376</c:v>
                </c:pt>
                <c:pt idx="5">
                  <c:v>1.498</c:v>
                </c:pt>
                <c:pt idx="6">
                  <c:v>1.5249999999999999</c:v>
                </c:pt>
                <c:pt idx="7">
                  <c:v>2.2440000000000002</c:v>
                </c:pt>
                <c:pt idx="8">
                  <c:v>2.4039999999999999</c:v>
                </c:pt>
                <c:pt idx="9">
                  <c:v>2.6869999999999998</c:v>
                </c:pt>
                <c:pt idx="10">
                  <c:v>3.9910000000000001</c:v>
                </c:pt>
                <c:pt idx="11">
                  <c:v>5.3401375199999972</c:v>
                </c:pt>
                <c:pt idx="12">
                  <c:v>4.8293613100000004</c:v>
                </c:pt>
                <c:pt idx="13">
                  <c:v>3.0417784500000016</c:v>
                </c:pt>
                <c:pt idx="14">
                  <c:v>2.8795534499999973</c:v>
                </c:pt>
                <c:pt idx="15">
                  <c:v>2.4729706999999999</c:v>
                </c:pt>
                <c:pt idx="16">
                  <c:v>1.575397940000002</c:v>
                </c:pt>
                <c:pt idx="17">
                  <c:v>1.6554050499999988</c:v>
                </c:pt>
                <c:pt idx="18">
                  <c:v>1.2462488739999955</c:v>
                </c:pt>
                <c:pt idx="19">
                  <c:v>0.52045689000000195</c:v>
                </c:pt>
                <c:pt idx="20">
                  <c:v>-1.9384598400000144</c:v>
                </c:pt>
                <c:pt idx="21">
                  <c:v>-5.0938763400000333</c:v>
                </c:pt>
                <c:pt idx="22">
                  <c:v>-5.5003900600000044</c:v>
                </c:pt>
                <c:pt idx="23">
                  <c:v>-4.3422938800000237</c:v>
                </c:pt>
                <c:pt idx="24">
                  <c:v>-0.6356207599999868</c:v>
                </c:pt>
                <c:pt idx="25">
                  <c:v>1.002</c:v>
                </c:pt>
              </c:numCache>
            </c:numRef>
          </c:val>
          <c:smooth val="0"/>
          <c:extLst>
            <c:ext xmlns:c16="http://schemas.microsoft.com/office/drawing/2014/chart" uri="{C3380CC4-5D6E-409C-BE32-E72D297353CC}">
              <c16:uniqueId val="{00000002-0B77-4749-B39D-8708A4EDCA4F}"/>
            </c:ext>
          </c:extLst>
        </c:ser>
        <c:dLbls>
          <c:showLegendKey val="0"/>
          <c:showVal val="0"/>
          <c:showCatName val="0"/>
          <c:showSerName val="0"/>
          <c:showPercent val="0"/>
          <c:showBubbleSize val="0"/>
        </c:dLbls>
        <c:marker val="1"/>
        <c:smooth val="0"/>
        <c:axId val="45760512"/>
        <c:axId val="45762048"/>
      </c:lineChart>
      <c:catAx>
        <c:axId val="45760512"/>
        <c:scaling>
          <c:orientation val="minMax"/>
        </c:scaling>
        <c:delete val="0"/>
        <c:axPos val="b"/>
        <c:numFmt formatCode="0" sourceLinked="1"/>
        <c:majorTickMark val="out"/>
        <c:minorTickMark val="none"/>
        <c:tickLblPos val="low"/>
        <c:txPr>
          <a:bodyPr rot="-5400000" vert="horz"/>
          <a:lstStyle/>
          <a:p>
            <a:pPr>
              <a:defRPr/>
            </a:pPr>
            <a:endParaRPr lang="en-US"/>
          </a:p>
        </c:txPr>
        <c:crossAx val="45762048"/>
        <c:crosses val="autoZero"/>
        <c:auto val="1"/>
        <c:lblAlgn val="ctr"/>
        <c:lblOffset val="100"/>
        <c:noMultiLvlLbl val="0"/>
      </c:catAx>
      <c:valAx>
        <c:axId val="45762048"/>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de-DE">
                    <a:latin typeface="Arial" panose="020B0604020202020204" pitchFamily="34" charset="0"/>
                    <a:cs typeface="Arial" panose="020B0604020202020204" pitchFamily="34" charset="0"/>
                  </a:rPr>
                  <a:t>GW/a</a:t>
                </a:r>
              </a:p>
            </c:rich>
          </c:tx>
          <c:overlay val="0"/>
        </c:title>
        <c:numFmt formatCode="0.0" sourceLinked="0"/>
        <c:majorTickMark val="out"/>
        <c:minorTickMark val="none"/>
        <c:tickLblPos val="nextTo"/>
        <c:crossAx val="45760512"/>
        <c:crosses val="autoZero"/>
        <c:crossBetween val="between"/>
      </c:valAx>
      <c:spPr>
        <a:solidFill>
          <a:schemeClr val="bg1"/>
        </a:solidFill>
      </c:spPr>
    </c:plotArea>
    <c:legend>
      <c:legendPos val="r"/>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Arial" panose="020B0604020202020204" pitchFamily="34" charset="0"/>
                <a:cs typeface="Arial" panose="020B0604020202020204" pitchFamily="34" charset="0"/>
              </a:defRPr>
            </a:pPr>
            <a:r>
              <a:rPr lang="de-DE">
                <a:latin typeface="Arial" panose="020B0604020202020204" pitchFamily="34" charset="0"/>
                <a:cs typeface="Arial" panose="020B0604020202020204" pitchFamily="34" charset="0"/>
              </a:rPr>
              <a:t>Capacités de Production</a:t>
            </a:r>
          </a:p>
        </c:rich>
      </c:tx>
      <c:layout>
        <c:manualLayout>
          <c:xMode val="edge"/>
          <c:yMode val="edge"/>
          <c:x val="0.26706062997511271"/>
          <c:y val="1.7438128399090563E-2"/>
        </c:manualLayout>
      </c:layout>
      <c:overlay val="1"/>
    </c:title>
    <c:autoTitleDeleted val="0"/>
    <c:plotArea>
      <c:layout>
        <c:manualLayout>
          <c:layoutTarget val="inner"/>
          <c:xMode val="edge"/>
          <c:yMode val="edge"/>
          <c:x val="0.11765566789431738"/>
          <c:y val="0.11625418932727041"/>
          <c:w val="0.57750881704527846"/>
          <c:h val="0.77863852155794344"/>
        </c:manualLayout>
      </c:layout>
      <c:areaChart>
        <c:grouping val="stacked"/>
        <c:varyColors val="0"/>
        <c:ser>
          <c:idx val="10"/>
          <c:order val="0"/>
          <c:tx>
            <c:strRef>
              <c:f>'GrD-Grafikdaten'!$E$207</c:f>
              <c:strCache>
                <c:ptCount val="1"/>
                <c:pt idx="0">
                  <c:v>Capacités ER en dehors de l'EEG </c:v>
                </c:pt>
              </c:strCache>
            </c:strRef>
          </c:tx>
          <c:spPr>
            <a:solidFill>
              <a:srgbClr val="00B0F0"/>
            </a:solidFill>
          </c:spPr>
          <c:val>
            <c:numRef>
              <c:f>'GrD-Grafikdaten'!$F$207:$AE$207</c:f>
              <c:numCache>
                <c:formatCode>0.00</c:formatCode>
                <c:ptCount val="26"/>
                <c:pt idx="0">
                  <c:v>4.840091199999998</c:v>
                </c:pt>
                <c:pt idx="1">
                  <c:v>4.840091199999998</c:v>
                </c:pt>
                <c:pt idx="2">
                  <c:v>4.7665611999999973</c:v>
                </c:pt>
                <c:pt idx="3">
                  <c:v>5.2694293699999983</c:v>
                </c:pt>
                <c:pt idx="4">
                  <c:v>5.5089811999999982</c:v>
                </c:pt>
                <c:pt idx="5">
                  <c:v>5.5479792599999973</c:v>
                </c:pt>
                <c:pt idx="6">
                  <c:v>5.8479792600000016</c:v>
                </c:pt>
                <c:pt idx="7">
                  <c:v>6.2479792600000001</c:v>
                </c:pt>
                <c:pt idx="8">
                  <c:v>6.7479792600000001</c:v>
                </c:pt>
                <c:pt idx="9">
                  <c:v>7.3479792600000016</c:v>
                </c:pt>
                <c:pt idx="10">
                  <c:v>8.0479792599999982</c:v>
                </c:pt>
                <c:pt idx="11">
                  <c:v>9.6276348499999997</c:v>
                </c:pt>
                <c:pt idx="12">
                  <c:v>11.929947339999998</c:v>
                </c:pt>
                <c:pt idx="13">
                  <c:v>14.590371979999997</c:v>
                </c:pt>
                <c:pt idx="14">
                  <c:v>16.850686529999997</c:v>
                </c:pt>
                <c:pt idx="15">
                  <c:v>18.860486830000003</c:v>
                </c:pt>
                <c:pt idx="16">
                  <c:v>19.719476799999995</c:v>
                </c:pt>
                <c:pt idx="17">
                  <c:v>20.091597259999997</c:v>
                </c:pt>
                <c:pt idx="18">
                  <c:v>19.871169946000006</c:v>
                </c:pt>
                <c:pt idx="19">
                  <c:v>19.762262506000003</c:v>
                </c:pt>
                <c:pt idx="20">
                  <c:v>24.190261966000016</c:v>
                </c:pt>
                <c:pt idx="21">
                  <c:v>30.472152396000048</c:v>
                </c:pt>
                <c:pt idx="22">
                  <c:v>37.274591766000057</c:v>
                </c:pt>
                <c:pt idx="23">
                  <c:v>43.598012850000075</c:v>
                </c:pt>
                <c:pt idx="24">
                  <c:v>47.014658290000057</c:v>
                </c:pt>
                <c:pt idx="25">
                  <c:v>46.407648450000046</c:v>
                </c:pt>
              </c:numCache>
            </c:numRef>
          </c:val>
          <c:extLst>
            <c:ext xmlns:c16="http://schemas.microsoft.com/office/drawing/2014/chart" uri="{C3380CC4-5D6E-409C-BE32-E72D297353CC}">
              <c16:uniqueId val="{00000000-AF4F-4545-83D7-E63D08EDE237}"/>
            </c:ext>
          </c:extLst>
        </c:ser>
        <c:ser>
          <c:idx val="0"/>
          <c:order val="1"/>
          <c:tx>
            <c:strRef>
              <c:f>'GrD-Grafikdaten (2)'!$E$26:$F$26</c:f>
              <c:strCache>
                <c:ptCount val="2"/>
                <c:pt idx="0">
                  <c:v>Autres</c:v>
                </c:pt>
                <c:pt idx="1">
                  <c:v>Stock (Bestand)</c:v>
                </c:pt>
              </c:strCache>
            </c:strRef>
          </c:tx>
          <c:spPr>
            <a:pattFill prst="wdUpDiag">
              <a:fgClr>
                <a:schemeClr val="bg2">
                  <a:lumMod val="85000"/>
                </a:schemeClr>
              </a:fgClr>
              <a:bgClr>
                <a:schemeClr val="bg2">
                  <a:lumMod val="95000"/>
                </a:schemeClr>
              </a:bgClr>
            </a:patt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(2)'!$G$26:$AF$26</c:f>
              <c:numCache>
                <c:formatCode>0.00</c:formatCode>
                <c:ptCount val="26"/>
                <c:pt idx="0">
                  <c:v>1.9096960000000005</c:v>
                </c:pt>
                <c:pt idx="1">
                  <c:v>1.9926960000000002</c:v>
                </c:pt>
                <c:pt idx="2">
                  <c:v>2.041496</c:v>
                </c:pt>
                <c:pt idx="3">
                  <c:v>2.1148160000000003</c:v>
                </c:pt>
                <c:pt idx="4">
                  <c:v>2.0976737000000001</c:v>
                </c:pt>
                <c:pt idx="5">
                  <c:v>2.1002012999999997</c:v>
                </c:pt>
                <c:pt idx="6">
                  <c:v>2.1002012999999997</c:v>
                </c:pt>
                <c:pt idx="7">
                  <c:v>2.1002012999999997</c:v>
                </c:pt>
                <c:pt idx="8">
                  <c:v>2.1002012999999997</c:v>
                </c:pt>
                <c:pt idx="9">
                  <c:v>2.1002012999999997</c:v>
                </c:pt>
                <c:pt idx="10">
                  <c:v>2.1002012999999997</c:v>
                </c:pt>
                <c:pt idx="11">
                  <c:v>1.9225510999999997</c:v>
                </c:pt>
                <c:pt idx="12">
                  <c:v>1.8695140999999997</c:v>
                </c:pt>
                <c:pt idx="13">
                  <c:v>1.8068130999999998</c:v>
                </c:pt>
                <c:pt idx="14">
                  <c:v>1.7288980999999999</c:v>
                </c:pt>
                <c:pt idx="15">
                  <c:v>1.6622807999999998</c:v>
                </c:pt>
                <c:pt idx="16">
                  <c:v>1.6486637999999998</c:v>
                </c:pt>
                <c:pt idx="17">
                  <c:v>1.6401277999999999</c:v>
                </c:pt>
                <c:pt idx="18">
                  <c:v>1.6286127999999997</c:v>
                </c:pt>
                <c:pt idx="19">
                  <c:v>1.6229087999999998</c:v>
                </c:pt>
                <c:pt idx="20">
                  <c:v>1.4983741800000001</c:v>
                </c:pt>
                <c:pt idx="21">
                  <c:v>1.4041039899999999</c:v>
                </c:pt>
                <c:pt idx="22">
                  <c:v>1.32145924</c:v>
                </c:pt>
                <c:pt idx="23">
                  <c:v>1.2613438899999998</c:v>
                </c:pt>
                <c:pt idx="24">
                  <c:v>1.1409935499999999</c:v>
                </c:pt>
                <c:pt idx="25">
                  <c:v>1.1188063499999998</c:v>
                </c:pt>
              </c:numCache>
            </c:numRef>
          </c:val>
          <c:extLst>
            <c:ext xmlns:c16="http://schemas.microsoft.com/office/drawing/2014/chart" uri="{C3380CC4-5D6E-409C-BE32-E72D297353CC}">
              <c16:uniqueId val="{00000001-AF4F-4545-83D7-E63D08EDE237}"/>
            </c:ext>
          </c:extLst>
        </c:ser>
        <c:ser>
          <c:idx val="1"/>
          <c:order val="2"/>
          <c:tx>
            <c:strRef>
              <c:f>'GrD-Grafikdaten (2)'!$E$27:$F$27</c:f>
              <c:strCache>
                <c:ptCount val="2"/>
                <c:pt idx="0">
                  <c:v>Biomasse</c:v>
                </c:pt>
                <c:pt idx="1">
                  <c:v>Stock (Bestand)</c:v>
                </c:pt>
              </c:strCache>
            </c:strRef>
          </c:tx>
          <c:spPr>
            <a:pattFill prst="wdUpDiag">
              <a:fgClr>
                <a:srgbClr val="467850"/>
              </a:fgClr>
              <a:bgClr>
                <a:schemeClr val="bg1"/>
              </a:bgClr>
            </a:patt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(2)'!$G$27:$AF$27</c:f>
              <c:numCache>
                <c:formatCode>0.00</c:formatCode>
                <c:ptCount val="26"/>
                <c:pt idx="0">
                  <c:v>4.7640008000000016</c:v>
                </c:pt>
                <c:pt idx="1">
                  <c:v>5.6870008000000016</c:v>
                </c:pt>
                <c:pt idx="2">
                  <c:v>5.9240008000000017</c:v>
                </c:pt>
                <c:pt idx="3">
                  <c:v>6.1060008000000012</c:v>
                </c:pt>
                <c:pt idx="4">
                  <c:v>6.7320000000000002</c:v>
                </c:pt>
                <c:pt idx="5">
                  <c:v>7.0343045899999996</c:v>
                </c:pt>
                <c:pt idx="6">
                  <c:v>7.0343045899999996</c:v>
                </c:pt>
                <c:pt idx="7">
                  <c:v>7.0343045899999996</c:v>
                </c:pt>
                <c:pt idx="8">
                  <c:v>7.0343045899999996</c:v>
                </c:pt>
                <c:pt idx="9">
                  <c:v>7.0343045899999996</c:v>
                </c:pt>
                <c:pt idx="10">
                  <c:v>7.0343045899999996</c:v>
                </c:pt>
                <c:pt idx="11">
                  <c:v>6.6231892300000004</c:v>
                </c:pt>
                <c:pt idx="12">
                  <c:v>6.4349554299999987</c:v>
                </c:pt>
                <c:pt idx="13">
                  <c:v>6.2947062699999998</c:v>
                </c:pt>
                <c:pt idx="14">
                  <c:v>6.0627479199999996</c:v>
                </c:pt>
                <c:pt idx="15">
                  <c:v>5.4902409299999997</c:v>
                </c:pt>
                <c:pt idx="16">
                  <c:v>4.7945024299999996</c:v>
                </c:pt>
                <c:pt idx="17">
                  <c:v>3.9465003999999988</c:v>
                </c:pt>
                <c:pt idx="18">
                  <c:v>3.3060079999999994</c:v>
                </c:pt>
                <c:pt idx="19">
                  <c:v>2.9487315999999995</c:v>
                </c:pt>
                <c:pt idx="20">
                  <c:v>2.4935236000000001</c:v>
                </c:pt>
                <c:pt idx="21">
                  <c:v>1.8564320000000003</c:v>
                </c:pt>
                <c:pt idx="22">
                  <c:v>0.80025794000000006</c:v>
                </c:pt>
                <c:pt idx="23">
                  <c:v>0.46639323999999999</c:v>
                </c:pt>
                <c:pt idx="24">
                  <c:v>0.21003932999999994</c:v>
                </c:pt>
                <c:pt idx="25">
                  <c:v>0</c:v>
                </c:pt>
              </c:numCache>
            </c:numRef>
          </c:val>
          <c:extLst>
            <c:ext xmlns:c16="http://schemas.microsoft.com/office/drawing/2014/chart" uri="{C3380CC4-5D6E-409C-BE32-E72D297353CC}">
              <c16:uniqueId val="{00000002-AF4F-4545-83D7-E63D08EDE237}"/>
            </c:ext>
          </c:extLst>
        </c:ser>
        <c:ser>
          <c:idx val="2"/>
          <c:order val="3"/>
          <c:tx>
            <c:strRef>
              <c:f>'GrD-Grafikdaten (2)'!$E$28:$F$28</c:f>
              <c:strCache>
                <c:ptCount val="2"/>
                <c:pt idx="0">
                  <c:v>Eolien Onshore</c:v>
                </c:pt>
                <c:pt idx="1">
                  <c:v>Stock (Bestand)</c:v>
                </c:pt>
              </c:strCache>
            </c:strRef>
          </c:tx>
          <c:spPr>
            <a:pattFill prst="wdUpDiag">
              <a:fgClr>
                <a:srgbClr val="1F82C0"/>
              </a:fgClr>
              <a:bgClr>
                <a:schemeClr val="bg1"/>
              </a:bgClr>
            </a:patt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(2)'!$G$28:$AF$28</c:f>
              <c:numCache>
                <c:formatCode>0.00</c:formatCode>
                <c:ptCount val="26"/>
                <c:pt idx="0">
                  <c:v>27.067</c:v>
                </c:pt>
                <c:pt idx="1">
                  <c:v>28.911999999999999</c:v>
                </c:pt>
                <c:pt idx="2">
                  <c:v>31.050999999999998</c:v>
                </c:pt>
                <c:pt idx="3">
                  <c:v>33.811999999999998</c:v>
                </c:pt>
                <c:pt idx="4">
                  <c:v>37.777000000000001</c:v>
                </c:pt>
                <c:pt idx="5">
                  <c:v>37.464569480000002</c:v>
                </c:pt>
                <c:pt idx="6">
                  <c:v>37.164569479999997</c:v>
                </c:pt>
                <c:pt idx="7">
                  <c:v>36.764569479999999</c:v>
                </c:pt>
                <c:pt idx="8">
                  <c:v>36.264569479999999</c:v>
                </c:pt>
                <c:pt idx="9">
                  <c:v>35.664569479999997</c:v>
                </c:pt>
                <c:pt idx="10">
                  <c:v>34.964569480000002</c:v>
                </c:pt>
                <c:pt idx="11">
                  <c:v>33.158776369999998</c:v>
                </c:pt>
                <c:pt idx="12">
                  <c:v>30.565102570000001</c:v>
                </c:pt>
                <c:pt idx="13">
                  <c:v>27.51489948</c:v>
                </c:pt>
                <c:pt idx="14">
                  <c:v>24.797031480000001</c:v>
                </c:pt>
                <c:pt idx="15">
                  <c:v>22.74326048</c:v>
                </c:pt>
                <c:pt idx="16">
                  <c:v>20.92921698</c:v>
                </c:pt>
                <c:pt idx="17">
                  <c:v>18.699378980000002</c:v>
                </c:pt>
                <c:pt idx="18">
                  <c:v>17.013132779999999</c:v>
                </c:pt>
                <c:pt idx="19">
                  <c:v>16.241268779999999</c:v>
                </c:pt>
                <c:pt idx="20">
                  <c:v>13.541928859999999</c:v>
                </c:pt>
                <c:pt idx="21">
                  <c:v>12.115269209999999</c:v>
                </c:pt>
                <c:pt idx="22">
                  <c:v>10.238786949999998</c:v>
                </c:pt>
                <c:pt idx="23">
                  <c:v>7.8176624199999987</c:v>
                </c:pt>
                <c:pt idx="24">
                  <c:v>4.7852306299999992</c:v>
                </c:pt>
                <c:pt idx="25">
                  <c:v>0</c:v>
                </c:pt>
              </c:numCache>
            </c:numRef>
          </c:val>
          <c:extLst>
            <c:ext xmlns:c16="http://schemas.microsoft.com/office/drawing/2014/chart" uri="{C3380CC4-5D6E-409C-BE32-E72D297353CC}">
              <c16:uniqueId val="{00000003-AF4F-4545-83D7-E63D08EDE237}"/>
            </c:ext>
          </c:extLst>
        </c:ser>
        <c:ser>
          <c:idx val="3"/>
          <c:order val="4"/>
          <c:tx>
            <c:strRef>
              <c:f>'GrD-Grafikdaten (2)'!$E$29:$F$29</c:f>
              <c:strCache>
                <c:ptCount val="2"/>
                <c:pt idx="0">
                  <c:v>Eolien Offshore</c:v>
                </c:pt>
                <c:pt idx="1">
                  <c:v>Stock (Bestand)</c:v>
                </c:pt>
              </c:strCache>
            </c:strRef>
          </c:tx>
          <c:spPr>
            <a:pattFill prst="wdUpDiag">
              <a:fgClr>
                <a:schemeClr val="accent4">
                  <a:lumMod val="50000"/>
                </a:schemeClr>
              </a:fgClr>
              <a:bgClr>
                <a:schemeClr val="bg1"/>
              </a:bgClr>
            </a:patt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(2)'!$G$29:$AF$29</c:f>
              <c:numCache>
                <c:formatCode>0.00</c:formatCode>
                <c:ptCount val="26"/>
                <c:pt idx="0">
                  <c:v>0.08</c:v>
                </c:pt>
                <c:pt idx="1">
                  <c:v>0.188</c:v>
                </c:pt>
                <c:pt idx="2">
                  <c:v>0.28029999999999999</c:v>
                </c:pt>
                <c:pt idx="3">
                  <c:v>0.52029999999999998</c:v>
                </c:pt>
                <c:pt idx="4">
                  <c:v>0.998</c:v>
                </c:pt>
                <c:pt idx="5">
                  <c:v>0.99719999999999998</c:v>
                </c:pt>
                <c:pt idx="6">
                  <c:v>0.99719999999999998</c:v>
                </c:pt>
                <c:pt idx="7">
                  <c:v>0.99719999999999998</c:v>
                </c:pt>
                <c:pt idx="8">
                  <c:v>0.99719999999999998</c:v>
                </c:pt>
                <c:pt idx="9">
                  <c:v>0.99719999999999998</c:v>
                </c:pt>
                <c:pt idx="10">
                  <c:v>0.99719999999999998</c:v>
                </c:pt>
                <c:pt idx="11">
                  <c:v>0.99719999999999998</c:v>
                </c:pt>
                <c:pt idx="12">
                  <c:v>0.99719999999999998</c:v>
                </c:pt>
                <c:pt idx="13">
                  <c:v>0.99719999999999998</c:v>
                </c:pt>
                <c:pt idx="14">
                  <c:v>0.99719999999999998</c:v>
                </c:pt>
                <c:pt idx="15">
                  <c:v>0.99719999999999998</c:v>
                </c:pt>
                <c:pt idx="16">
                  <c:v>0.99719999999999998</c:v>
                </c:pt>
                <c:pt idx="17">
                  <c:v>0.99719999999999998</c:v>
                </c:pt>
                <c:pt idx="18">
                  <c:v>0.99719999999999998</c:v>
                </c:pt>
                <c:pt idx="19">
                  <c:v>0.99719999999999998</c:v>
                </c:pt>
                <c:pt idx="20">
                  <c:v>0.96219999999999994</c:v>
                </c:pt>
                <c:pt idx="21">
                  <c:v>0.9171999999999999</c:v>
                </c:pt>
                <c:pt idx="22">
                  <c:v>0.80889999999999995</c:v>
                </c:pt>
                <c:pt idx="23">
                  <c:v>0.72889999999999999</c:v>
                </c:pt>
                <c:pt idx="24">
                  <c:v>0.4889</c:v>
                </c:pt>
                <c:pt idx="25">
                  <c:v>0</c:v>
                </c:pt>
              </c:numCache>
            </c:numRef>
          </c:val>
          <c:extLst>
            <c:ext xmlns:c16="http://schemas.microsoft.com/office/drawing/2014/chart" uri="{C3380CC4-5D6E-409C-BE32-E72D297353CC}">
              <c16:uniqueId val="{00000004-AF4F-4545-83D7-E63D08EDE237}"/>
            </c:ext>
          </c:extLst>
        </c:ser>
        <c:ser>
          <c:idx val="4"/>
          <c:order val="5"/>
          <c:tx>
            <c:strRef>
              <c:f>'GrD-Grafikdaten (2)'!$E$30:$F$30</c:f>
              <c:strCache>
                <c:ptCount val="2"/>
                <c:pt idx="0">
                  <c:v>Solaire</c:v>
                </c:pt>
                <c:pt idx="1">
                  <c:v>Stock (Bestand)</c:v>
                </c:pt>
              </c:strCache>
            </c:strRef>
          </c:tx>
          <c:spPr>
            <a:pattFill prst="wdUpDiag">
              <a:fgClr>
                <a:srgbClr val="FFD744"/>
              </a:fgClr>
              <a:bgClr>
                <a:schemeClr val="bg1"/>
              </a:bgClr>
            </a:patt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(2)'!$G$30:$AF$30</c:f>
              <c:numCache>
                <c:formatCode>0.00</c:formatCode>
                <c:ptCount val="26"/>
                <c:pt idx="0">
                  <c:v>17.943999999999999</c:v>
                </c:pt>
                <c:pt idx="1">
                  <c:v>25.428157789</c:v>
                </c:pt>
                <c:pt idx="2">
                  <c:v>33.030563054000005</c:v>
                </c:pt>
                <c:pt idx="3">
                  <c:v>36.332808835000009</c:v>
                </c:pt>
                <c:pt idx="4">
                  <c:v>37.127000000000002</c:v>
                </c:pt>
                <c:pt idx="5">
                  <c:v>37.849889986000065</c:v>
                </c:pt>
                <c:pt idx="6">
                  <c:v>37.849889986000065</c:v>
                </c:pt>
                <c:pt idx="7">
                  <c:v>37.849889986000065</c:v>
                </c:pt>
                <c:pt idx="8">
                  <c:v>37.849889986000065</c:v>
                </c:pt>
                <c:pt idx="9">
                  <c:v>37.849889986000065</c:v>
                </c:pt>
                <c:pt idx="10">
                  <c:v>37.849889986000065</c:v>
                </c:pt>
                <c:pt idx="11">
                  <c:v>37.776027506000062</c:v>
                </c:pt>
                <c:pt idx="12">
                  <c:v>37.667388816000063</c:v>
                </c:pt>
                <c:pt idx="13">
                  <c:v>37.557167266000064</c:v>
                </c:pt>
                <c:pt idx="14">
                  <c:v>37.414720716000062</c:v>
                </c:pt>
                <c:pt idx="15">
                  <c:v>36.758691416000062</c:v>
                </c:pt>
                <c:pt idx="16">
                  <c:v>35.834089356000064</c:v>
                </c:pt>
                <c:pt idx="17">
                  <c:v>34.989494406000063</c:v>
                </c:pt>
                <c:pt idx="18">
                  <c:v>33.735743280000058</c:v>
                </c:pt>
                <c:pt idx="19">
                  <c:v>31.75620017000006</c:v>
                </c:pt>
                <c:pt idx="20">
                  <c:v>27.317740330000046</c:v>
                </c:pt>
                <c:pt idx="21">
                  <c:v>19.723863990000012</c:v>
                </c:pt>
                <c:pt idx="22">
                  <c:v>11.723473930000008</c:v>
                </c:pt>
                <c:pt idx="23">
                  <c:v>4.8811800499999842</c:v>
                </c:pt>
                <c:pt idx="24">
                  <c:v>1.7455592899999977</c:v>
                </c:pt>
                <c:pt idx="25">
                  <c:v>0</c:v>
                </c:pt>
              </c:numCache>
            </c:numRef>
          </c:val>
          <c:extLst>
            <c:ext xmlns:c16="http://schemas.microsoft.com/office/drawing/2014/chart" uri="{C3380CC4-5D6E-409C-BE32-E72D297353CC}">
              <c16:uniqueId val="{00000005-AF4F-4545-83D7-E63D08EDE237}"/>
            </c:ext>
          </c:extLst>
        </c:ser>
        <c:ser>
          <c:idx val="5"/>
          <c:order val="6"/>
          <c:tx>
            <c:strRef>
              <c:f>'GrD-Grafikdaten (2)'!$E$31:$F$31</c:f>
              <c:strCache>
                <c:ptCount val="2"/>
                <c:pt idx="0">
                  <c:v>Autres</c:v>
                </c:pt>
              </c:strCache>
            </c:strRef>
          </c:tx>
          <c:spPr>
            <a:solidFill>
              <a:schemeClr val="accent6"/>
            </a:solid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(2)'!$G$31:$AF$31</c:f>
              <c:numCache>
                <c:formatCode>0.00</c:formatCode>
                <c:ptCount val="26"/>
                <c:pt idx="0">
                  <c:v>0</c:v>
                </c:pt>
                <c:pt idx="1">
                  <c:v>0</c:v>
                </c:pt>
                <c:pt idx="2">
                  <c:v>0</c:v>
                </c:pt>
                <c:pt idx="3">
                  <c:v>0</c:v>
                </c:pt>
                <c:pt idx="4">
                  <c:v>0</c:v>
                </c:pt>
                <c:pt idx="5">
                  <c:v>0.33407918500000011</c:v>
                </c:pt>
                <c:pt idx="6">
                  <c:v>0.36479695999999984</c:v>
                </c:pt>
                <c:pt idx="7">
                  <c:v>0.37389695999999994</c:v>
                </c:pt>
                <c:pt idx="8">
                  <c:v>0.39989695999999986</c:v>
                </c:pt>
                <c:pt idx="9">
                  <c:v>0.42289695999999977</c:v>
                </c:pt>
                <c:pt idx="10">
                  <c:v>0.44289695999999967</c:v>
                </c:pt>
                <c:pt idx="11">
                  <c:v>0.44289695999999967</c:v>
                </c:pt>
                <c:pt idx="12">
                  <c:v>0.44289695999999967</c:v>
                </c:pt>
                <c:pt idx="13">
                  <c:v>0.44289695999999967</c:v>
                </c:pt>
                <c:pt idx="14">
                  <c:v>0.44289695999999967</c:v>
                </c:pt>
                <c:pt idx="15">
                  <c:v>0.44289695999999967</c:v>
                </c:pt>
                <c:pt idx="16">
                  <c:v>0.44289695999999967</c:v>
                </c:pt>
                <c:pt idx="17">
                  <c:v>0.44289695999999967</c:v>
                </c:pt>
                <c:pt idx="18">
                  <c:v>0.44289695999999967</c:v>
                </c:pt>
                <c:pt idx="19">
                  <c:v>0.44289695999999973</c:v>
                </c:pt>
                <c:pt idx="20">
                  <c:v>0.44289695999999973</c:v>
                </c:pt>
                <c:pt idx="21">
                  <c:v>0.44289695999999967</c:v>
                </c:pt>
                <c:pt idx="22">
                  <c:v>0.44289695999999967</c:v>
                </c:pt>
                <c:pt idx="23">
                  <c:v>0.44289695999999967</c:v>
                </c:pt>
                <c:pt idx="24">
                  <c:v>0.44289695999999967</c:v>
                </c:pt>
                <c:pt idx="25">
                  <c:v>0.12847737500000031</c:v>
                </c:pt>
              </c:numCache>
            </c:numRef>
          </c:val>
          <c:extLst>
            <c:ext xmlns:c16="http://schemas.microsoft.com/office/drawing/2014/chart" uri="{C3380CC4-5D6E-409C-BE32-E72D297353CC}">
              <c16:uniqueId val="{00000006-AF4F-4545-83D7-E63D08EDE237}"/>
            </c:ext>
          </c:extLst>
        </c:ser>
        <c:ser>
          <c:idx val="6"/>
          <c:order val="7"/>
          <c:tx>
            <c:strRef>
              <c:f>'GrD-Grafikdaten (2)'!$E$32:$F$32</c:f>
              <c:strCache>
                <c:ptCount val="2"/>
                <c:pt idx="0">
                  <c:v>Biomasse</c:v>
                </c:pt>
              </c:strCache>
            </c:strRef>
          </c:tx>
          <c:spPr>
            <a:solidFill>
              <a:srgbClr val="467850"/>
            </a:solid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(2)'!$G$32:$AF$32</c:f>
              <c:numCache>
                <c:formatCode>0.00</c:formatCode>
                <c:ptCount val="26"/>
                <c:pt idx="0">
                  <c:v>0</c:v>
                </c:pt>
                <c:pt idx="1">
                  <c:v>0</c:v>
                </c:pt>
                <c:pt idx="2">
                  <c:v>0</c:v>
                </c:pt>
                <c:pt idx="3">
                  <c:v>0</c:v>
                </c:pt>
                <c:pt idx="4">
                  <c:v>0</c:v>
                </c:pt>
                <c:pt idx="5">
                  <c:v>-0.28973329000000003</c:v>
                </c:pt>
                <c:pt idx="6">
                  <c:v>-0.13757429000000077</c:v>
                </c:pt>
                <c:pt idx="7">
                  <c:v>8.342570999999932E-2</c:v>
                </c:pt>
                <c:pt idx="8">
                  <c:v>0.41842570999999928</c:v>
                </c:pt>
                <c:pt idx="9">
                  <c:v>0.61342570999999957</c:v>
                </c:pt>
                <c:pt idx="10">
                  <c:v>0.78942570999999973</c:v>
                </c:pt>
                <c:pt idx="11">
                  <c:v>0.91342570999999939</c:v>
                </c:pt>
                <c:pt idx="12">
                  <c:v>0.94942570999999898</c:v>
                </c:pt>
                <c:pt idx="13">
                  <c:v>0.98942570999999901</c:v>
                </c:pt>
                <c:pt idx="14">
                  <c:v>1.0324257099999992</c:v>
                </c:pt>
                <c:pt idx="15">
                  <c:v>1.0774257099999991</c:v>
                </c:pt>
                <c:pt idx="16">
                  <c:v>1.2774257099999993</c:v>
                </c:pt>
                <c:pt idx="17">
                  <c:v>1.4774257099999994</c:v>
                </c:pt>
                <c:pt idx="18">
                  <c:v>1.6774257099999996</c:v>
                </c:pt>
                <c:pt idx="19">
                  <c:v>1.8774257099999998</c:v>
                </c:pt>
                <c:pt idx="20">
                  <c:v>2.0774257099999995</c:v>
                </c:pt>
                <c:pt idx="21">
                  <c:v>2.2774257099999997</c:v>
                </c:pt>
                <c:pt idx="22">
                  <c:v>2.4774257099999994</c:v>
                </c:pt>
                <c:pt idx="23">
                  <c:v>2.6774257099999996</c:v>
                </c:pt>
                <c:pt idx="24">
                  <c:v>2.8774257099999998</c:v>
                </c:pt>
                <c:pt idx="25">
                  <c:v>3.2748937400000004</c:v>
                </c:pt>
              </c:numCache>
            </c:numRef>
          </c:val>
          <c:extLst>
            <c:ext xmlns:c16="http://schemas.microsoft.com/office/drawing/2014/chart" uri="{C3380CC4-5D6E-409C-BE32-E72D297353CC}">
              <c16:uniqueId val="{00000007-AF4F-4545-83D7-E63D08EDE237}"/>
            </c:ext>
          </c:extLst>
        </c:ser>
        <c:ser>
          <c:idx val="7"/>
          <c:order val="8"/>
          <c:tx>
            <c:strRef>
              <c:f>'GrD-Grafikdaten (2)'!$E$33:$F$33</c:f>
              <c:strCache>
                <c:ptCount val="2"/>
                <c:pt idx="0">
                  <c:v>Eolien Onshore</c:v>
                </c:pt>
              </c:strCache>
            </c:strRef>
          </c:tx>
          <c:spPr>
            <a:solidFill>
              <a:srgbClr val="1F82C0"/>
            </a:solid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(2)'!$G$33:$AF$33</c:f>
              <c:numCache>
                <c:formatCode>0.00</c:formatCode>
                <c:ptCount val="26"/>
                <c:pt idx="0">
                  <c:v>0</c:v>
                </c:pt>
                <c:pt idx="1">
                  <c:v>0</c:v>
                </c:pt>
                <c:pt idx="2">
                  <c:v>0</c:v>
                </c:pt>
                <c:pt idx="3">
                  <c:v>0</c:v>
                </c:pt>
                <c:pt idx="4">
                  <c:v>0</c:v>
                </c:pt>
                <c:pt idx="5">
                  <c:v>3.8484305200000009</c:v>
                </c:pt>
                <c:pt idx="6">
                  <c:v>8.4734305200000009</c:v>
                </c:pt>
                <c:pt idx="7">
                  <c:v>13.704430520000003</c:v>
                </c:pt>
                <c:pt idx="8">
                  <c:v>17.15043052</c:v>
                </c:pt>
                <c:pt idx="9">
                  <c:v>18.488430520000001</c:v>
                </c:pt>
                <c:pt idx="10">
                  <c:v>19.988430520000001</c:v>
                </c:pt>
                <c:pt idx="11">
                  <c:v>21.488430520000001</c:v>
                </c:pt>
                <c:pt idx="12">
                  <c:v>23.488430520000001</c:v>
                </c:pt>
                <c:pt idx="13">
                  <c:v>25.988430520000005</c:v>
                </c:pt>
                <c:pt idx="14">
                  <c:v>28.488430520000009</c:v>
                </c:pt>
                <c:pt idx="15">
                  <c:v>30.988430520000012</c:v>
                </c:pt>
                <c:pt idx="16">
                  <c:v>33.488430520000016</c:v>
                </c:pt>
                <c:pt idx="17">
                  <c:v>35.988430520000009</c:v>
                </c:pt>
                <c:pt idx="18">
                  <c:v>38.488430520000016</c:v>
                </c:pt>
                <c:pt idx="19">
                  <c:v>40.988430520000016</c:v>
                </c:pt>
                <c:pt idx="20">
                  <c:v>43.488430520000016</c:v>
                </c:pt>
                <c:pt idx="21">
                  <c:v>45.988430520000016</c:v>
                </c:pt>
                <c:pt idx="22">
                  <c:v>48.488430520000016</c:v>
                </c:pt>
                <c:pt idx="23">
                  <c:v>50.988430520000016</c:v>
                </c:pt>
                <c:pt idx="24">
                  <c:v>53.488430520000016</c:v>
                </c:pt>
                <c:pt idx="25">
                  <c:v>57.237661150000015</c:v>
                </c:pt>
              </c:numCache>
            </c:numRef>
          </c:val>
          <c:extLst>
            <c:ext xmlns:c16="http://schemas.microsoft.com/office/drawing/2014/chart" uri="{C3380CC4-5D6E-409C-BE32-E72D297353CC}">
              <c16:uniqueId val="{00000008-AF4F-4545-83D7-E63D08EDE237}"/>
            </c:ext>
          </c:extLst>
        </c:ser>
        <c:ser>
          <c:idx val="8"/>
          <c:order val="9"/>
          <c:tx>
            <c:strRef>
              <c:f>'GrD-Grafikdaten (2)'!$E$34:$F$34</c:f>
              <c:strCache>
                <c:ptCount val="2"/>
                <c:pt idx="0">
                  <c:v>Eolien Offshore</c:v>
                </c:pt>
              </c:strCache>
            </c:strRef>
          </c:tx>
          <c:spPr>
            <a:solidFill>
              <a:srgbClr val="006099"/>
            </a:solid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(2)'!$G$34:$AF$34</c:f>
              <c:numCache>
                <c:formatCode>0.00</c:formatCode>
                <c:ptCount val="26"/>
                <c:pt idx="0">
                  <c:v>0</c:v>
                </c:pt>
                <c:pt idx="1">
                  <c:v>0</c:v>
                </c:pt>
                <c:pt idx="2">
                  <c:v>0</c:v>
                </c:pt>
                <c:pt idx="3">
                  <c:v>0</c:v>
                </c:pt>
                <c:pt idx="4">
                  <c:v>0</c:v>
                </c:pt>
                <c:pt idx="5">
                  <c:v>2.2857999999999996</c:v>
                </c:pt>
                <c:pt idx="6">
                  <c:v>3.1037999999999992</c:v>
                </c:pt>
                <c:pt idx="7">
                  <c:v>4.4097999999999988</c:v>
                </c:pt>
                <c:pt idx="8">
                  <c:v>5.359799999999999</c:v>
                </c:pt>
                <c:pt idx="9">
                  <c:v>6.7687999999999988</c:v>
                </c:pt>
                <c:pt idx="10">
                  <c:v>6.7687999999999988</c:v>
                </c:pt>
                <c:pt idx="11">
                  <c:v>6.7687999999999988</c:v>
                </c:pt>
                <c:pt idx="12">
                  <c:v>7.1107999999999985</c:v>
                </c:pt>
                <c:pt idx="13">
                  <c:v>8.085799999999999</c:v>
                </c:pt>
                <c:pt idx="14">
                  <c:v>8.9857999999999993</c:v>
                </c:pt>
                <c:pt idx="15">
                  <c:v>9.8857999999999997</c:v>
                </c:pt>
                <c:pt idx="16">
                  <c:v>10.7858</c:v>
                </c:pt>
                <c:pt idx="17">
                  <c:v>11.6858</c:v>
                </c:pt>
                <c:pt idx="18">
                  <c:v>12.585800000000001</c:v>
                </c:pt>
                <c:pt idx="19">
                  <c:v>13.485800000000001</c:v>
                </c:pt>
                <c:pt idx="20">
                  <c:v>14.385800000000001</c:v>
                </c:pt>
                <c:pt idx="21">
                  <c:v>15.2858</c:v>
                </c:pt>
                <c:pt idx="22">
                  <c:v>16.185799999999997</c:v>
                </c:pt>
                <c:pt idx="23">
                  <c:v>17.085799999999999</c:v>
                </c:pt>
                <c:pt idx="24">
                  <c:v>17.985799999999998</c:v>
                </c:pt>
                <c:pt idx="25">
                  <c:v>17.089700000000001</c:v>
                </c:pt>
              </c:numCache>
            </c:numRef>
          </c:val>
          <c:extLst>
            <c:ext xmlns:c16="http://schemas.microsoft.com/office/drawing/2014/chart" uri="{C3380CC4-5D6E-409C-BE32-E72D297353CC}">
              <c16:uniqueId val="{00000009-AF4F-4545-83D7-E63D08EDE237}"/>
            </c:ext>
          </c:extLst>
        </c:ser>
        <c:ser>
          <c:idx val="9"/>
          <c:order val="10"/>
          <c:tx>
            <c:strRef>
              <c:f>'GrD-Grafikdaten (2)'!$E$35:$F$35</c:f>
              <c:strCache>
                <c:ptCount val="2"/>
                <c:pt idx="0">
                  <c:v>Solaire</c:v>
                </c:pt>
              </c:strCache>
            </c:strRef>
          </c:tx>
          <c:spPr>
            <a:solidFill>
              <a:srgbClr val="FFD744"/>
            </a:solidFill>
            <a:ln>
              <a:solidFill>
                <a:schemeClr val="tx1"/>
              </a:solidFill>
            </a:ln>
          </c:spPr>
          <c:cat>
            <c:numRef>
              <c:f>'GrD-Grafikdaten (2)'!$G$25:$AF$25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(2)'!$G$35:$AF$35</c:f>
              <c:numCache>
                <c:formatCode>0.00</c:formatCode>
                <c:ptCount val="26"/>
                <c:pt idx="0">
                  <c:v>0</c:v>
                </c:pt>
                <c:pt idx="1">
                  <c:v>0</c:v>
                </c:pt>
                <c:pt idx="2">
                  <c:v>0</c:v>
                </c:pt>
                <c:pt idx="3">
                  <c:v>0</c:v>
                </c:pt>
                <c:pt idx="4">
                  <c:v>0</c:v>
                </c:pt>
                <c:pt idx="5">
                  <c:v>0.77511001399993518</c:v>
                </c:pt>
                <c:pt idx="6">
                  <c:v>2.3001100139999338</c:v>
                </c:pt>
                <c:pt idx="7">
                  <c:v>4.5441100139999335</c:v>
                </c:pt>
                <c:pt idx="8">
                  <c:v>6.948110013999937</c:v>
                </c:pt>
                <c:pt idx="9">
                  <c:v>9.6351100139999346</c:v>
                </c:pt>
                <c:pt idx="10">
                  <c:v>13.626110013999934</c:v>
                </c:pt>
                <c:pt idx="11">
                  <c:v>19.040110013999936</c:v>
                </c:pt>
                <c:pt idx="12">
                  <c:v>23.978110013999938</c:v>
                </c:pt>
                <c:pt idx="13">
                  <c:v>27.130110013999939</c:v>
                </c:pt>
                <c:pt idx="14">
                  <c:v>30.152110013999945</c:v>
                </c:pt>
                <c:pt idx="15">
                  <c:v>33.28111001399995</c:v>
                </c:pt>
                <c:pt idx="16">
                  <c:v>35.78111001399995</c:v>
                </c:pt>
                <c:pt idx="17">
                  <c:v>38.28111001399995</c:v>
                </c:pt>
                <c:pt idx="18">
                  <c:v>40.781110013999957</c:v>
                </c:pt>
                <c:pt idx="19">
                  <c:v>43.281110013999964</c:v>
                </c:pt>
                <c:pt idx="20">
                  <c:v>45.78111001399995</c:v>
                </c:pt>
                <c:pt idx="21">
                  <c:v>48.28111001399995</c:v>
                </c:pt>
                <c:pt idx="22">
                  <c:v>50.78111001399995</c:v>
                </c:pt>
                <c:pt idx="23">
                  <c:v>53.281110013999957</c:v>
                </c:pt>
                <c:pt idx="24">
                  <c:v>55.781110013999957</c:v>
                </c:pt>
                <c:pt idx="25">
                  <c:v>58.528669303999955</c:v>
                </c:pt>
              </c:numCache>
            </c:numRef>
          </c:val>
          <c:extLst>
            <c:ext xmlns:c16="http://schemas.microsoft.com/office/drawing/2014/chart" uri="{C3380CC4-5D6E-409C-BE32-E72D297353CC}">
              <c16:uniqueId val="{0000000A-AF4F-4545-83D7-E63D08EDE237}"/>
            </c:ext>
          </c:extLst>
        </c:ser>
        <c:dLbls>
          <c:showLegendKey val="0"/>
          <c:showVal val="0"/>
          <c:showCatName val="0"/>
          <c:showSerName val="0"/>
          <c:showPercent val="0"/>
          <c:showBubbleSize val="0"/>
        </c:dLbls>
        <c:axId val="45804160"/>
        <c:axId val="45818240"/>
      </c:areaChart>
      <c:catAx>
        <c:axId val="45804160"/>
        <c:scaling>
          <c:orientation val="minMax"/>
        </c:scaling>
        <c:delete val="0"/>
        <c:axPos val="b"/>
        <c:numFmt formatCode="0" sourceLinked="1"/>
        <c:majorTickMark val="out"/>
        <c:minorTickMark val="none"/>
        <c:tickLblPos val="nextTo"/>
        <c:crossAx val="45818240"/>
        <c:crosses val="autoZero"/>
        <c:auto val="1"/>
        <c:lblAlgn val="ctr"/>
        <c:lblOffset val="100"/>
        <c:noMultiLvlLbl val="0"/>
      </c:catAx>
      <c:valAx>
        <c:axId val="45818240"/>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GW</a:t>
                </a:r>
              </a:p>
            </c:rich>
          </c:tx>
          <c:overlay val="0"/>
        </c:title>
        <c:numFmt formatCode="0" sourceLinked="0"/>
        <c:majorTickMark val="out"/>
        <c:minorTickMark val="none"/>
        <c:tickLblPos val="nextTo"/>
        <c:crossAx val="45804160"/>
        <c:crosses val="autoZero"/>
        <c:crossBetween val="midCat"/>
      </c:valAx>
      <c:spPr>
        <a:solidFill>
          <a:schemeClr val="bg1"/>
        </a:solidFill>
      </c:spPr>
    </c:plotArea>
    <c:legend>
      <c:legendPos val="r"/>
      <c:layout>
        <c:manualLayout>
          <c:xMode val="edge"/>
          <c:yMode val="edge"/>
          <c:x val="0.7167489380908072"/>
          <c:y val="9.0971369099946117E-2"/>
          <c:w val="0.25450887063556782"/>
          <c:h val="0.81558093608885418"/>
        </c:manualLayout>
      </c:layout>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de-DE">
                <a:latin typeface="Arial" panose="020B0604020202020204" pitchFamily="34" charset="0"/>
                <a:cs typeface="Arial" panose="020B0604020202020204" pitchFamily="34" charset="0"/>
              </a:rPr>
              <a:t>Quantité d'électricité</a:t>
            </a:r>
          </a:p>
        </c:rich>
      </c:tx>
      <c:overlay val="1"/>
    </c:title>
    <c:autoTitleDeleted val="0"/>
    <c:plotArea>
      <c:layout>
        <c:manualLayout>
          <c:layoutTarget val="inner"/>
          <c:xMode val="edge"/>
          <c:yMode val="edge"/>
          <c:x val="9.6807922538939759E-2"/>
          <c:y val="0.11364579316594714"/>
          <c:w val="0.62262211735563866"/>
          <c:h val="0.79007651493740461"/>
        </c:manualLayout>
      </c:layout>
      <c:areaChart>
        <c:grouping val="stacked"/>
        <c:varyColors val="0"/>
        <c:ser>
          <c:idx val="10"/>
          <c:order val="0"/>
          <c:tx>
            <c:v>EE-Erzeugung außerhalb EEG</c:v>
          </c:tx>
          <c:spPr>
            <a:solidFill>
              <a:srgbClr val="00B0F0"/>
            </a:solidFill>
            <a:ln>
              <a:solidFill>
                <a:sysClr val="windowText" lastClr="000000"/>
              </a:solidFill>
            </a:ln>
          </c:spPr>
          <c:val>
            <c:numRef>
              <c:f>'GrD-Grafikdaten'!$F$223:$AE$223</c:f>
              <c:numCache>
                <c:formatCode>0.00</c:formatCode>
                <c:ptCount val="26"/>
                <c:pt idx="0">
                  <c:v>20.256</c:v>
                </c:pt>
                <c:pt idx="1">
                  <c:v>16.433254000000002</c:v>
                </c:pt>
                <c:pt idx="2">
                  <c:v>21.270144000000002</c:v>
                </c:pt>
                <c:pt idx="3">
                  <c:v>22.104711999999999</c:v>
                </c:pt>
                <c:pt idx="4">
                  <c:v>20.049999999999997</c:v>
                </c:pt>
                <c:pt idx="5">
                  <c:v>19.75</c:v>
                </c:pt>
                <c:pt idx="6">
                  <c:v>20.141281793364094</c:v>
                </c:pt>
                <c:pt idx="7">
                  <c:v>20.662990851182897</c:v>
                </c:pt>
                <c:pt idx="8">
                  <c:v>21.315127173456389</c:v>
                </c:pt>
                <c:pt idx="9">
                  <c:v>22.097690760184584</c:v>
                </c:pt>
                <c:pt idx="10">
                  <c:v>23.010681611367474</c:v>
                </c:pt>
                <c:pt idx="11">
                  <c:v>25.023832178908052</c:v>
                </c:pt>
                <c:pt idx="12">
                  <c:v>28.194330680548468</c:v>
                </c:pt>
                <c:pt idx="13">
                  <c:v>31.918259778427085</c:v>
                </c:pt>
                <c:pt idx="14">
                  <c:v>35.287478306602068</c:v>
                </c:pt>
                <c:pt idx="15">
                  <c:v>38.196789204008965</c:v>
                </c:pt>
                <c:pt idx="16">
                  <c:v>39.396985602689455</c:v>
                </c:pt>
                <c:pt idx="17">
                  <c:v>40.066274895849915</c:v>
                </c:pt>
                <c:pt idx="18">
                  <c:v>39.616744697194406</c:v>
                </c:pt>
                <c:pt idx="19">
                  <c:v>38.482249409030359</c:v>
                </c:pt>
                <c:pt idx="20">
                  <c:v>43.328262476187291</c:v>
                </c:pt>
                <c:pt idx="21">
                  <c:v>49.189825520100143</c:v>
                </c:pt>
                <c:pt idx="22">
                  <c:v>55.318911595901767</c:v>
                </c:pt>
                <c:pt idx="23">
                  <c:v>61.877255459060443</c:v>
                </c:pt>
                <c:pt idx="24">
                  <c:v>67.608386323822259</c:v>
                </c:pt>
                <c:pt idx="25">
                  <c:v>69.985441216443078</c:v>
                </c:pt>
              </c:numCache>
            </c:numRef>
          </c:val>
          <c:extLst>
            <c:ext xmlns:c16="http://schemas.microsoft.com/office/drawing/2014/chart" uri="{C3380CC4-5D6E-409C-BE32-E72D297353CC}">
              <c16:uniqueId val="{00000000-46A2-4740-B9BD-29039F501285}"/>
            </c:ext>
          </c:extLst>
        </c:ser>
        <c:ser>
          <c:idx val="0"/>
          <c:order val="1"/>
          <c:tx>
            <c:strRef>
              <c:f>'GrD-Grafikdaten (2)'!$E$56:$F$56</c:f>
              <c:strCache>
                <c:ptCount val="2"/>
                <c:pt idx="0">
                  <c:v>Autres</c:v>
                </c:pt>
                <c:pt idx="1">
                  <c:v>Stock (Bestand)</c:v>
                </c:pt>
              </c:strCache>
            </c:strRef>
          </c:tx>
          <c:spPr>
            <a:pattFill prst="wdUpDiag">
              <a:fgClr>
                <a:srgbClr val="E6E6E6">
                  <a:lumMod val="90000"/>
                </a:srgbClr>
              </a:fgClr>
              <a:bgClr>
                <a:srgbClr val="FFFFFF">
                  <a:lumMod val="95000"/>
                </a:srgbClr>
              </a:bgClr>
            </a:patt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(2)'!$G$56:$AF$56</c:f>
              <c:numCache>
                <c:formatCode>0.00</c:formatCode>
                <c:ptCount val="26"/>
                <c:pt idx="0">
                  <c:v>7.3149999999999995</c:v>
                </c:pt>
                <c:pt idx="1">
                  <c:v>8.1213699999999989</c:v>
                </c:pt>
                <c:pt idx="2">
                  <c:v>7.6041449999999999</c:v>
                </c:pt>
                <c:pt idx="3">
                  <c:v>8.2791299999999985</c:v>
                </c:pt>
                <c:pt idx="4">
                  <c:v>8.1088870000000011</c:v>
                </c:pt>
                <c:pt idx="5">
                  <c:v>7.862721209</c:v>
                </c:pt>
                <c:pt idx="6">
                  <c:v>7.8846060760000007</c:v>
                </c:pt>
                <c:pt idx="7">
                  <c:v>7.6823913340000001</c:v>
                </c:pt>
                <c:pt idx="8">
                  <c:v>7.6460809340000004</c:v>
                </c:pt>
                <c:pt idx="9">
                  <c:v>8.252530934000001</c:v>
                </c:pt>
                <c:pt idx="10">
                  <c:v>7.5892760686604221</c:v>
                </c:pt>
                <c:pt idx="11">
                  <c:v>7.5386732033208439</c:v>
                </c:pt>
                <c:pt idx="12">
                  <c:v>7.5256811223226743</c:v>
                </c:pt>
                <c:pt idx="13">
                  <c:v>7.2570504363818076</c:v>
                </c:pt>
                <c:pt idx="14">
                  <c:v>6.954349608632314</c:v>
                </c:pt>
                <c:pt idx="15">
                  <c:v>6.6709016029583923</c:v>
                </c:pt>
                <c:pt idx="16">
                  <c:v>6.6404450494861935</c:v>
                </c:pt>
                <c:pt idx="17">
                  <c:v>6.6155479896881388</c:v>
                </c:pt>
                <c:pt idx="18">
                  <c:v>6.6118254418998257</c:v>
                </c:pt>
                <c:pt idx="19">
                  <c:v>6.6086924443762181</c:v>
                </c:pt>
                <c:pt idx="20">
                  <c:v>6.0217546586177342</c:v>
                </c:pt>
                <c:pt idx="21">
                  <c:v>5.5492924636983929</c:v>
                </c:pt>
                <c:pt idx="22">
                  <c:v>5.1950997194625295</c:v>
                </c:pt>
                <c:pt idx="23">
                  <c:v>4.9462640999265162</c:v>
                </c:pt>
                <c:pt idx="24">
                  <c:v>4.2778710392528891</c:v>
                </c:pt>
                <c:pt idx="25">
                  <c:v>4.2024045692321126</c:v>
                </c:pt>
              </c:numCache>
            </c:numRef>
          </c:val>
          <c:extLst>
            <c:ext xmlns:c16="http://schemas.microsoft.com/office/drawing/2014/chart" uri="{C3380CC4-5D6E-409C-BE32-E72D297353CC}">
              <c16:uniqueId val="{00000001-46A2-4740-B9BD-29039F501285}"/>
            </c:ext>
          </c:extLst>
        </c:ser>
        <c:ser>
          <c:idx val="1"/>
          <c:order val="2"/>
          <c:tx>
            <c:strRef>
              <c:f>'GrD-Grafikdaten (2)'!$E$57:$F$57</c:f>
              <c:strCache>
                <c:ptCount val="2"/>
                <c:pt idx="0">
                  <c:v>Biomasse</c:v>
                </c:pt>
                <c:pt idx="1">
                  <c:v>Stock (Bestand)</c:v>
                </c:pt>
              </c:strCache>
            </c:strRef>
          </c:tx>
          <c:spPr>
            <a:pattFill prst="wdUpDiag">
              <a:fgClr>
                <a:srgbClr val="467850"/>
              </a:fgClr>
              <a:bgClr>
                <a:srgbClr val="E6E6E6"/>
              </a:bgClr>
            </a:patt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(2)'!$G$57:$AF$57</c:f>
              <c:numCache>
                <c:formatCode>0.00</c:formatCode>
                <c:ptCount val="26"/>
                <c:pt idx="0">
                  <c:v>26.262</c:v>
                </c:pt>
                <c:pt idx="1">
                  <c:v>27.776935999999999</c:v>
                </c:pt>
                <c:pt idx="2">
                  <c:v>30.355590999999997</c:v>
                </c:pt>
                <c:pt idx="3">
                  <c:v>33.165135999999997</c:v>
                </c:pt>
                <c:pt idx="4">
                  <c:v>34.944730999999997</c:v>
                </c:pt>
                <c:pt idx="5">
                  <c:v>38.32016038295</c:v>
                </c:pt>
                <c:pt idx="6">
                  <c:v>39.710752184400008</c:v>
                </c:pt>
                <c:pt idx="7">
                  <c:v>39.165764102900006</c:v>
                </c:pt>
                <c:pt idx="8">
                  <c:v>38.398412102900004</c:v>
                </c:pt>
                <c:pt idx="9">
                  <c:v>36.765495602900003</c:v>
                </c:pt>
                <c:pt idx="10">
                  <c:v>36.183259602900009</c:v>
                </c:pt>
                <c:pt idx="11">
                  <c:v>33.844061602900013</c:v>
                </c:pt>
                <c:pt idx="12">
                  <c:v>38.829714281829894</c:v>
                </c:pt>
                <c:pt idx="13">
                  <c:v>38.049447462908155</c:v>
                </c:pt>
                <c:pt idx="14">
                  <c:v>36.913188946941609</c:v>
                </c:pt>
                <c:pt idx="15">
                  <c:v>33.879601480015921</c:v>
                </c:pt>
                <c:pt idx="16">
                  <c:v>29.979942877482884</c:v>
                </c:pt>
                <c:pt idx="17">
                  <c:v>24.884416561314495</c:v>
                </c:pt>
                <c:pt idx="18">
                  <c:v>20.958547637788435</c:v>
                </c:pt>
                <c:pt idx="19">
                  <c:v>18.738437533081807</c:v>
                </c:pt>
                <c:pt idx="20">
                  <c:v>15.850866075480793</c:v>
                </c:pt>
                <c:pt idx="21">
                  <c:v>11.467408760352546</c:v>
                </c:pt>
                <c:pt idx="22">
                  <c:v>4.2173214392664065</c:v>
                </c:pt>
                <c:pt idx="23">
                  <c:v>2.5538934635614154</c:v>
                </c:pt>
                <c:pt idx="24">
                  <c:v>1.1093808982965392</c:v>
                </c:pt>
                <c:pt idx="25">
                  <c:v>0</c:v>
                </c:pt>
              </c:numCache>
            </c:numRef>
          </c:val>
          <c:extLst>
            <c:ext xmlns:c16="http://schemas.microsoft.com/office/drawing/2014/chart" uri="{C3380CC4-5D6E-409C-BE32-E72D297353CC}">
              <c16:uniqueId val="{00000002-46A2-4740-B9BD-29039F501285}"/>
            </c:ext>
          </c:extLst>
        </c:ser>
        <c:ser>
          <c:idx val="2"/>
          <c:order val="3"/>
          <c:tx>
            <c:strRef>
              <c:f>'GrD-Grafikdaten (2)'!$E$58:$F$58</c:f>
              <c:strCache>
                <c:ptCount val="2"/>
                <c:pt idx="0">
                  <c:v>Eolien Onshore</c:v>
                </c:pt>
                <c:pt idx="1">
                  <c:v>Stock (Bestand)</c:v>
                </c:pt>
              </c:strCache>
            </c:strRef>
          </c:tx>
          <c:spPr>
            <a:pattFill prst="wdUpDiag">
              <a:fgClr>
                <a:srgbClr val="1F82C0"/>
              </a:fgClr>
              <a:bgClr>
                <a:srgbClr val="E6E6E6"/>
              </a:bgClr>
            </a:patt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(2)'!$G$58:$AF$58</c:f>
              <c:numCache>
                <c:formatCode>0.00</c:formatCode>
                <c:ptCount val="26"/>
                <c:pt idx="0">
                  <c:v>47.704000000000001</c:v>
                </c:pt>
                <c:pt idx="1">
                  <c:v>53.882748999999997</c:v>
                </c:pt>
                <c:pt idx="2">
                  <c:v>50.125189999999996</c:v>
                </c:pt>
                <c:pt idx="3">
                  <c:v>55.830889999999997</c:v>
                </c:pt>
                <c:pt idx="4">
                  <c:v>62.190390000000001</c:v>
                </c:pt>
                <c:pt idx="5">
                  <c:v>63.746863999999995</c:v>
                </c:pt>
                <c:pt idx="6">
                  <c:v>65.608738000000002</c:v>
                </c:pt>
                <c:pt idx="7">
                  <c:v>62.849661999999995</c:v>
                </c:pt>
                <c:pt idx="8">
                  <c:v>65.729611999999989</c:v>
                </c:pt>
                <c:pt idx="9">
                  <c:v>67.424354999999991</c:v>
                </c:pt>
                <c:pt idx="10">
                  <c:v>67.909641999999991</c:v>
                </c:pt>
                <c:pt idx="11">
                  <c:v>63.903676999999995</c:v>
                </c:pt>
                <c:pt idx="12">
                  <c:v>53.273860613123752</c:v>
                </c:pt>
                <c:pt idx="13">
                  <c:v>48.985144127866754</c:v>
                </c:pt>
                <c:pt idx="14">
                  <c:v>44.953859251545779</c:v>
                </c:pt>
                <c:pt idx="15">
                  <c:v>41.69529969394361</c:v>
                </c:pt>
                <c:pt idx="16">
                  <c:v>38.889800126336482</c:v>
                </c:pt>
                <c:pt idx="17">
                  <c:v>35.265691742050734</c:v>
                </c:pt>
                <c:pt idx="18">
                  <c:v>32.453041205988214</c:v>
                </c:pt>
                <c:pt idx="19">
                  <c:v>31.191017671164573</c:v>
                </c:pt>
                <c:pt idx="20">
                  <c:v>26.534990416467977</c:v>
                </c:pt>
                <c:pt idx="21">
                  <c:v>23.848804711831974</c:v>
                </c:pt>
                <c:pt idx="22">
                  <c:v>20.453990621840418</c:v>
                </c:pt>
                <c:pt idx="23">
                  <c:v>15.896470455695578</c:v>
                </c:pt>
                <c:pt idx="24">
                  <c:v>9.6974811568969841</c:v>
                </c:pt>
                <c:pt idx="25">
                  <c:v>0</c:v>
                </c:pt>
              </c:numCache>
            </c:numRef>
          </c:val>
          <c:extLst>
            <c:ext xmlns:c16="http://schemas.microsoft.com/office/drawing/2014/chart" uri="{C3380CC4-5D6E-409C-BE32-E72D297353CC}">
              <c16:uniqueId val="{00000003-46A2-4740-B9BD-29039F501285}"/>
            </c:ext>
          </c:extLst>
        </c:ser>
        <c:ser>
          <c:idx val="3"/>
          <c:order val="4"/>
          <c:tx>
            <c:strRef>
              <c:f>'GrD-Grafikdaten (2)'!$E$59:$F$59</c:f>
              <c:strCache>
                <c:ptCount val="2"/>
                <c:pt idx="0">
                  <c:v>Eolien Offshore</c:v>
                </c:pt>
                <c:pt idx="1">
                  <c:v>Stock (Bestand)</c:v>
                </c:pt>
              </c:strCache>
            </c:strRef>
          </c:tx>
          <c:spPr>
            <a:pattFill prst="wdUpDiag">
              <a:fgClr>
                <a:srgbClr val="E5DEFB">
                  <a:lumMod val="50000"/>
                </a:srgbClr>
              </a:fgClr>
              <a:bgClr>
                <a:srgbClr val="E6E6E6"/>
              </a:bgClr>
            </a:patt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(2)'!$G$59:$AF$59</c:f>
              <c:numCache>
                <c:formatCode>0.00</c:formatCode>
                <c:ptCount val="26"/>
                <c:pt idx="0">
                  <c:v>0.65400000000000003</c:v>
                </c:pt>
                <c:pt idx="1">
                  <c:v>1.1467909999999999</c:v>
                </c:pt>
                <c:pt idx="2">
                  <c:v>1.361415</c:v>
                </c:pt>
                <c:pt idx="3">
                  <c:v>2.4940419999999999</c:v>
                </c:pt>
                <c:pt idx="4">
                  <c:v>7.397958</c:v>
                </c:pt>
                <c:pt idx="5">
                  <c:v>7.4838040000000001</c:v>
                </c:pt>
                <c:pt idx="6">
                  <c:v>6.5432240000000004</c:v>
                </c:pt>
                <c:pt idx="7">
                  <c:v>7.4668410000000005</c:v>
                </c:pt>
                <c:pt idx="8">
                  <c:v>5.8992179999999976</c:v>
                </c:pt>
                <c:pt idx="9">
                  <c:v>5.6125419999999977</c:v>
                </c:pt>
                <c:pt idx="10">
                  <c:v>6.6080259999999953</c:v>
                </c:pt>
                <c:pt idx="11">
                  <c:v>6.3068899999999957</c:v>
                </c:pt>
                <c:pt idx="12">
                  <c:v>4.1105473324434101</c:v>
                </c:pt>
                <c:pt idx="13">
                  <c:v>4.1105473324434101</c:v>
                </c:pt>
                <c:pt idx="14">
                  <c:v>4.1105473324434101</c:v>
                </c:pt>
                <c:pt idx="15">
                  <c:v>4.1105473324434101</c:v>
                </c:pt>
                <c:pt idx="16">
                  <c:v>4.1105473324434101</c:v>
                </c:pt>
                <c:pt idx="17">
                  <c:v>4.1105473324434101</c:v>
                </c:pt>
                <c:pt idx="18">
                  <c:v>4.1105473324434101</c:v>
                </c:pt>
                <c:pt idx="19">
                  <c:v>4.1105473324434101</c:v>
                </c:pt>
                <c:pt idx="20">
                  <c:v>3.9601506745242929</c:v>
                </c:pt>
                <c:pt idx="21">
                  <c:v>3.7744742876370196</c:v>
                </c:pt>
                <c:pt idx="22">
                  <c:v>3.3082822149057236</c:v>
                </c:pt>
                <c:pt idx="23">
                  <c:v>2.979331065584816</c:v>
                </c:pt>
                <c:pt idx="24">
                  <c:v>2.0382152120083674</c:v>
                </c:pt>
                <c:pt idx="25">
                  <c:v>0</c:v>
                </c:pt>
              </c:numCache>
            </c:numRef>
          </c:val>
          <c:extLst>
            <c:ext xmlns:c16="http://schemas.microsoft.com/office/drawing/2014/chart" uri="{C3380CC4-5D6E-409C-BE32-E72D297353CC}">
              <c16:uniqueId val="{00000004-46A2-4740-B9BD-29039F501285}"/>
            </c:ext>
          </c:extLst>
        </c:ser>
        <c:ser>
          <c:idx val="4"/>
          <c:order val="5"/>
          <c:tx>
            <c:strRef>
              <c:f>'GrD-Grafikdaten (2)'!$E$60:$F$60</c:f>
              <c:strCache>
                <c:ptCount val="2"/>
                <c:pt idx="0">
                  <c:v>Solaire</c:v>
                </c:pt>
                <c:pt idx="1">
                  <c:v>Stock (Bestand)</c:v>
                </c:pt>
              </c:strCache>
            </c:strRef>
          </c:tx>
          <c:spPr>
            <a:pattFill prst="wdUpDiag">
              <a:fgClr>
                <a:srgbClr val="FFD744"/>
              </a:fgClr>
              <a:bgClr>
                <a:srgbClr val="E6E6E6"/>
              </a:bgClr>
            </a:patt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(2)'!$G$60:$AF$60</c:f>
              <c:numCache>
                <c:formatCode>0.00</c:formatCode>
                <c:ptCount val="26"/>
                <c:pt idx="0">
                  <c:v>8.2959999999999994</c:v>
                </c:pt>
                <c:pt idx="1">
                  <c:v>19.399286999999998</c:v>
                </c:pt>
                <c:pt idx="2">
                  <c:v>24.072319</c:v>
                </c:pt>
                <c:pt idx="3">
                  <c:v>34.673694999999995</c:v>
                </c:pt>
                <c:pt idx="4">
                  <c:v>36.594586999999997</c:v>
                </c:pt>
                <c:pt idx="5">
                  <c:v>35.392149000000003</c:v>
                </c:pt>
                <c:pt idx="6">
                  <c:v>34.6984195</c:v>
                </c:pt>
                <c:pt idx="7">
                  <c:v>32.671796999999998</c:v>
                </c:pt>
                <c:pt idx="8">
                  <c:v>33.058402000000001</c:v>
                </c:pt>
                <c:pt idx="9">
                  <c:v>33.337899499999999</c:v>
                </c:pt>
                <c:pt idx="10">
                  <c:v>32.385882402508614</c:v>
                </c:pt>
                <c:pt idx="11">
                  <c:v>33.67452203549842</c:v>
                </c:pt>
                <c:pt idx="12">
                  <c:v>32.889992363151684</c:v>
                </c:pt>
                <c:pt idx="13">
                  <c:v>32.802643428256573</c:v>
                </c:pt>
                <c:pt idx="14">
                  <c:v>32.682146189674356</c:v>
                </c:pt>
                <c:pt idx="15">
                  <c:v>32.118403998686745</c:v>
                </c:pt>
                <c:pt idx="16">
                  <c:v>31.319274806708727</c:v>
                </c:pt>
                <c:pt idx="17">
                  <c:v>30.58188633837478</c:v>
                </c:pt>
                <c:pt idx="18">
                  <c:v>29.468001652940714</c:v>
                </c:pt>
                <c:pt idx="19">
                  <c:v>27.712738361025217</c:v>
                </c:pt>
                <c:pt idx="20">
                  <c:v>23.700450799975101</c:v>
                </c:pt>
                <c:pt idx="21">
                  <c:v>16.920444701113084</c:v>
                </c:pt>
                <c:pt idx="22">
                  <c:v>9.8246758626833426</c:v>
                </c:pt>
                <c:pt idx="23">
                  <c:v>3.897316944172907</c:v>
                </c:pt>
                <c:pt idx="24">
                  <c:v>1.3478885514705539</c:v>
                </c:pt>
                <c:pt idx="25">
                  <c:v>0</c:v>
                </c:pt>
              </c:numCache>
            </c:numRef>
          </c:val>
          <c:extLst>
            <c:ext xmlns:c16="http://schemas.microsoft.com/office/drawing/2014/chart" uri="{C3380CC4-5D6E-409C-BE32-E72D297353CC}">
              <c16:uniqueId val="{00000005-46A2-4740-B9BD-29039F501285}"/>
            </c:ext>
          </c:extLst>
        </c:ser>
        <c:ser>
          <c:idx val="5"/>
          <c:order val="6"/>
          <c:tx>
            <c:strRef>
              <c:f>'GrD-Grafikdaten (2)'!$E$61:$F$61</c:f>
              <c:strCache>
                <c:ptCount val="2"/>
                <c:pt idx="0">
                  <c:v>Autres</c:v>
                </c:pt>
              </c:strCache>
            </c:strRef>
          </c:tx>
          <c:spPr>
            <a:solidFill>
              <a:srgbClr val="E6A4C7"/>
            </a:solid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(2)'!$G$61:$AF$61</c:f>
              <c:numCache>
                <c:formatCode>0.00</c:formatCode>
                <c:ptCount val="26"/>
                <c:pt idx="0">
                  <c:v>0</c:v>
                </c:pt>
                <c:pt idx="1">
                  <c:v>0</c:v>
                </c:pt>
                <c:pt idx="2">
                  <c:v>0</c:v>
                </c:pt>
                <c:pt idx="3">
                  <c:v>0</c:v>
                </c:pt>
                <c:pt idx="4">
                  <c:v>0</c:v>
                </c:pt>
                <c:pt idx="5">
                  <c:v>6.6406790999999743E-2</c:v>
                </c:pt>
                <c:pt idx="6">
                  <c:v>0.14958992399999946</c:v>
                </c:pt>
                <c:pt idx="7">
                  <c:v>0.17602266599999938</c:v>
                </c:pt>
                <c:pt idx="8">
                  <c:v>0.21274006599999939</c:v>
                </c:pt>
                <c:pt idx="9">
                  <c:v>0.25629806599999938</c:v>
                </c:pt>
                <c:pt idx="10">
                  <c:v>0.3155239313395779</c:v>
                </c:pt>
                <c:pt idx="11">
                  <c:v>0.35825279667915633</c:v>
                </c:pt>
                <c:pt idx="12">
                  <c:v>0.35825279667915633</c:v>
                </c:pt>
                <c:pt idx="13">
                  <c:v>0.35825279667915633</c:v>
                </c:pt>
                <c:pt idx="14">
                  <c:v>0.35825279667915633</c:v>
                </c:pt>
                <c:pt idx="15">
                  <c:v>0.35825279667915633</c:v>
                </c:pt>
                <c:pt idx="16">
                  <c:v>0.35825279667915633</c:v>
                </c:pt>
                <c:pt idx="17">
                  <c:v>0.35825279667915633</c:v>
                </c:pt>
                <c:pt idx="18">
                  <c:v>0.35825279667915633</c:v>
                </c:pt>
                <c:pt idx="19">
                  <c:v>0.35825279667915633</c:v>
                </c:pt>
                <c:pt idx="20">
                  <c:v>0.35825279667915633</c:v>
                </c:pt>
                <c:pt idx="21">
                  <c:v>0.35825279667915633</c:v>
                </c:pt>
                <c:pt idx="22">
                  <c:v>0.35825279667915633</c:v>
                </c:pt>
                <c:pt idx="23">
                  <c:v>0.35825279667915633</c:v>
                </c:pt>
                <c:pt idx="24">
                  <c:v>0.35825279667915633</c:v>
                </c:pt>
                <c:pt idx="25">
                  <c:v>0.35825279667915633</c:v>
                </c:pt>
              </c:numCache>
            </c:numRef>
          </c:val>
          <c:extLst>
            <c:ext xmlns:c16="http://schemas.microsoft.com/office/drawing/2014/chart" uri="{C3380CC4-5D6E-409C-BE32-E72D297353CC}">
              <c16:uniqueId val="{00000006-46A2-4740-B9BD-29039F501285}"/>
            </c:ext>
          </c:extLst>
        </c:ser>
        <c:ser>
          <c:idx val="6"/>
          <c:order val="7"/>
          <c:tx>
            <c:strRef>
              <c:f>'GrD-Grafikdaten (2)'!$E$62:$F$62</c:f>
              <c:strCache>
                <c:ptCount val="2"/>
                <c:pt idx="0">
                  <c:v>Biomasse</c:v>
                </c:pt>
              </c:strCache>
            </c:strRef>
          </c:tx>
          <c:spPr>
            <a:solidFill>
              <a:srgbClr val="467850"/>
            </a:solid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(2)'!$G$62:$AF$62</c:f>
              <c:numCache>
                <c:formatCode>0.00</c:formatCode>
                <c:ptCount val="26"/>
                <c:pt idx="0">
                  <c:v>0</c:v>
                </c:pt>
                <c:pt idx="1">
                  <c:v>0</c:v>
                </c:pt>
                <c:pt idx="2">
                  <c:v>0</c:v>
                </c:pt>
                <c:pt idx="3">
                  <c:v>0</c:v>
                </c:pt>
                <c:pt idx="4">
                  <c:v>0</c:v>
                </c:pt>
                <c:pt idx="5">
                  <c:v>3.744361704999831E-2</c:v>
                </c:pt>
                <c:pt idx="6">
                  <c:v>0.52809281559999333</c:v>
                </c:pt>
                <c:pt idx="7">
                  <c:v>1.6046288970999898</c:v>
                </c:pt>
                <c:pt idx="8">
                  <c:v>3.15607689709999</c:v>
                </c:pt>
                <c:pt idx="9">
                  <c:v>4.5861243970999901</c:v>
                </c:pt>
                <c:pt idx="10">
                  <c:v>5.5634303970999897</c:v>
                </c:pt>
                <c:pt idx="11">
                  <c:v>6.3626323970999898</c:v>
                </c:pt>
                <c:pt idx="12">
                  <c:v>6.7800943970999903</c:v>
                </c:pt>
                <c:pt idx="13">
                  <c:v>6.9777103970999894</c:v>
                </c:pt>
                <c:pt idx="14">
                  <c:v>7.1929958970999905</c:v>
                </c:pt>
                <c:pt idx="15">
                  <c:v>7.4208738970999901</c:v>
                </c:pt>
                <c:pt idx="16">
                  <c:v>8.0555463970999899</c:v>
                </c:pt>
                <c:pt idx="17">
                  <c:v>9.0917463970999908</c:v>
                </c:pt>
                <c:pt idx="18">
                  <c:v>10.127946397099992</c:v>
                </c:pt>
                <c:pt idx="19">
                  <c:v>11.164146397099993</c:v>
                </c:pt>
                <c:pt idx="20">
                  <c:v>12.200346397099993</c:v>
                </c:pt>
                <c:pt idx="21">
                  <c:v>13.236546397099994</c:v>
                </c:pt>
                <c:pt idx="22">
                  <c:v>14.272746397099993</c:v>
                </c:pt>
                <c:pt idx="23">
                  <c:v>15.308946397099994</c:v>
                </c:pt>
                <c:pt idx="24">
                  <c:v>16.345146397099995</c:v>
                </c:pt>
                <c:pt idx="25">
                  <c:v>17.381346397099996</c:v>
                </c:pt>
              </c:numCache>
            </c:numRef>
          </c:val>
          <c:extLst>
            <c:ext xmlns:c16="http://schemas.microsoft.com/office/drawing/2014/chart" uri="{C3380CC4-5D6E-409C-BE32-E72D297353CC}">
              <c16:uniqueId val="{00000007-46A2-4740-B9BD-29039F501285}"/>
            </c:ext>
          </c:extLst>
        </c:ser>
        <c:ser>
          <c:idx val="7"/>
          <c:order val="8"/>
          <c:tx>
            <c:strRef>
              <c:f>'GrD-Grafikdaten (2)'!$E$63:$F$63</c:f>
              <c:strCache>
                <c:ptCount val="2"/>
                <c:pt idx="0">
                  <c:v>Eolien Onshore</c:v>
                </c:pt>
              </c:strCache>
            </c:strRef>
          </c:tx>
          <c:spPr>
            <a:solidFill>
              <a:srgbClr val="1F82C0"/>
            </a:solid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(2)'!$G$63:$AF$63</c:f>
              <c:numCache>
                <c:formatCode>0.00</c:formatCode>
                <c:ptCount val="26"/>
                <c:pt idx="0">
                  <c:v>0</c:v>
                </c:pt>
                <c:pt idx="1">
                  <c:v>0</c:v>
                </c:pt>
                <c:pt idx="2">
                  <c:v>0</c:v>
                </c:pt>
                <c:pt idx="3">
                  <c:v>0</c:v>
                </c:pt>
                <c:pt idx="4">
                  <c:v>0</c:v>
                </c:pt>
                <c:pt idx="5">
                  <c:v>3.1258240000000002</c:v>
                </c:pt>
                <c:pt idx="6">
                  <c:v>10.340148000000001</c:v>
                </c:pt>
                <c:pt idx="7">
                  <c:v>19.152241</c:v>
                </c:pt>
                <c:pt idx="8">
                  <c:v>26.994464000000004</c:v>
                </c:pt>
                <c:pt idx="9">
                  <c:v>31.374828000000004</c:v>
                </c:pt>
                <c:pt idx="10">
                  <c:v>34.178562000000007</c:v>
                </c:pt>
                <c:pt idx="11">
                  <c:v>37.282062000000003</c:v>
                </c:pt>
                <c:pt idx="12">
                  <c:v>40.976562000000008</c:v>
                </c:pt>
                <c:pt idx="13">
                  <c:v>45.842062000000006</c:v>
                </c:pt>
                <c:pt idx="14">
                  <c:v>51.382062000000005</c:v>
                </c:pt>
                <c:pt idx="15">
                  <c:v>57.144562000000008</c:v>
                </c:pt>
                <c:pt idx="16">
                  <c:v>63.128312000000008</c:v>
                </c:pt>
                <c:pt idx="17">
                  <c:v>69.230062000000004</c:v>
                </c:pt>
                <c:pt idx="18">
                  <c:v>75.405562000000003</c:v>
                </c:pt>
                <c:pt idx="19">
                  <c:v>81.631633428571433</c:v>
                </c:pt>
                <c:pt idx="20">
                  <c:v>87.894579857142858</c:v>
                </c:pt>
                <c:pt idx="21">
                  <c:v>94.18562152380953</c:v>
                </c:pt>
                <c:pt idx="22">
                  <c:v>100.49878819047619</c:v>
                </c:pt>
                <c:pt idx="23">
                  <c:v>106.82983364502165</c:v>
                </c:pt>
                <c:pt idx="24">
                  <c:v>113.1756290995671</c:v>
                </c:pt>
                <c:pt idx="25">
                  <c:v>119.6018790995671</c:v>
                </c:pt>
              </c:numCache>
            </c:numRef>
          </c:val>
          <c:extLst>
            <c:ext xmlns:c16="http://schemas.microsoft.com/office/drawing/2014/chart" uri="{C3380CC4-5D6E-409C-BE32-E72D297353CC}">
              <c16:uniqueId val="{00000008-46A2-4740-B9BD-29039F501285}"/>
            </c:ext>
          </c:extLst>
        </c:ser>
        <c:ser>
          <c:idx val="8"/>
          <c:order val="9"/>
          <c:tx>
            <c:strRef>
              <c:f>'GrD-Grafikdaten (2)'!$E$64:$F$64</c:f>
              <c:strCache>
                <c:ptCount val="2"/>
                <c:pt idx="0">
                  <c:v>Eolien Offshore</c:v>
                </c:pt>
              </c:strCache>
            </c:strRef>
          </c:tx>
          <c:spPr>
            <a:solidFill>
              <a:srgbClr val="006099"/>
            </a:solid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(2)'!$G$64:$AF$64</c:f>
              <c:numCache>
                <c:formatCode>0.00</c:formatCode>
                <c:ptCount val="26"/>
                <c:pt idx="0">
                  <c:v>0</c:v>
                </c:pt>
                <c:pt idx="1">
                  <c:v>0</c:v>
                </c:pt>
                <c:pt idx="2">
                  <c:v>0</c:v>
                </c:pt>
                <c:pt idx="3">
                  <c:v>0</c:v>
                </c:pt>
                <c:pt idx="4">
                  <c:v>0</c:v>
                </c:pt>
                <c:pt idx="5">
                  <c:v>3.7473999999999998</c:v>
                </c:pt>
                <c:pt idx="6">
                  <c:v>8.8363199999999988</c:v>
                </c:pt>
                <c:pt idx="7">
                  <c:v>12.566514</c:v>
                </c:pt>
                <c:pt idx="8">
                  <c:v>16.665188000000001</c:v>
                </c:pt>
                <c:pt idx="9">
                  <c:v>20.853619000000002</c:v>
                </c:pt>
                <c:pt idx="10">
                  <c:v>23.332050000000002</c:v>
                </c:pt>
                <c:pt idx="11">
                  <c:v>23.332050000000002</c:v>
                </c:pt>
                <c:pt idx="12">
                  <c:v>24.06222</c:v>
                </c:pt>
                <c:pt idx="13">
                  <c:v>26.889615000000003</c:v>
                </c:pt>
                <c:pt idx="14">
                  <c:v>30.948840000000004</c:v>
                </c:pt>
                <c:pt idx="15">
                  <c:v>34.923840000000006</c:v>
                </c:pt>
                <c:pt idx="16">
                  <c:v>38.975340000000003</c:v>
                </c:pt>
                <c:pt idx="17">
                  <c:v>43.067640000000004</c:v>
                </c:pt>
                <c:pt idx="18">
                  <c:v>47.18544</c:v>
                </c:pt>
                <c:pt idx="19">
                  <c:v>51.320725714285722</c:v>
                </c:pt>
                <c:pt idx="20">
                  <c:v>55.468761428571433</c:v>
                </c:pt>
                <c:pt idx="21">
                  <c:v>59.626511428571433</c:v>
                </c:pt>
                <c:pt idx="22">
                  <c:v>63.791911428571431</c:v>
                </c:pt>
                <c:pt idx="23">
                  <c:v>67.963493246753245</c:v>
                </c:pt>
                <c:pt idx="24">
                  <c:v>72.140175064935065</c:v>
                </c:pt>
                <c:pt idx="25">
                  <c:v>76.344675064935061</c:v>
                </c:pt>
              </c:numCache>
            </c:numRef>
          </c:val>
          <c:extLst>
            <c:ext xmlns:c16="http://schemas.microsoft.com/office/drawing/2014/chart" uri="{C3380CC4-5D6E-409C-BE32-E72D297353CC}">
              <c16:uniqueId val="{00000009-46A2-4740-B9BD-29039F501285}"/>
            </c:ext>
          </c:extLst>
        </c:ser>
        <c:ser>
          <c:idx val="9"/>
          <c:order val="10"/>
          <c:tx>
            <c:strRef>
              <c:f>'GrD-Grafikdaten (2)'!$E$65:$F$65</c:f>
              <c:strCache>
                <c:ptCount val="2"/>
                <c:pt idx="0">
                  <c:v>Solaire</c:v>
                </c:pt>
              </c:strCache>
            </c:strRef>
          </c:tx>
          <c:spPr>
            <a:solidFill>
              <a:srgbClr val="FFD744"/>
            </a:solidFill>
            <a:ln>
              <a:solidFill>
                <a:schemeClr val="tx1"/>
              </a:solidFill>
            </a:ln>
          </c:spPr>
          <c:cat>
            <c:numRef>
              <c:f>'GrD-Grafikdaten (2)'!$G$55:$AF$55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(2)'!$G$65:$AF$65</c:f>
              <c:numCache>
                <c:formatCode>0.00</c:formatCode>
                <c:ptCount val="26"/>
                <c:pt idx="0">
                  <c:v>0</c:v>
                </c:pt>
                <c:pt idx="1">
                  <c:v>0</c:v>
                </c:pt>
                <c:pt idx="2">
                  <c:v>0</c:v>
                </c:pt>
                <c:pt idx="3">
                  <c:v>0</c:v>
                </c:pt>
                <c:pt idx="4">
                  <c:v>0</c:v>
                </c:pt>
                <c:pt idx="5">
                  <c:v>0.70480900000000002</c:v>
                </c:pt>
                <c:pt idx="6">
                  <c:v>2.1271304999999998</c:v>
                </c:pt>
                <c:pt idx="7">
                  <c:v>3.8903470000000002</c:v>
                </c:pt>
                <c:pt idx="8">
                  <c:v>6.1152130000000007</c:v>
                </c:pt>
                <c:pt idx="9">
                  <c:v>8.5397994999999991</c:v>
                </c:pt>
                <c:pt idx="10">
                  <c:v>11.55336359749138</c:v>
                </c:pt>
                <c:pt idx="11">
                  <c:v>15.669812964501579</c:v>
                </c:pt>
                <c:pt idx="12">
                  <c:v>20.203110650161328</c:v>
                </c:pt>
                <c:pt idx="13">
                  <c:v>23.804972802499947</c:v>
                </c:pt>
                <c:pt idx="14">
                  <c:v>26.58186481993982</c:v>
                </c:pt>
                <c:pt idx="15">
                  <c:v>29.349958998077479</c:v>
                </c:pt>
                <c:pt idx="16">
                  <c:v>31.888365665101809</c:v>
                </c:pt>
                <c:pt idx="17">
                  <c:v>34.154335384967844</c:v>
                </c:pt>
                <c:pt idx="18">
                  <c:v>36.430923464050565</c:v>
                </c:pt>
                <c:pt idx="19">
                  <c:v>38.718129902349958</c:v>
                </c:pt>
                <c:pt idx="20">
                  <c:v>41.015954699866029</c:v>
                </c:pt>
                <c:pt idx="21">
                  <c:v>43.324397856598779</c:v>
                </c:pt>
                <c:pt idx="22">
                  <c:v>45.643459372548207</c:v>
                </c:pt>
                <c:pt idx="23">
                  <c:v>47.9731392477143</c:v>
                </c:pt>
                <c:pt idx="24">
                  <c:v>50.313437482097072</c:v>
                </c:pt>
                <c:pt idx="25">
                  <c:v>52.673741189092631</c:v>
                </c:pt>
              </c:numCache>
            </c:numRef>
          </c:val>
          <c:extLst>
            <c:ext xmlns:c16="http://schemas.microsoft.com/office/drawing/2014/chart" uri="{C3380CC4-5D6E-409C-BE32-E72D297353CC}">
              <c16:uniqueId val="{0000000A-46A2-4740-B9BD-29039F501285}"/>
            </c:ext>
          </c:extLst>
        </c:ser>
        <c:dLbls>
          <c:showLegendKey val="0"/>
          <c:showVal val="0"/>
          <c:showCatName val="0"/>
          <c:showSerName val="0"/>
          <c:showPercent val="0"/>
          <c:showBubbleSize val="0"/>
        </c:dLbls>
        <c:axId val="45876352"/>
        <c:axId val="45877888"/>
      </c:areaChart>
      <c:catAx>
        <c:axId val="45876352"/>
        <c:scaling>
          <c:orientation val="minMax"/>
        </c:scaling>
        <c:delete val="0"/>
        <c:axPos val="b"/>
        <c:numFmt formatCode="0" sourceLinked="1"/>
        <c:majorTickMark val="out"/>
        <c:minorTickMark val="none"/>
        <c:tickLblPos val="nextTo"/>
        <c:crossAx val="45877888"/>
        <c:crosses val="autoZero"/>
        <c:auto val="1"/>
        <c:lblAlgn val="ctr"/>
        <c:lblOffset val="100"/>
        <c:noMultiLvlLbl val="0"/>
      </c:catAx>
      <c:valAx>
        <c:axId val="45877888"/>
        <c:scaling>
          <c:orientation val="minMax"/>
        </c:scaling>
        <c:delete val="0"/>
        <c:axPos val="l"/>
        <c:majorGridlines/>
        <c:title>
          <c:tx>
            <c:rich>
              <a:bodyPr rot="-5400000" vert="horz"/>
              <a:lstStyle/>
              <a:p>
                <a:pPr>
                  <a:defRPr b="1">
                    <a:latin typeface="Arial" panose="020B0604020202020204" pitchFamily="34" charset="0"/>
                    <a:cs typeface="Arial" panose="020B0604020202020204" pitchFamily="34" charset="0"/>
                  </a:defRPr>
                </a:pPr>
                <a:r>
                  <a:rPr lang="de-DE" b="1">
                    <a:latin typeface="Arial" panose="020B0604020202020204" pitchFamily="34" charset="0"/>
                    <a:cs typeface="Arial" panose="020B0604020202020204" pitchFamily="34" charset="0"/>
                  </a:rPr>
                  <a:t>TWh/a</a:t>
                </a:r>
              </a:p>
            </c:rich>
          </c:tx>
          <c:overlay val="0"/>
        </c:title>
        <c:numFmt formatCode="0" sourceLinked="0"/>
        <c:majorTickMark val="out"/>
        <c:minorTickMark val="none"/>
        <c:tickLblPos val="nextTo"/>
        <c:crossAx val="45876352"/>
        <c:crosses val="autoZero"/>
        <c:crossBetween val="midCat"/>
      </c:valAx>
      <c:spPr>
        <a:solidFill>
          <a:srgbClr val="E6E6E6"/>
        </a:solidFill>
      </c:spPr>
    </c:plotArea>
    <c:legend>
      <c:legendPos val="r"/>
      <c:layout>
        <c:manualLayout>
          <c:xMode val="edge"/>
          <c:yMode val="edge"/>
          <c:x val="0.73339258605888646"/>
          <c:y val="8.9167914242940238E-2"/>
          <c:w val="0.2666074923167952"/>
          <c:h val="0.82853400251337628"/>
        </c:manualLayout>
      </c:layout>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de-DE" sz="1400">
                <a:latin typeface="Arial" panose="020B0604020202020204" pitchFamily="34" charset="0"/>
                <a:cs typeface="Arial" panose="020B0604020202020204" pitchFamily="34" charset="0"/>
              </a:rPr>
              <a:t>Demandes d'indemnisation (revenu</a:t>
            </a:r>
            <a:r>
              <a:rPr lang="de-DE" sz="1400" baseline="0">
                <a:latin typeface="Arial" panose="020B0604020202020204" pitchFamily="34" charset="0"/>
                <a:cs typeface="Arial" panose="020B0604020202020204" pitchFamily="34" charset="0"/>
              </a:rPr>
              <a:t> usines)</a:t>
            </a:r>
            <a:endParaRPr lang="de-DE" sz="1400">
              <a:latin typeface="Arial" panose="020B0604020202020204" pitchFamily="34" charset="0"/>
              <a:cs typeface="Arial" panose="020B0604020202020204" pitchFamily="34" charset="0"/>
            </a:endParaRPr>
          </a:p>
        </c:rich>
      </c:tx>
      <c:layout>
        <c:manualLayout>
          <c:xMode val="edge"/>
          <c:yMode val="edge"/>
          <c:x val="0.28976015185834259"/>
          <c:y val="5.8350961017635287E-3"/>
        </c:manualLayout>
      </c:layout>
      <c:overlay val="1"/>
    </c:title>
    <c:autoTitleDeleted val="0"/>
    <c:plotArea>
      <c:layout>
        <c:manualLayout>
          <c:layoutTarget val="inner"/>
          <c:xMode val="edge"/>
          <c:yMode val="edge"/>
          <c:x val="0.10832381060298478"/>
          <c:y val="0.10241433003915068"/>
          <c:w val="0.56181381811678555"/>
          <c:h val="0.79308699481681977"/>
        </c:manualLayout>
      </c:layout>
      <c:areaChart>
        <c:grouping val="stacked"/>
        <c:varyColors val="0"/>
        <c:ser>
          <c:idx val="0"/>
          <c:order val="0"/>
          <c:tx>
            <c:strRef>
              <c:f>'GrD-Grafikdaten (2)'!$E$132:$F$132</c:f>
              <c:strCache>
                <c:ptCount val="2"/>
                <c:pt idx="0">
                  <c:v>Autres</c:v>
                </c:pt>
                <c:pt idx="1">
                  <c:v>Stock (Bestand)</c:v>
                </c:pt>
              </c:strCache>
            </c:strRef>
          </c:tx>
          <c:spPr>
            <a:pattFill prst="wdUpDiag">
              <a:fgClr>
                <a:srgbClr val="FFFFFF">
                  <a:lumMod val="85000"/>
                </a:srgbClr>
              </a:fgClr>
              <a:bgClr>
                <a:srgbClr val="FFFFFF">
                  <a:lumMod val="95000"/>
                </a:srgbClr>
              </a:bgClr>
            </a:patt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(2)'!$G$132:$AF$132</c:f>
              <c:numCache>
                <c:formatCode>0.00</c:formatCode>
                <c:ptCount val="26"/>
                <c:pt idx="0">
                  <c:v>0.54889440999999994</c:v>
                </c:pt>
                <c:pt idx="1">
                  <c:v>0.18980264099999999</c:v>
                </c:pt>
                <c:pt idx="2">
                  <c:v>0.48820272557425998</c:v>
                </c:pt>
                <c:pt idx="3">
                  <c:v>0.61301588725074996</c:v>
                </c:pt>
                <c:pt idx="4">
                  <c:v>0.60642435829859997</c:v>
                </c:pt>
                <c:pt idx="5">
                  <c:v>0.73447194826254969</c:v>
                </c:pt>
                <c:pt idx="6">
                  <c:v>0.73447194826254969</c:v>
                </c:pt>
                <c:pt idx="7">
                  <c:v>0.73447194826254969</c:v>
                </c:pt>
                <c:pt idx="8">
                  <c:v>0.73447194826254969</c:v>
                </c:pt>
                <c:pt idx="9">
                  <c:v>0.73447194826254969</c:v>
                </c:pt>
                <c:pt idx="10">
                  <c:v>0.73447194826254969</c:v>
                </c:pt>
                <c:pt idx="11">
                  <c:v>0.71244427810650712</c:v>
                </c:pt>
                <c:pt idx="12">
                  <c:v>0.70503788340212292</c:v>
                </c:pt>
                <c:pt idx="13">
                  <c:v>0.68617481858120644</c:v>
                </c:pt>
                <c:pt idx="14">
                  <c:v>0.66466866205843744</c:v>
                </c:pt>
                <c:pt idx="15">
                  <c:v>0.64463301785603477</c:v>
                </c:pt>
                <c:pt idx="16">
                  <c:v>0.64237580865388666</c:v>
                </c:pt>
                <c:pt idx="17">
                  <c:v>0.64055530761048152</c:v>
                </c:pt>
                <c:pt idx="18">
                  <c:v>0.64028073158224885</c:v>
                </c:pt>
                <c:pt idx="19">
                  <c:v>0.64005216266779408</c:v>
                </c:pt>
                <c:pt idx="20">
                  <c:v>0.58105307518943095</c:v>
                </c:pt>
                <c:pt idx="21">
                  <c:v>0.54378836761166227</c:v>
                </c:pt>
                <c:pt idx="22">
                  <c:v>0.50896570919824857</c:v>
                </c:pt>
                <c:pt idx="23">
                  <c:v>0.47192068473533527</c:v>
                </c:pt>
                <c:pt idx="24">
                  <c:v>0.40858053479627798</c:v>
                </c:pt>
                <c:pt idx="25">
                  <c:v>0.39783057582039583</c:v>
                </c:pt>
              </c:numCache>
            </c:numRef>
          </c:val>
          <c:extLst>
            <c:ext xmlns:c16="http://schemas.microsoft.com/office/drawing/2014/chart" uri="{C3380CC4-5D6E-409C-BE32-E72D297353CC}">
              <c16:uniqueId val="{00000000-520E-4BB4-96C7-E40CB978A481}"/>
            </c:ext>
          </c:extLst>
        </c:ser>
        <c:ser>
          <c:idx val="1"/>
          <c:order val="1"/>
          <c:tx>
            <c:strRef>
              <c:f>'GrD-Grafikdaten (2)'!$E$133:$F$133</c:f>
              <c:strCache>
                <c:ptCount val="2"/>
                <c:pt idx="0">
                  <c:v>Biomasse</c:v>
                </c:pt>
                <c:pt idx="1">
                  <c:v>Stock (Bestand)</c:v>
                </c:pt>
              </c:strCache>
            </c:strRef>
          </c:tx>
          <c:spPr>
            <a:pattFill prst="wdUpDiag">
              <a:fgClr>
                <a:srgbClr val="467850"/>
              </a:fgClr>
              <a:bgClr>
                <a:srgbClr val="E6E6E6"/>
              </a:bgClr>
            </a:patt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(2)'!$G$133:$AF$133</c:f>
              <c:numCache>
                <c:formatCode>0.00</c:formatCode>
                <c:ptCount val="26"/>
                <c:pt idx="0">
                  <c:v>3.9508552799999999</c:v>
                </c:pt>
                <c:pt idx="1">
                  <c:v>4.2497729089999998</c:v>
                </c:pt>
                <c:pt idx="2">
                  <c:v>5.0895666185599993</c:v>
                </c:pt>
                <c:pt idx="3">
                  <c:v>6.0503774180499983</c:v>
                </c:pt>
                <c:pt idx="4">
                  <c:v>6.4394082612499988</c:v>
                </c:pt>
                <c:pt idx="5">
                  <c:v>7.9245390822727542</c:v>
                </c:pt>
                <c:pt idx="6">
                  <c:v>7.9245390822727524</c:v>
                </c:pt>
                <c:pt idx="7">
                  <c:v>7.9245390822727542</c:v>
                </c:pt>
                <c:pt idx="8">
                  <c:v>7.9245390822727533</c:v>
                </c:pt>
                <c:pt idx="9">
                  <c:v>7.9245390822727542</c:v>
                </c:pt>
                <c:pt idx="10">
                  <c:v>7.9245390822727533</c:v>
                </c:pt>
                <c:pt idx="11">
                  <c:v>7.7040643280932235</c:v>
                </c:pt>
                <c:pt idx="12">
                  <c:v>7.5428740510054375</c:v>
                </c:pt>
                <c:pt idx="13">
                  <c:v>7.4288216250548311</c:v>
                </c:pt>
                <c:pt idx="14">
                  <c:v>7.2918533006053305</c:v>
                </c:pt>
                <c:pt idx="15">
                  <c:v>6.8725383217574079</c:v>
                </c:pt>
                <c:pt idx="16">
                  <c:v>6.1092320442362009</c:v>
                </c:pt>
                <c:pt idx="17">
                  <c:v>5.1199079506909477</c:v>
                </c:pt>
                <c:pt idx="18">
                  <c:v>4.3311546587347163</c:v>
                </c:pt>
                <c:pt idx="19">
                  <c:v>3.9042756106600809</c:v>
                </c:pt>
                <c:pt idx="20">
                  <c:v>3.3236133815912274</c:v>
                </c:pt>
                <c:pt idx="21">
                  <c:v>2.3853568935530132</c:v>
                </c:pt>
                <c:pt idx="22">
                  <c:v>0.84162987310065884</c:v>
                </c:pt>
                <c:pt idx="23">
                  <c:v>0.50688730032510243</c:v>
                </c:pt>
                <c:pt idx="24">
                  <c:v>0.21674969820259959</c:v>
                </c:pt>
                <c:pt idx="25">
                  <c:v>0</c:v>
                </c:pt>
              </c:numCache>
            </c:numRef>
          </c:val>
          <c:extLst>
            <c:ext xmlns:c16="http://schemas.microsoft.com/office/drawing/2014/chart" uri="{C3380CC4-5D6E-409C-BE32-E72D297353CC}">
              <c16:uniqueId val="{00000001-520E-4BB4-96C7-E40CB978A481}"/>
            </c:ext>
          </c:extLst>
        </c:ser>
        <c:ser>
          <c:idx val="2"/>
          <c:order val="2"/>
          <c:tx>
            <c:strRef>
              <c:f>'GrD-Grafikdaten (2)'!$E$134:$F$134</c:f>
              <c:strCache>
                <c:ptCount val="2"/>
                <c:pt idx="0">
                  <c:v>Eolien Onshore</c:v>
                </c:pt>
                <c:pt idx="1">
                  <c:v>Stock (Bestand)</c:v>
                </c:pt>
              </c:strCache>
            </c:strRef>
          </c:tx>
          <c:spPr>
            <a:pattFill prst="wdUpDiag">
              <a:fgClr>
                <a:srgbClr val="1E83B3"/>
              </a:fgClr>
              <a:bgClr>
                <a:srgbClr val="E6E6E6"/>
              </a:bgClr>
            </a:patt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(2)'!$G$134:$AF$134</c:f>
              <c:numCache>
                <c:formatCode>0.00</c:formatCode>
                <c:ptCount val="26"/>
                <c:pt idx="0">
                  <c:v>4.1869800800000005</c:v>
                </c:pt>
                <c:pt idx="1">
                  <c:v>4.4946196810000005</c:v>
                </c:pt>
                <c:pt idx="2">
                  <c:v>4.3533828439027991</c:v>
                </c:pt>
                <c:pt idx="3">
                  <c:v>5.3593675109834491</c:v>
                </c:pt>
                <c:pt idx="4">
                  <c:v>6.1037070259736002</c:v>
                </c:pt>
                <c:pt idx="5">
                  <c:v>6.0139168669547871</c:v>
                </c:pt>
                <c:pt idx="6">
                  <c:v>5.9784568806193468</c:v>
                </c:pt>
                <c:pt idx="7">
                  <c:v>5.9311768988387614</c:v>
                </c:pt>
                <c:pt idx="8">
                  <c:v>5.8720769216130293</c:v>
                </c:pt>
                <c:pt idx="9">
                  <c:v>5.7072762129233041</c:v>
                </c:pt>
                <c:pt idx="10">
                  <c:v>5.5322549090503328</c:v>
                </c:pt>
                <c:pt idx="11">
                  <c:v>5.2442237337911122</c:v>
                </c:pt>
                <c:pt idx="12">
                  <c:v>4.8907078366197974</c:v>
                </c:pt>
                <c:pt idx="13">
                  <c:v>4.5021302757619548</c:v>
                </c:pt>
                <c:pt idx="14">
                  <c:v>4.1498757420585815</c:v>
                </c:pt>
                <c:pt idx="15">
                  <c:v>3.8471909163520843</c:v>
                </c:pt>
                <c:pt idx="16">
                  <c:v>3.6009016566231895</c:v>
                </c:pt>
                <c:pt idx="17">
                  <c:v>3.362416669808018</c:v>
                </c:pt>
                <c:pt idx="18">
                  <c:v>2.9646729463510626</c:v>
                </c:pt>
                <c:pt idx="19">
                  <c:v>2.755600394248884</c:v>
                </c:pt>
                <c:pt idx="20">
                  <c:v>2.3480851114899872</c:v>
                </c:pt>
                <c:pt idx="21">
                  <c:v>1.9718168299157017</c:v>
                </c:pt>
                <c:pt idx="22">
                  <c:v>1.4793229511201422</c:v>
                </c:pt>
                <c:pt idx="23">
                  <c:v>0.78191609611789203</c:v>
                </c:pt>
                <c:pt idx="24">
                  <c:v>0.48002531726640046</c:v>
                </c:pt>
                <c:pt idx="25">
                  <c:v>0</c:v>
                </c:pt>
              </c:numCache>
            </c:numRef>
          </c:val>
          <c:extLst>
            <c:ext xmlns:c16="http://schemas.microsoft.com/office/drawing/2014/chart" uri="{C3380CC4-5D6E-409C-BE32-E72D297353CC}">
              <c16:uniqueId val="{00000002-520E-4BB4-96C7-E40CB978A481}"/>
            </c:ext>
          </c:extLst>
        </c:ser>
        <c:ser>
          <c:idx val="3"/>
          <c:order val="3"/>
          <c:tx>
            <c:strRef>
              <c:f>'GrD-Grafikdaten (2)'!$E$135:$F$135</c:f>
              <c:strCache>
                <c:ptCount val="2"/>
                <c:pt idx="0">
                  <c:v>Eolien Offshore</c:v>
                </c:pt>
                <c:pt idx="1">
                  <c:v>Stock (Bestand)</c:v>
                </c:pt>
              </c:strCache>
            </c:strRef>
          </c:tx>
          <c:spPr>
            <a:pattFill prst="wdUpDiag">
              <a:fgClr>
                <a:srgbClr val="080318">
                  <a:lumMod val="50000"/>
                  <a:lumOff val="50000"/>
                </a:srgbClr>
              </a:fgClr>
              <a:bgClr>
                <a:srgbClr val="E6E6E6"/>
              </a:bgClr>
            </a:patt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(2)'!$G$135:$AF$135</c:f>
              <c:numCache>
                <c:formatCode>0.00</c:formatCode>
                <c:ptCount val="26"/>
                <c:pt idx="0">
                  <c:v>9.8100000000000007E-2</c:v>
                </c:pt>
                <c:pt idx="1">
                  <c:v>0.17201868399999998</c:v>
                </c:pt>
                <c:pt idx="2">
                  <c:v>0.21721885938639998</c:v>
                </c:pt>
                <c:pt idx="3">
                  <c:v>0.47161680655509991</c:v>
                </c:pt>
                <c:pt idx="4">
                  <c:v>1.4138436736538</c:v>
                </c:pt>
                <c:pt idx="5">
                  <c:v>0.72095677622526411</c:v>
                </c:pt>
                <c:pt idx="6">
                  <c:v>0.72095677622526411</c:v>
                </c:pt>
                <c:pt idx="7">
                  <c:v>0.72095677622526411</c:v>
                </c:pt>
                <c:pt idx="8">
                  <c:v>0.72095677622526411</c:v>
                </c:pt>
                <c:pt idx="9">
                  <c:v>0.72095677622526411</c:v>
                </c:pt>
                <c:pt idx="10">
                  <c:v>0.72095677622526411</c:v>
                </c:pt>
                <c:pt idx="11">
                  <c:v>0.70779873025242745</c:v>
                </c:pt>
                <c:pt idx="12">
                  <c:v>0.67015409610936971</c:v>
                </c:pt>
                <c:pt idx="13">
                  <c:v>0.5886254876290351</c:v>
                </c:pt>
                <c:pt idx="14">
                  <c:v>0.54948030085984612</c:v>
                </c:pt>
                <c:pt idx="15">
                  <c:v>0.41959031199187452</c:v>
                </c:pt>
                <c:pt idx="16">
                  <c:v>0.18563002464811498</c:v>
                </c:pt>
                <c:pt idx="17">
                  <c:v>0.13008602678610678</c:v>
                </c:pt>
                <c:pt idx="18">
                  <c:v>0.12996373387338628</c:v>
                </c:pt>
                <c:pt idx="19">
                  <c:v>0.12978628925492908</c:v>
                </c:pt>
                <c:pt idx="20">
                  <c:v>0.12428980987762621</c:v>
                </c:pt>
                <c:pt idx="21">
                  <c:v>0.1175033883274389</c:v>
                </c:pt>
                <c:pt idx="22">
                  <c:v>0.10084376585622522</c:v>
                </c:pt>
                <c:pt idx="23">
                  <c:v>8.893242401487135E-2</c:v>
                </c:pt>
                <c:pt idx="24">
                  <c:v>5.5540165577103222E-2</c:v>
                </c:pt>
                <c:pt idx="25">
                  <c:v>0</c:v>
                </c:pt>
              </c:numCache>
            </c:numRef>
          </c:val>
          <c:extLst>
            <c:ext xmlns:c16="http://schemas.microsoft.com/office/drawing/2014/chart" uri="{C3380CC4-5D6E-409C-BE32-E72D297353CC}">
              <c16:uniqueId val="{00000003-520E-4BB4-96C7-E40CB978A481}"/>
            </c:ext>
          </c:extLst>
        </c:ser>
        <c:ser>
          <c:idx val="4"/>
          <c:order val="4"/>
          <c:tx>
            <c:strRef>
              <c:f>'GrD-Grafikdaten (2)'!$E$136:$F$136</c:f>
              <c:strCache>
                <c:ptCount val="2"/>
                <c:pt idx="0">
                  <c:v>Solaire</c:v>
                </c:pt>
                <c:pt idx="1">
                  <c:v>Stock (Bestand)</c:v>
                </c:pt>
              </c:strCache>
            </c:strRef>
          </c:tx>
          <c:spPr>
            <a:pattFill prst="wdUpDiag">
              <a:fgClr>
                <a:srgbClr val="FFD744"/>
              </a:fgClr>
              <a:bgClr>
                <a:srgbClr val="E6E6E6"/>
              </a:bgClr>
            </a:patt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(2)'!$G$136:$AF$136</c:f>
              <c:numCache>
                <c:formatCode>0.00</c:formatCode>
                <c:ptCount val="26"/>
                <c:pt idx="0">
                  <c:v>3.8826109599999996</c:v>
                </c:pt>
                <c:pt idx="1">
                  <c:v>8.0206210149999997</c:v>
                </c:pt>
                <c:pt idx="2">
                  <c:v>8.7892939436962809</c:v>
                </c:pt>
                <c:pt idx="3">
                  <c:v>10.302513792381449</c:v>
                </c:pt>
                <c:pt idx="4">
                  <c:v>10.72971006440835</c:v>
                </c:pt>
                <c:pt idx="5">
                  <c:v>9.8992046007707302</c:v>
                </c:pt>
                <c:pt idx="6">
                  <c:v>9.8992046007707302</c:v>
                </c:pt>
                <c:pt idx="7">
                  <c:v>9.8992046007707302</c:v>
                </c:pt>
                <c:pt idx="8">
                  <c:v>9.8992046007707302</c:v>
                </c:pt>
                <c:pt idx="9">
                  <c:v>9.8992046007707302</c:v>
                </c:pt>
                <c:pt idx="10">
                  <c:v>9.8992046007707302</c:v>
                </c:pt>
                <c:pt idx="11">
                  <c:v>9.8743231184046909</c:v>
                </c:pt>
                <c:pt idx="12">
                  <c:v>9.8339025269570541</c:v>
                </c:pt>
                <c:pt idx="13">
                  <c:v>9.7918998861958393</c:v>
                </c:pt>
                <c:pt idx="14">
                  <c:v>9.7368305315089039</c:v>
                </c:pt>
                <c:pt idx="15">
                  <c:v>9.4203080911896588</c:v>
                </c:pt>
                <c:pt idx="16">
                  <c:v>8.9956933481227033</c:v>
                </c:pt>
                <c:pt idx="17">
                  <c:v>8.6231614633896339</c:v>
                </c:pt>
                <c:pt idx="18">
                  <c:v>8.0972890432583959</c:v>
                </c:pt>
                <c:pt idx="19">
                  <c:v>7.306332544077935</c:v>
                </c:pt>
                <c:pt idx="20">
                  <c:v>5.6871387273907805</c:v>
                </c:pt>
                <c:pt idx="21">
                  <c:v>3.344398325548267</c:v>
                </c:pt>
                <c:pt idx="22">
                  <c:v>1.5096140003144618</c:v>
                </c:pt>
                <c:pt idx="23">
                  <c:v>0.41258647705966339</c:v>
                </c:pt>
                <c:pt idx="24">
                  <c:v>0.12207424266830158</c:v>
                </c:pt>
                <c:pt idx="25">
                  <c:v>0</c:v>
                </c:pt>
              </c:numCache>
            </c:numRef>
          </c:val>
          <c:extLst>
            <c:ext xmlns:c16="http://schemas.microsoft.com/office/drawing/2014/chart" uri="{C3380CC4-5D6E-409C-BE32-E72D297353CC}">
              <c16:uniqueId val="{00000004-520E-4BB4-96C7-E40CB978A481}"/>
            </c:ext>
          </c:extLst>
        </c:ser>
        <c:ser>
          <c:idx val="5"/>
          <c:order val="5"/>
          <c:tx>
            <c:strRef>
              <c:f>'GrD-Grafikdaten (2)'!$E$137:$F$137</c:f>
              <c:strCache>
                <c:ptCount val="2"/>
                <c:pt idx="0">
                  <c:v>Autres</c:v>
                </c:pt>
              </c:strCache>
            </c:strRef>
          </c:tx>
          <c:spPr>
            <a:solidFill>
              <a:srgbClr val="FFFFFF">
                <a:lumMod val="85000"/>
              </a:srgbClr>
            </a:solid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(2)'!$G$137:$AF$137</c:f>
              <c:numCache>
                <c:formatCode>0.00</c:formatCode>
                <c:ptCount val="26"/>
                <c:pt idx="0">
                  <c:v>0</c:v>
                </c:pt>
                <c:pt idx="1">
                  <c:v>0</c:v>
                </c:pt>
                <c:pt idx="2">
                  <c:v>0</c:v>
                </c:pt>
                <c:pt idx="3">
                  <c:v>0</c:v>
                </c:pt>
                <c:pt idx="4">
                  <c:v>0</c:v>
                </c:pt>
                <c:pt idx="5">
                  <c:v>4.9914115934987791E-3</c:v>
                </c:pt>
                <c:pt idx="6">
                  <c:v>1.2991418964400495E-2</c:v>
                </c:pt>
                <c:pt idx="7">
                  <c:v>1.7733420130475654E-2</c:v>
                </c:pt>
                <c:pt idx="8">
                  <c:v>2.3995354307607672E-2</c:v>
                </c:pt>
                <c:pt idx="9">
                  <c:v>3.1842602358881235E-2</c:v>
                </c:pt>
                <c:pt idx="10">
                  <c:v>4.1446914331879525E-2</c:v>
                </c:pt>
                <c:pt idx="11">
                  <c:v>4.7734108875280248E-2</c:v>
                </c:pt>
                <c:pt idx="12">
                  <c:v>4.7734108875280248E-2</c:v>
                </c:pt>
                <c:pt idx="13">
                  <c:v>4.7734108875280248E-2</c:v>
                </c:pt>
                <c:pt idx="14">
                  <c:v>4.7734108875280248E-2</c:v>
                </c:pt>
                <c:pt idx="15">
                  <c:v>4.7734108875280248E-2</c:v>
                </c:pt>
                <c:pt idx="16">
                  <c:v>4.7734108875280248E-2</c:v>
                </c:pt>
                <c:pt idx="17">
                  <c:v>4.7734108875280248E-2</c:v>
                </c:pt>
                <c:pt idx="18">
                  <c:v>4.7734108875280248E-2</c:v>
                </c:pt>
                <c:pt idx="19">
                  <c:v>4.7734108875280248E-2</c:v>
                </c:pt>
                <c:pt idx="20">
                  <c:v>4.7734108875280248E-2</c:v>
                </c:pt>
                <c:pt idx="21">
                  <c:v>4.7734108875280248E-2</c:v>
                </c:pt>
                <c:pt idx="22">
                  <c:v>4.7734108875280248E-2</c:v>
                </c:pt>
                <c:pt idx="23">
                  <c:v>4.7734108875280248E-2</c:v>
                </c:pt>
                <c:pt idx="24">
                  <c:v>4.7734108875280248E-2</c:v>
                </c:pt>
                <c:pt idx="25">
                  <c:v>4.7734108875280248E-2</c:v>
                </c:pt>
              </c:numCache>
            </c:numRef>
          </c:val>
          <c:extLst>
            <c:ext xmlns:c16="http://schemas.microsoft.com/office/drawing/2014/chart" uri="{C3380CC4-5D6E-409C-BE32-E72D297353CC}">
              <c16:uniqueId val="{00000005-520E-4BB4-96C7-E40CB978A481}"/>
            </c:ext>
          </c:extLst>
        </c:ser>
        <c:ser>
          <c:idx val="6"/>
          <c:order val="6"/>
          <c:tx>
            <c:strRef>
              <c:f>'GrD-Grafikdaten (2)'!$E$138:$F$138</c:f>
              <c:strCache>
                <c:ptCount val="2"/>
                <c:pt idx="0">
                  <c:v>Biomasse</c:v>
                </c:pt>
              </c:strCache>
            </c:strRef>
          </c:tx>
          <c:spPr>
            <a:solidFill>
              <a:srgbClr val="467850"/>
            </a:solid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(2)'!$G$138:$AF$138</c:f>
              <c:numCache>
                <c:formatCode>0.00</c:formatCode>
                <c:ptCount val="26"/>
                <c:pt idx="0">
                  <c:v>0</c:v>
                </c:pt>
                <c:pt idx="1">
                  <c:v>0</c:v>
                </c:pt>
                <c:pt idx="2">
                  <c:v>0</c:v>
                </c:pt>
                <c:pt idx="3">
                  <c:v>0</c:v>
                </c:pt>
                <c:pt idx="4">
                  <c:v>0</c:v>
                </c:pt>
                <c:pt idx="5">
                  <c:v>6.0742736485813265E-3</c:v>
                </c:pt>
                <c:pt idx="6">
                  <c:v>8.8259144462781311E-2</c:v>
                </c:pt>
                <c:pt idx="7">
                  <c:v>0.25560490304158434</c:v>
                </c:pt>
                <c:pt idx="8">
                  <c:v>0.48193074197835051</c:v>
                </c:pt>
                <c:pt idx="9">
                  <c:v>0.68894389299283953</c:v>
                </c:pt>
                <c:pt idx="10">
                  <c:v>0.82699182048282049</c:v>
                </c:pt>
                <c:pt idx="11">
                  <c:v>0.9397226635598287</c:v>
                </c:pt>
                <c:pt idx="12">
                  <c:v>0.99976816013236736</c:v>
                </c:pt>
                <c:pt idx="13">
                  <c:v>1.027428173389463</c:v>
                </c:pt>
                <c:pt idx="14">
                  <c:v>1.0569410260549332</c:v>
                </c:pt>
                <c:pt idx="15">
                  <c:v>1.0882914157458172</c:v>
                </c:pt>
                <c:pt idx="16">
                  <c:v>1.1758611437977615</c:v>
                </c:pt>
                <c:pt idx="17">
                  <c:v>1.317873460112426</c:v>
                </c:pt>
                <c:pt idx="18">
                  <c:v>1.4584618806127527</c:v>
                </c:pt>
                <c:pt idx="19">
                  <c:v>1.5976306498485606</c:v>
                </c:pt>
                <c:pt idx="20">
                  <c:v>1.7353864046637937</c:v>
                </c:pt>
                <c:pt idx="21">
                  <c:v>1.8717371647071475</c:v>
                </c:pt>
                <c:pt idx="22">
                  <c:v>2.0066917754961673</c:v>
                </c:pt>
                <c:pt idx="23">
                  <c:v>2.1402595840175485</c:v>
                </c:pt>
                <c:pt idx="24">
                  <c:v>2.2724502411511009</c:v>
                </c:pt>
                <c:pt idx="25">
                  <c:v>2.4049413739745349</c:v>
                </c:pt>
              </c:numCache>
            </c:numRef>
          </c:val>
          <c:extLst>
            <c:ext xmlns:c16="http://schemas.microsoft.com/office/drawing/2014/chart" uri="{C3380CC4-5D6E-409C-BE32-E72D297353CC}">
              <c16:uniqueId val="{00000006-520E-4BB4-96C7-E40CB978A481}"/>
            </c:ext>
          </c:extLst>
        </c:ser>
        <c:ser>
          <c:idx val="7"/>
          <c:order val="7"/>
          <c:tx>
            <c:strRef>
              <c:f>'GrD-Grafikdaten (2)'!$E$139:$F$139</c:f>
              <c:strCache>
                <c:ptCount val="2"/>
                <c:pt idx="0">
                  <c:v>Eolien Onshore</c:v>
                </c:pt>
              </c:strCache>
            </c:strRef>
          </c:tx>
          <c:spPr>
            <a:solidFill>
              <a:srgbClr val="1F82C0"/>
            </a:solid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(2)'!$G$139:$AF$139</c:f>
              <c:numCache>
                <c:formatCode>0.00</c:formatCode>
                <c:ptCount val="26"/>
                <c:pt idx="0">
                  <c:v>0</c:v>
                </c:pt>
                <c:pt idx="1">
                  <c:v>0</c:v>
                </c:pt>
                <c:pt idx="2">
                  <c:v>0</c:v>
                </c:pt>
                <c:pt idx="3">
                  <c:v>0</c:v>
                </c:pt>
                <c:pt idx="4">
                  <c:v>0</c:v>
                </c:pt>
                <c:pt idx="5">
                  <c:v>0.25442411616026367</c:v>
                </c:pt>
                <c:pt idx="6">
                  <c:v>0.84890213463769837</c:v>
                </c:pt>
                <c:pt idx="7">
                  <c:v>1.5536695012958703</c:v>
                </c:pt>
                <c:pt idx="8">
                  <c:v>2.1441042857753385</c:v>
                </c:pt>
                <c:pt idx="9">
                  <c:v>2.4482716092426755</c:v>
                </c:pt>
                <c:pt idx="10">
                  <c:v>2.6225815087148665</c:v>
                </c:pt>
                <c:pt idx="11">
                  <c:v>2.8139626446335786</c:v>
                </c:pt>
                <c:pt idx="12">
                  <c:v>3.0379960967466269</c:v>
                </c:pt>
                <c:pt idx="13">
                  <c:v>3.3284063786423865</c:v>
                </c:pt>
                <c:pt idx="14">
                  <c:v>3.653771396839141</c:v>
                </c:pt>
                <c:pt idx="15">
                  <c:v>3.9874592271862723</c:v>
                </c:pt>
                <c:pt idx="16">
                  <c:v>4.3289000836920444</c:v>
                </c:pt>
                <c:pt idx="17">
                  <c:v>4.6706866090541279</c:v>
                </c:pt>
                <c:pt idx="18">
                  <c:v>5.0097808247696456</c:v>
                </c:pt>
                <c:pt idx="19">
                  <c:v>5.3446726963207158</c:v>
                </c:pt>
                <c:pt idx="20">
                  <c:v>5.6745193622538048</c:v>
                </c:pt>
                <c:pt idx="21">
                  <c:v>5.998811416445279</c:v>
                </c:pt>
                <c:pt idx="22">
                  <c:v>6.3172222665626432</c:v>
                </c:pt>
                <c:pt idx="23">
                  <c:v>6.6295326180239345</c:v>
                </c:pt>
                <c:pt idx="24">
                  <c:v>6.9355895719558669</c:v>
                </c:pt>
                <c:pt idx="25">
                  <c:v>7.2394037431891238</c:v>
                </c:pt>
              </c:numCache>
            </c:numRef>
          </c:val>
          <c:extLst>
            <c:ext xmlns:c16="http://schemas.microsoft.com/office/drawing/2014/chart" uri="{C3380CC4-5D6E-409C-BE32-E72D297353CC}">
              <c16:uniqueId val="{00000007-520E-4BB4-96C7-E40CB978A481}"/>
            </c:ext>
          </c:extLst>
        </c:ser>
        <c:ser>
          <c:idx val="8"/>
          <c:order val="8"/>
          <c:tx>
            <c:strRef>
              <c:f>'GrD-Grafikdaten (2)'!$E$140:$F$140</c:f>
              <c:strCache>
                <c:ptCount val="2"/>
                <c:pt idx="0">
                  <c:v>Eolien Offshore</c:v>
                </c:pt>
              </c:strCache>
            </c:strRef>
          </c:tx>
          <c:spPr>
            <a:solidFill>
              <a:srgbClr val="006099"/>
            </a:solid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(2)'!$G$140:$AF$140</c:f>
              <c:numCache>
                <c:formatCode>0.00</c:formatCode>
                <c:ptCount val="26"/>
                <c:pt idx="0">
                  <c:v>0</c:v>
                </c:pt>
                <c:pt idx="1">
                  <c:v>0</c:v>
                </c:pt>
                <c:pt idx="2">
                  <c:v>0</c:v>
                </c:pt>
                <c:pt idx="3">
                  <c:v>0</c:v>
                </c:pt>
                <c:pt idx="4">
                  <c:v>0</c:v>
                </c:pt>
                <c:pt idx="5">
                  <c:v>0.66486814997484556</c:v>
                </c:pt>
                <c:pt idx="6">
                  <c:v>1.5720795806931604</c:v>
                </c:pt>
                <c:pt idx="7">
                  <c:v>2.2561036336235185</c:v>
                </c:pt>
                <c:pt idx="8">
                  <c:v>2.9452660263885782</c:v>
                </c:pt>
                <c:pt idx="9">
                  <c:v>3.5465966465902672</c:v>
                </c:pt>
                <c:pt idx="10">
                  <c:v>3.9011229551727005</c:v>
                </c:pt>
                <c:pt idx="11">
                  <c:v>3.8890131951727005</c:v>
                </c:pt>
                <c:pt idx="12">
                  <c:v>3.920172773211279</c:v>
                </c:pt>
                <c:pt idx="13">
                  <c:v>4.0911214258463433</c:v>
                </c:pt>
                <c:pt idx="14">
                  <c:v>4.074514220733823</c:v>
                </c:pt>
                <c:pt idx="15">
                  <c:v>4.1723897596952302</c:v>
                </c:pt>
                <c:pt idx="16">
                  <c:v>4.0754538510520595</c:v>
                </c:pt>
                <c:pt idx="17">
                  <c:v>3.4602216749682242</c:v>
                </c:pt>
                <c:pt idx="18">
                  <c:v>3.4344683918618264</c:v>
                </c:pt>
                <c:pt idx="19">
                  <c:v>3.1633228389206365</c:v>
                </c:pt>
                <c:pt idx="20">
                  <c:v>3.4372944542200714</c:v>
                </c:pt>
                <c:pt idx="21">
                  <c:v>3.7242598376707723</c:v>
                </c:pt>
                <c:pt idx="22">
                  <c:v>4.0312773374037274</c:v>
                </c:pt>
                <c:pt idx="23">
                  <c:v>4.3409947148465049</c:v>
                </c:pt>
                <c:pt idx="24">
                  <c:v>4.3462921531603884</c:v>
                </c:pt>
                <c:pt idx="25">
                  <c:v>4.302530836332255</c:v>
                </c:pt>
              </c:numCache>
            </c:numRef>
          </c:val>
          <c:extLst>
            <c:ext xmlns:c16="http://schemas.microsoft.com/office/drawing/2014/chart" uri="{C3380CC4-5D6E-409C-BE32-E72D297353CC}">
              <c16:uniqueId val="{00000008-520E-4BB4-96C7-E40CB978A481}"/>
            </c:ext>
          </c:extLst>
        </c:ser>
        <c:ser>
          <c:idx val="9"/>
          <c:order val="9"/>
          <c:tx>
            <c:strRef>
              <c:f>'GrD-Grafikdaten (2)'!$E$141:$F$141</c:f>
              <c:strCache>
                <c:ptCount val="2"/>
                <c:pt idx="0">
                  <c:v>Solaire</c:v>
                </c:pt>
              </c:strCache>
            </c:strRef>
          </c:tx>
          <c:spPr>
            <a:solidFill>
              <a:srgbClr val="FFD744"/>
            </a:solidFill>
            <a:ln>
              <a:solidFill>
                <a:schemeClr val="tx1"/>
              </a:solidFill>
            </a:ln>
          </c:spPr>
          <c:cat>
            <c:numRef>
              <c:f>'GrD-Grafikdaten (2)'!$G$131:$AF$131</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(2)'!$G$141:$AF$141</c:f>
              <c:numCache>
                <c:formatCode>0.00</c:formatCode>
                <c:ptCount val="26"/>
                <c:pt idx="0">
                  <c:v>0</c:v>
                </c:pt>
                <c:pt idx="1">
                  <c:v>0</c:v>
                </c:pt>
                <c:pt idx="2">
                  <c:v>0</c:v>
                </c:pt>
                <c:pt idx="3">
                  <c:v>0</c:v>
                </c:pt>
                <c:pt idx="4">
                  <c:v>0</c:v>
                </c:pt>
                <c:pt idx="5">
                  <c:v>5.6523825593931258E-2</c:v>
                </c:pt>
                <c:pt idx="6">
                  <c:v>0.15985948955445498</c:v>
                </c:pt>
                <c:pt idx="7">
                  <c:v>0.34380285129378069</c:v>
                </c:pt>
                <c:pt idx="8">
                  <c:v>0.54191449460515329</c:v>
                </c:pt>
                <c:pt idx="9">
                  <c:v>0.79846765924135776</c:v>
                </c:pt>
                <c:pt idx="10">
                  <c:v>1.0929147690033234</c:v>
                </c:pt>
                <c:pt idx="11">
                  <c:v>1.4160866404763741</c:v>
                </c:pt>
                <c:pt idx="12">
                  <c:v>1.7671368144275414</c:v>
                </c:pt>
                <c:pt idx="13">
                  <c:v>2.0333828095337916</c:v>
                </c:pt>
                <c:pt idx="14">
                  <c:v>2.2309284829355893</c:v>
                </c:pt>
                <c:pt idx="15">
                  <c:v>2.4212784293823311</c:v>
                </c:pt>
                <c:pt idx="16">
                  <c:v>2.5904816033847977</c:v>
                </c:pt>
                <c:pt idx="17">
                  <c:v>2.7364313196367767</c:v>
                </c:pt>
                <c:pt idx="18">
                  <c:v>2.8783928039280111</c:v>
                </c:pt>
                <c:pt idx="19">
                  <c:v>3.0164604727183035</c:v>
                </c:pt>
                <c:pt idx="20">
                  <c:v>3.1507470337560299</c:v>
                </c:pt>
                <c:pt idx="21">
                  <c:v>3.2814651525700644</c:v>
                </c:pt>
                <c:pt idx="22">
                  <c:v>3.4086233758637685</c:v>
                </c:pt>
                <c:pt idx="23">
                  <c:v>3.5321009646057062</c:v>
                </c:pt>
                <c:pt idx="24">
                  <c:v>3.6520198912842603</c:v>
                </c:pt>
                <c:pt idx="25">
                  <c:v>3.7692114360584315</c:v>
                </c:pt>
              </c:numCache>
            </c:numRef>
          </c:val>
          <c:extLst>
            <c:ext xmlns:c16="http://schemas.microsoft.com/office/drawing/2014/chart" uri="{C3380CC4-5D6E-409C-BE32-E72D297353CC}">
              <c16:uniqueId val="{00000009-520E-4BB4-96C7-E40CB978A481}"/>
            </c:ext>
          </c:extLst>
        </c:ser>
        <c:dLbls>
          <c:showLegendKey val="0"/>
          <c:showVal val="0"/>
          <c:showCatName val="0"/>
          <c:showSerName val="0"/>
          <c:showPercent val="0"/>
          <c:showBubbleSize val="0"/>
        </c:dLbls>
        <c:axId val="46168320"/>
        <c:axId val="46182400"/>
      </c:areaChart>
      <c:catAx>
        <c:axId val="46168320"/>
        <c:scaling>
          <c:orientation val="minMax"/>
        </c:scaling>
        <c:delete val="0"/>
        <c:axPos val="b"/>
        <c:numFmt formatCode="0" sourceLinked="1"/>
        <c:majorTickMark val="out"/>
        <c:minorTickMark val="none"/>
        <c:tickLblPos val="nextTo"/>
        <c:crossAx val="46182400"/>
        <c:crosses val="autoZero"/>
        <c:auto val="1"/>
        <c:lblAlgn val="ctr"/>
        <c:lblOffset val="100"/>
        <c:noMultiLvlLbl val="0"/>
      </c:catAx>
      <c:valAx>
        <c:axId val="46182400"/>
        <c:scaling>
          <c:orientation val="minMax"/>
        </c:scaling>
        <c:delete val="0"/>
        <c:axPos val="l"/>
        <c:majorGridlines/>
        <c:title>
          <c:tx>
            <c:strRef>
              <c:f>ControlPanel!$R$12</c:f>
              <c:strCache>
                <c:ptCount val="1"/>
                <c:pt idx="0">
                  <c:v>Mrd. €</c:v>
                </c:pt>
              </c:strCache>
            </c:strRef>
          </c:tx>
          <c:overlay val="0"/>
          <c:txPr>
            <a:bodyPr rot="-5400000" vert="horz"/>
            <a:lstStyle/>
            <a:p>
              <a:pPr>
                <a:defRPr b="1">
                  <a:latin typeface="Arial" panose="020B0604020202020204" pitchFamily="34" charset="0"/>
                  <a:cs typeface="Arial" panose="020B0604020202020204" pitchFamily="34" charset="0"/>
                </a:defRPr>
              </a:pPr>
              <a:endParaRPr lang="en-US"/>
            </a:p>
          </c:txPr>
        </c:title>
        <c:numFmt formatCode="0" sourceLinked="0"/>
        <c:majorTickMark val="out"/>
        <c:minorTickMark val="none"/>
        <c:tickLblPos val="nextTo"/>
        <c:crossAx val="46168320"/>
        <c:crosses val="autoZero"/>
        <c:crossBetween val="midCat"/>
      </c:valAx>
      <c:spPr>
        <a:solidFill>
          <a:srgbClr val="E6E6E6"/>
        </a:solidFill>
      </c:spPr>
    </c:plotArea>
    <c:legend>
      <c:legendPos val="r"/>
      <c:layout>
        <c:manualLayout>
          <c:xMode val="edge"/>
          <c:yMode val="edge"/>
          <c:x val="0.72347667134506199"/>
          <c:y val="0.13702771585123186"/>
          <c:w val="0.26396336181852498"/>
          <c:h val="0.74042659946290201"/>
        </c:manualLayout>
      </c:layout>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gap"/>
    <c:showDLblsOverMax val="0"/>
  </c:chart>
  <c:spPr>
    <a:solidFill>
      <a:srgbClr val="E6E6E6"/>
    </a:solidFill>
  </c:sp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Arial" panose="020B0604020202020204" pitchFamily="34" charset="0"/>
                <a:cs typeface="Arial" panose="020B0604020202020204" pitchFamily="34" charset="0"/>
              </a:defRPr>
            </a:pPr>
            <a:r>
              <a:rPr lang="fr-FR" sz="1800" b="1" i="0" u="none" strike="noStrike" baseline="0"/>
              <a:t>Expansion brute annuelle </a:t>
            </a:r>
            <a:endParaRPr lang="de-DE">
              <a:latin typeface="Arial" panose="020B0604020202020204" pitchFamily="34" charset="0"/>
              <a:cs typeface="Arial" panose="020B0604020202020204" pitchFamily="34" charset="0"/>
            </a:endParaRPr>
          </a:p>
        </c:rich>
      </c:tx>
      <c:overlay val="1"/>
    </c:title>
    <c:autoTitleDeleted val="0"/>
    <c:plotArea>
      <c:layout>
        <c:manualLayout>
          <c:layoutTarget val="inner"/>
          <c:xMode val="edge"/>
          <c:yMode val="edge"/>
          <c:x val="9.2993050503469413E-2"/>
          <c:y val="0.12045430073181985"/>
          <c:w val="0.65646274717671149"/>
          <c:h val="0.7563397514256176"/>
        </c:manualLayout>
      </c:layout>
      <c:lineChart>
        <c:grouping val="standard"/>
        <c:varyColors val="0"/>
        <c:ser>
          <c:idx val="0"/>
          <c:order val="0"/>
          <c:tx>
            <c:strRef>
              <c:f>'GrD-Grafikdaten (2)'!$F$147</c:f>
              <c:strCache>
                <c:ptCount val="1"/>
                <c:pt idx="0">
                  <c:v>Autres</c:v>
                </c:pt>
              </c:strCache>
            </c:strRef>
          </c:tx>
          <c:spPr>
            <a:ln>
              <a:solidFill>
                <a:schemeClr val="bg1">
                  <a:lumMod val="75000"/>
                </a:schemeClr>
              </a:solidFill>
            </a:ln>
          </c:spPr>
          <c:marker>
            <c:symbol val="none"/>
          </c:marker>
          <c:cat>
            <c:numRef>
              <c:f>'GrD-Grafikdaten (2)'!$G$146:$AF$146</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(2)'!$G$147:$AF$147</c:f>
              <c:numCache>
                <c:formatCode>0.00</c:formatCode>
                <c:ptCount val="26"/>
                <c:pt idx="0">
                  <c:v>0.12954600000000022</c:v>
                </c:pt>
                <c:pt idx="1">
                  <c:v>0.10471489999999974</c:v>
                </c:pt>
                <c:pt idx="2">
                  <c:v>7.042649999999992E-2</c:v>
                </c:pt>
                <c:pt idx="3">
                  <c:v>9.3620800000000282E-2</c:v>
                </c:pt>
                <c:pt idx="4">
                  <c:v>3.7300000000000041E-3</c:v>
                </c:pt>
                <c:pt idx="5">
                  <c:v>0.33660678499999952</c:v>
                </c:pt>
                <c:pt idx="6">
                  <c:v>3.0717774999999795E-2</c:v>
                </c:pt>
                <c:pt idx="7">
                  <c:v>9.1000000000000004E-3</c:v>
                </c:pt>
                <c:pt idx="8">
                  <c:v>2.5999999999999999E-2</c:v>
                </c:pt>
                <c:pt idx="9">
                  <c:v>2.3000000000000003E-2</c:v>
                </c:pt>
                <c:pt idx="10">
                  <c:v>0.02</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0-B82E-45DF-A0E1-1DA391A2D570}"/>
            </c:ext>
          </c:extLst>
        </c:ser>
        <c:ser>
          <c:idx val="1"/>
          <c:order val="1"/>
          <c:tx>
            <c:strRef>
              <c:f>'GrD-Grafikdaten (2)'!$F$148</c:f>
              <c:strCache>
                <c:ptCount val="1"/>
                <c:pt idx="0">
                  <c:v>Biomasse</c:v>
                </c:pt>
              </c:strCache>
            </c:strRef>
          </c:tx>
          <c:spPr>
            <a:ln>
              <a:solidFill>
                <a:srgbClr val="467850"/>
              </a:solidFill>
            </a:ln>
          </c:spPr>
          <c:marker>
            <c:symbol val="none"/>
          </c:marker>
          <c:cat>
            <c:numRef>
              <c:f>'GrD-Grafikdaten (2)'!$G$146:$AF$146</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(2)'!$G$148:$AF$148</c:f>
              <c:numCache>
                <c:formatCode>0.00</c:formatCode>
                <c:ptCount val="26"/>
                <c:pt idx="0">
                  <c:v>0.54100080000000128</c:v>
                </c:pt>
                <c:pt idx="1">
                  <c:v>0.92484900000000014</c:v>
                </c:pt>
                <c:pt idx="2">
                  <c:v>0.2370309999999996</c:v>
                </c:pt>
                <c:pt idx="3">
                  <c:v>0.21040099999999845</c:v>
                </c:pt>
                <c:pt idx="4">
                  <c:v>0.63719819999999994</c:v>
                </c:pt>
                <c:pt idx="5">
                  <c:v>1.2571299999999432E-2</c:v>
                </c:pt>
                <c:pt idx="6">
                  <c:v>0.15215899999999888</c:v>
                </c:pt>
                <c:pt idx="7">
                  <c:v>0.221</c:v>
                </c:pt>
                <c:pt idx="8">
                  <c:v>0.33500000000000002</c:v>
                </c:pt>
                <c:pt idx="9">
                  <c:v>0.19500000000000001</c:v>
                </c:pt>
                <c:pt idx="10">
                  <c:v>0.17599999999999999</c:v>
                </c:pt>
                <c:pt idx="11">
                  <c:v>0.124</c:v>
                </c:pt>
                <c:pt idx="12">
                  <c:v>3.5999999999999997E-2</c:v>
                </c:pt>
                <c:pt idx="13">
                  <c:v>0.04</c:v>
                </c:pt>
                <c:pt idx="14">
                  <c:v>4.2999999999999997E-2</c:v>
                </c:pt>
                <c:pt idx="15">
                  <c:v>4.4999999999999998E-2</c:v>
                </c:pt>
                <c:pt idx="16">
                  <c:v>0.2</c:v>
                </c:pt>
                <c:pt idx="17">
                  <c:v>0.2</c:v>
                </c:pt>
                <c:pt idx="18">
                  <c:v>0.2</c:v>
                </c:pt>
                <c:pt idx="19">
                  <c:v>0.2</c:v>
                </c:pt>
                <c:pt idx="20">
                  <c:v>0.2</c:v>
                </c:pt>
                <c:pt idx="21">
                  <c:v>0.2</c:v>
                </c:pt>
                <c:pt idx="22">
                  <c:v>0.2</c:v>
                </c:pt>
                <c:pt idx="23">
                  <c:v>0.2</c:v>
                </c:pt>
                <c:pt idx="24">
                  <c:v>0.2</c:v>
                </c:pt>
                <c:pt idx="25">
                  <c:v>0.2</c:v>
                </c:pt>
              </c:numCache>
            </c:numRef>
          </c:val>
          <c:smooth val="0"/>
          <c:extLst>
            <c:ext xmlns:c16="http://schemas.microsoft.com/office/drawing/2014/chart" uri="{C3380CC4-5D6E-409C-BE32-E72D297353CC}">
              <c16:uniqueId val="{00000001-B82E-45DF-A0E1-1DA391A2D570}"/>
            </c:ext>
          </c:extLst>
        </c:ser>
        <c:ser>
          <c:idx val="2"/>
          <c:order val="2"/>
          <c:tx>
            <c:strRef>
              <c:f>'GrD-Grafikdaten (2)'!$F$149</c:f>
              <c:strCache>
                <c:ptCount val="1"/>
                <c:pt idx="0">
                  <c:v>Eolien Onshore</c:v>
                </c:pt>
              </c:strCache>
            </c:strRef>
          </c:tx>
          <c:spPr>
            <a:ln>
              <a:solidFill>
                <a:srgbClr val="1F82C0"/>
              </a:solidFill>
            </a:ln>
          </c:spPr>
          <c:marker>
            <c:symbol val="none"/>
          </c:marker>
          <c:cat>
            <c:numRef>
              <c:f>'GrD-Grafikdaten (2)'!$G$146:$AF$146</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(2)'!$G$149:$AF$149</c:f>
              <c:numCache>
                <c:formatCode>0.00</c:formatCode>
                <c:ptCount val="26"/>
                <c:pt idx="0">
                  <c:v>1.4349999999999989</c:v>
                </c:pt>
                <c:pt idx="1">
                  <c:v>1.8959999999999988</c:v>
                </c:pt>
                <c:pt idx="2">
                  <c:v>2.2069999999999994</c:v>
                </c:pt>
                <c:pt idx="3">
                  <c:v>2.9129999999999994</c:v>
                </c:pt>
                <c:pt idx="4">
                  <c:v>4.2570000000000032</c:v>
                </c:pt>
                <c:pt idx="5">
                  <c:v>3.536</c:v>
                </c:pt>
                <c:pt idx="6">
                  <c:v>4.625</c:v>
                </c:pt>
                <c:pt idx="7">
                  <c:v>5.2309999999999999</c:v>
                </c:pt>
                <c:pt idx="8">
                  <c:v>3.4460000000000002</c:v>
                </c:pt>
                <c:pt idx="9">
                  <c:v>1.3380000000000001</c:v>
                </c:pt>
                <c:pt idx="10">
                  <c:v>1.5</c:v>
                </c:pt>
                <c:pt idx="11">
                  <c:v>1.5</c:v>
                </c:pt>
                <c:pt idx="12">
                  <c:v>2</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numCache>
            </c:numRef>
          </c:val>
          <c:smooth val="0"/>
          <c:extLst>
            <c:ext xmlns:c16="http://schemas.microsoft.com/office/drawing/2014/chart" uri="{C3380CC4-5D6E-409C-BE32-E72D297353CC}">
              <c16:uniqueId val="{00000002-B82E-45DF-A0E1-1DA391A2D570}"/>
            </c:ext>
          </c:extLst>
        </c:ser>
        <c:ser>
          <c:idx val="3"/>
          <c:order val="3"/>
          <c:tx>
            <c:strRef>
              <c:f>'GrD-Grafikdaten (2)'!$F$150</c:f>
              <c:strCache>
                <c:ptCount val="1"/>
                <c:pt idx="0">
                  <c:v>Eolien Offshore</c:v>
                </c:pt>
              </c:strCache>
            </c:strRef>
          </c:tx>
          <c:spPr>
            <a:ln>
              <a:solidFill>
                <a:srgbClr val="006099"/>
              </a:solidFill>
            </a:ln>
          </c:spPr>
          <c:marker>
            <c:symbol val="none"/>
          </c:marker>
          <c:cat>
            <c:numRef>
              <c:f>'GrD-Grafikdaten (2)'!$G$146:$AF$146</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(2)'!$G$150:$AF$150</c:f>
              <c:numCache>
                <c:formatCode>0.00</c:formatCode>
                <c:ptCount val="26"/>
                <c:pt idx="0">
                  <c:v>4.4999999999999998E-2</c:v>
                </c:pt>
                <c:pt idx="1">
                  <c:v>0.108</c:v>
                </c:pt>
                <c:pt idx="2">
                  <c:v>9.2299999999999993E-2</c:v>
                </c:pt>
                <c:pt idx="3">
                  <c:v>0.24</c:v>
                </c:pt>
                <c:pt idx="4">
                  <c:v>0.47770000000000001</c:v>
                </c:pt>
                <c:pt idx="5">
                  <c:v>2.2849999999999997</c:v>
                </c:pt>
                <c:pt idx="6">
                  <c:v>0.81799999999999995</c:v>
                </c:pt>
                <c:pt idx="7">
                  <c:v>1.306</c:v>
                </c:pt>
                <c:pt idx="8">
                  <c:v>0.95</c:v>
                </c:pt>
                <c:pt idx="9">
                  <c:v>1.409</c:v>
                </c:pt>
                <c:pt idx="10">
                  <c:v>0</c:v>
                </c:pt>
                <c:pt idx="11">
                  <c:v>0</c:v>
                </c:pt>
                <c:pt idx="12">
                  <c:v>0.34200000000000003</c:v>
                </c:pt>
                <c:pt idx="13">
                  <c:v>0.97499999999999998</c:v>
                </c:pt>
                <c:pt idx="14">
                  <c:v>0.9</c:v>
                </c:pt>
                <c:pt idx="15">
                  <c:v>0.9</c:v>
                </c:pt>
                <c:pt idx="16">
                  <c:v>0.9</c:v>
                </c:pt>
                <c:pt idx="17">
                  <c:v>0.9</c:v>
                </c:pt>
                <c:pt idx="18">
                  <c:v>0.9</c:v>
                </c:pt>
                <c:pt idx="19">
                  <c:v>0.9</c:v>
                </c:pt>
                <c:pt idx="20">
                  <c:v>0.9</c:v>
                </c:pt>
                <c:pt idx="21">
                  <c:v>0.9</c:v>
                </c:pt>
                <c:pt idx="22">
                  <c:v>0.9</c:v>
                </c:pt>
                <c:pt idx="23">
                  <c:v>0.9</c:v>
                </c:pt>
                <c:pt idx="24">
                  <c:v>0.9</c:v>
                </c:pt>
                <c:pt idx="25">
                  <c:v>0.9</c:v>
                </c:pt>
              </c:numCache>
            </c:numRef>
          </c:val>
          <c:smooth val="0"/>
          <c:extLst>
            <c:ext xmlns:c16="http://schemas.microsoft.com/office/drawing/2014/chart" uri="{C3380CC4-5D6E-409C-BE32-E72D297353CC}">
              <c16:uniqueId val="{00000003-B82E-45DF-A0E1-1DA391A2D570}"/>
            </c:ext>
          </c:extLst>
        </c:ser>
        <c:ser>
          <c:idx val="4"/>
          <c:order val="4"/>
          <c:tx>
            <c:strRef>
              <c:f>'GrD-Grafikdaten (2)'!$F$151</c:f>
              <c:strCache>
                <c:ptCount val="1"/>
                <c:pt idx="0">
                  <c:v>Solaire</c:v>
                </c:pt>
              </c:strCache>
            </c:strRef>
          </c:tx>
          <c:spPr>
            <a:ln>
              <a:solidFill>
                <a:srgbClr val="FFD744"/>
              </a:solidFill>
            </a:ln>
          </c:spPr>
          <c:marker>
            <c:symbol val="none"/>
          </c:marker>
          <c:cat>
            <c:numRef>
              <c:f>'GrD-Grafikdaten (2)'!$G$146:$AF$146</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 (2)'!$G$151:$AF$151</c:f>
              <c:numCache>
                <c:formatCode>0.00</c:formatCode>
                <c:ptCount val="26"/>
                <c:pt idx="0">
                  <c:v>7.3779999999999983</c:v>
                </c:pt>
                <c:pt idx="1">
                  <c:v>7.4849999999999994</c:v>
                </c:pt>
                <c:pt idx="2">
                  <c:v>7.6040000000000028</c:v>
                </c:pt>
                <c:pt idx="3">
                  <c:v>3.304000000000002</c:v>
                </c:pt>
                <c:pt idx="4">
                  <c:v>0.7958877419999979</c:v>
                </c:pt>
                <c:pt idx="5">
                  <c:v>1.498</c:v>
                </c:pt>
                <c:pt idx="6">
                  <c:v>1.5249999999999999</c:v>
                </c:pt>
                <c:pt idx="7">
                  <c:v>2.2440000000000002</c:v>
                </c:pt>
                <c:pt idx="8">
                  <c:v>2.4039999999999999</c:v>
                </c:pt>
                <c:pt idx="9">
                  <c:v>2.6869999999999998</c:v>
                </c:pt>
                <c:pt idx="10">
                  <c:v>3.9910000000000001</c:v>
                </c:pt>
                <c:pt idx="11">
                  <c:v>5.4139999999999997</c:v>
                </c:pt>
                <c:pt idx="12">
                  <c:v>4.9379999999999997</c:v>
                </c:pt>
                <c:pt idx="13">
                  <c:v>3.1520000000000001</c:v>
                </c:pt>
                <c:pt idx="14">
                  <c:v>3.0219999999999998</c:v>
                </c:pt>
                <c:pt idx="15">
                  <c:v>3.129</c:v>
                </c:pt>
                <c:pt idx="16">
                  <c:v>2.5</c:v>
                </c:pt>
                <c:pt idx="17">
                  <c:v>2.5</c:v>
                </c:pt>
                <c:pt idx="18">
                  <c:v>2.5</c:v>
                </c:pt>
                <c:pt idx="19">
                  <c:v>2.5</c:v>
                </c:pt>
                <c:pt idx="20">
                  <c:v>2.5</c:v>
                </c:pt>
                <c:pt idx="21">
                  <c:v>2.5</c:v>
                </c:pt>
                <c:pt idx="22">
                  <c:v>2.5</c:v>
                </c:pt>
                <c:pt idx="23">
                  <c:v>2.5</c:v>
                </c:pt>
                <c:pt idx="24">
                  <c:v>2.5</c:v>
                </c:pt>
                <c:pt idx="25">
                  <c:v>2.5</c:v>
                </c:pt>
              </c:numCache>
            </c:numRef>
          </c:val>
          <c:smooth val="0"/>
          <c:extLst>
            <c:ext xmlns:c16="http://schemas.microsoft.com/office/drawing/2014/chart" uri="{C3380CC4-5D6E-409C-BE32-E72D297353CC}">
              <c16:uniqueId val="{00000004-B82E-45DF-A0E1-1DA391A2D570}"/>
            </c:ext>
          </c:extLst>
        </c:ser>
        <c:dLbls>
          <c:showLegendKey val="0"/>
          <c:showVal val="0"/>
          <c:showCatName val="0"/>
          <c:showSerName val="0"/>
          <c:showPercent val="0"/>
          <c:showBubbleSize val="0"/>
        </c:dLbls>
        <c:smooth val="0"/>
        <c:axId val="46200704"/>
        <c:axId val="46202240"/>
      </c:lineChart>
      <c:catAx>
        <c:axId val="46200704"/>
        <c:scaling>
          <c:orientation val="minMax"/>
        </c:scaling>
        <c:delete val="0"/>
        <c:axPos val="b"/>
        <c:numFmt formatCode="0" sourceLinked="1"/>
        <c:majorTickMark val="out"/>
        <c:minorTickMark val="none"/>
        <c:tickLblPos val="low"/>
        <c:txPr>
          <a:bodyPr rot="-5400000" vert="horz"/>
          <a:lstStyle/>
          <a:p>
            <a:pPr>
              <a:defRPr/>
            </a:pPr>
            <a:endParaRPr lang="en-US"/>
          </a:p>
        </c:txPr>
        <c:crossAx val="46202240"/>
        <c:crosses val="autoZero"/>
        <c:auto val="1"/>
        <c:lblAlgn val="ctr"/>
        <c:lblOffset val="100"/>
        <c:noMultiLvlLbl val="0"/>
      </c:catAx>
      <c:valAx>
        <c:axId val="46202240"/>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GW/a</a:t>
                </a:r>
              </a:p>
            </c:rich>
          </c:tx>
          <c:overlay val="0"/>
        </c:title>
        <c:numFmt formatCode="0" sourceLinked="0"/>
        <c:majorTickMark val="out"/>
        <c:minorTickMark val="none"/>
        <c:tickLblPos val="nextTo"/>
        <c:crossAx val="46200704"/>
        <c:crosses val="autoZero"/>
        <c:crossBetween val="between"/>
      </c:valAx>
      <c:spPr>
        <a:solidFill>
          <a:schemeClr val="bg1"/>
        </a:solidFill>
      </c:spPr>
    </c:plotArea>
    <c:legend>
      <c:legendPos val="r"/>
      <c:layout>
        <c:manualLayout>
          <c:xMode val="edge"/>
          <c:yMode val="edge"/>
          <c:x val="0.79291151661628201"/>
          <c:y val="0.26598913326021212"/>
          <c:w val="0.19862812250602552"/>
          <c:h val="0.34241388711016996"/>
        </c:manualLayout>
      </c:layout>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Arial" panose="020B0604020202020204" pitchFamily="34" charset="0"/>
                <a:cs typeface="Arial" panose="020B0604020202020204" pitchFamily="34" charset="0"/>
              </a:defRPr>
            </a:pPr>
            <a:r>
              <a:rPr lang="fr-FR" sz="1800" b="1" i="0" u="none" strike="noStrike" baseline="0"/>
              <a:t>Consommation selon les consommateurs </a:t>
            </a:r>
            <a:endParaRPr lang="de-DE" sz="1600">
              <a:latin typeface="Arial" panose="020B0604020202020204" pitchFamily="34" charset="0"/>
              <a:cs typeface="Arial" panose="020B0604020202020204" pitchFamily="34" charset="0"/>
            </a:endParaRPr>
          </a:p>
        </c:rich>
      </c:tx>
      <c:layout>
        <c:manualLayout>
          <c:xMode val="edge"/>
          <c:yMode val="edge"/>
          <c:x val="0.1173699264483562"/>
          <c:y val="3.1402660407014747E-2"/>
        </c:manualLayout>
      </c:layout>
      <c:overlay val="0"/>
    </c:title>
    <c:autoTitleDeleted val="0"/>
    <c:plotArea>
      <c:layout>
        <c:manualLayout>
          <c:layoutTarget val="inner"/>
          <c:xMode val="edge"/>
          <c:yMode val="edge"/>
          <c:x val="0.11510940273053517"/>
          <c:y val="0.14252572139420197"/>
          <c:w val="0.45284558736599634"/>
          <c:h val="0.71186997880406211"/>
        </c:manualLayout>
      </c:layout>
      <c:areaChart>
        <c:grouping val="stacked"/>
        <c:varyColors val="0"/>
        <c:ser>
          <c:idx val="1"/>
          <c:order val="0"/>
          <c:tx>
            <c:strRef>
              <c:f>'GrD-Grafikdaten'!$E$157</c:f>
              <c:strCache>
                <c:ptCount val="1"/>
                <c:pt idx="0">
                  <c:v>Utilisation finale non privilégiée</c:v>
                </c:pt>
              </c:strCache>
            </c:strRef>
          </c:tx>
          <c:spPr>
            <a:solidFill>
              <a:schemeClr val="tx2"/>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'GrD-Grafikdaten'!$F$157:$AE$157</c:f>
              <c:numCache>
                <c:formatCode>0.00</c:formatCode>
                <c:ptCount val="26"/>
                <c:pt idx="0">
                  <c:v>400.59500000000003</c:v>
                </c:pt>
                <c:pt idx="1">
                  <c:v>383.14973227999997</c:v>
                </c:pt>
                <c:pt idx="2">
                  <c:v>386.50834199999997</c:v>
                </c:pt>
                <c:pt idx="3">
                  <c:v>383.25856100000004</c:v>
                </c:pt>
                <c:pt idx="4">
                  <c:v>370.260447</c:v>
                </c:pt>
                <c:pt idx="5">
                  <c:v>350.71186199775002</c:v>
                </c:pt>
                <c:pt idx="6">
                  <c:v>355.81992107000013</c:v>
                </c:pt>
                <c:pt idx="7">
                  <c:v>342.69702431899992</c:v>
                </c:pt>
                <c:pt idx="8">
                  <c:v>343.43449980099996</c:v>
                </c:pt>
                <c:pt idx="9">
                  <c:v>344.29499200573338</c:v>
                </c:pt>
                <c:pt idx="10">
                  <c:v>344.16121049404217</c:v>
                </c:pt>
                <c:pt idx="11">
                  <c:v>331.78540980535826</c:v>
                </c:pt>
                <c:pt idx="12">
                  <c:v>329.80586289665291</c:v>
                </c:pt>
                <c:pt idx="13">
                  <c:v>329.21329222096659</c:v>
                </c:pt>
                <c:pt idx="14">
                  <c:v>328.12304725272179</c:v>
                </c:pt>
                <c:pt idx="15">
                  <c:v>327.70886225122763</c:v>
                </c:pt>
                <c:pt idx="16">
                  <c:v>327.584210333371</c:v>
                </c:pt>
                <c:pt idx="17">
                  <c:v>327.50147532469316</c:v>
                </c:pt>
                <c:pt idx="18">
                  <c:v>327.45539906052142</c:v>
                </c:pt>
                <c:pt idx="19">
                  <c:v>327.54599487806399</c:v>
                </c:pt>
                <c:pt idx="20">
                  <c:v>327.79726157480195</c:v>
                </c:pt>
                <c:pt idx="21">
                  <c:v>328.05370235513061</c:v>
                </c:pt>
                <c:pt idx="22">
                  <c:v>328.31597773641175</c:v>
                </c:pt>
                <c:pt idx="23">
                  <c:v>328.34085220014043</c:v>
                </c:pt>
                <c:pt idx="24">
                  <c:v>328.28833607722714</c:v>
                </c:pt>
                <c:pt idx="25">
                  <c:v>328.12928447415595</c:v>
                </c:pt>
              </c:numCache>
            </c:numRef>
          </c:val>
          <c:extLst>
            <c:ext xmlns:c16="http://schemas.microsoft.com/office/drawing/2014/chart" uri="{C3380CC4-5D6E-409C-BE32-E72D297353CC}">
              <c16:uniqueId val="{00000000-A6C8-4AF9-8283-08610B8FCDAF}"/>
            </c:ext>
          </c:extLst>
        </c:ser>
        <c:ser>
          <c:idx val="6"/>
          <c:order val="1"/>
          <c:tx>
            <c:strRef>
              <c:f>'GrD-Grafikdaten'!$E$162</c:f>
              <c:strCache>
                <c:ptCount val="1"/>
                <c:pt idx="0">
                  <c:v>Privilège de l'électricité verte</c:v>
                </c:pt>
              </c:strCache>
            </c:strRef>
          </c:tx>
          <c:spPr>
            <a:solidFill>
              <a:srgbClr val="88BB3C"/>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'GrD-Grafikdaten'!$F$162:$AE$162</c:f>
              <c:numCache>
                <c:formatCode>0.00</c:formatCode>
                <c:ptCount val="26"/>
                <c:pt idx="0">
                  <c:v>0</c:v>
                </c:pt>
                <c:pt idx="1">
                  <c:v>24.664059639999998</c:v>
                </c:pt>
                <c:pt idx="2">
                  <c:v>6.3188509999999996</c:v>
                </c:pt>
                <c:pt idx="3">
                  <c:v>2.5983429999999998</c:v>
                </c:pt>
                <c:pt idx="4">
                  <c:v>5.9772400000000001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A6C8-4AF9-8283-08610B8FCDAF}"/>
            </c:ext>
          </c:extLst>
        </c:ser>
        <c:ser>
          <c:idx val="2"/>
          <c:order val="2"/>
          <c:tx>
            <c:strRef>
              <c:f>'GrD-Grafikdaten'!$E$158</c:f>
              <c:strCache>
                <c:ptCount val="1"/>
                <c:pt idx="0">
                  <c:v>Utilisation finale privilégiée</c:v>
                </c:pt>
              </c:strCache>
            </c:strRef>
          </c:tx>
          <c:spPr>
            <a:solidFill>
              <a:schemeClr val="accent1"/>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'GrD-Grafikdaten'!$F$158:$AE$158</c:f>
              <c:numCache>
                <c:formatCode>0.00</c:formatCode>
                <c:ptCount val="26"/>
                <c:pt idx="0">
                  <c:v>67.885999999999996</c:v>
                </c:pt>
                <c:pt idx="1">
                  <c:v>74.729966079999997</c:v>
                </c:pt>
                <c:pt idx="2">
                  <c:v>84.727446</c:v>
                </c:pt>
                <c:pt idx="3">
                  <c:v>96.225492000000003</c:v>
                </c:pt>
                <c:pt idx="4">
                  <c:v>106.52299099999999</c:v>
                </c:pt>
                <c:pt idx="5">
                  <c:v>110.247</c:v>
                </c:pt>
                <c:pt idx="6">
                  <c:v>103.9</c:v>
                </c:pt>
                <c:pt idx="7">
                  <c:v>114.145597</c:v>
                </c:pt>
                <c:pt idx="8">
                  <c:v>114.690017</c:v>
                </c:pt>
                <c:pt idx="9">
                  <c:v>113.926688</c:v>
                </c:pt>
                <c:pt idx="10">
                  <c:v>116.17166499999999</c:v>
                </c:pt>
                <c:pt idx="11">
                  <c:v>112.73</c:v>
                </c:pt>
                <c:pt idx="12">
                  <c:v>111.65</c:v>
                </c:pt>
                <c:pt idx="13">
                  <c:v>110.48</c:v>
                </c:pt>
                <c:pt idx="14">
                  <c:v>109.19</c:v>
                </c:pt>
                <c:pt idx="15">
                  <c:v>107.92</c:v>
                </c:pt>
                <c:pt idx="16">
                  <c:v>107.92</c:v>
                </c:pt>
                <c:pt idx="17">
                  <c:v>107.92</c:v>
                </c:pt>
                <c:pt idx="18">
                  <c:v>107.92</c:v>
                </c:pt>
                <c:pt idx="19">
                  <c:v>107.92</c:v>
                </c:pt>
                <c:pt idx="20">
                  <c:v>107.92</c:v>
                </c:pt>
                <c:pt idx="21">
                  <c:v>107.92</c:v>
                </c:pt>
                <c:pt idx="22">
                  <c:v>107.92</c:v>
                </c:pt>
                <c:pt idx="23">
                  <c:v>107.92</c:v>
                </c:pt>
                <c:pt idx="24">
                  <c:v>107.92</c:v>
                </c:pt>
                <c:pt idx="25">
                  <c:v>107.92</c:v>
                </c:pt>
              </c:numCache>
            </c:numRef>
          </c:val>
          <c:extLst>
            <c:ext xmlns:c16="http://schemas.microsoft.com/office/drawing/2014/chart" uri="{C3380CC4-5D6E-409C-BE32-E72D297353CC}">
              <c16:uniqueId val="{00000002-A6C8-4AF9-8283-08610B8FCDAF}"/>
            </c:ext>
          </c:extLst>
        </c:ser>
        <c:ser>
          <c:idx val="3"/>
          <c:order val="3"/>
          <c:tx>
            <c:strRef>
              <c:f>'GrD-Grafikdaten'!$E$159</c:f>
              <c:strCache>
                <c:ptCount val="1"/>
                <c:pt idx="0">
                  <c:v>Consommation propre (stock et remplacement de stock, fossile)</c:v>
                </c:pt>
              </c:strCache>
            </c:strRef>
          </c:tx>
          <c:spPr>
            <a:solidFill>
              <a:schemeClr val="bg1">
                <a:lumMod val="50000"/>
              </a:schemeClr>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'GrD-Grafikdaten'!$F$159:$AE$159</c:f>
              <c:numCache>
                <c:formatCode>0.00</c:formatCode>
                <c:ptCount val="26"/>
                <c:pt idx="0">
                  <c:v>66.919000000000011</c:v>
                </c:pt>
                <c:pt idx="1">
                  <c:v>54.256241999999979</c:v>
                </c:pt>
                <c:pt idx="2">
                  <c:v>62.173272999999973</c:v>
                </c:pt>
                <c:pt idx="3">
                  <c:v>52.680143000000065</c:v>
                </c:pt>
                <c:pt idx="4">
                  <c:v>44.33</c:v>
                </c:pt>
                <c:pt idx="5">
                  <c:v>57.291305999999999</c:v>
                </c:pt>
                <c:pt idx="6">
                  <c:v>48.547290999999994</c:v>
                </c:pt>
                <c:pt idx="7">
                  <c:v>60.951926519999994</c:v>
                </c:pt>
                <c:pt idx="8">
                  <c:v>61.173551851607797</c:v>
                </c:pt>
                <c:pt idx="9">
                  <c:v>69.750429999999994</c:v>
                </c:pt>
                <c:pt idx="10">
                  <c:v>68.086641999999998</c:v>
                </c:pt>
                <c:pt idx="11">
                  <c:v>60.732941999999994</c:v>
                </c:pt>
                <c:pt idx="12">
                  <c:v>60.732941999999994</c:v>
                </c:pt>
                <c:pt idx="13">
                  <c:v>60.732941999999994</c:v>
                </c:pt>
                <c:pt idx="14">
                  <c:v>60.732941999999994</c:v>
                </c:pt>
                <c:pt idx="15">
                  <c:v>60.732941999999994</c:v>
                </c:pt>
                <c:pt idx="16">
                  <c:v>60.732941999999994</c:v>
                </c:pt>
                <c:pt idx="17">
                  <c:v>60.732941999999994</c:v>
                </c:pt>
                <c:pt idx="18">
                  <c:v>60.732941999999994</c:v>
                </c:pt>
                <c:pt idx="19">
                  <c:v>60.732941999999994</c:v>
                </c:pt>
                <c:pt idx="20">
                  <c:v>60.732941999999994</c:v>
                </c:pt>
                <c:pt idx="21">
                  <c:v>60.732941999999994</c:v>
                </c:pt>
                <c:pt idx="22">
                  <c:v>60.732941999999994</c:v>
                </c:pt>
                <c:pt idx="23">
                  <c:v>60.732941999999994</c:v>
                </c:pt>
                <c:pt idx="24">
                  <c:v>60.732941999999994</c:v>
                </c:pt>
                <c:pt idx="25">
                  <c:v>60.732941999999994</c:v>
                </c:pt>
              </c:numCache>
            </c:numRef>
          </c:val>
          <c:extLst>
            <c:ext xmlns:c16="http://schemas.microsoft.com/office/drawing/2014/chart" uri="{C3380CC4-5D6E-409C-BE32-E72D297353CC}">
              <c16:uniqueId val="{00000003-A6C8-4AF9-8283-08610B8FCDAF}"/>
            </c:ext>
          </c:extLst>
        </c:ser>
        <c:ser>
          <c:idx val="4"/>
          <c:order val="4"/>
          <c:tx>
            <c:strRef>
              <c:f>'GrD-Grafikdaten'!$E$160</c:f>
              <c:strCache>
                <c:ptCount val="1"/>
                <c:pt idx="0">
                  <c:v>Consommation propre (nouveaux systèmes, ER et CHP)</c:v>
                </c:pt>
              </c:strCache>
            </c:strRef>
          </c:tx>
          <c:spPr>
            <a:solidFill>
              <a:srgbClr val="FFD744"/>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'GrD-Grafikdaten'!$F$160:$AE$160</c:f>
              <c:numCache>
                <c:formatCode>0.00</c:formatCode>
                <c:ptCount val="26"/>
                <c:pt idx="0">
                  <c:v>0</c:v>
                </c:pt>
                <c:pt idx="1">
                  <c:v>0</c:v>
                </c:pt>
                <c:pt idx="2">
                  <c:v>0</c:v>
                </c:pt>
                <c:pt idx="3">
                  <c:v>0</c:v>
                </c:pt>
                <c:pt idx="4">
                  <c:v>0</c:v>
                </c:pt>
                <c:pt idx="5">
                  <c:v>0.34113800225000002</c:v>
                </c:pt>
                <c:pt idx="6">
                  <c:v>1.08007893</c:v>
                </c:pt>
                <c:pt idx="7">
                  <c:v>1.2738906809999999</c:v>
                </c:pt>
                <c:pt idx="8">
                  <c:v>1.9973651989999999</c:v>
                </c:pt>
                <c:pt idx="9">
                  <c:v>3.7206509942665722</c:v>
                </c:pt>
                <c:pt idx="10">
                  <c:v>3.9664565059578099</c:v>
                </c:pt>
                <c:pt idx="11">
                  <c:v>6.2501471946418192</c:v>
                </c:pt>
                <c:pt idx="12">
                  <c:v>6.8114083333471154</c:v>
                </c:pt>
                <c:pt idx="13">
                  <c:v>7.2841236871692363</c:v>
                </c:pt>
                <c:pt idx="14">
                  <c:v>7.6912475414514256</c:v>
                </c:pt>
                <c:pt idx="15">
                  <c:v>8.0877785438728846</c:v>
                </c:pt>
                <c:pt idx="16">
                  <c:v>8.2588318064002166</c:v>
                </c:pt>
                <c:pt idx="17">
                  <c:v>8.4115266123217598</c:v>
                </c:pt>
                <c:pt idx="18">
                  <c:v>8.564936947795875</c:v>
                </c:pt>
                <c:pt idx="19">
                  <c:v>8.7190628128225605</c:v>
                </c:pt>
                <c:pt idx="20">
                  <c:v>8.873904207401818</c:v>
                </c:pt>
                <c:pt idx="21">
                  <c:v>9.0294611315336475</c:v>
                </c:pt>
                <c:pt idx="22">
                  <c:v>9.1857335852180473</c:v>
                </c:pt>
                <c:pt idx="23">
                  <c:v>9.3427215684550173</c:v>
                </c:pt>
                <c:pt idx="24">
                  <c:v>9.5004250812445594</c:v>
                </c:pt>
                <c:pt idx="25">
                  <c:v>9.659476684315802</c:v>
                </c:pt>
              </c:numCache>
            </c:numRef>
          </c:val>
          <c:extLst>
            <c:ext xmlns:c16="http://schemas.microsoft.com/office/drawing/2014/chart" uri="{C3380CC4-5D6E-409C-BE32-E72D297353CC}">
              <c16:uniqueId val="{00000004-A6C8-4AF9-8283-08610B8FCDAF}"/>
            </c:ext>
          </c:extLst>
        </c:ser>
        <c:ser>
          <c:idx val="5"/>
          <c:order val="5"/>
          <c:tx>
            <c:strRef>
              <c:f>'GrD-Grafikdaten'!$E$161</c:f>
              <c:strCache>
                <c:ptCount val="1"/>
                <c:pt idx="0">
                  <c:v>Consommation propre (nouveaux systèmes, fossiles, pas de cogénération)</c:v>
                </c:pt>
              </c:strCache>
            </c:strRef>
          </c:tx>
          <c:spPr>
            <a:solidFill>
              <a:schemeClr val="tx1"/>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'GrD-Grafikdaten'!$F$161:$AE$161</c:f>
              <c:numCache>
                <c:formatCode>0.00</c:formatCode>
                <c:ptCount val="26"/>
                <c:pt idx="0">
                  <c:v>0</c:v>
                </c:pt>
                <c:pt idx="1">
                  <c:v>0</c:v>
                </c:pt>
                <c:pt idx="2">
                  <c:v>0</c:v>
                </c:pt>
                <c:pt idx="3">
                  <c:v>0</c:v>
                </c:pt>
                <c:pt idx="4">
                  <c:v>0</c:v>
                </c:pt>
                <c:pt idx="5">
                  <c:v>0</c:v>
                </c:pt>
                <c:pt idx="6">
                  <c:v>0</c:v>
                </c:pt>
                <c:pt idx="7">
                  <c:v>1.1745889999999999</c:v>
                </c:pt>
                <c:pt idx="8">
                  <c:v>1.5439479999999999</c:v>
                </c:pt>
                <c:pt idx="9">
                  <c:v>2.5107649999999997</c:v>
                </c:pt>
                <c:pt idx="10">
                  <c:v>3.6564139999999998</c:v>
                </c:pt>
                <c:pt idx="11">
                  <c:v>3.8827539999999998</c:v>
                </c:pt>
                <c:pt idx="12">
                  <c:v>3.8827539999999998</c:v>
                </c:pt>
                <c:pt idx="13">
                  <c:v>3.8827539999999998</c:v>
                </c:pt>
                <c:pt idx="14">
                  <c:v>3.8827539999999998</c:v>
                </c:pt>
                <c:pt idx="15">
                  <c:v>3.8827539999999998</c:v>
                </c:pt>
                <c:pt idx="16">
                  <c:v>3.8827539999999998</c:v>
                </c:pt>
                <c:pt idx="17">
                  <c:v>3.8827539999999998</c:v>
                </c:pt>
                <c:pt idx="18">
                  <c:v>3.8827539999999998</c:v>
                </c:pt>
                <c:pt idx="19">
                  <c:v>3.8827539999999998</c:v>
                </c:pt>
                <c:pt idx="20">
                  <c:v>3.8827539999999998</c:v>
                </c:pt>
                <c:pt idx="21">
                  <c:v>3.8827539999999998</c:v>
                </c:pt>
                <c:pt idx="22">
                  <c:v>3.8827539999999998</c:v>
                </c:pt>
                <c:pt idx="23">
                  <c:v>3.8827539999999998</c:v>
                </c:pt>
                <c:pt idx="24">
                  <c:v>3.8827539999999998</c:v>
                </c:pt>
                <c:pt idx="25">
                  <c:v>3.8827539999999998</c:v>
                </c:pt>
              </c:numCache>
            </c:numRef>
          </c:val>
          <c:extLst>
            <c:ext xmlns:c16="http://schemas.microsoft.com/office/drawing/2014/chart" uri="{C3380CC4-5D6E-409C-BE32-E72D297353CC}">
              <c16:uniqueId val="{00000005-A6C8-4AF9-8283-08610B8FCDAF}"/>
            </c:ext>
          </c:extLst>
        </c:ser>
        <c:ser>
          <c:idx val="7"/>
          <c:order val="6"/>
          <c:tx>
            <c:strRef>
              <c:f>'GrD-Grafikdaten'!$E$163</c:f>
              <c:strCache>
                <c:ptCount val="1"/>
                <c:pt idx="0">
                  <c:v>Pertes sur le réseau et consommation propre de la centrale électrique (TWh)</c:v>
                </c:pt>
              </c:strCache>
            </c:strRef>
          </c:tx>
          <c:val>
            <c:numRef>
              <c:f>'GrD-Grafikdaten'!$F$163:$AE$163</c:f>
              <c:numCache>
                <c:formatCode>0.0</c:formatCode>
                <c:ptCount val="26"/>
                <c:pt idx="0">
                  <c:v>79.900000000000006</c:v>
                </c:pt>
                <c:pt idx="1">
                  <c:v>70</c:v>
                </c:pt>
                <c:pt idx="2">
                  <c:v>66.8</c:v>
                </c:pt>
                <c:pt idx="3">
                  <c:v>66.8</c:v>
                </c:pt>
                <c:pt idx="4">
                  <c:v>68.099999999999994</c:v>
                </c:pt>
                <c:pt idx="5">
                  <c:v>79</c:v>
                </c:pt>
                <c:pt idx="6">
                  <c:v>86.5</c:v>
                </c:pt>
                <c:pt idx="7">
                  <c:v>77.2</c:v>
                </c:pt>
                <c:pt idx="8">
                  <c:v>70.3</c:v>
                </c:pt>
                <c:pt idx="9">
                  <c:v>62</c:v>
                </c:pt>
                <c:pt idx="10">
                  <c:v>62</c:v>
                </c:pt>
                <c:pt idx="11">
                  <c:v>62</c:v>
                </c:pt>
                <c:pt idx="12">
                  <c:v>62</c:v>
                </c:pt>
                <c:pt idx="13">
                  <c:v>62</c:v>
                </c:pt>
                <c:pt idx="14">
                  <c:v>62</c:v>
                </c:pt>
                <c:pt idx="15">
                  <c:v>62</c:v>
                </c:pt>
                <c:pt idx="16">
                  <c:v>62</c:v>
                </c:pt>
                <c:pt idx="17">
                  <c:v>62</c:v>
                </c:pt>
                <c:pt idx="18">
                  <c:v>62</c:v>
                </c:pt>
                <c:pt idx="19">
                  <c:v>62</c:v>
                </c:pt>
                <c:pt idx="20">
                  <c:v>62</c:v>
                </c:pt>
                <c:pt idx="21">
                  <c:v>62</c:v>
                </c:pt>
                <c:pt idx="22">
                  <c:v>62</c:v>
                </c:pt>
                <c:pt idx="23">
                  <c:v>62</c:v>
                </c:pt>
                <c:pt idx="24">
                  <c:v>62</c:v>
                </c:pt>
                <c:pt idx="25">
                  <c:v>62</c:v>
                </c:pt>
              </c:numCache>
            </c:numRef>
          </c:val>
          <c:extLst>
            <c:ext xmlns:c16="http://schemas.microsoft.com/office/drawing/2014/chart" uri="{C3380CC4-5D6E-409C-BE32-E72D297353CC}">
              <c16:uniqueId val="{00000006-A6C8-4AF9-8283-08610B8FCDAF}"/>
            </c:ext>
          </c:extLst>
        </c:ser>
        <c:dLbls>
          <c:showLegendKey val="0"/>
          <c:showVal val="0"/>
          <c:showCatName val="0"/>
          <c:showSerName val="0"/>
          <c:showPercent val="0"/>
          <c:showBubbleSize val="0"/>
        </c:dLbls>
        <c:axId val="46512000"/>
        <c:axId val="46513536"/>
      </c:areaChart>
      <c:lineChart>
        <c:grouping val="standard"/>
        <c:varyColors val="0"/>
        <c:ser>
          <c:idx val="0"/>
          <c:order val="7"/>
          <c:tx>
            <c:strRef>
              <c:f>'GrD-Grafikdaten'!$E$167</c:f>
              <c:strCache>
                <c:ptCount val="1"/>
                <c:pt idx="0">
                  <c:v>Part de la consommation finale non privilégiée</c:v>
                </c:pt>
              </c:strCache>
            </c:strRef>
          </c:tx>
          <c:spPr>
            <a:ln>
              <a:solidFill>
                <a:sysClr val="windowText" lastClr="000000"/>
              </a:solidFill>
            </a:ln>
          </c:spPr>
          <c:marker>
            <c:symbol val="none"/>
          </c:marker>
          <c:val>
            <c:numRef>
              <c:f>'GrD-Grafikdaten'!$F$167:$AE$167</c:f>
              <c:numCache>
                <c:formatCode>0.0%</c:formatCode>
                <c:ptCount val="26"/>
                <c:pt idx="0">
                  <c:v>0.65105639525434755</c:v>
                </c:pt>
                <c:pt idx="1">
                  <c:v>0.63142671766644698</c:v>
                </c:pt>
                <c:pt idx="2">
                  <c:v>0.6372474116244794</c:v>
                </c:pt>
                <c:pt idx="3">
                  <c:v>0.63710509905936819</c:v>
                </c:pt>
                <c:pt idx="4">
                  <c:v>0.62208710701614844</c:v>
                </c:pt>
                <c:pt idx="5">
                  <c:v>0.58687577693399373</c:v>
                </c:pt>
                <c:pt idx="6">
                  <c:v>0.59716629821851464</c:v>
                </c:pt>
                <c:pt idx="7">
                  <c:v>0.57360619930831447</c:v>
                </c:pt>
                <c:pt idx="8">
                  <c:v>0.57901146055906438</c:v>
                </c:pt>
                <c:pt idx="9">
                  <c:v>0.57747895977007935</c:v>
                </c:pt>
                <c:pt idx="10">
                  <c:v>0.57547962719666312</c:v>
                </c:pt>
                <c:pt idx="11">
                  <c:v>0.57463834871922692</c:v>
                </c:pt>
                <c:pt idx="12">
                  <c:v>0.5736921803159003</c:v>
                </c:pt>
                <c:pt idx="13">
                  <c:v>0.5739491730048738</c:v>
                </c:pt>
                <c:pt idx="14">
                  <c:v>0.57402304422007366</c:v>
                </c:pt>
                <c:pt idx="15">
                  <c:v>0.57459281388942429</c:v>
                </c:pt>
                <c:pt idx="16">
                  <c:v>0.574327527357965</c:v>
                </c:pt>
                <c:pt idx="17">
                  <c:v>0.57411205689324518</c:v>
                </c:pt>
                <c:pt idx="18">
                  <c:v>0.57392329708249923</c:v>
                </c:pt>
                <c:pt idx="19">
                  <c:v>0.57383595371957841</c:v>
                </c:pt>
                <c:pt idx="20">
                  <c:v>0.57386786382791777</c:v>
                </c:pt>
                <c:pt idx="21">
                  <c:v>0.57390286711277427</c:v>
                </c:pt>
                <c:pt idx="22">
                  <c:v>0.57394144776936784</c:v>
                </c:pt>
                <c:pt idx="23">
                  <c:v>0.57380250814153977</c:v>
                </c:pt>
                <c:pt idx="24">
                  <c:v>0.57360528974620939</c:v>
                </c:pt>
                <c:pt idx="25">
                  <c:v>0.57332738513968451</c:v>
                </c:pt>
              </c:numCache>
            </c:numRef>
          </c:val>
          <c:smooth val="0"/>
          <c:extLst>
            <c:ext xmlns:c16="http://schemas.microsoft.com/office/drawing/2014/chart" uri="{C3380CC4-5D6E-409C-BE32-E72D297353CC}">
              <c16:uniqueId val="{00000007-A6C8-4AF9-8283-08610B8FCDAF}"/>
            </c:ext>
          </c:extLst>
        </c:ser>
        <c:dLbls>
          <c:showLegendKey val="0"/>
          <c:showVal val="0"/>
          <c:showCatName val="0"/>
          <c:showSerName val="0"/>
          <c:showPercent val="0"/>
          <c:showBubbleSize val="0"/>
        </c:dLbls>
        <c:marker val="1"/>
        <c:smooth val="0"/>
        <c:axId val="46992384"/>
        <c:axId val="46990848"/>
      </c:lineChart>
      <c:catAx>
        <c:axId val="46512000"/>
        <c:scaling>
          <c:orientation val="minMax"/>
        </c:scaling>
        <c:delete val="0"/>
        <c:axPos val="b"/>
        <c:numFmt formatCode="0" sourceLinked="1"/>
        <c:majorTickMark val="out"/>
        <c:minorTickMark val="none"/>
        <c:tickLblPos val="nextTo"/>
        <c:crossAx val="46513536"/>
        <c:crosses val="autoZero"/>
        <c:auto val="1"/>
        <c:lblAlgn val="ctr"/>
        <c:lblOffset val="100"/>
        <c:noMultiLvlLbl val="0"/>
      </c:catAx>
      <c:valAx>
        <c:axId val="46513536"/>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TWh</a:t>
                </a:r>
              </a:p>
            </c:rich>
          </c:tx>
          <c:overlay val="0"/>
        </c:title>
        <c:numFmt formatCode="0" sourceLinked="0"/>
        <c:majorTickMark val="out"/>
        <c:minorTickMark val="none"/>
        <c:tickLblPos val="nextTo"/>
        <c:crossAx val="46512000"/>
        <c:crosses val="autoZero"/>
        <c:crossBetween val="between"/>
      </c:valAx>
      <c:valAx>
        <c:axId val="46990848"/>
        <c:scaling>
          <c:orientation val="minMax"/>
          <c:max val="1"/>
          <c:min val="0"/>
        </c:scaling>
        <c:delete val="0"/>
        <c:axPos val="r"/>
        <c:numFmt formatCode="0%" sourceLinked="0"/>
        <c:majorTickMark val="out"/>
        <c:minorTickMark val="none"/>
        <c:tickLblPos val="nextTo"/>
        <c:crossAx val="46992384"/>
        <c:crosses val="max"/>
        <c:crossBetween val="between"/>
      </c:valAx>
      <c:catAx>
        <c:axId val="46992384"/>
        <c:scaling>
          <c:orientation val="minMax"/>
        </c:scaling>
        <c:delete val="1"/>
        <c:axPos val="b"/>
        <c:majorTickMark val="out"/>
        <c:minorTickMark val="none"/>
        <c:tickLblPos val="nextTo"/>
        <c:crossAx val="46990848"/>
        <c:crosses val="autoZero"/>
        <c:auto val="1"/>
        <c:lblAlgn val="ctr"/>
        <c:lblOffset val="100"/>
        <c:noMultiLvlLbl val="0"/>
      </c:catAx>
      <c:spPr>
        <a:solidFill>
          <a:schemeClr val="bg1"/>
        </a:solidFill>
      </c:spPr>
    </c:plotArea>
    <c:legend>
      <c:legendPos val="r"/>
      <c:layout>
        <c:manualLayout>
          <c:xMode val="edge"/>
          <c:yMode val="edge"/>
          <c:x val="0.64606647104591142"/>
          <c:y val="0.12657600725125193"/>
          <c:w val="0.316620998523029"/>
          <c:h val="0.83759851530722418"/>
        </c:manualLayout>
      </c:layout>
      <c:overlay val="0"/>
      <c:txPr>
        <a:bodyPr/>
        <a:lstStyle/>
        <a:p>
          <a:pPr>
            <a:defRPr sz="900">
              <a:latin typeface="Arial" panose="020B0604020202020204" pitchFamily="34" charset="0"/>
              <a:cs typeface="Arial" panose="020B0604020202020204" pitchFamily="34" charset="0"/>
            </a:defRPr>
          </a:pPr>
          <a:endParaRPr lang="en-US"/>
        </a:p>
      </c:txPr>
    </c:legend>
    <c:plotVisOnly val="1"/>
    <c:dispBlanksAs val="zero"/>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latin typeface="Arial" panose="020B0604020202020204" pitchFamily="34" charset="0"/>
                <a:cs typeface="Arial" panose="020B0604020202020204" pitchFamily="34" charset="0"/>
              </a:defRPr>
            </a:pPr>
            <a:r>
              <a:rPr lang="fr-FR" sz="1800" b="1" i="0" u="none" strike="noStrike" baseline="0"/>
              <a:t>Contribution à l'écart de couverture </a:t>
            </a:r>
            <a:endParaRPr lang="de-DE">
              <a:latin typeface="Arial" panose="020B0604020202020204" pitchFamily="34" charset="0"/>
              <a:cs typeface="Arial" panose="020B0604020202020204" pitchFamily="34" charset="0"/>
            </a:endParaRPr>
          </a:p>
        </c:rich>
      </c:tx>
      <c:overlay val="0"/>
    </c:title>
    <c:autoTitleDeleted val="0"/>
    <c:plotArea>
      <c:layout/>
      <c:areaChart>
        <c:grouping val="stacked"/>
        <c:varyColors val="0"/>
        <c:ser>
          <c:idx val="1"/>
          <c:order val="0"/>
          <c:tx>
            <c:strRef>
              <c:f>'GrD-Grafikdaten'!$E$188</c:f>
              <c:strCache>
                <c:ptCount val="1"/>
                <c:pt idx="0">
                  <c:v>Utilisation finale non privilégiée</c:v>
                </c:pt>
              </c:strCache>
            </c:strRef>
          </c:tx>
          <c:spPr>
            <a:solidFill>
              <a:srgbClr val="00B3C9"/>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'GrD-Grafikdaten'!$F$188:$AE$188</c:f>
              <c:numCache>
                <c:formatCode>0.00</c:formatCode>
                <c:ptCount val="26"/>
                <c:pt idx="0">
                  <c:v>8.200179649999999</c:v>
                </c:pt>
                <c:pt idx="1">
                  <c:v>13.525185549484002</c:v>
                </c:pt>
                <c:pt idx="2">
                  <c:v>13.883379644640002</c:v>
                </c:pt>
                <c:pt idx="3">
                  <c:v>20.224554263969999</c:v>
                </c:pt>
                <c:pt idx="4">
                  <c:v>23.104251892800001</c:v>
                </c:pt>
                <c:pt idx="5">
                  <c:v>21.638921885261173</c:v>
                </c:pt>
                <c:pt idx="6">
                  <c:v>22.557176836808882</c:v>
                </c:pt>
                <c:pt idx="7">
                  <c:v>23.518853825944579</c:v>
                </c:pt>
                <c:pt idx="8">
                  <c:v>23.287413752796041</c:v>
                </c:pt>
                <c:pt idx="9">
                  <c:v>22.055278978333259</c:v>
                </c:pt>
                <c:pt idx="10">
                  <c:v>23.251783267739491</c:v>
                </c:pt>
                <c:pt idx="11">
                  <c:v>21.567257675944436</c:v>
                </c:pt>
                <c:pt idx="12">
                  <c:v>20.927984076357223</c:v>
                </c:pt>
                <c:pt idx="13">
                  <c:v>18.889466801868355</c:v>
                </c:pt>
                <c:pt idx="14">
                  <c:v>18.367894776967084</c:v>
                </c:pt>
                <c:pt idx="15">
                  <c:v>16.678590885582558</c:v>
                </c:pt>
                <c:pt idx="16">
                  <c:v>15.195090219826472</c:v>
                </c:pt>
                <c:pt idx="17">
                  <c:v>13.254856945074209</c:v>
                </c:pt>
                <c:pt idx="18">
                  <c:v>11.769497741161704</c:v>
                </c:pt>
                <c:pt idx="19">
                  <c:v>10.13426021976775</c:v>
                </c:pt>
                <c:pt idx="20">
                  <c:v>8.1767061668038306</c:v>
                </c:pt>
                <c:pt idx="21">
                  <c:v>5.3274497148362752</c:v>
                </c:pt>
                <c:pt idx="22">
                  <c:v>2.6017307685927253</c:v>
                </c:pt>
                <c:pt idx="23">
                  <c:v>1.1972144693921996</c:v>
                </c:pt>
                <c:pt idx="24">
                  <c:v>0.61242194045711817</c:v>
                </c:pt>
                <c:pt idx="25">
                  <c:v>1.6801218382709644</c:v>
                </c:pt>
              </c:numCache>
            </c:numRef>
          </c:val>
          <c:extLst>
            <c:ext xmlns:c16="http://schemas.microsoft.com/office/drawing/2014/chart" uri="{C3380CC4-5D6E-409C-BE32-E72D297353CC}">
              <c16:uniqueId val="{00000000-B547-4221-B40B-52B2CB4FB365}"/>
            </c:ext>
          </c:extLst>
        </c:ser>
        <c:ser>
          <c:idx val="6"/>
          <c:order val="1"/>
          <c:tx>
            <c:strRef>
              <c:f>'GrD-Grafikdaten'!$E$193</c:f>
              <c:strCache>
                <c:ptCount val="1"/>
                <c:pt idx="0">
                  <c:v>Privilège de l'électricité verte</c:v>
                </c:pt>
              </c:strCache>
            </c:strRef>
          </c:tx>
          <c:spPr>
            <a:solidFill>
              <a:srgbClr val="88BB3C"/>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'GrD-Grafikdaten'!$F$193:$AE$193</c:f>
              <c:numCache>
                <c:formatCode>0.00</c:formatCode>
                <c:ptCount val="26"/>
                <c:pt idx="0">
                  <c:v>0</c:v>
                </c:pt>
                <c:pt idx="1">
                  <c:v>-2.4664059639986332E-4</c:v>
                </c:pt>
                <c:pt idx="2">
                  <c:v>0.10059610792000002</c:v>
                </c:pt>
                <c:pt idx="3">
                  <c:v>8.5147700109999974E-2</c:v>
                </c:pt>
                <c:pt idx="4">
                  <c:v>0.25343497599999992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B547-4221-B40B-52B2CB4FB365}"/>
            </c:ext>
          </c:extLst>
        </c:ser>
        <c:ser>
          <c:idx val="2"/>
          <c:order val="2"/>
          <c:tx>
            <c:strRef>
              <c:f>'GrD-Grafikdaten'!$E$189</c:f>
              <c:strCache>
                <c:ptCount val="1"/>
                <c:pt idx="0">
                  <c:v>Utilisation finale privilégiée</c:v>
                </c:pt>
              </c:strCache>
            </c:strRef>
          </c:tx>
          <c:spPr>
            <a:solidFill>
              <a:srgbClr val="733E88"/>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'GrD-Grafikdaten'!$F$189:$AE$189</c:f>
              <c:numCache>
                <c:formatCode>0.00</c:formatCode>
                <c:ptCount val="26"/>
                <c:pt idx="0">
                  <c:v>3.3936076147189527E-2</c:v>
                </c:pt>
                <c:pt idx="1">
                  <c:v>3.7357574237737327E-2</c:v>
                </c:pt>
                <c:pt idx="2">
                  <c:v>4.2365070647105339E-2</c:v>
                </c:pt>
                <c:pt idx="3">
                  <c:v>3.2711856918474516E-2</c:v>
                </c:pt>
                <c:pt idx="4">
                  <c:v>0.13849324742799995</c:v>
                </c:pt>
                <c:pt idx="5">
                  <c:v>0.47547656900999991</c:v>
                </c:pt>
                <c:pt idx="6">
                  <c:v>0.49202892511571261</c:v>
                </c:pt>
                <c:pt idx="7">
                  <c:v>0.44702878609243901</c:v>
                </c:pt>
                <c:pt idx="8">
                  <c:v>0.46681481386608825</c:v>
                </c:pt>
                <c:pt idx="9">
                  <c:v>0.41821369137279224</c:v>
                </c:pt>
                <c:pt idx="10">
                  <c:v>0.44460305294704661</c:v>
                </c:pt>
                <c:pt idx="11">
                  <c:v>0.41969364885136307</c:v>
                </c:pt>
                <c:pt idx="12">
                  <c:v>0.40577286279313346</c:v>
                </c:pt>
                <c:pt idx="13">
                  <c:v>0.3630623797796525</c:v>
                </c:pt>
                <c:pt idx="14">
                  <c:v>0.35007472778683607</c:v>
                </c:pt>
                <c:pt idx="15">
                  <c:v>0.31457800470350683</c:v>
                </c:pt>
                <c:pt idx="16">
                  <c:v>0.28670647841272451</c:v>
                </c:pt>
                <c:pt idx="17">
                  <c:v>0.25016063346785383</c:v>
                </c:pt>
                <c:pt idx="18">
                  <c:v>0.22215851218869806</c:v>
                </c:pt>
                <c:pt idx="19">
                  <c:v>0.19123921044481834</c:v>
                </c:pt>
                <c:pt idx="20">
                  <c:v>0.1541807855776775</c:v>
                </c:pt>
                <c:pt idx="21">
                  <c:v>0.10037639625865677</c:v>
                </c:pt>
                <c:pt idx="22">
                  <c:v>4.8980985436431271E-2</c:v>
                </c:pt>
                <c:pt idx="23">
                  <c:v>2.2537421123194581E-2</c:v>
                </c:pt>
                <c:pt idx="24">
                  <c:v>1.153061501927098E-2</c:v>
                </c:pt>
                <c:pt idx="25">
                  <c:v>3.1648488191039235E-2</c:v>
                </c:pt>
              </c:numCache>
            </c:numRef>
          </c:val>
          <c:extLst>
            <c:ext xmlns:c16="http://schemas.microsoft.com/office/drawing/2014/chart" uri="{C3380CC4-5D6E-409C-BE32-E72D297353CC}">
              <c16:uniqueId val="{00000002-B547-4221-B40B-52B2CB4FB365}"/>
            </c:ext>
          </c:extLst>
        </c:ser>
        <c:ser>
          <c:idx val="3"/>
          <c:order val="3"/>
          <c:tx>
            <c:strRef>
              <c:f>'GrD-Grafikdaten'!$E$190</c:f>
              <c:strCache>
                <c:ptCount val="1"/>
                <c:pt idx="0">
                  <c:v>Consommation propre (stock et remplacement de stock, fossile)</c:v>
                </c:pt>
              </c:strCache>
            </c:strRef>
          </c:tx>
          <c:spPr>
            <a:solidFill>
              <a:srgbClr val="E6E6E6">
                <a:lumMod val="25000"/>
              </a:srgbClr>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'GrD-Grafikdaten'!$F$190:$AE$190</c:f>
              <c:numCache>
                <c:formatCode>0.00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3-B547-4221-B40B-52B2CB4FB365}"/>
            </c:ext>
          </c:extLst>
        </c:ser>
        <c:ser>
          <c:idx val="4"/>
          <c:order val="4"/>
          <c:tx>
            <c:strRef>
              <c:f>'GrD-Grafikdaten'!$E$191</c:f>
              <c:strCache>
                <c:ptCount val="1"/>
                <c:pt idx="0">
                  <c:v>Consommation propre (nouveaux systèmes, ER et CHP)</c:v>
                </c:pt>
              </c:strCache>
            </c:strRef>
          </c:tx>
          <c:spPr>
            <a:solidFill>
              <a:srgbClr val="FFC000"/>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'GrD-Grafikdaten'!$F$191:$AE$191</c:f>
              <c:numCache>
                <c:formatCode>0.00</c:formatCode>
                <c:ptCount val="26"/>
                <c:pt idx="0">
                  <c:v>0</c:v>
                </c:pt>
                <c:pt idx="1">
                  <c:v>0</c:v>
                </c:pt>
                <c:pt idx="2">
                  <c:v>0</c:v>
                </c:pt>
                <c:pt idx="3">
                  <c:v>0</c:v>
                </c:pt>
                <c:pt idx="4">
                  <c:v>0</c:v>
                </c:pt>
                <c:pt idx="5">
                  <c:v>6.3144644216475004E-3</c:v>
                </c:pt>
                <c:pt idx="6">
                  <c:v>2.3965032570295315E-2</c:v>
                </c:pt>
                <c:pt idx="7">
                  <c:v>3.4970243229635739E-2</c:v>
                </c:pt>
                <c:pt idx="8">
                  <c:v>4.5561696800563892E-2</c:v>
                </c:pt>
                <c:pt idx="9">
                  <c:v>8.6510340909389347E-2</c:v>
                </c:pt>
                <c:pt idx="10">
                  <c:v>0.10104600611173703</c:v>
                </c:pt>
                <c:pt idx="11">
                  <c:v>0.15319690760927532</c:v>
                </c:pt>
                <c:pt idx="12">
                  <c:v>0.16297764996272615</c:v>
                </c:pt>
                <c:pt idx="13">
                  <c:v>0.15759475501431741</c:v>
                </c:pt>
                <c:pt idx="14">
                  <c:v>0.16234598271398409</c:v>
                </c:pt>
                <c:pt idx="15">
                  <c:v>0.15521101222217795</c:v>
                </c:pt>
                <c:pt idx="16">
                  <c:v>0.14445116696386961</c:v>
                </c:pt>
                <c:pt idx="17">
                  <c:v>0.12836857432670915</c:v>
                </c:pt>
                <c:pt idx="18">
                  <c:v>0.11607857155220459</c:v>
                </c:pt>
                <c:pt idx="19">
                  <c:v>0.1017212468743238</c:v>
                </c:pt>
                <c:pt idx="20">
                  <c:v>8.346606074284782E-2</c:v>
                </c:pt>
                <c:pt idx="21">
                  <c:v>5.529149833668863E-2</c:v>
                </c:pt>
                <c:pt idx="22">
                  <c:v>2.7447720988107473E-2</c:v>
                </c:pt>
                <c:pt idx="23">
                  <c:v>1.2845249749484039E-2</c:v>
                </c:pt>
                <c:pt idx="24">
                  <c:v>6.6828303529298683E-3</c:v>
                </c:pt>
                <c:pt idx="25">
                  <c:v>1.8649684721967437E-2</c:v>
                </c:pt>
              </c:numCache>
            </c:numRef>
          </c:val>
          <c:extLst>
            <c:ext xmlns:c16="http://schemas.microsoft.com/office/drawing/2014/chart" uri="{C3380CC4-5D6E-409C-BE32-E72D297353CC}">
              <c16:uniqueId val="{00000004-B547-4221-B40B-52B2CB4FB365}"/>
            </c:ext>
          </c:extLst>
        </c:ser>
        <c:ser>
          <c:idx val="5"/>
          <c:order val="5"/>
          <c:tx>
            <c:strRef>
              <c:f>'GrD-Grafikdaten'!$E$192</c:f>
              <c:strCache>
                <c:ptCount val="1"/>
                <c:pt idx="0">
                  <c:v>Consommation propre (nouveaux systèmes, fossiles, pas de cogénération)</c:v>
                </c:pt>
              </c:strCache>
            </c:strRef>
          </c:tx>
          <c:spPr>
            <a:solidFill>
              <a:srgbClr val="080318"/>
            </a:solidFill>
          </c:spP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'GrD-Grafikdaten'!$F$192:$AE$192</c:f>
              <c:numCache>
                <c:formatCode>0.00</c:formatCode>
                <c:ptCount val="26"/>
                <c:pt idx="0">
                  <c:v>0</c:v>
                </c:pt>
                <c:pt idx="1">
                  <c:v>0</c:v>
                </c:pt>
                <c:pt idx="2">
                  <c:v>0</c:v>
                </c:pt>
                <c:pt idx="3">
                  <c:v>0</c:v>
                </c:pt>
                <c:pt idx="4">
                  <c:v>0</c:v>
                </c:pt>
                <c:pt idx="5">
                  <c:v>0</c:v>
                </c:pt>
                <c:pt idx="6">
                  <c:v>0</c:v>
                </c:pt>
                <c:pt idx="7">
                  <c:v>8.0610524854886581E-2</c:v>
                </c:pt>
                <c:pt idx="8">
                  <c:v>0.10469115918649839</c:v>
                </c:pt>
                <c:pt idx="9">
                  <c:v>0.16083772291149895</c:v>
                </c:pt>
                <c:pt idx="10">
                  <c:v>0.24703000591811372</c:v>
                </c:pt>
                <c:pt idx="11">
                  <c:v>0.25239312379477502</c:v>
                </c:pt>
                <c:pt idx="12">
                  <c:v>0.24638195686010339</c:v>
                </c:pt>
                <c:pt idx="13">
                  <c:v>0.22278308475343681</c:v>
                </c:pt>
                <c:pt idx="14">
                  <c:v>0.21735144030257225</c:v>
                </c:pt>
                <c:pt idx="15">
                  <c:v>0.19761096795030791</c:v>
                </c:pt>
                <c:pt idx="16">
                  <c:v>0.18010268953851927</c:v>
                </c:pt>
                <c:pt idx="17">
                  <c:v>0.157145395366206</c:v>
                </c:pt>
                <c:pt idx="18">
                  <c:v>0.13955508006157655</c:v>
                </c:pt>
                <c:pt idx="19">
                  <c:v>0.12013225629576864</c:v>
                </c:pt>
                <c:pt idx="20">
                  <c:v>9.6852970715673448E-2</c:v>
                </c:pt>
                <c:pt idx="21">
                  <c:v>6.3054239417444272E-2</c:v>
                </c:pt>
                <c:pt idx="22">
                  <c:v>3.0768775307020747E-2</c:v>
                </c:pt>
                <c:pt idx="23">
                  <c:v>1.4157511131319564E-2</c:v>
                </c:pt>
                <c:pt idx="24">
                  <c:v>7.2432781725094838E-3</c:v>
                </c:pt>
                <c:pt idx="25">
                  <c:v>1.9880882617618795E-2</c:v>
                </c:pt>
              </c:numCache>
            </c:numRef>
          </c:val>
          <c:extLst>
            <c:ext xmlns:c16="http://schemas.microsoft.com/office/drawing/2014/chart" uri="{C3380CC4-5D6E-409C-BE32-E72D297353CC}">
              <c16:uniqueId val="{00000005-B547-4221-B40B-52B2CB4FB365}"/>
            </c:ext>
          </c:extLst>
        </c:ser>
        <c:dLbls>
          <c:showLegendKey val="0"/>
          <c:showVal val="0"/>
          <c:showCatName val="0"/>
          <c:showSerName val="0"/>
          <c:showPercent val="0"/>
          <c:showBubbleSize val="0"/>
        </c:dLbls>
        <c:axId val="132568576"/>
        <c:axId val="132570112"/>
      </c:areaChart>
      <c:catAx>
        <c:axId val="132568576"/>
        <c:scaling>
          <c:orientation val="minMax"/>
        </c:scaling>
        <c:delete val="0"/>
        <c:axPos val="b"/>
        <c:numFmt formatCode="0" sourceLinked="1"/>
        <c:majorTickMark val="out"/>
        <c:minorTickMark val="none"/>
        <c:tickLblPos val="nextTo"/>
        <c:txPr>
          <a:bodyPr rot="-5400000" vert="horz"/>
          <a:lstStyle/>
          <a:p>
            <a:pPr>
              <a:defRPr/>
            </a:pPr>
            <a:endParaRPr lang="en-US"/>
          </a:p>
        </c:txPr>
        <c:crossAx val="132570112"/>
        <c:crosses val="autoZero"/>
        <c:auto val="1"/>
        <c:lblAlgn val="ctr"/>
        <c:lblOffset val="100"/>
        <c:noMultiLvlLbl val="0"/>
      </c:catAx>
      <c:valAx>
        <c:axId val="132570112"/>
        <c:scaling>
          <c:orientation val="minMax"/>
        </c:scaling>
        <c:delete val="0"/>
        <c:axPos val="l"/>
        <c:majorGridlines/>
        <c:title>
          <c:tx>
            <c:strRef>
              <c:f>ControlPanel!$R$12</c:f>
              <c:strCache>
                <c:ptCount val="1"/>
                <c:pt idx="0">
                  <c:v>Mrd. €</c:v>
                </c:pt>
              </c:strCache>
            </c:strRef>
          </c:tx>
          <c:overlay val="0"/>
          <c:txPr>
            <a:bodyPr rot="-5400000" vert="horz"/>
            <a:lstStyle/>
            <a:p>
              <a:pPr>
                <a:defRPr>
                  <a:latin typeface="Arial" panose="020B0604020202020204" pitchFamily="34" charset="0"/>
                  <a:cs typeface="Arial" panose="020B0604020202020204" pitchFamily="34" charset="0"/>
                </a:defRPr>
              </a:pPr>
              <a:endParaRPr lang="en-US"/>
            </a:p>
          </c:txPr>
        </c:title>
        <c:numFmt formatCode="0" sourceLinked="0"/>
        <c:majorTickMark val="out"/>
        <c:minorTickMark val="none"/>
        <c:tickLblPos val="nextTo"/>
        <c:crossAx val="132568576"/>
        <c:crosses val="autoZero"/>
        <c:crossBetween val="midCat"/>
      </c:valAx>
      <c:spPr>
        <a:solidFill>
          <a:srgbClr val="E6E6E6"/>
        </a:solidFill>
      </c:spPr>
    </c:plotArea>
    <c:legend>
      <c:legendPos val="r"/>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zero"/>
    <c:showDLblsOverMax val="0"/>
  </c:chart>
  <c:spPr>
    <a:solidFill>
      <a:srgbClr val="E6E6E6"/>
    </a:solidFill>
  </c:sp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latin typeface="Arial" panose="020B0604020202020204" pitchFamily="34" charset="0"/>
                <a:cs typeface="Arial" panose="020B0604020202020204" pitchFamily="34" charset="0"/>
              </a:defRPr>
            </a:pPr>
            <a:r>
              <a:rPr lang="fr-FR" sz="1800" b="1" i="0" u="none" strike="noStrike" baseline="0"/>
              <a:t>Taux de cotisation selon les groupes de consommateurs </a:t>
            </a:r>
            <a:endParaRPr lang="de-DE">
              <a:latin typeface="Arial" panose="020B0604020202020204" pitchFamily="34" charset="0"/>
              <a:cs typeface="Arial" panose="020B0604020202020204" pitchFamily="34" charset="0"/>
            </a:endParaRPr>
          </a:p>
        </c:rich>
      </c:tx>
      <c:layout>
        <c:manualLayout>
          <c:xMode val="edge"/>
          <c:yMode val="edge"/>
          <c:x val="0.14448133450558967"/>
          <c:y val="1.0495014867937729E-2"/>
        </c:manualLayout>
      </c:layout>
      <c:overlay val="0"/>
    </c:title>
    <c:autoTitleDeleted val="0"/>
    <c:plotArea>
      <c:layout/>
      <c:lineChart>
        <c:grouping val="standard"/>
        <c:varyColors val="0"/>
        <c:ser>
          <c:idx val="6"/>
          <c:order val="0"/>
          <c:tx>
            <c:strRef>
              <c:f>'GrD-Grafikdaten'!$E$185</c:f>
              <c:strCache>
                <c:ptCount val="1"/>
                <c:pt idx="0">
                  <c:v>Privilège de l'électricité verte</c:v>
                </c:pt>
              </c:strCache>
            </c:strRef>
          </c:tx>
          <c:spPr>
            <a:ln>
              <a:solidFill>
                <a:srgbClr val="00B050"/>
              </a:solidFill>
            </a:ln>
          </c:spPr>
          <c:marker>
            <c:symbol val="none"/>
          </c:marke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'GrD-Grafikdaten'!$F$185:$AE$185</c:f>
              <c:numCache>
                <c:formatCode>0.00</c:formatCode>
                <c:ptCount val="26"/>
                <c:pt idx="0">
                  <c:v>0</c:v>
                </c:pt>
                <c:pt idx="1">
                  <c:v>-9.9999999999944578E-4</c:v>
                </c:pt>
                <c:pt idx="2">
                  <c:v>1.5920000000000005</c:v>
                </c:pt>
                <c:pt idx="3">
                  <c:v>3.2769999999999992</c:v>
                </c:pt>
                <c:pt idx="4">
                  <c:v>4.2399999999999993</c:v>
                </c:pt>
                <c:pt idx="5">
                  <c:v>6.17</c:v>
                </c:pt>
                <c:pt idx="6">
                  <c:v>6.3394923951914501</c:v>
                </c:pt>
                <c:pt idx="7">
                  <c:v>6.862870744991362</c:v>
                </c:pt>
                <c:pt idx="8">
                  <c:v>6.7807438583746604</c:v>
                </c:pt>
                <c:pt idx="9">
                  <c:v>6.405925003395339</c:v>
                </c:pt>
                <c:pt idx="10">
                  <c:v>6.7560731885971812</c:v>
                </c:pt>
                <c:pt idx="11">
                  <c:v>6.5003634995875359</c:v>
                </c:pt>
                <c:pt idx="12">
                  <c:v>6.3455464049513157</c:v>
                </c:pt>
                <c:pt idx="13">
                  <c:v>5.7377594551042073</c:v>
                </c:pt>
                <c:pt idx="14">
                  <c:v>5.5978679128930713</c:v>
                </c:pt>
                <c:pt idx="15">
                  <c:v>5.0894537215159117</c:v>
                </c:pt>
                <c:pt idx="16">
                  <c:v>4.6385294957784931</c:v>
                </c:pt>
                <c:pt idx="17">
                  <c:v>4.0472663312227866</c:v>
                </c:pt>
                <c:pt idx="18">
                  <c:v>3.5942292522672457</c:v>
                </c:pt>
                <c:pt idx="19">
                  <c:v>3.0939960732966507</c:v>
                </c:pt>
                <c:pt idx="20">
                  <c:v>2.4944400473394257</c:v>
                </c:pt>
                <c:pt idx="21">
                  <c:v>1.6239565889944165</c:v>
                </c:pt>
                <c:pt idx="22">
                  <c:v>0.7924471987414281</c:v>
                </c:pt>
                <c:pt idx="23">
                  <c:v>0.36462549858475624</c:v>
                </c:pt>
                <c:pt idx="24">
                  <c:v>0.18655001507974711</c:v>
                </c:pt>
                <c:pt idx="25">
                  <c:v>0.51203044585412305</c:v>
                </c:pt>
              </c:numCache>
            </c:numRef>
          </c:val>
          <c:smooth val="0"/>
          <c:extLst>
            <c:ext xmlns:c16="http://schemas.microsoft.com/office/drawing/2014/chart" uri="{C3380CC4-5D6E-409C-BE32-E72D297353CC}">
              <c16:uniqueId val="{00000000-4000-42F3-A0E2-562A77E802FE}"/>
            </c:ext>
          </c:extLst>
        </c:ser>
        <c:ser>
          <c:idx val="4"/>
          <c:order val="1"/>
          <c:tx>
            <c:strRef>
              <c:f>'GrD-Grafikdaten'!$E$184</c:f>
              <c:strCache>
                <c:ptCount val="1"/>
                <c:pt idx="0">
                  <c:v>Consommation propre (nouveaux systèmes, fossiles, pas de cogénération)</c:v>
                </c:pt>
              </c:strCache>
            </c:strRef>
          </c:tx>
          <c:spPr>
            <a:ln>
              <a:solidFill>
                <a:sysClr val="windowText" lastClr="000000"/>
              </a:solidFill>
              <a:prstDash val="dash"/>
            </a:ln>
          </c:spPr>
          <c:marker>
            <c:symbol val="none"/>
          </c:marke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'GrD-Grafikdaten'!$F$184:$AE$184</c:f>
              <c:numCache>
                <c:formatCode>0.00</c:formatCode>
                <c:ptCount val="26"/>
                <c:pt idx="0">
                  <c:v>0</c:v>
                </c:pt>
                <c:pt idx="1">
                  <c:v>0</c:v>
                </c:pt>
                <c:pt idx="2">
                  <c:v>0</c:v>
                </c:pt>
                <c:pt idx="3">
                  <c:v>0</c:v>
                </c:pt>
                <c:pt idx="4">
                  <c:v>0</c:v>
                </c:pt>
                <c:pt idx="5">
                  <c:v>6.17</c:v>
                </c:pt>
                <c:pt idx="6">
                  <c:v>6.3394923951914501</c:v>
                </c:pt>
                <c:pt idx="7">
                  <c:v>6.862870744991362</c:v>
                </c:pt>
                <c:pt idx="8">
                  <c:v>6.7807438583746604</c:v>
                </c:pt>
                <c:pt idx="9">
                  <c:v>6.405925003395339</c:v>
                </c:pt>
                <c:pt idx="10">
                  <c:v>6.7560731885971812</c:v>
                </c:pt>
                <c:pt idx="11">
                  <c:v>6.5003634995875359</c:v>
                </c:pt>
                <c:pt idx="12">
                  <c:v>6.3455464049513157</c:v>
                </c:pt>
                <c:pt idx="13">
                  <c:v>5.7377594551042073</c:v>
                </c:pt>
                <c:pt idx="14">
                  <c:v>5.5978679128930713</c:v>
                </c:pt>
                <c:pt idx="15">
                  <c:v>5.0894537215159117</c:v>
                </c:pt>
                <c:pt idx="16">
                  <c:v>4.6385294957784931</c:v>
                </c:pt>
                <c:pt idx="17">
                  <c:v>4.0472663312227866</c:v>
                </c:pt>
                <c:pt idx="18">
                  <c:v>3.5942292522672457</c:v>
                </c:pt>
                <c:pt idx="19">
                  <c:v>3.0939960732966507</c:v>
                </c:pt>
                <c:pt idx="20">
                  <c:v>2.4944400473394257</c:v>
                </c:pt>
                <c:pt idx="21">
                  <c:v>1.6239565889944165</c:v>
                </c:pt>
                <c:pt idx="22">
                  <c:v>0.7924471987414281</c:v>
                </c:pt>
                <c:pt idx="23">
                  <c:v>0.36462549858475624</c:v>
                </c:pt>
                <c:pt idx="24">
                  <c:v>0.18655001507974711</c:v>
                </c:pt>
                <c:pt idx="25">
                  <c:v>0.51203044585412305</c:v>
                </c:pt>
              </c:numCache>
            </c:numRef>
          </c:val>
          <c:smooth val="0"/>
          <c:extLst>
            <c:ext xmlns:c16="http://schemas.microsoft.com/office/drawing/2014/chart" uri="{C3380CC4-5D6E-409C-BE32-E72D297353CC}">
              <c16:uniqueId val="{00000001-4000-42F3-A0E2-562A77E802FE}"/>
            </c:ext>
          </c:extLst>
        </c:ser>
        <c:ser>
          <c:idx val="5"/>
          <c:order val="2"/>
          <c:tx>
            <c:strRef>
              <c:f>'GrD-Grafikdaten'!$E$183</c:f>
              <c:strCache>
                <c:ptCount val="1"/>
                <c:pt idx="0">
                  <c:v>Consommation propre (nouveaux systèmes, ER et CHP)</c:v>
                </c:pt>
              </c:strCache>
            </c:strRef>
          </c:tx>
          <c:spPr>
            <a:ln>
              <a:solidFill>
                <a:srgbClr val="FFC000"/>
              </a:solidFill>
            </a:ln>
          </c:spPr>
          <c:marker>
            <c:symbol val="none"/>
          </c:marke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'GrD-Grafikdaten'!$F$183:$AE$183</c:f>
              <c:numCache>
                <c:formatCode>0.00</c:formatCode>
                <c:ptCount val="26"/>
                <c:pt idx="0">
                  <c:v>0</c:v>
                </c:pt>
                <c:pt idx="1">
                  <c:v>0</c:v>
                </c:pt>
                <c:pt idx="2">
                  <c:v>0</c:v>
                </c:pt>
                <c:pt idx="3">
                  <c:v>0</c:v>
                </c:pt>
                <c:pt idx="4">
                  <c:v>0</c:v>
                </c:pt>
                <c:pt idx="5">
                  <c:v>1.851</c:v>
                </c:pt>
                <c:pt idx="6">
                  <c:v>2.2188223383170076</c:v>
                </c:pt>
                <c:pt idx="7">
                  <c:v>2.7451526062019873</c:v>
                </c:pt>
                <c:pt idx="8">
                  <c:v>2.2810899490676415</c:v>
                </c:pt>
                <c:pt idx="9">
                  <c:v>2.3251399027401267</c:v>
                </c:pt>
                <c:pt idx="10">
                  <c:v>2.5475132768999491</c:v>
                </c:pt>
                <c:pt idx="11">
                  <c:v>2.4510927957122242</c:v>
                </c:pt>
                <c:pt idx="12">
                  <c:v>2.3927158964295892</c:v>
                </c:pt>
                <c:pt idx="13">
                  <c:v>2.1635376029091296</c:v>
                </c:pt>
                <c:pt idx="14">
                  <c:v>2.110788683357701</c:v>
                </c:pt>
                <c:pt idx="15">
                  <c:v>1.9190808870473122</c:v>
                </c:pt>
                <c:pt idx="16">
                  <c:v>1.749050838545066</c:v>
                </c:pt>
                <c:pt idx="17">
                  <c:v>1.5261031706024253</c:v>
                </c:pt>
                <c:pt idx="18">
                  <c:v>1.3552764282996455</c:v>
                </c:pt>
                <c:pt idx="19">
                  <c:v>1.1666534472573009</c:v>
                </c:pt>
                <c:pt idx="20">
                  <c:v>0.94057878913351234</c:v>
                </c:pt>
                <c:pt idx="21">
                  <c:v>0.61234549361526969</c:v>
                </c:pt>
                <c:pt idx="22">
                  <c:v>0.29880815433486069</c:v>
                </c:pt>
                <c:pt idx="23">
                  <c:v>0.13748937775107242</c:v>
                </c:pt>
                <c:pt idx="24">
                  <c:v>7.0342435162431854E-2</c:v>
                </c:pt>
                <c:pt idx="25">
                  <c:v>0.193071377792641</c:v>
                </c:pt>
              </c:numCache>
            </c:numRef>
          </c:val>
          <c:smooth val="0"/>
          <c:extLst>
            <c:ext xmlns:c16="http://schemas.microsoft.com/office/drawing/2014/chart" uri="{C3380CC4-5D6E-409C-BE32-E72D297353CC}">
              <c16:uniqueId val="{00000002-4000-42F3-A0E2-562A77E802FE}"/>
            </c:ext>
          </c:extLst>
        </c:ser>
        <c:ser>
          <c:idx val="3"/>
          <c:order val="3"/>
          <c:tx>
            <c:strRef>
              <c:f>'GrD-Grafikdaten'!$E$182</c:f>
              <c:strCache>
                <c:ptCount val="1"/>
                <c:pt idx="0">
                  <c:v>Consommation propre (stock et remplacement de stock, fossile)</c:v>
                </c:pt>
              </c:strCache>
            </c:strRef>
          </c:tx>
          <c:spPr>
            <a:ln>
              <a:solidFill>
                <a:sysClr val="windowText" lastClr="000000"/>
              </a:solidFill>
            </a:ln>
          </c:spPr>
          <c:marker>
            <c:symbol val="none"/>
          </c:marke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'GrD-Grafikdaten'!$F$182:$AE$182</c:f>
              <c:numCache>
                <c:formatCode>0.00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3-4000-42F3-A0E2-562A77E802FE}"/>
            </c:ext>
          </c:extLst>
        </c:ser>
        <c:ser>
          <c:idx val="2"/>
          <c:order val="4"/>
          <c:tx>
            <c:strRef>
              <c:f>'GrD-Grafikdaten'!$E$181</c:f>
              <c:strCache>
                <c:ptCount val="1"/>
                <c:pt idx="0">
                  <c:v>Utilisation finale privilégiée</c:v>
                </c:pt>
              </c:strCache>
            </c:strRef>
          </c:tx>
          <c:spPr>
            <a:ln>
              <a:solidFill>
                <a:srgbClr val="733E88"/>
              </a:solidFill>
            </a:ln>
          </c:spPr>
          <c:marker>
            <c:symbol val="none"/>
          </c:marke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'GrD-Grafikdaten'!$F$181:$AE$181</c:f>
              <c:numCache>
                <c:formatCode>0.00</c:formatCode>
                <c:ptCount val="26"/>
                <c:pt idx="0">
                  <c:v>4.9989800764796165E-2</c:v>
                </c:pt>
                <c:pt idx="1">
                  <c:v>4.9990085901745571E-2</c:v>
                </c:pt>
                <c:pt idx="2">
                  <c:v>5.0001590567365084E-2</c:v>
                </c:pt>
                <c:pt idx="3">
                  <c:v>3.3995000948890464E-2</c:v>
                </c:pt>
                <c:pt idx="4">
                  <c:v>0.13001254107481827</c:v>
                </c:pt>
                <c:pt idx="5">
                  <c:v>0.43128299999999992</c:v>
                </c:pt>
                <c:pt idx="6">
                  <c:v>0.47356008192080135</c:v>
                </c:pt>
                <c:pt idx="7">
                  <c:v>0.39163033690422511</c:v>
                </c:pt>
                <c:pt idx="8">
                  <c:v>0.40702305752216272</c:v>
                </c:pt>
                <c:pt idx="9">
                  <c:v>0.36709018643005953</c:v>
                </c:pt>
                <c:pt idx="10">
                  <c:v>0.38271212945690902</c:v>
                </c:pt>
                <c:pt idx="11">
                  <c:v>0.37229987479052878</c:v>
                </c:pt>
                <c:pt idx="12">
                  <c:v>0.36343292681874917</c:v>
                </c:pt>
                <c:pt idx="13">
                  <c:v>0.32862271884472527</c:v>
                </c:pt>
                <c:pt idx="14">
                  <c:v>0.32061061249824718</c:v>
                </c:pt>
                <c:pt idx="15">
                  <c:v>0.2914918501700397</c:v>
                </c:pt>
                <c:pt idx="16">
                  <c:v>0.26566575093840294</c:v>
                </c:pt>
                <c:pt idx="17">
                  <c:v>0.23180192130082822</c:v>
                </c:pt>
                <c:pt idx="18">
                  <c:v>0.20585481114593965</c:v>
                </c:pt>
                <c:pt idx="19">
                  <c:v>0.17720460567533206</c:v>
                </c:pt>
                <c:pt idx="20">
                  <c:v>0.14286581317427494</c:v>
                </c:pt>
                <c:pt idx="21">
                  <c:v>9.3010003946123757E-2</c:v>
                </c:pt>
                <c:pt idx="22">
                  <c:v>4.5386383836574562E-2</c:v>
                </c:pt>
                <c:pt idx="23">
                  <c:v>2.0883451744991271E-2</c:v>
                </c:pt>
                <c:pt idx="24">
                  <c:v>1.068440976581818E-2</c:v>
                </c:pt>
                <c:pt idx="25">
                  <c:v>2.9325878605484836E-2</c:v>
                </c:pt>
              </c:numCache>
            </c:numRef>
          </c:val>
          <c:smooth val="0"/>
          <c:extLst>
            <c:ext xmlns:c16="http://schemas.microsoft.com/office/drawing/2014/chart" uri="{C3380CC4-5D6E-409C-BE32-E72D297353CC}">
              <c16:uniqueId val="{00000004-4000-42F3-A0E2-562A77E802FE}"/>
            </c:ext>
          </c:extLst>
        </c:ser>
        <c:ser>
          <c:idx val="1"/>
          <c:order val="5"/>
          <c:tx>
            <c:strRef>
              <c:f>'GrD-Grafikdaten'!$E$180</c:f>
              <c:strCache>
                <c:ptCount val="1"/>
                <c:pt idx="0">
                  <c:v>Utilisation finale non privilégiée</c:v>
                </c:pt>
              </c:strCache>
            </c:strRef>
          </c:tx>
          <c:spPr>
            <a:ln w="50800">
              <a:solidFill>
                <a:srgbClr val="080318"/>
              </a:solidFill>
            </a:ln>
          </c:spPr>
          <c:marker>
            <c:symbol val="none"/>
          </c:marke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'GrD-Grafikdaten'!$F$180:$AE$180</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6.5003634995875359</c:v>
                </c:pt>
                <c:pt idx="12">
                  <c:v>6.3455464049513157</c:v>
                </c:pt>
                <c:pt idx="13">
                  <c:v>5.7377594551042073</c:v>
                </c:pt>
                <c:pt idx="14">
                  <c:v>5.5978679128930713</c:v>
                </c:pt>
                <c:pt idx="15">
                  <c:v>5.0894537215159117</c:v>
                </c:pt>
                <c:pt idx="16">
                  <c:v>4.6385294957784931</c:v>
                </c:pt>
                <c:pt idx="17">
                  <c:v>4.0472663312227866</c:v>
                </c:pt>
                <c:pt idx="18">
                  <c:v>3.5942292522672457</c:v>
                </c:pt>
                <c:pt idx="19">
                  <c:v>3.0939960732966507</c:v>
                </c:pt>
                <c:pt idx="20">
                  <c:v>2.4944400473394257</c:v>
                </c:pt>
                <c:pt idx="21">
                  <c:v>1.6239565889944165</c:v>
                </c:pt>
                <c:pt idx="22">
                  <c:v>0.7924471987414281</c:v>
                </c:pt>
                <c:pt idx="23">
                  <c:v>0.36462549858475624</c:v>
                </c:pt>
                <c:pt idx="24">
                  <c:v>0.18655001507974711</c:v>
                </c:pt>
                <c:pt idx="25">
                  <c:v>0.51203044585412305</c:v>
                </c:pt>
              </c:numCache>
            </c:numRef>
          </c:val>
          <c:smooth val="0"/>
          <c:extLst>
            <c:ext xmlns:c16="http://schemas.microsoft.com/office/drawing/2014/chart" uri="{C3380CC4-5D6E-409C-BE32-E72D297353CC}">
              <c16:uniqueId val="{00000005-4000-42F3-A0E2-562A77E802FE}"/>
            </c:ext>
          </c:extLst>
        </c:ser>
        <c:dLbls>
          <c:showLegendKey val="0"/>
          <c:showVal val="0"/>
          <c:showCatName val="0"/>
          <c:showSerName val="0"/>
          <c:showPercent val="0"/>
          <c:showBubbleSize val="0"/>
        </c:dLbls>
        <c:smooth val="0"/>
        <c:axId val="132904448"/>
        <c:axId val="132905984"/>
      </c:lineChart>
      <c:catAx>
        <c:axId val="132904448"/>
        <c:scaling>
          <c:orientation val="minMax"/>
        </c:scaling>
        <c:delete val="0"/>
        <c:axPos val="b"/>
        <c:numFmt formatCode="0" sourceLinked="1"/>
        <c:majorTickMark val="out"/>
        <c:minorTickMark val="none"/>
        <c:tickLblPos val="nextTo"/>
        <c:crossAx val="132905984"/>
        <c:crosses val="autoZero"/>
        <c:auto val="1"/>
        <c:lblAlgn val="ctr"/>
        <c:lblOffset val="100"/>
        <c:noMultiLvlLbl val="0"/>
      </c:catAx>
      <c:valAx>
        <c:axId val="132905984"/>
        <c:scaling>
          <c:orientation val="minMax"/>
          <c:min val="0"/>
        </c:scaling>
        <c:delete val="0"/>
        <c:axPos val="l"/>
        <c:majorGridlines/>
        <c:title>
          <c:tx>
            <c:strRef>
              <c:f>ControlPanel!$R$13</c:f>
              <c:strCache>
                <c:ptCount val="1"/>
                <c:pt idx="0">
                  <c:v>ct/kWh</c:v>
                </c:pt>
              </c:strCache>
            </c:strRef>
          </c:tx>
          <c:overlay val="0"/>
          <c:txPr>
            <a:bodyPr rot="-5400000" vert="horz"/>
            <a:lstStyle/>
            <a:p>
              <a:pPr>
                <a:defRPr>
                  <a:latin typeface="Arial" panose="020B0604020202020204" pitchFamily="34" charset="0"/>
                  <a:cs typeface="Arial" panose="020B0604020202020204" pitchFamily="34" charset="0"/>
                </a:defRPr>
              </a:pPr>
              <a:endParaRPr lang="en-US"/>
            </a:p>
          </c:txPr>
        </c:title>
        <c:numFmt formatCode="0" sourceLinked="0"/>
        <c:majorTickMark val="out"/>
        <c:minorTickMark val="none"/>
        <c:tickLblPos val="nextTo"/>
        <c:crossAx val="132904448"/>
        <c:crosses val="autoZero"/>
        <c:crossBetween val="between"/>
      </c:valAx>
      <c:spPr>
        <a:solidFill>
          <a:srgbClr val="E6E6E6"/>
        </a:solidFill>
      </c:spPr>
    </c:plotArea>
    <c:legend>
      <c:legendPos val="r"/>
      <c:layout>
        <c:manualLayout>
          <c:xMode val="edge"/>
          <c:yMode val="edge"/>
          <c:x val="0.64482518836180214"/>
          <c:y val="0.1424647062889535"/>
          <c:w val="0.34061378363726452"/>
          <c:h val="0.80633145890472446"/>
        </c:manualLayout>
      </c:layout>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zero"/>
    <c:showDLblsOverMax val="0"/>
  </c:chart>
  <c:spPr>
    <a:solidFill>
      <a:srgbClr val="E6E6E6"/>
    </a:solidFill>
  </c:sp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latin typeface="Arial" panose="020B0604020202020204" pitchFamily="34" charset="0"/>
                <a:cs typeface="Arial" panose="020B0604020202020204" pitchFamily="34" charset="0"/>
              </a:defRPr>
            </a:pPr>
            <a:r>
              <a:rPr lang="de-DE" sz="1800">
                <a:latin typeface="Arial" panose="020B0604020202020204" pitchFamily="34" charset="0"/>
                <a:cs typeface="Arial" panose="020B0604020202020204" pitchFamily="34" charset="0"/>
              </a:rPr>
              <a:t>Prix de l'électricité et prélèvement</a:t>
            </a:r>
          </a:p>
        </c:rich>
      </c:tx>
      <c:layout>
        <c:manualLayout>
          <c:xMode val="edge"/>
          <c:yMode val="edge"/>
          <c:x val="0.13216439408488573"/>
          <c:y val="6.6078032380783858E-2"/>
        </c:manualLayout>
      </c:layout>
      <c:overlay val="1"/>
    </c:title>
    <c:autoTitleDeleted val="0"/>
    <c:plotArea>
      <c:layout>
        <c:manualLayout>
          <c:layoutTarget val="inner"/>
          <c:xMode val="edge"/>
          <c:yMode val="edge"/>
          <c:x val="0.1126586703987395"/>
          <c:y val="4.2524152047853307E-2"/>
          <c:w val="0.66123001337924681"/>
          <c:h val="0.84035802057976827"/>
        </c:manualLayout>
      </c:layout>
      <c:barChart>
        <c:barDir val="col"/>
        <c:grouping val="stacked"/>
        <c:varyColors val="0"/>
        <c:ser>
          <c:idx val="0"/>
          <c:order val="1"/>
          <c:tx>
            <c:strRef>
              <c:f>'GrD-Grafikdaten'!$E$150</c:f>
              <c:strCache>
                <c:ptCount val="1"/>
                <c:pt idx="0">
                  <c:v>Prix ​​de l'électricité</c:v>
                </c:pt>
              </c:strCache>
            </c:strRef>
          </c:tx>
          <c:spPr>
            <a:solidFill>
              <a:schemeClr val="accent6">
                <a:lumMod val="75000"/>
              </a:schemeClr>
            </a:solidFill>
          </c:spPr>
          <c:invertIfNegative val="0"/>
          <c:dLbls>
            <c:numFmt formatCode="#,##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'GrD-Grafikdaten'!$F$150:$AE$150</c:f>
              <c:numCache>
                <c:formatCode>0.00</c:formatCode>
                <c:ptCount val="26"/>
                <c:pt idx="0">
                  <c:v>5.3650479999999998</c:v>
                </c:pt>
                <c:pt idx="1">
                  <c:v>5.0739089999999996</c:v>
                </c:pt>
                <c:pt idx="2">
                  <c:v>5.5220000000000002</c:v>
                </c:pt>
                <c:pt idx="3">
                  <c:v>5.1150000000000002</c:v>
                </c:pt>
                <c:pt idx="4">
                  <c:v>4.1450000000000005</c:v>
                </c:pt>
                <c:pt idx="5">
                  <c:v>3.5670000000000002</c:v>
                </c:pt>
                <c:pt idx="6">
                  <c:v>3.1260000000000003</c:v>
                </c:pt>
                <c:pt idx="7">
                  <c:v>2.6749999999999998</c:v>
                </c:pt>
                <c:pt idx="8">
                  <c:v>3.222</c:v>
                </c:pt>
                <c:pt idx="9">
                  <c:v>4.6280000000000001</c:v>
                </c:pt>
                <c:pt idx="10">
                  <c:v>4.9340000000000002</c:v>
                </c:pt>
                <c:pt idx="11">
                  <c:v>4.0739999999999998</c:v>
                </c:pt>
                <c:pt idx="12">
                  <c:v>4.4938414499999988</c:v>
                </c:pt>
                <c:pt idx="13">
                  <c:v>4.752608214374999</c:v>
                </c:pt>
                <c:pt idx="14">
                  <c:v>4.9525876681039041</c:v>
                </c:pt>
                <c:pt idx="15">
                  <c:v>5.1574971685964419</c:v>
                </c:pt>
                <c:pt idx="16">
                  <c:v>5.3674396218784333</c:v>
                </c:pt>
                <c:pt idx="17">
                  <c:v>5.5825199118959494</c:v>
                </c:pt>
                <c:pt idx="18">
                  <c:v>5.8028449366990689</c:v>
                </c:pt>
                <c:pt idx="19">
                  <c:v>6.0285236452661053</c:v>
                </c:pt>
                <c:pt idx="20">
                  <c:v>6.2596670749793955</c:v>
                </c:pt>
                <c:pt idx="21">
                  <c:v>6.496388389763899</c:v>
                </c:pt>
                <c:pt idx="22">
                  <c:v>6.7388029189000687</c:v>
                </c:pt>
                <c:pt idx="23">
                  <c:v>6.9870281965226253</c:v>
                </c:pt>
                <c:pt idx="24">
                  <c:v>7.2411840018171061</c:v>
                </c:pt>
                <c:pt idx="25">
                  <c:v>7.5013923999262051</c:v>
                </c:pt>
              </c:numCache>
            </c:numRef>
          </c:val>
          <c:extLst>
            <c:ext xmlns:c16="http://schemas.microsoft.com/office/drawing/2014/chart" uri="{C3380CC4-5D6E-409C-BE32-E72D297353CC}">
              <c16:uniqueId val="{00000000-1DAF-4493-920E-C9D0936CC197}"/>
            </c:ext>
          </c:extLst>
        </c:ser>
        <c:ser>
          <c:idx val="2"/>
          <c:order val="2"/>
          <c:tx>
            <c:strRef>
              <c:f>'GrD-Grafikdaten'!$E$151</c:f>
              <c:strCache>
                <c:ptCount val="1"/>
                <c:pt idx="0">
                  <c:v>Prélèvement</c:v>
                </c:pt>
              </c:strCache>
            </c:strRef>
          </c:tx>
          <c:spPr>
            <a:solidFill>
              <a:srgbClr val="00B0F0"/>
            </a:solidFill>
          </c:spPr>
          <c:invertIfNegative val="0"/>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'GrD-Grafikdaten'!$F$151:$AE$151</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6.5003634995875359</c:v>
                </c:pt>
                <c:pt idx="12">
                  <c:v>6.3455464049513157</c:v>
                </c:pt>
                <c:pt idx="13">
                  <c:v>5.7377594551042073</c:v>
                </c:pt>
                <c:pt idx="14">
                  <c:v>5.5978679128930713</c:v>
                </c:pt>
                <c:pt idx="15">
                  <c:v>5.0894537215159117</c:v>
                </c:pt>
                <c:pt idx="16">
                  <c:v>4.6385294957784931</c:v>
                </c:pt>
                <c:pt idx="17">
                  <c:v>4.0472663312227866</c:v>
                </c:pt>
                <c:pt idx="18">
                  <c:v>3.5942292522672457</c:v>
                </c:pt>
                <c:pt idx="19">
                  <c:v>3.0939960732966507</c:v>
                </c:pt>
                <c:pt idx="20">
                  <c:v>2.4944400473394257</c:v>
                </c:pt>
                <c:pt idx="21">
                  <c:v>1.6239565889944165</c:v>
                </c:pt>
                <c:pt idx="22">
                  <c:v>0.7924471987414281</c:v>
                </c:pt>
                <c:pt idx="23">
                  <c:v>0.36462549858475624</c:v>
                </c:pt>
                <c:pt idx="24">
                  <c:v>0.18655001507974711</c:v>
                </c:pt>
                <c:pt idx="25">
                  <c:v>0.51203044585412305</c:v>
                </c:pt>
              </c:numCache>
            </c:numRef>
          </c:val>
          <c:extLst>
            <c:ext xmlns:c16="http://schemas.microsoft.com/office/drawing/2014/chart" uri="{C3380CC4-5D6E-409C-BE32-E72D297353CC}">
              <c16:uniqueId val="{00000001-1DAF-4493-920E-C9D0936CC197}"/>
            </c:ext>
          </c:extLst>
        </c:ser>
        <c:dLbls>
          <c:showLegendKey val="0"/>
          <c:showVal val="0"/>
          <c:showCatName val="0"/>
          <c:showSerName val="0"/>
          <c:showPercent val="0"/>
          <c:showBubbleSize val="0"/>
        </c:dLbls>
        <c:gapWidth val="10"/>
        <c:overlap val="100"/>
        <c:serLines/>
        <c:axId val="172156416"/>
        <c:axId val="172157952"/>
      </c:barChart>
      <c:lineChart>
        <c:grouping val="standard"/>
        <c:varyColors val="0"/>
        <c:ser>
          <c:idx val="1"/>
          <c:order val="0"/>
          <c:tx>
            <c:strRef>
              <c:f>'GrD-Grafikdaten'!$E$149</c:f>
              <c:strCache>
                <c:ptCount val="1"/>
                <c:pt idx="0">
                  <c:v>Prix ​​total de l'électricité + taxe</c:v>
                </c:pt>
              </c:strCache>
            </c:strRef>
          </c:tx>
          <c:spPr>
            <a:ln>
              <a:solidFill>
                <a:srgbClr val="7030A0"/>
              </a:solidFill>
            </a:ln>
          </c:spPr>
          <c:marker>
            <c:symbol val="none"/>
          </c:marker>
          <c:dLbls>
            <c:numFmt formatCode="#,##0.0" sourceLinked="0"/>
            <c:spPr>
              <a:solidFill>
                <a:srgbClr val="FFFFFF">
                  <a:alpha val="69804"/>
                </a:srgbClr>
              </a:solidFill>
              <a:ln cap="rnd">
                <a:solidFill>
                  <a:schemeClr val="accent6">
                    <a:lumMod val="60000"/>
                    <a:lumOff val="40000"/>
                  </a:schemeClr>
                </a:solidFill>
                <a:round/>
              </a:ln>
              <a:effectLst>
                <a:softEdge rad="0"/>
              </a:effectLst>
            </c:spPr>
            <c:txPr>
              <a:bodyPr/>
              <a:lstStyle/>
              <a:p>
                <a:pPr>
                  <a:defRPr sz="900">
                    <a:latin typeface="Arial" panose="020B0604020202020204" pitchFamily="34" charset="0"/>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'GrD-Grafikdaten'!$F$149:$AE$149</c:f>
              <c:numCache>
                <c:formatCode>0.00</c:formatCode>
                <c:ptCount val="26"/>
                <c:pt idx="0">
                  <c:v>7.4120479999999995</c:v>
                </c:pt>
                <c:pt idx="1">
                  <c:v>8.6039089999999998</c:v>
                </c:pt>
                <c:pt idx="2">
                  <c:v>9.1140000000000008</c:v>
                </c:pt>
                <c:pt idx="3">
                  <c:v>10.391999999999999</c:v>
                </c:pt>
                <c:pt idx="4">
                  <c:v>10.385</c:v>
                </c:pt>
                <c:pt idx="5">
                  <c:v>9.7370000000000001</c:v>
                </c:pt>
                <c:pt idx="6">
                  <c:v>9.4654923951914505</c:v>
                </c:pt>
                <c:pt idx="7">
                  <c:v>9.5378707449913627</c:v>
                </c:pt>
                <c:pt idx="8">
                  <c:v>10.002743858374661</c:v>
                </c:pt>
                <c:pt idx="9">
                  <c:v>11.033925003395339</c:v>
                </c:pt>
                <c:pt idx="10">
                  <c:v>11.690073188597182</c:v>
                </c:pt>
                <c:pt idx="11">
                  <c:v>10.574363499587536</c:v>
                </c:pt>
                <c:pt idx="12">
                  <c:v>10.839387854951315</c:v>
                </c:pt>
                <c:pt idx="13">
                  <c:v>10.490367669479205</c:v>
                </c:pt>
                <c:pt idx="14">
                  <c:v>10.550455580996974</c:v>
                </c:pt>
                <c:pt idx="15">
                  <c:v>10.246950890112354</c:v>
                </c:pt>
                <c:pt idx="16">
                  <c:v>10.005969117656926</c:v>
                </c:pt>
                <c:pt idx="17">
                  <c:v>9.6297862431187369</c:v>
                </c:pt>
                <c:pt idx="18">
                  <c:v>9.3970741889663145</c:v>
                </c:pt>
                <c:pt idx="19">
                  <c:v>9.1225197185627565</c:v>
                </c:pt>
                <c:pt idx="20">
                  <c:v>8.7541071223188212</c:v>
                </c:pt>
                <c:pt idx="21">
                  <c:v>8.1203449787583146</c:v>
                </c:pt>
                <c:pt idx="22">
                  <c:v>7.5312501176414965</c:v>
                </c:pt>
                <c:pt idx="23">
                  <c:v>7.3516536951073812</c:v>
                </c:pt>
                <c:pt idx="24">
                  <c:v>7.4277340168968529</c:v>
                </c:pt>
                <c:pt idx="25">
                  <c:v>8.0134228457803278</c:v>
                </c:pt>
              </c:numCache>
            </c:numRef>
          </c:val>
          <c:smooth val="0"/>
          <c:extLst>
            <c:ext xmlns:c16="http://schemas.microsoft.com/office/drawing/2014/chart" uri="{C3380CC4-5D6E-409C-BE32-E72D297353CC}">
              <c16:uniqueId val="{00000002-1DAF-4493-920E-C9D0936CC197}"/>
            </c:ext>
          </c:extLst>
        </c:ser>
        <c:dLbls>
          <c:showLegendKey val="0"/>
          <c:showVal val="0"/>
          <c:showCatName val="0"/>
          <c:showSerName val="0"/>
          <c:showPercent val="0"/>
          <c:showBubbleSize val="0"/>
        </c:dLbls>
        <c:marker val="1"/>
        <c:smooth val="0"/>
        <c:axId val="172156416"/>
        <c:axId val="172157952"/>
      </c:lineChart>
      <c:catAx>
        <c:axId val="172156416"/>
        <c:scaling>
          <c:orientation val="minMax"/>
        </c:scaling>
        <c:delete val="0"/>
        <c:axPos val="b"/>
        <c:numFmt formatCode="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72157952"/>
        <c:crosses val="autoZero"/>
        <c:auto val="1"/>
        <c:lblAlgn val="ctr"/>
        <c:lblOffset val="100"/>
        <c:noMultiLvlLbl val="0"/>
      </c:catAx>
      <c:valAx>
        <c:axId val="172157952"/>
        <c:scaling>
          <c:orientation val="minMax"/>
          <c:max val="15"/>
          <c:min val="0"/>
        </c:scaling>
        <c:delete val="0"/>
        <c:axPos val="l"/>
        <c:majorGridlines/>
        <c:title>
          <c:tx>
            <c:strRef>
              <c:f>ControlPanel!$R$13</c:f>
              <c:strCache>
                <c:ptCount val="1"/>
                <c:pt idx="0">
                  <c:v>ct/kWh</c:v>
                </c:pt>
              </c:strCache>
            </c:strRef>
          </c:tx>
          <c:layout>
            <c:manualLayout>
              <c:xMode val="edge"/>
              <c:yMode val="edge"/>
              <c:x val="2.4058025417757915E-2"/>
              <c:y val="0.45102308548739756"/>
            </c:manualLayout>
          </c:layout>
          <c:overlay val="0"/>
          <c:txPr>
            <a:bodyPr rot="-5400000" vert="horz"/>
            <a:lstStyle/>
            <a:p>
              <a:pPr>
                <a:defRPr b="1">
                  <a:latin typeface="Arial" panose="020B0604020202020204" pitchFamily="34" charset="0"/>
                  <a:cs typeface="Arial" panose="020B0604020202020204" pitchFamily="34" charset="0"/>
                </a:defRPr>
              </a:pPr>
              <a:endParaRPr lang="en-US"/>
            </a:p>
          </c:txPr>
        </c:title>
        <c:numFmt formatCode="0.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72156416"/>
        <c:crosses val="autoZero"/>
        <c:crossBetween val="between"/>
        <c:majorUnit val="2.5"/>
      </c:valAx>
      <c:spPr>
        <a:solidFill>
          <a:schemeClr val="bg1"/>
        </a:solidFill>
      </c:spPr>
    </c:plotArea>
    <c:legend>
      <c:legendPos val="r"/>
      <c:layout>
        <c:manualLayout>
          <c:xMode val="edge"/>
          <c:yMode val="edge"/>
          <c:x val="0.8025792023853896"/>
          <c:y val="0.16655034422193807"/>
          <c:w val="0.18251211330600076"/>
          <c:h val="0.28190427731581741"/>
        </c:manualLayout>
      </c:layout>
      <c:overlay val="0"/>
    </c:legend>
    <c:plotVisOnly val="1"/>
    <c:dispBlanksAs val="gap"/>
    <c:showDLblsOverMax val="0"/>
  </c:chart>
  <c:spPr>
    <a:ln>
      <a:solidFill>
        <a:schemeClr val="tx1"/>
      </a:solidFill>
    </a:ln>
  </c:sp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latin typeface="Arial" panose="020B0604020202020204" pitchFamily="34" charset="0"/>
                <a:cs typeface="Arial" panose="020B0604020202020204" pitchFamily="34" charset="0"/>
              </a:defRPr>
            </a:pPr>
            <a:r>
              <a:rPr lang="fr-FR" sz="1800" b="1" i="0" u="none" strike="noStrike" baseline="0"/>
              <a:t>Part des ER dans la consommation brute d'électricité </a:t>
            </a:r>
            <a:endParaRPr lang="en-US" sz="1800">
              <a:latin typeface="Arial" panose="020B0604020202020204" pitchFamily="34" charset="0"/>
              <a:cs typeface="Arial" panose="020B0604020202020204" pitchFamily="34" charset="0"/>
            </a:endParaRPr>
          </a:p>
        </c:rich>
      </c:tx>
      <c:overlay val="1"/>
    </c:title>
    <c:autoTitleDeleted val="0"/>
    <c:plotArea>
      <c:layout>
        <c:manualLayout>
          <c:layoutTarget val="inner"/>
          <c:xMode val="edge"/>
          <c:yMode val="edge"/>
          <c:x val="9.0091529653656355E-2"/>
          <c:y val="0.13536589744280189"/>
          <c:w val="0.56628753712729529"/>
          <c:h val="0.73580621527497281"/>
        </c:manualLayout>
      </c:layout>
      <c:barChart>
        <c:barDir val="col"/>
        <c:grouping val="stacked"/>
        <c:varyColors val="0"/>
        <c:ser>
          <c:idx val="2"/>
          <c:order val="0"/>
          <c:tx>
            <c:strRef>
              <c:f>'GrD-Grafikdaten'!$E$227</c:f>
              <c:strCache>
                <c:ptCount val="1"/>
                <c:pt idx="0">
                  <c:v>limite inférieure des marques cibles</c:v>
                </c:pt>
              </c:strCache>
            </c:strRef>
          </c:tx>
          <c:spPr>
            <a:no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'GrD-Grafikdaten'!$F$227:$AE$227</c:f>
              <c:numCache>
                <c:formatCode>0.0%</c:formatCode>
                <c:ptCount val="26"/>
                <c:pt idx="15">
                  <c:v>0.4</c:v>
                </c:pt>
                <c:pt idx="25">
                  <c:v>0.55000000000000004</c:v>
                </c:pt>
              </c:numCache>
            </c:numRef>
          </c:val>
          <c:extLst>
            <c:ext xmlns:c16="http://schemas.microsoft.com/office/drawing/2014/chart" uri="{C3380CC4-5D6E-409C-BE32-E72D297353CC}">
              <c16:uniqueId val="{00000000-89B9-43CB-BC30-B074D4468F3C}"/>
            </c:ext>
          </c:extLst>
        </c:ser>
        <c:ser>
          <c:idx val="1"/>
          <c:order val="1"/>
          <c:tx>
            <c:strRef>
              <c:f>'GrD-Grafikdaten'!$E$226</c:f>
              <c:strCache>
                <c:ptCount val="1"/>
                <c:pt idx="0">
                  <c:v>"Cible selon EEG:
40-45% en 2025,
55 à 60% en 2035 "</c:v>
                </c:pt>
              </c:strCache>
            </c:strRef>
          </c:tx>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'GrD-Grafikdaten'!$F$226:$AE$226</c:f>
              <c:numCache>
                <c:formatCode>0.0%</c:formatCode>
                <c:ptCount val="26"/>
                <c:pt idx="15">
                  <c:v>4.9999999999999989E-2</c:v>
                </c:pt>
                <c:pt idx="25">
                  <c:v>4.9999999999999933E-2</c:v>
                </c:pt>
              </c:numCache>
            </c:numRef>
          </c:val>
          <c:extLst>
            <c:ext xmlns:c16="http://schemas.microsoft.com/office/drawing/2014/chart" uri="{C3380CC4-5D6E-409C-BE32-E72D297353CC}">
              <c16:uniqueId val="{00000001-89B9-43CB-BC30-B074D4468F3C}"/>
            </c:ext>
          </c:extLst>
        </c:ser>
        <c:dLbls>
          <c:showLegendKey val="0"/>
          <c:showVal val="0"/>
          <c:showCatName val="0"/>
          <c:showSerName val="0"/>
          <c:showPercent val="0"/>
          <c:showBubbleSize val="0"/>
        </c:dLbls>
        <c:gapWidth val="0"/>
        <c:overlap val="100"/>
        <c:axId val="173003520"/>
        <c:axId val="173005056"/>
      </c:barChart>
      <c:lineChart>
        <c:grouping val="standard"/>
        <c:varyColors val="0"/>
        <c:ser>
          <c:idx val="0"/>
          <c:order val="2"/>
          <c:tx>
            <c:strRef>
              <c:f>'GrD-Grafikdaten'!$E$225</c:f>
              <c:strCache>
                <c:ptCount val="1"/>
                <c:pt idx="0">
                  <c:v>Part des énergies renouvelables</c:v>
                </c:pt>
              </c:strCache>
            </c:strRef>
          </c:tx>
          <c:spPr>
            <a:ln>
              <a:solidFill>
                <a:schemeClr val="tx2"/>
              </a:solidFill>
            </a:ln>
          </c:spPr>
          <c:marker>
            <c:symbol val="none"/>
          </c:marker>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'GrD-Grafikdaten'!$F$225:$AE$225</c:f>
              <c:numCache>
                <c:formatCode>0.0%</c:formatCode>
                <c:ptCount val="26"/>
                <c:pt idx="0">
                  <c:v>0.17956606533398342</c:v>
                </c:pt>
                <c:pt idx="1">
                  <c:v>0.20889978081740276</c:v>
                </c:pt>
                <c:pt idx="2">
                  <c:v>0.22202076099489373</c:v>
                </c:pt>
                <c:pt idx="3">
                  <c:v>0.25922769498261294</c:v>
                </c:pt>
                <c:pt idx="4">
                  <c:v>0.28309799017205339</c:v>
                </c:pt>
                <c:pt idx="5">
                  <c:v>0.30059636757838554</c:v>
                </c:pt>
                <c:pt idx="6">
                  <c:v>0.3286545774843071</c:v>
                </c:pt>
                <c:pt idx="7">
                  <c:v>0.34699981369395438</c:v>
                </c:pt>
                <c:pt idx="8">
                  <c:v>0.37850965504665413</c:v>
                </c:pt>
                <c:pt idx="9">
                  <c:v>0.3996767110480044</c:v>
                </c:pt>
                <c:pt idx="10">
                  <c:v>0.41402554600735214</c:v>
                </c:pt>
                <c:pt idx="11">
                  <c:v>0.43632172207942227</c:v>
                </c:pt>
                <c:pt idx="12">
                  <c:v>0.4449440650405847</c:v>
                </c:pt>
                <c:pt idx="13">
                  <c:v>0.46379187319789272</c:v>
                </c:pt>
                <c:pt idx="14">
                  <c:v>0.48349327165366585</c:v>
                </c:pt>
                <c:pt idx="15">
                  <c:v>0.49948287002937763</c:v>
                </c:pt>
                <c:pt idx="16">
                  <c:v>0.51149304187099764</c:v>
                </c:pt>
                <c:pt idx="17">
                  <c:v>0.51967641297585054</c:v>
                </c:pt>
                <c:pt idx="18">
                  <c:v>0.52893755809774912</c:v>
                </c:pt>
                <c:pt idx="19">
                  <c:v>0.54170945257125769</c:v>
                </c:pt>
                <c:pt idx="20">
                  <c:v>0.55271324285047563</c:v>
                </c:pt>
                <c:pt idx="21">
                  <c:v>0.56170667350565606</c:v>
                </c:pt>
                <c:pt idx="22">
                  <c:v>0.5641560631793463</c:v>
                </c:pt>
                <c:pt idx="23">
                  <c:v>0.57761116282786173</c:v>
                </c:pt>
                <c:pt idx="24">
                  <c:v>0.59128800521050096</c:v>
                </c:pt>
                <c:pt idx="25">
                  <c:v>0.5950199016879234</c:v>
                </c:pt>
              </c:numCache>
            </c:numRef>
          </c:val>
          <c:smooth val="0"/>
          <c:extLst>
            <c:ext xmlns:c16="http://schemas.microsoft.com/office/drawing/2014/chart" uri="{C3380CC4-5D6E-409C-BE32-E72D297353CC}">
              <c16:uniqueId val="{00000002-89B9-43CB-BC30-B074D4468F3C}"/>
            </c:ext>
          </c:extLst>
        </c:ser>
        <c:ser>
          <c:idx val="3"/>
          <c:order val="3"/>
          <c:tx>
            <c:strRef>
              <c:f>'GrD-Grafikdaten'!$E$229</c:f>
              <c:strCache>
                <c:ptCount val="1"/>
                <c:pt idx="0">
                  <c:v>Objectif de l'accord de coalition pour 2018 65%</c:v>
                </c:pt>
              </c:strCache>
            </c:strRef>
          </c:tx>
          <c:dPt>
            <c:idx val="20"/>
            <c:marker>
              <c:symbol val="diamond"/>
              <c:size val="10"/>
              <c:spPr>
                <a:solidFill>
                  <a:schemeClr val="accent1"/>
                </a:solidFill>
                <a:ln>
                  <a:solidFill>
                    <a:schemeClr val="accent1"/>
                  </a:solidFill>
                </a:ln>
              </c:spPr>
            </c:marker>
            <c:bubble3D val="0"/>
            <c:extLst>
              <c:ext xmlns:c16="http://schemas.microsoft.com/office/drawing/2014/chart" uri="{C3380CC4-5D6E-409C-BE32-E72D297353CC}">
                <c16:uniqueId val="{00000002-C665-41EE-B58C-B6FDAFAC8B3C}"/>
              </c:ext>
            </c:extLst>
          </c:dPt>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'GrD-Grafikdaten'!$F$229:$AE$229</c:f>
              <c:numCache>
                <c:formatCode>0.0%</c:formatCode>
                <c:ptCount val="26"/>
                <c:pt idx="20">
                  <c:v>0.65</c:v>
                </c:pt>
              </c:numCache>
            </c:numRef>
          </c:val>
          <c:smooth val="0"/>
          <c:extLst>
            <c:ext xmlns:c16="http://schemas.microsoft.com/office/drawing/2014/chart" uri="{C3380CC4-5D6E-409C-BE32-E72D297353CC}">
              <c16:uniqueId val="{00000001-C665-41EE-B58C-B6FDAFAC8B3C}"/>
            </c:ext>
          </c:extLst>
        </c:ser>
        <c:dLbls>
          <c:showLegendKey val="0"/>
          <c:showVal val="0"/>
          <c:showCatName val="0"/>
          <c:showSerName val="0"/>
          <c:showPercent val="0"/>
          <c:showBubbleSize val="0"/>
        </c:dLbls>
        <c:marker val="1"/>
        <c:smooth val="0"/>
        <c:axId val="173003520"/>
        <c:axId val="173005056"/>
      </c:lineChart>
      <c:catAx>
        <c:axId val="173003520"/>
        <c:scaling>
          <c:orientation val="minMax"/>
        </c:scaling>
        <c:delete val="0"/>
        <c:axPos val="b"/>
        <c:numFmt formatCode="0" sourceLinked="1"/>
        <c:majorTickMark val="out"/>
        <c:minorTickMark val="none"/>
        <c:tickLblPos val="nextTo"/>
        <c:crossAx val="173005056"/>
        <c:crosses val="autoZero"/>
        <c:auto val="1"/>
        <c:lblAlgn val="ctr"/>
        <c:lblOffset val="100"/>
        <c:noMultiLvlLbl val="0"/>
      </c:catAx>
      <c:valAx>
        <c:axId val="173005056"/>
        <c:scaling>
          <c:orientation val="minMax"/>
        </c:scaling>
        <c:delete val="0"/>
        <c:axPos val="l"/>
        <c:majorGridlines/>
        <c:numFmt formatCode="0%" sourceLinked="0"/>
        <c:majorTickMark val="out"/>
        <c:minorTickMark val="none"/>
        <c:tickLblPos val="nextTo"/>
        <c:crossAx val="173003520"/>
        <c:crosses val="autoZero"/>
        <c:crossBetween val="between"/>
      </c:valAx>
      <c:spPr>
        <a:solidFill>
          <a:schemeClr val="bg1"/>
        </a:solidFill>
      </c:spPr>
    </c:plotArea>
    <c:legend>
      <c:legendPos val="r"/>
      <c:legendEntry>
        <c:idx val="1"/>
        <c:delete val="1"/>
      </c:legendEntry>
      <c:overlay val="0"/>
      <c:txPr>
        <a:bodyPr/>
        <a:lstStyle/>
        <a:p>
          <a:pPr>
            <a:defRPr>
              <a:ln>
                <a:noFill/>
              </a:ln>
              <a:solidFill>
                <a:schemeClr val="tx1"/>
              </a:solidFill>
              <a:latin typeface="Arial" panose="020B0604020202020204" pitchFamily="34" charset="0"/>
              <a:cs typeface="Arial" panose="020B0604020202020204" pitchFamily="34" charset="0"/>
            </a:defRPr>
          </a:pPr>
          <a:endParaRPr lang="en-US"/>
        </a:p>
      </c:txPr>
    </c:legend>
    <c:plotVisOnly val="1"/>
    <c:dispBlanksAs val="gap"/>
    <c:showDLblsOverMax val="0"/>
  </c:chart>
  <c:printSettings>
    <c:headerFooter/>
    <c:pageMargins b="0.78740157499999996" l="0.7" r="0.7" t="0.78740157499999996"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400">
                <a:latin typeface="Arial" pitchFamily="34" charset="0"/>
                <a:cs typeface="Arial" pitchFamily="34" charset="0"/>
              </a:defRPr>
            </a:pPr>
            <a:r>
              <a:rPr lang="fr-FR" sz="1400" b="1" i="0" u="none" strike="noStrike" baseline="0"/>
              <a:t>Développement de Taxe EEG </a:t>
            </a:r>
            <a:endParaRPr lang="de-DE" sz="1400">
              <a:latin typeface="Arial" pitchFamily="34" charset="0"/>
              <a:cs typeface="Arial" pitchFamily="34" charset="0"/>
            </a:endParaRPr>
          </a:p>
        </c:rich>
      </c:tx>
      <c:layout>
        <c:manualLayout>
          <c:xMode val="edge"/>
          <c:yMode val="edge"/>
          <c:x val="0.10110475002475836"/>
          <c:y val="5.398074654600829E-2"/>
        </c:manualLayout>
      </c:layout>
      <c:overlay val="1"/>
      <c:spPr>
        <a:solidFill>
          <a:schemeClr val="bg1"/>
        </a:solidFill>
      </c:spPr>
    </c:title>
    <c:autoTitleDeleted val="0"/>
    <c:plotArea>
      <c:layout>
        <c:manualLayout>
          <c:layoutTarget val="inner"/>
          <c:xMode val="edge"/>
          <c:yMode val="edge"/>
          <c:x val="9.1045430353048865E-2"/>
          <c:y val="4.2086647811172669E-2"/>
          <c:w val="0.53804238010145411"/>
          <c:h val="0.87445371667596183"/>
        </c:manualLayout>
      </c:layout>
      <c:barChart>
        <c:barDir val="col"/>
        <c:grouping val="stacked"/>
        <c:varyColors val="0"/>
        <c:ser>
          <c:idx val="7"/>
          <c:order val="0"/>
          <c:tx>
            <c:strRef>
              <c:f>'GrD-Grafikdaten'!$E$124</c:f>
              <c:strCache>
                <c:ptCount val="1"/>
                <c:pt idx="0">
                  <c:v>Revenu de l'exploitant du réseau en fonction du taux de rémunération (année de construction &lt;2015)</c:v>
                </c:pt>
              </c:strCache>
            </c:strRef>
          </c:tx>
          <c:spPr>
            <a:solidFill>
              <a:schemeClr val="accent2"/>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'GrD-Grafikdaten'!$F$124:$AE$124</c:f>
              <c:numCache>
                <c:formatCode>0.00</c:formatCode>
                <c:ptCount val="26"/>
                <c:pt idx="0">
                  <c:v>3.149123966277187</c:v>
                </c:pt>
                <c:pt idx="1">
                  <c:v>4.1888003025421927</c:v>
                </c:pt>
                <c:pt idx="2">
                  <c:v>4.8064331813660583</c:v>
                </c:pt>
                <c:pt idx="3">
                  <c:v>5.8986442334188212</c:v>
                </c:pt>
                <c:pt idx="4">
                  <c:v>6.6832122779814043</c:v>
                </c:pt>
                <c:pt idx="5">
                  <c:v>7.2605747709420232</c:v>
                </c:pt>
                <c:pt idx="6">
                  <c:v>7.2651634727558241</c:v>
                </c:pt>
                <c:pt idx="7">
                  <c:v>7.2945220235633075</c:v>
                </c:pt>
                <c:pt idx="8">
                  <c:v>7.3262240696841623</c:v>
                </c:pt>
                <c:pt idx="9">
                  <c:v>7.2304552480362698</c:v>
                </c:pt>
                <c:pt idx="10">
                  <c:v>7.0668251307150873</c:v>
                </c:pt>
                <c:pt idx="11">
                  <c:v>7.2119900040302625</c:v>
                </c:pt>
                <c:pt idx="12">
                  <c:v>7.0551581431323172</c:v>
                </c:pt>
                <c:pt idx="13">
                  <c:v>6.8742755240380555</c:v>
                </c:pt>
                <c:pt idx="14">
                  <c:v>6.7150491559820242</c:v>
                </c:pt>
                <c:pt idx="15">
                  <c:v>6.3707577818056675</c:v>
                </c:pt>
                <c:pt idx="16">
                  <c:v>5.8794727155137121</c:v>
                </c:pt>
                <c:pt idx="17">
                  <c:v>5.3912271787399693</c:v>
                </c:pt>
                <c:pt idx="18">
                  <c:v>4.886251526793699</c:v>
                </c:pt>
                <c:pt idx="19">
                  <c:v>4.463317885918479</c:v>
                </c:pt>
                <c:pt idx="20">
                  <c:v>3.6741282866765723</c:v>
                </c:pt>
                <c:pt idx="21">
                  <c:v>2.5849247015331804</c:v>
                </c:pt>
                <c:pt idx="22">
                  <c:v>1.433032964998753</c:v>
                </c:pt>
                <c:pt idx="23">
                  <c:v>0.79368336817599949</c:v>
                </c:pt>
                <c:pt idx="24">
                  <c:v>0.50532344728518275</c:v>
                </c:pt>
                <c:pt idx="25">
                  <c:v>0.24460911425248719</c:v>
                </c:pt>
              </c:numCache>
            </c:numRef>
          </c:val>
          <c:extLst>
            <c:ext xmlns:c16="http://schemas.microsoft.com/office/drawing/2014/chart" uri="{C3380CC4-5D6E-409C-BE32-E72D297353CC}">
              <c16:uniqueId val="{00000000-87B7-482D-9C24-A9749A93F28F}"/>
            </c:ext>
          </c:extLst>
        </c:ser>
        <c:ser>
          <c:idx val="2"/>
          <c:order val="1"/>
          <c:tx>
            <c:strRef>
              <c:f>'GrD-Grafikdaten'!$E$118</c:f>
              <c:strCache>
                <c:ptCount val="1"/>
                <c:pt idx="0">
                  <c:v>Revenu de l'exploitant du réseau en fonction du taux de rémunération (année de construction&gt; 2014)</c:v>
                </c:pt>
              </c:strCache>
            </c:strRef>
          </c:tx>
          <c:spPr>
            <a:solidFill>
              <a:srgbClr val="00C1C9"/>
            </a:solidFill>
          </c:spPr>
          <c:invertIfNegative val="0"/>
          <c:dPt>
            <c:idx val="0"/>
            <c:invertIfNegative val="0"/>
            <c:bubble3D val="0"/>
            <c:extLst>
              <c:ext xmlns:c16="http://schemas.microsoft.com/office/drawing/2014/chart" uri="{C3380CC4-5D6E-409C-BE32-E72D297353CC}">
                <c16:uniqueId val="{00000001-87B7-482D-9C24-A9749A93F28F}"/>
              </c:ext>
            </c:extLst>
          </c:dPt>
          <c:dPt>
            <c:idx val="1"/>
            <c:invertIfNegative val="0"/>
            <c:bubble3D val="0"/>
            <c:extLst>
              <c:ext xmlns:c16="http://schemas.microsoft.com/office/drawing/2014/chart" uri="{C3380CC4-5D6E-409C-BE32-E72D297353CC}">
                <c16:uniqueId val="{00000002-87B7-482D-9C24-A9749A93F28F}"/>
              </c:ext>
            </c:extLst>
          </c:dPt>
          <c:dPt>
            <c:idx val="2"/>
            <c:invertIfNegative val="0"/>
            <c:bubble3D val="0"/>
            <c:extLst>
              <c:ext xmlns:c16="http://schemas.microsoft.com/office/drawing/2014/chart" uri="{C3380CC4-5D6E-409C-BE32-E72D297353CC}">
                <c16:uniqueId val="{00000003-87B7-482D-9C24-A9749A93F28F}"/>
              </c:ext>
            </c:extLst>
          </c:dPt>
          <c:dPt>
            <c:idx val="3"/>
            <c:invertIfNegative val="0"/>
            <c:bubble3D val="0"/>
            <c:extLst>
              <c:ext xmlns:c16="http://schemas.microsoft.com/office/drawing/2014/chart" uri="{C3380CC4-5D6E-409C-BE32-E72D297353CC}">
                <c16:uniqueId val="{00000004-87B7-482D-9C24-A9749A93F28F}"/>
              </c:ext>
            </c:extLst>
          </c:dPt>
          <c:dPt>
            <c:idx val="4"/>
            <c:invertIfNegative val="0"/>
            <c:bubble3D val="0"/>
            <c:extLst>
              <c:ext xmlns:c16="http://schemas.microsoft.com/office/drawing/2014/chart" uri="{C3380CC4-5D6E-409C-BE32-E72D297353CC}">
                <c16:uniqueId val="{00000005-87B7-482D-9C24-A9749A93F28F}"/>
              </c:ext>
            </c:extLst>
          </c:dPt>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'GrD-Grafikdaten'!$F$118:$AE$118</c:f>
              <c:numCache>
                <c:formatCode>0.00</c:formatCode>
                <c:ptCount val="26"/>
                <c:pt idx="0">
                  <c:v>0</c:v>
                </c:pt>
                <c:pt idx="1">
                  <c:v>0</c:v>
                </c:pt>
                <c:pt idx="2">
                  <c:v>0</c:v>
                </c:pt>
                <c:pt idx="3">
                  <c:v>0</c:v>
                </c:pt>
                <c:pt idx="4">
                  <c:v>0</c:v>
                </c:pt>
                <c:pt idx="5">
                  <c:v>0.27526511402651638</c:v>
                </c:pt>
                <c:pt idx="6">
                  <c:v>0.73692083848655465</c:v>
                </c:pt>
                <c:pt idx="7">
                  <c:v>1.261606914201997</c:v>
                </c:pt>
                <c:pt idx="8">
                  <c:v>1.7408809002236225</c:v>
                </c:pt>
                <c:pt idx="9">
                  <c:v>2.118535365484663</c:v>
                </c:pt>
                <c:pt idx="10">
                  <c:v>2.3841528184769496</c:v>
                </c:pt>
                <c:pt idx="11">
                  <c:v>2.6435447597049153</c:v>
                </c:pt>
                <c:pt idx="12">
                  <c:v>2.8521121267879193</c:v>
                </c:pt>
                <c:pt idx="13">
                  <c:v>3.0768520290350003</c:v>
                </c:pt>
                <c:pt idx="14">
                  <c:v>3.243023913711963</c:v>
                </c:pt>
                <c:pt idx="15">
                  <c:v>3.4379072424233019</c:v>
                </c:pt>
                <c:pt idx="16">
                  <c:v>3.5856190471659146</c:v>
                </c:pt>
                <c:pt idx="17">
                  <c:v>3.5901440818513777</c:v>
                </c:pt>
                <c:pt idx="18">
                  <c:v>3.7648969858728556</c:v>
                </c:pt>
                <c:pt idx="19">
                  <c:v>3.8632796300172036</c:v>
                </c:pt>
                <c:pt idx="20">
                  <c:v>4.1164683538944296</c:v>
                </c:pt>
                <c:pt idx="21">
                  <c:v>4.3698502799917378</c:v>
                </c:pt>
                <c:pt idx="22">
                  <c:v>4.6253781744495504</c:v>
                </c:pt>
                <c:pt idx="23">
                  <c:v>4.8813343973593168</c:v>
                </c:pt>
                <c:pt idx="24">
                  <c:v>5.0460223532652364</c:v>
                </c:pt>
                <c:pt idx="25">
                  <c:v>5.1966021808733842</c:v>
                </c:pt>
              </c:numCache>
            </c:numRef>
          </c:val>
          <c:extLst>
            <c:ext xmlns:c16="http://schemas.microsoft.com/office/drawing/2014/chart" uri="{C3380CC4-5D6E-409C-BE32-E72D297353CC}">
              <c16:uniqueId val="{00000006-87B7-482D-9C24-A9749A93F28F}"/>
            </c:ext>
          </c:extLst>
        </c:ser>
        <c:ser>
          <c:idx val="4"/>
          <c:order val="2"/>
          <c:tx>
            <c:strRef>
              <c:f>'GrD-Grafikdaten'!$E$119</c:f>
              <c:strCache>
                <c:ptCount val="1"/>
                <c:pt idx="0">
                  <c:v>Revenus du marketing</c:v>
                </c:pt>
              </c:strCache>
            </c:strRef>
          </c:tx>
          <c:spPr>
            <a:solidFill>
              <a:srgbClr val="00B0F0"/>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'GrD-Grafikdaten'!$F$119:$AE$119</c:f>
              <c:numCache>
                <c:formatCode>0.00</c:formatCode>
                <c:ptCount val="26"/>
                <c:pt idx="0">
                  <c:v>-1.1143275278744671</c:v>
                </c:pt>
                <c:pt idx="1">
                  <c:v>-1.1481771217342542</c:v>
                </c:pt>
                <c:pt idx="2">
                  <c:v>-1.4749351709875336</c:v>
                </c:pt>
                <c:pt idx="3">
                  <c:v>-1.6337029152159672</c:v>
                </c:pt>
                <c:pt idx="4">
                  <c:v>-1.4657694443600116</c:v>
                </c:pt>
                <c:pt idx="5">
                  <c:v>-1.4328005764190632</c:v>
                </c:pt>
                <c:pt idx="6">
                  <c:v>-1.4095609981357589</c:v>
                </c:pt>
                <c:pt idx="7">
                  <c:v>-1.3270921153532014</c:v>
                </c:pt>
                <c:pt idx="8">
                  <c:v>-1.6104835267042028</c:v>
                </c:pt>
                <c:pt idx="9">
                  <c:v>-2.2002230961690588</c:v>
                </c:pt>
                <c:pt idx="10">
                  <c:v>-2.539085556155213</c:v>
                </c:pt>
                <c:pt idx="11">
                  <c:v>-2.0917764931417389</c:v>
                </c:pt>
                <c:pt idx="12">
                  <c:v>-2.6923972599236521</c:v>
                </c:pt>
                <c:pt idx="13">
                  <c:v>-2.9134304294121263</c:v>
                </c:pt>
                <c:pt idx="14">
                  <c:v>-3.0799736772373834</c:v>
                </c:pt>
                <c:pt idx="15">
                  <c:v>-3.4392455967984956</c:v>
                </c:pt>
                <c:pt idx="16">
                  <c:v>-3.5895016133866502</c:v>
                </c:pt>
                <c:pt idx="17">
                  <c:v>-3.7135260971578719</c:v>
                </c:pt>
                <c:pt idx="18">
                  <c:v>-3.8620962197488562</c:v>
                </c:pt>
                <c:pt idx="19">
                  <c:v>-4.0526508588623447</c:v>
                </c:pt>
                <c:pt idx="20">
                  <c:v>-4.1354490158368584</c:v>
                </c:pt>
                <c:pt idx="21">
                  <c:v>-4.1731827434415418</c:v>
                </c:pt>
                <c:pt idx="22">
                  <c:v>-4.1307329166680207</c:v>
                </c:pt>
                <c:pt idx="23">
                  <c:v>-4.1965303400763467</c:v>
                </c:pt>
                <c:pt idx="24">
                  <c:v>-4.2747022707286435</c:v>
                </c:pt>
                <c:pt idx="25">
                  <c:v>-3.8757352807791459</c:v>
                </c:pt>
              </c:numCache>
            </c:numRef>
          </c:val>
          <c:extLst>
            <c:ext xmlns:c16="http://schemas.microsoft.com/office/drawing/2014/chart" uri="{C3380CC4-5D6E-409C-BE32-E72D297353CC}">
              <c16:uniqueId val="{00000007-87B7-482D-9C24-A9749A93F28F}"/>
            </c:ext>
          </c:extLst>
        </c:ser>
        <c:ser>
          <c:idx val="5"/>
          <c:order val="3"/>
          <c:tx>
            <c:strRef>
              <c:f>'GrD-Grafikdaten'!$E$120</c:f>
              <c:strCache>
                <c:ptCount val="1"/>
                <c:pt idx="0">
                  <c:v>Réserve de liquidité</c:v>
                </c:pt>
              </c:strCache>
            </c:strRef>
          </c:tx>
          <c:spPr>
            <a:solidFill>
              <a:srgbClr val="AD86B0"/>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'GrD-Grafikdaten'!$F$120:$AE$120</c:f>
              <c:numCache>
                <c:formatCode>0.00</c:formatCode>
                <c:ptCount val="26"/>
                <c:pt idx="0">
                  <c:v>0</c:v>
                </c:pt>
                <c:pt idx="1">
                  <c:v>0</c:v>
                </c:pt>
                <c:pt idx="2">
                  <c:v>9.9363640268897269E-2</c:v>
                </c:pt>
                <c:pt idx="3">
                  <c:v>0.41882948767683209</c:v>
                </c:pt>
                <c:pt idx="4">
                  <c:v>0.51450044762037139</c:v>
                </c:pt>
                <c:pt idx="5">
                  <c:v>0.59592027659530522</c:v>
                </c:pt>
                <c:pt idx="6">
                  <c:v>0.6392913186789364</c:v>
                </c:pt>
                <c:pt idx="7">
                  <c:v>0.41988501655095822</c:v>
                </c:pt>
                <c:pt idx="8">
                  <c:v>0.4372705524825396</c:v>
                </c:pt>
                <c:pt idx="9">
                  <c:v>0.42087878819618457</c:v>
                </c:pt>
                <c:pt idx="10">
                  <c:v>0.54603990988413686</c:v>
                </c:pt>
                <c:pt idx="11">
                  <c:v>0.76827342258007802</c:v>
                </c:pt>
                <c:pt idx="12">
                  <c:v>0.42705156848223186</c:v>
                </c:pt>
                <c:pt idx="13">
                  <c:v>0.41643702371245611</c:v>
                </c:pt>
                <c:pt idx="14">
                  <c:v>0.40692010918926608</c:v>
                </c:pt>
                <c:pt idx="15">
                  <c:v>0.37672724990734097</c:v>
                </c:pt>
                <c:pt idx="16">
                  <c:v>0.34747003585854214</c:v>
                </c:pt>
                <c:pt idx="17">
                  <c:v>0.31150149170074976</c:v>
                </c:pt>
                <c:pt idx="18">
                  <c:v>0.2831171986519056</c:v>
                </c:pt>
                <c:pt idx="19">
                  <c:v>0.25232068765046278</c:v>
                </c:pt>
                <c:pt idx="20">
                  <c:v>0.21549171121523691</c:v>
                </c:pt>
                <c:pt idx="21">
                  <c:v>0.1635916929538925</c:v>
                </c:pt>
                <c:pt idx="22">
                  <c:v>0.11329908546148226</c:v>
                </c:pt>
                <c:pt idx="23">
                  <c:v>8.6446614747409001E-2</c:v>
                </c:pt>
                <c:pt idx="24">
                  <c:v>7.4469010093960925E-2</c:v>
                </c:pt>
                <c:pt idx="25">
                  <c:v>9.1789785915857874E-2</c:v>
                </c:pt>
              </c:numCache>
            </c:numRef>
          </c:val>
          <c:extLst>
            <c:ext xmlns:c16="http://schemas.microsoft.com/office/drawing/2014/chart" uri="{C3380CC4-5D6E-409C-BE32-E72D297353CC}">
              <c16:uniqueId val="{00000008-87B7-482D-9C24-A9749A93F28F}"/>
            </c:ext>
          </c:extLst>
        </c:ser>
        <c:ser>
          <c:idx val="6"/>
          <c:order val="4"/>
          <c:tx>
            <c:strRef>
              <c:f>'GrD-Grafikdaten'!$E$121</c:f>
              <c:strCache>
                <c:ptCount val="1"/>
                <c:pt idx="0">
                  <c:v>Solde de l'année précédente</c:v>
                </c:pt>
              </c:strCache>
            </c:strRef>
          </c:tx>
          <c:spPr>
            <a:solidFill>
              <a:srgbClr val="8393BE"/>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'GrD-Grafikdaten'!$F$121:$AE$121</c:f>
              <c:numCache>
                <c:formatCode>0.00</c:formatCode>
                <c:ptCount val="26"/>
                <c:pt idx="0">
                  <c:v>0</c:v>
                </c:pt>
                <c:pt idx="1">
                  <c:v>0.27301911687690317</c:v>
                </c:pt>
                <c:pt idx="2">
                  <c:v>0.18051501743452761</c:v>
                </c:pt>
                <c:pt idx="3">
                  <c:v>0.66987563555484619</c:v>
                </c:pt>
                <c:pt idx="4">
                  <c:v>0.580495076175914</c:v>
                </c:pt>
                <c:pt idx="5">
                  <c:v>-0.38512304254835578</c:v>
                </c:pt>
                <c:pt idx="6">
                  <c:v>-0.69271211027684976</c:v>
                </c:pt>
                <c:pt idx="7">
                  <c:v>-0.55509788074223432</c:v>
                </c:pt>
                <c:pt idx="8">
                  <c:v>-0.94436923548353968</c:v>
                </c:pt>
                <c:pt idx="9">
                  <c:v>-1.0296002547372551</c:v>
                </c:pt>
                <c:pt idx="10">
                  <c:v>-0.61546559483866781</c:v>
                </c:pt>
                <c:pt idx="11">
                  <c:v>1.1845036077210573</c:v>
                </c:pt>
                <c:pt idx="12">
                  <c:v>0</c:v>
                </c:pt>
                <c:pt idx="13">
                  <c:v>-0.15803383786392977</c:v>
                </c:pt>
                <c:pt idx="14">
                  <c:v>-0.12546454540738267</c:v>
                </c:pt>
                <c:pt idx="15">
                  <c:v>-9.9020671665210114E-2</c:v>
                </c:pt>
                <c:pt idx="16">
                  <c:v>-3.2808480704583497E-2</c:v>
                </c:pt>
                <c:pt idx="17">
                  <c:v>1.1480973116834488E-2</c:v>
                </c:pt>
                <c:pt idx="18">
                  <c:v>5.9849050629596133E-2</c:v>
                </c:pt>
                <c:pt idx="19">
                  <c:v>0.10304745059200858</c:v>
                </c:pt>
                <c:pt idx="20">
                  <c:v>0.15280559790603168</c:v>
                </c:pt>
                <c:pt idx="21">
                  <c:v>0.19787046168788544</c:v>
                </c:pt>
                <c:pt idx="22">
                  <c:v>0.25348817617010533</c:v>
                </c:pt>
                <c:pt idx="23">
                  <c:v>0.29970050051144126</c:v>
                </c:pt>
                <c:pt idx="24">
                  <c:v>0.33319964748112973</c:v>
                </c:pt>
                <c:pt idx="25">
                  <c:v>0.35310353131546357</c:v>
                </c:pt>
              </c:numCache>
            </c:numRef>
          </c:val>
          <c:extLst>
            <c:ext xmlns:c16="http://schemas.microsoft.com/office/drawing/2014/chart" uri="{C3380CC4-5D6E-409C-BE32-E72D297353CC}">
              <c16:uniqueId val="{00000009-87B7-482D-9C24-A9749A93F28F}"/>
            </c:ext>
          </c:extLst>
        </c:ser>
        <c:ser>
          <c:idx val="10"/>
          <c:order val="5"/>
          <c:tx>
            <c:strRef>
              <c:f>'GrD-Grafikdaten'!$E$123</c:f>
              <c:strCache>
                <c:ptCount val="1"/>
                <c:pt idx="0">
                  <c:v>"Autres effets *
* Frais de réseau évités, privilège électricité verte, autres coûts "</c:v>
                </c:pt>
              </c:strCache>
            </c:strRef>
          </c:tx>
          <c:spPr>
            <a:solidFill>
              <a:schemeClr val="bg2">
                <a:lumMod val="65000"/>
              </a:schemeClr>
            </a:solidFill>
          </c:spPr>
          <c:invertIfNegative val="0"/>
          <c:cat>
            <c:numRef>
              <c:f>'GrD-Grafikdaten'!$F$5:$AE$5</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'GrD-Grafikdaten'!$F$123:$AE$123</c:f>
              <c:numCache>
                <c:formatCode>0.00</c:formatCode>
                <c:ptCount val="26"/>
                <c:pt idx="0">
                  <c:v>1.2621203479080452E-2</c:v>
                </c:pt>
                <c:pt idx="1">
                  <c:v>0.21705777646400023</c:v>
                </c:pt>
                <c:pt idx="2">
                  <c:v>-2.030389836889188E-2</c:v>
                </c:pt>
                <c:pt idx="3">
                  <c:v>-7.6196695631972927E-2</c:v>
                </c:pt>
                <c:pt idx="4">
                  <c:v>-7.2646252065796002E-2</c:v>
                </c:pt>
                <c:pt idx="5">
                  <c:v>-0.15408666759749157</c:v>
                </c:pt>
                <c:pt idx="6">
                  <c:v>-0.19539192604954267</c:v>
                </c:pt>
                <c:pt idx="7">
                  <c:v>-0.23263388338516494</c:v>
                </c:pt>
                <c:pt idx="8">
                  <c:v>-0.17237399192742237</c:v>
                </c:pt>
                <c:pt idx="9">
                  <c:v>-0.1341210474154646</c:v>
                </c:pt>
                <c:pt idx="10">
                  <c:v>-8.0430990471640276E-2</c:v>
                </c:pt>
                <c:pt idx="11">
                  <c:v>-8.2765793546279165E-2</c:v>
                </c:pt>
                <c:pt idx="12">
                  <c:v>-9.7346868626052616E-2</c:v>
                </c:pt>
                <c:pt idx="13">
                  <c:v>-9.7080061786660399E-2</c:v>
                </c:pt>
                <c:pt idx="14">
                  <c:v>-9.6097572635502587E-2</c:v>
                </c:pt>
                <c:pt idx="15">
                  <c:v>-9.0631928974791109E-2</c:v>
                </c:pt>
                <c:pt idx="16">
                  <c:v>-8.4422884983941709E-2</c:v>
                </c:pt>
                <c:pt idx="17">
                  <c:v>-7.6153635087647095E-2</c:v>
                </c:pt>
                <c:pt idx="18">
                  <c:v>-7.0432315385937416E-2</c:v>
                </c:pt>
                <c:pt idx="19">
                  <c:v>-6.8601862898958088E-2</c:v>
                </c:pt>
                <c:pt idx="20">
                  <c:v>-6.3619104480194602E-2</c:v>
                </c:pt>
                <c:pt idx="21">
                  <c:v>-5.5064022185168385E-2</c:v>
                </c:pt>
                <c:pt idx="22">
                  <c:v>-3.9360131755578946E-2</c:v>
                </c:pt>
                <c:pt idx="23">
                  <c:v>-3.7710513002152932E-2</c:v>
                </c:pt>
                <c:pt idx="24">
                  <c:v>-3.5493361589093185E-2</c:v>
                </c:pt>
                <c:pt idx="25">
                  <c:v>-3.5646249082427896E-2</c:v>
                </c:pt>
              </c:numCache>
            </c:numRef>
          </c:val>
          <c:extLst>
            <c:ext xmlns:c16="http://schemas.microsoft.com/office/drawing/2014/chart" uri="{C3380CC4-5D6E-409C-BE32-E72D297353CC}">
              <c16:uniqueId val="{0000000A-87B7-482D-9C24-A9749A93F28F}"/>
            </c:ext>
          </c:extLst>
        </c:ser>
        <c:ser>
          <c:idx val="0"/>
          <c:order val="8"/>
          <c:tx>
            <c:strRef>
              <c:f>'GrD-Grafikdaten'!$E$122</c:f>
              <c:strCache>
                <c:ptCount val="1"/>
                <c:pt idx="0">
                  <c:v>Subventions du budget fédéral</c:v>
                </c:pt>
              </c:strCache>
            </c:strRef>
          </c:tx>
          <c:invertIfNegative val="0"/>
          <c:val>
            <c:numRef>
              <c:f>'GrD-Grafikdaten'!$F$122:$AE$122</c:f>
              <c:numCache>
                <c:formatCode>0.00</c:formatCode>
                <c:ptCount val="26"/>
                <c:pt idx="0">
                  <c:v>0</c:v>
                </c:pt>
                <c:pt idx="1">
                  <c:v>0</c:v>
                </c:pt>
                <c:pt idx="2">
                  <c:v>0</c:v>
                </c:pt>
                <c:pt idx="3">
                  <c:v>0</c:v>
                </c:pt>
                <c:pt idx="4">
                  <c:v>0</c:v>
                </c:pt>
                <c:pt idx="5">
                  <c:v>0</c:v>
                </c:pt>
                <c:pt idx="6">
                  <c:v>0</c:v>
                </c:pt>
                <c:pt idx="7">
                  <c:v>0</c:v>
                </c:pt>
                <c:pt idx="8">
                  <c:v>0</c:v>
                </c:pt>
                <c:pt idx="9">
                  <c:v>0</c:v>
                </c:pt>
                <c:pt idx="10">
                  <c:v>0</c:v>
                </c:pt>
                <c:pt idx="11">
                  <c:v>-3.135147756514379</c:v>
                </c:pt>
                <c:pt idx="12">
                  <c:v>-1.1990313049014476</c:v>
                </c:pt>
                <c:pt idx="13">
                  <c:v>-1.4612607926185883</c:v>
                </c:pt>
                <c:pt idx="14">
                  <c:v>-1.4655894707099137</c:v>
                </c:pt>
                <c:pt idx="15">
                  <c:v>-1.4670403551819031</c:v>
                </c:pt>
                <c:pt idx="16">
                  <c:v>-1.4672993236845011</c:v>
                </c:pt>
                <c:pt idx="17">
                  <c:v>-1.4674076619406262</c:v>
                </c:pt>
                <c:pt idx="18">
                  <c:v>-1.467356974546018</c:v>
                </c:pt>
                <c:pt idx="19">
                  <c:v>-1.4667168591202011</c:v>
                </c:pt>
                <c:pt idx="20">
                  <c:v>-1.4653857820357914</c:v>
                </c:pt>
                <c:pt idx="21">
                  <c:v>-1.4640337815455702</c:v>
                </c:pt>
                <c:pt idx="22">
                  <c:v>-1.4626581539148638</c:v>
                </c:pt>
                <c:pt idx="23">
                  <c:v>-1.4622985291309107</c:v>
                </c:pt>
                <c:pt idx="24">
                  <c:v>-1.4622688107280257</c:v>
                </c:pt>
                <c:pt idx="25">
                  <c:v>-1.4626926366414963</c:v>
                </c:pt>
              </c:numCache>
            </c:numRef>
          </c:val>
          <c:extLst>
            <c:ext xmlns:c16="http://schemas.microsoft.com/office/drawing/2014/chart" uri="{C3380CC4-5D6E-409C-BE32-E72D297353CC}">
              <c16:uniqueId val="{0000000B-87B7-482D-9C24-A9749A93F28F}"/>
            </c:ext>
          </c:extLst>
        </c:ser>
        <c:dLbls>
          <c:showLegendKey val="0"/>
          <c:showVal val="0"/>
          <c:showCatName val="0"/>
          <c:showSerName val="0"/>
          <c:showPercent val="0"/>
          <c:showBubbleSize val="0"/>
        </c:dLbls>
        <c:gapWidth val="20"/>
        <c:overlap val="100"/>
        <c:axId val="331118464"/>
        <c:axId val="332730752"/>
      </c:barChart>
      <c:lineChart>
        <c:grouping val="standard"/>
        <c:varyColors val="0"/>
        <c:ser>
          <c:idx val="8"/>
          <c:order val="6"/>
          <c:tx>
            <c:strRef>
              <c:f>'GrD-Grafikdaten'!$E$126</c:f>
              <c:strCache>
                <c:ptCount val="1"/>
                <c:pt idx="0">
                  <c:v>Prélèvement (Prévision)</c:v>
                </c:pt>
              </c:strCache>
            </c:strRef>
          </c:tx>
          <c:spPr>
            <a:ln>
              <a:solidFill>
                <a:srgbClr val="FF0000"/>
              </a:solidFill>
              <a:prstDash val="solid"/>
            </a:ln>
          </c:spPr>
          <c:marker>
            <c:symbol val="none"/>
          </c:marker>
          <c:val>
            <c:numRef>
              <c:f>'GrD-Grafikdaten'!$F$126:$AE$126</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6.5003634995875359</c:v>
                </c:pt>
                <c:pt idx="12">
                  <c:v>6.3455464049513157</c:v>
                </c:pt>
                <c:pt idx="13">
                  <c:v>5.7377594551042073</c:v>
                </c:pt>
                <c:pt idx="14">
                  <c:v>5.5978679128930713</c:v>
                </c:pt>
                <c:pt idx="15">
                  <c:v>5.0894537215159117</c:v>
                </c:pt>
                <c:pt idx="16">
                  <c:v>4.6385294957784931</c:v>
                </c:pt>
                <c:pt idx="17">
                  <c:v>4.0472663312227866</c:v>
                </c:pt>
                <c:pt idx="18">
                  <c:v>3.5942292522672457</c:v>
                </c:pt>
                <c:pt idx="19">
                  <c:v>3.0939960732966507</c:v>
                </c:pt>
                <c:pt idx="20">
                  <c:v>2.4944400473394257</c:v>
                </c:pt>
                <c:pt idx="21">
                  <c:v>1.6239565889944165</c:v>
                </c:pt>
                <c:pt idx="22">
                  <c:v>0.7924471987414281</c:v>
                </c:pt>
                <c:pt idx="23">
                  <c:v>0.36462549858475624</c:v>
                </c:pt>
                <c:pt idx="24">
                  <c:v>0.18655001507974711</c:v>
                </c:pt>
                <c:pt idx="25">
                  <c:v>0.51203044585412305</c:v>
                </c:pt>
              </c:numCache>
            </c:numRef>
          </c:val>
          <c:smooth val="0"/>
          <c:extLst>
            <c:ext xmlns:c16="http://schemas.microsoft.com/office/drawing/2014/chart" uri="{C3380CC4-5D6E-409C-BE32-E72D297353CC}">
              <c16:uniqueId val="{0000000C-87B7-482D-9C24-A9749A93F28F}"/>
            </c:ext>
          </c:extLst>
        </c:ser>
        <c:ser>
          <c:idx val="9"/>
          <c:order val="7"/>
          <c:tx>
            <c:strRef>
              <c:f>'GrD-Grafikdaten'!$E$125</c:f>
              <c:strCache>
                <c:ptCount val="1"/>
                <c:pt idx="0">
                  <c:v>Prélèvement (Référence)</c:v>
                </c:pt>
              </c:strCache>
            </c:strRef>
          </c:tx>
          <c:spPr>
            <a:ln>
              <a:solidFill>
                <a:srgbClr val="7030A0"/>
              </a:solidFill>
            </a:ln>
          </c:spPr>
          <c:marker>
            <c:symbol val="circle"/>
            <c:size val="5"/>
            <c:spPr>
              <a:solidFill>
                <a:srgbClr val="7030A0"/>
              </a:solidFill>
              <a:ln>
                <a:solidFill>
                  <a:srgbClr val="7030A0"/>
                </a:solidFill>
              </a:ln>
            </c:spPr>
          </c:marker>
          <c:val>
            <c:numRef>
              <c:f>'GrD-Grafikdaten'!$F$125:$AE$125</c:f>
              <c:numCache>
                <c:formatCode>0.00</c:formatCode>
                <c:ptCount val="26"/>
                <c:pt idx="0">
                  <c:v>2.0469999999999997</c:v>
                </c:pt>
                <c:pt idx="1">
                  <c:v>3.5300000000000007</c:v>
                </c:pt>
                <c:pt idx="2">
                  <c:v>3.5920000000000005</c:v>
                </c:pt>
                <c:pt idx="3">
                  <c:v>5.2769999999999992</c:v>
                </c:pt>
                <c:pt idx="4">
                  <c:v>6.2399999999999993</c:v>
                </c:pt>
                <c:pt idx="5">
                  <c:v>6.17</c:v>
                </c:pt>
                <c:pt idx="6">
                  <c:v>6.3394923951914501</c:v>
                </c:pt>
                <c:pt idx="7">
                  <c:v>6.862870744991362</c:v>
                </c:pt>
                <c:pt idx="8">
                  <c:v>6.7807438583746604</c:v>
                </c:pt>
                <c:pt idx="9">
                  <c:v>6.405925003395339</c:v>
                </c:pt>
                <c:pt idx="10">
                  <c:v>6.7560731885971812</c:v>
                </c:pt>
                <c:pt idx="11">
                  <c:v>6.5003634995875341</c:v>
                </c:pt>
                <c:pt idx="12">
                  <c:v>5.999829931707656</c:v>
                </c:pt>
                <c:pt idx="13">
                  <c:v>5.7540581975897345</c:v>
                </c:pt>
                <c:pt idx="14">
                  <c:v>5.6173863183219579</c:v>
                </c:pt>
                <c:pt idx="15">
                  <c:v>5.1106041596116398</c:v>
                </c:pt>
                <c:pt idx="16">
                  <c:v>4.6618439243304826</c:v>
                </c:pt>
                <c:pt idx="17">
                  <c:v>4.0727911568283961</c:v>
                </c:pt>
                <c:pt idx="18">
                  <c:v>3.6215750816789316</c:v>
                </c:pt>
                <c:pt idx="19">
                  <c:v>3.1227738888994274</c:v>
                </c:pt>
                <c:pt idx="20">
                  <c:v>2.5242573906001367</c:v>
                </c:pt>
                <c:pt idx="21">
                  <c:v>1.6544335601121409</c:v>
                </c:pt>
                <c:pt idx="22">
                  <c:v>0.82320329708978601</c:v>
                </c:pt>
                <c:pt idx="23">
                  <c:v>0.39530094707806102</c:v>
                </c:pt>
                <c:pt idx="24">
                  <c:v>0.21676830628474378</c:v>
                </c:pt>
                <c:pt idx="25">
                  <c:v>0.54192582780461751</c:v>
                </c:pt>
              </c:numCache>
            </c:numRef>
          </c:val>
          <c:smooth val="0"/>
          <c:extLst>
            <c:ext xmlns:c16="http://schemas.microsoft.com/office/drawing/2014/chart" uri="{C3380CC4-5D6E-409C-BE32-E72D297353CC}">
              <c16:uniqueId val="{0000000D-87B7-482D-9C24-A9749A93F28F}"/>
            </c:ext>
          </c:extLst>
        </c:ser>
        <c:dLbls>
          <c:showLegendKey val="0"/>
          <c:showVal val="0"/>
          <c:showCatName val="0"/>
          <c:showSerName val="0"/>
          <c:showPercent val="0"/>
          <c:showBubbleSize val="0"/>
        </c:dLbls>
        <c:marker val="1"/>
        <c:smooth val="0"/>
        <c:axId val="331118464"/>
        <c:axId val="332730752"/>
      </c:lineChart>
      <c:catAx>
        <c:axId val="331118464"/>
        <c:scaling>
          <c:orientation val="minMax"/>
        </c:scaling>
        <c:delete val="0"/>
        <c:axPos val="b"/>
        <c:numFmt formatCode="0" sourceLinked="1"/>
        <c:majorTickMark val="out"/>
        <c:minorTickMark val="none"/>
        <c:tickLblPos val="low"/>
        <c:txPr>
          <a:bodyPr/>
          <a:lstStyle/>
          <a:p>
            <a:pPr>
              <a:defRPr>
                <a:latin typeface="Arial" panose="020B0604020202020204" pitchFamily="34" charset="0"/>
                <a:cs typeface="Arial" panose="020B0604020202020204" pitchFamily="34" charset="0"/>
              </a:defRPr>
            </a:pPr>
            <a:endParaRPr lang="en-US"/>
          </a:p>
        </c:txPr>
        <c:crossAx val="332730752"/>
        <c:crosses val="autoZero"/>
        <c:auto val="1"/>
        <c:lblAlgn val="ctr"/>
        <c:lblOffset val="100"/>
        <c:noMultiLvlLbl val="0"/>
      </c:catAx>
      <c:valAx>
        <c:axId val="332730752"/>
        <c:scaling>
          <c:orientation val="minMax"/>
        </c:scaling>
        <c:delete val="0"/>
        <c:axPos val="l"/>
        <c:majorGridlines/>
        <c:title>
          <c:tx>
            <c:strRef>
              <c:f>ControlPanel!$R$13</c:f>
              <c:strCache>
                <c:ptCount val="1"/>
                <c:pt idx="0">
                  <c:v>ct/kWh</c:v>
                </c:pt>
              </c:strCache>
            </c:strRef>
          </c:tx>
          <c:overlay val="0"/>
          <c:txPr>
            <a:bodyPr rot="-5400000" vert="horz"/>
            <a:lstStyle/>
            <a:p>
              <a:pPr>
                <a:defRPr>
                  <a:latin typeface="Arial" pitchFamily="34" charset="0"/>
                  <a:cs typeface="Arial" pitchFamily="34" charset="0"/>
                </a:defRPr>
              </a:pPr>
              <a:endParaRPr lang="en-US"/>
            </a:p>
          </c:txPr>
        </c:title>
        <c:numFmt formatCode="#,##0" sourceLinked="0"/>
        <c:majorTickMark val="out"/>
        <c:minorTickMark val="none"/>
        <c:tickLblPos val="nextTo"/>
        <c:txPr>
          <a:bodyPr/>
          <a:lstStyle/>
          <a:p>
            <a:pPr>
              <a:defRPr>
                <a:latin typeface="Arial" pitchFamily="34" charset="0"/>
                <a:cs typeface="Arial" pitchFamily="34" charset="0"/>
              </a:defRPr>
            </a:pPr>
            <a:endParaRPr lang="en-US"/>
          </a:p>
        </c:txPr>
        <c:crossAx val="331118464"/>
        <c:crosses val="autoZero"/>
        <c:crossBetween val="between"/>
      </c:valAx>
      <c:spPr>
        <a:solidFill>
          <a:schemeClr val="bg1"/>
        </a:solidFill>
      </c:spPr>
    </c:plotArea>
    <c:legend>
      <c:legendPos val="r"/>
      <c:layout>
        <c:manualLayout>
          <c:xMode val="edge"/>
          <c:yMode val="edge"/>
          <c:x val="0.64504052997659023"/>
          <c:y val="3.1881195168316223E-2"/>
          <c:w val="0.29426922777067216"/>
          <c:h val="0.90007062219288902"/>
        </c:manualLayout>
      </c:layout>
      <c:overlay val="0"/>
    </c:legend>
    <c:plotVisOnly val="1"/>
    <c:dispBlanksAs val="gap"/>
    <c:showDLblsOverMax val="0"/>
  </c:chart>
  <c:spPr>
    <a:solidFill>
      <a:schemeClr val="bg1"/>
    </a:solidFill>
    <a:ln>
      <a:solidFill>
        <a:schemeClr val="tx1"/>
      </a:solidFill>
    </a:ln>
  </c:spPr>
  <c:printSettings>
    <c:headerFooter/>
    <c:pageMargins b="0.78740157499999996" l="0.7" r="0.7" t="0.78740157499999996" header="0.3" footer="0.3"/>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760577285001525E-2"/>
          <c:y val="2.557009664668258E-2"/>
          <c:w val="0.58263480018317726"/>
          <c:h val="0.88124399869421155"/>
        </c:manualLayout>
      </c:layout>
      <c:barChart>
        <c:barDir val="col"/>
        <c:grouping val="stacked"/>
        <c:varyColors val="0"/>
        <c:ser>
          <c:idx val="5"/>
          <c:order val="0"/>
          <c:tx>
            <c:strRef>
              <c:f>'GrD-Grafikdaten'!$E$236</c:f>
              <c:strCache>
                <c:ptCount val="1"/>
                <c:pt idx="0">
                  <c:v>Revenu de l'exploitant du réseau en fonction du taux de rémunération (année de construction &lt;2015)</c:v>
                </c:pt>
              </c:strCache>
            </c:strRef>
          </c:tx>
          <c:spPr>
            <a:solidFill>
              <a:schemeClr val="accent2"/>
            </a:solidFill>
          </c:spPr>
          <c:invertIfNegative val="0"/>
          <c:cat>
            <c:numRef>
              <c:f>'GrD-Grafikdaten'!$F$230:$AE$230</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'GrD-Grafikdaten'!$F$236:$AE$236</c:f>
              <c:numCache>
                <c:formatCode>0.00</c:formatCode>
                <c:ptCount val="26"/>
                <c:pt idx="1">
                  <c:v>1.0396763362650057</c:v>
                </c:pt>
                <c:pt idx="2">
                  <c:v>0.61763287882386564</c:v>
                </c:pt>
                <c:pt idx="3">
                  <c:v>1.0922110520527628</c:v>
                </c:pt>
                <c:pt idx="4">
                  <c:v>0.78456804456258311</c:v>
                </c:pt>
                <c:pt idx="5">
                  <c:v>0.57736249296061892</c:v>
                </c:pt>
                <c:pt idx="6">
                  <c:v>4.5887018138008884E-3</c:v>
                </c:pt>
                <c:pt idx="7">
                  <c:v>2.9358550807483397E-2</c:v>
                </c:pt>
                <c:pt idx="8">
                  <c:v>3.170204612085481E-2</c:v>
                </c:pt>
                <c:pt idx="9">
                  <c:v>-9.5768821647892466E-2</c:v>
                </c:pt>
                <c:pt idx="10">
                  <c:v>-0.16363011732118249</c:v>
                </c:pt>
                <c:pt idx="11">
                  <c:v>0.14516487331517514</c:v>
                </c:pt>
                <c:pt idx="12">
                  <c:v>-0.15683186089794532</c:v>
                </c:pt>
                <c:pt idx="13">
                  <c:v>-0.18088261909426162</c:v>
                </c:pt>
                <c:pt idx="14">
                  <c:v>-0.1592263680560313</c:v>
                </c:pt>
                <c:pt idx="15">
                  <c:v>-0.34429137417635669</c:v>
                </c:pt>
                <c:pt idx="16">
                  <c:v>-0.49128506629195545</c:v>
                </c:pt>
                <c:pt idx="17">
                  <c:v>-0.48824553677374283</c:v>
                </c:pt>
                <c:pt idx="18">
                  <c:v>-0.50497565194627025</c:v>
                </c:pt>
                <c:pt idx="19">
                  <c:v>-0.42293364087522001</c:v>
                </c:pt>
                <c:pt idx="20">
                  <c:v>-0.78918959924190668</c:v>
                </c:pt>
                <c:pt idx="21">
                  <c:v>-1.0892035851433919</c:v>
                </c:pt>
                <c:pt idx="22">
                  <c:v>-1.1518917365344274</c:v>
                </c:pt>
                <c:pt idx="23">
                  <c:v>-0.6393495968227535</c:v>
                </c:pt>
                <c:pt idx="24">
                  <c:v>-0.28835992089081675</c:v>
                </c:pt>
                <c:pt idx="25">
                  <c:v>-0.26071433303269553</c:v>
                </c:pt>
              </c:numCache>
            </c:numRef>
          </c:val>
          <c:extLst>
            <c:ext xmlns:c16="http://schemas.microsoft.com/office/drawing/2014/chart" uri="{C3380CC4-5D6E-409C-BE32-E72D297353CC}">
              <c16:uniqueId val="{00000000-A712-4C41-B3EF-296072A8B2B8}"/>
            </c:ext>
          </c:extLst>
        </c:ser>
        <c:ser>
          <c:idx val="0"/>
          <c:order val="1"/>
          <c:tx>
            <c:strRef>
              <c:f>'GrD-Grafikdaten'!$E$231</c:f>
              <c:strCache>
                <c:ptCount val="1"/>
                <c:pt idx="0">
                  <c:v>Revenu de l'exploitant du réseau en fonction du taux de rémunération (année de construction&gt; 2014)</c:v>
                </c:pt>
              </c:strCache>
            </c:strRef>
          </c:tx>
          <c:spPr>
            <a:solidFill>
              <a:schemeClr val="tx2"/>
            </a:solidFill>
          </c:spPr>
          <c:invertIfNegative val="0"/>
          <c:cat>
            <c:numRef>
              <c:f>'GrD-Grafikdaten'!$F$230:$AE$230</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'GrD-Grafikdaten'!$F$231:$AE$231</c:f>
              <c:numCache>
                <c:formatCode>0.00</c:formatCode>
                <c:ptCount val="26"/>
                <c:pt idx="1">
                  <c:v>0</c:v>
                </c:pt>
                <c:pt idx="2">
                  <c:v>0</c:v>
                </c:pt>
                <c:pt idx="3">
                  <c:v>0</c:v>
                </c:pt>
                <c:pt idx="4">
                  <c:v>0</c:v>
                </c:pt>
                <c:pt idx="5">
                  <c:v>0.27526511402651638</c:v>
                </c:pt>
                <c:pt idx="6">
                  <c:v>0.46165572446003827</c:v>
                </c:pt>
                <c:pt idx="7">
                  <c:v>0.52468607571544235</c:v>
                </c:pt>
                <c:pt idx="8">
                  <c:v>0.47927398602162552</c:v>
                </c:pt>
                <c:pt idx="9">
                  <c:v>0.37765446526104052</c:v>
                </c:pt>
                <c:pt idx="10">
                  <c:v>0.26561745299228656</c:v>
                </c:pt>
                <c:pt idx="11">
                  <c:v>0.25939194122796572</c:v>
                </c:pt>
                <c:pt idx="12">
                  <c:v>0.20856736708300394</c:v>
                </c:pt>
                <c:pt idx="13">
                  <c:v>0.22473990224708107</c:v>
                </c:pt>
                <c:pt idx="14">
                  <c:v>0.16617188467696264</c:v>
                </c:pt>
                <c:pt idx="15">
                  <c:v>0.19488332871133895</c:v>
                </c:pt>
                <c:pt idx="16">
                  <c:v>0.1477118047426127</c:v>
                </c:pt>
                <c:pt idx="17">
                  <c:v>4.5250346854630585E-3</c:v>
                </c:pt>
                <c:pt idx="18">
                  <c:v>0.17475290402147792</c:v>
                </c:pt>
                <c:pt idx="19">
                  <c:v>9.8382644144348053E-2</c:v>
                </c:pt>
                <c:pt idx="20">
                  <c:v>0.25318872387722591</c:v>
                </c:pt>
                <c:pt idx="21">
                  <c:v>0.25338192609730825</c:v>
                </c:pt>
                <c:pt idx="22">
                  <c:v>0.25552789445781254</c:v>
                </c:pt>
                <c:pt idx="23">
                  <c:v>0.2559562229097665</c:v>
                </c:pt>
                <c:pt idx="24">
                  <c:v>0.16468795590591956</c:v>
                </c:pt>
                <c:pt idx="25">
                  <c:v>0.15057982760814781</c:v>
                </c:pt>
              </c:numCache>
            </c:numRef>
          </c:val>
          <c:extLst>
            <c:ext xmlns:c16="http://schemas.microsoft.com/office/drawing/2014/chart" uri="{C3380CC4-5D6E-409C-BE32-E72D297353CC}">
              <c16:uniqueId val="{00000001-A712-4C41-B3EF-296072A8B2B8}"/>
            </c:ext>
          </c:extLst>
        </c:ser>
        <c:ser>
          <c:idx val="1"/>
          <c:order val="2"/>
          <c:tx>
            <c:strRef>
              <c:f>'GrD-Grafikdaten'!$E$232</c:f>
              <c:strCache>
                <c:ptCount val="1"/>
                <c:pt idx="0">
                  <c:v>Revenus du marketing</c:v>
                </c:pt>
              </c:strCache>
            </c:strRef>
          </c:tx>
          <c:spPr>
            <a:solidFill>
              <a:srgbClr val="00B0F0"/>
            </a:solidFill>
          </c:spPr>
          <c:invertIfNegative val="0"/>
          <c:cat>
            <c:numRef>
              <c:f>'GrD-Grafikdaten'!$F$230:$AE$230</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'GrD-Grafikdaten'!$F$232:$AE$232</c:f>
              <c:numCache>
                <c:formatCode>0.00</c:formatCode>
                <c:ptCount val="26"/>
                <c:pt idx="1">
                  <c:v>-3.3849593859787142E-2</c:v>
                </c:pt>
                <c:pt idx="2">
                  <c:v>-0.32675804925327934</c:v>
                </c:pt>
                <c:pt idx="3">
                  <c:v>-0.15876774422843365</c:v>
                </c:pt>
                <c:pt idx="4">
                  <c:v>0.16793347085595567</c:v>
                </c:pt>
                <c:pt idx="5">
                  <c:v>3.2968867940948332E-2</c:v>
                </c:pt>
                <c:pt idx="6">
                  <c:v>2.3239578283304363E-2</c:v>
                </c:pt>
                <c:pt idx="7">
                  <c:v>8.2468882782557484E-2</c:v>
                </c:pt>
                <c:pt idx="8">
                  <c:v>-0.28339141135100143</c:v>
                </c:pt>
                <c:pt idx="9">
                  <c:v>-0.58973956946485595</c:v>
                </c:pt>
                <c:pt idx="10">
                  <c:v>-0.33886245998615427</c:v>
                </c:pt>
                <c:pt idx="11">
                  <c:v>0.44730906301347417</c:v>
                </c:pt>
                <c:pt idx="12">
                  <c:v>-0.60062076678191323</c:v>
                </c:pt>
                <c:pt idx="13">
                  <c:v>-0.22103316948847418</c:v>
                </c:pt>
                <c:pt idx="14">
                  <c:v>-0.16654324782525709</c:v>
                </c:pt>
                <c:pt idx="15">
                  <c:v>-0.35927191956111226</c:v>
                </c:pt>
                <c:pt idx="16">
                  <c:v>-0.15025601658815457</c:v>
                </c:pt>
                <c:pt idx="17">
                  <c:v>-0.12402448377122166</c:v>
                </c:pt>
                <c:pt idx="18">
                  <c:v>-0.14857012259098434</c:v>
                </c:pt>
                <c:pt idx="19">
                  <c:v>-0.19055463911348847</c:v>
                </c:pt>
                <c:pt idx="20">
                  <c:v>-8.2798156974513759E-2</c:v>
                </c:pt>
                <c:pt idx="21">
                  <c:v>-3.7733727604683409E-2</c:v>
                </c:pt>
                <c:pt idx="22">
                  <c:v>4.244982677352116E-2</c:v>
                </c:pt>
                <c:pt idx="23">
                  <c:v>-6.5797423408326061E-2</c:v>
                </c:pt>
                <c:pt idx="24">
                  <c:v>-7.8171930652296773E-2</c:v>
                </c:pt>
                <c:pt idx="25">
                  <c:v>0.39896698994949764</c:v>
                </c:pt>
              </c:numCache>
            </c:numRef>
          </c:val>
          <c:extLst>
            <c:ext xmlns:c16="http://schemas.microsoft.com/office/drawing/2014/chart" uri="{C3380CC4-5D6E-409C-BE32-E72D297353CC}">
              <c16:uniqueId val="{00000002-A712-4C41-B3EF-296072A8B2B8}"/>
            </c:ext>
          </c:extLst>
        </c:ser>
        <c:ser>
          <c:idx val="3"/>
          <c:order val="3"/>
          <c:tx>
            <c:strRef>
              <c:f>'GrD-Grafikdaten'!$E$234</c:f>
              <c:strCache>
                <c:ptCount val="1"/>
                <c:pt idx="0">
                  <c:v>Solde de l'année précédente</c:v>
                </c:pt>
              </c:strCache>
            </c:strRef>
          </c:tx>
          <c:spPr>
            <a:solidFill>
              <a:srgbClr val="8393BE"/>
            </a:solidFill>
          </c:spPr>
          <c:invertIfNegative val="0"/>
          <c:cat>
            <c:numRef>
              <c:f>'GrD-Grafikdaten'!$F$230:$AE$230</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'GrD-Grafikdaten'!$F$234:$AE$234</c:f>
              <c:numCache>
                <c:formatCode>0.00</c:formatCode>
                <c:ptCount val="26"/>
                <c:pt idx="1">
                  <c:v>0.27301911687690317</c:v>
                </c:pt>
                <c:pt idx="2">
                  <c:v>-9.2504099442375559E-2</c:v>
                </c:pt>
                <c:pt idx="3">
                  <c:v>0.48936061812031861</c:v>
                </c:pt>
                <c:pt idx="4">
                  <c:v>-8.9380559378932189E-2</c:v>
                </c:pt>
                <c:pt idx="5">
                  <c:v>-0.96561811872426984</c:v>
                </c:pt>
                <c:pt idx="6">
                  <c:v>-0.30758906772849398</c:v>
                </c:pt>
                <c:pt idx="7">
                  <c:v>0.13761422953461544</c:v>
                </c:pt>
                <c:pt idx="8">
                  <c:v>-0.38927135474130536</c:v>
                </c:pt>
                <c:pt idx="9">
                  <c:v>-8.5231019253715457E-2</c:v>
                </c:pt>
                <c:pt idx="10">
                  <c:v>0.41413465989858733</c:v>
                </c:pt>
                <c:pt idx="11">
                  <c:v>1.7999692025597251</c:v>
                </c:pt>
                <c:pt idx="12">
                  <c:v>-1.1845036077210573</c:v>
                </c:pt>
                <c:pt idx="13">
                  <c:v>-0.15803383786392977</c:v>
                </c:pt>
                <c:pt idx="14">
                  <c:v>3.2569292456547105E-2</c:v>
                </c:pt>
                <c:pt idx="15">
                  <c:v>2.6443873742172552E-2</c:v>
                </c:pt>
                <c:pt idx="16">
                  <c:v>6.621219096062661E-2</c:v>
                </c:pt>
                <c:pt idx="17">
                  <c:v>4.4289453821417982E-2</c:v>
                </c:pt>
                <c:pt idx="18">
                  <c:v>4.8368077512761648E-2</c:v>
                </c:pt>
                <c:pt idx="19">
                  <c:v>4.3198399962412447E-2</c:v>
                </c:pt>
                <c:pt idx="20">
                  <c:v>4.9758147314023102E-2</c:v>
                </c:pt>
                <c:pt idx="21">
                  <c:v>4.5064863781853759E-2</c:v>
                </c:pt>
                <c:pt idx="22">
                  <c:v>5.5617714482219888E-2</c:v>
                </c:pt>
                <c:pt idx="23">
                  <c:v>4.6212324341335931E-2</c:v>
                </c:pt>
                <c:pt idx="24">
                  <c:v>3.3499146969688476E-2</c:v>
                </c:pt>
                <c:pt idx="25">
                  <c:v>1.9903883834333835E-2</c:v>
                </c:pt>
              </c:numCache>
            </c:numRef>
          </c:val>
          <c:extLst>
            <c:ext xmlns:c16="http://schemas.microsoft.com/office/drawing/2014/chart" uri="{C3380CC4-5D6E-409C-BE32-E72D297353CC}">
              <c16:uniqueId val="{00000003-A712-4C41-B3EF-296072A8B2B8}"/>
            </c:ext>
          </c:extLst>
        </c:ser>
        <c:ser>
          <c:idx val="2"/>
          <c:order val="4"/>
          <c:tx>
            <c:strRef>
              <c:f>'GrD-Grafikdaten'!$E$233</c:f>
              <c:strCache>
                <c:ptCount val="1"/>
                <c:pt idx="0">
                  <c:v>Réserve de liquidité</c:v>
                </c:pt>
              </c:strCache>
            </c:strRef>
          </c:tx>
          <c:invertIfNegative val="0"/>
          <c:cat>
            <c:numRef>
              <c:f>'GrD-Grafikdaten'!$F$230:$AE$230</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'GrD-Grafikdaten'!$F$233:$AE$233</c:f>
              <c:numCache>
                <c:formatCode>0.00</c:formatCode>
                <c:ptCount val="26"/>
                <c:pt idx="1">
                  <c:v>0</c:v>
                </c:pt>
                <c:pt idx="2">
                  <c:v>9.9363640268897269E-2</c:v>
                </c:pt>
                <c:pt idx="3">
                  <c:v>0.31946584740793482</c:v>
                </c:pt>
                <c:pt idx="4">
                  <c:v>9.5670959943539302E-2</c:v>
                </c:pt>
                <c:pt idx="5">
                  <c:v>8.1419828974933828E-2</c:v>
                </c:pt>
                <c:pt idx="6">
                  <c:v>4.3371042083631184E-2</c:v>
                </c:pt>
                <c:pt idx="7">
                  <c:v>-0.21940630212797818</c:v>
                </c:pt>
                <c:pt idx="8">
                  <c:v>1.7385535931581375E-2</c:v>
                </c:pt>
                <c:pt idx="9">
                  <c:v>-1.6391764286355026E-2</c:v>
                </c:pt>
                <c:pt idx="10">
                  <c:v>0.12516112168795229</c:v>
                </c:pt>
                <c:pt idx="11">
                  <c:v>0.22223351269594116</c:v>
                </c:pt>
                <c:pt idx="12">
                  <c:v>-0.34122185409784617</c:v>
                </c:pt>
                <c:pt idx="13">
                  <c:v>-1.0614544769775747E-2</c:v>
                </c:pt>
                <c:pt idx="14">
                  <c:v>-9.5169145231900343E-3</c:v>
                </c:pt>
                <c:pt idx="15">
                  <c:v>-3.0192859281925111E-2</c:v>
                </c:pt>
                <c:pt idx="16">
                  <c:v>-2.925721404879883E-2</c:v>
                </c:pt>
                <c:pt idx="17">
                  <c:v>-3.5968544157792381E-2</c:v>
                </c:pt>
                <c:pt idx="18">
                  <c:v>-2.8384293048844156E-2</c:v>
                </c:pt>
                <c:pt idx="19">
                  <c:v>-3.0796511001442817E-2</c:v>
                </c:pt>
                <c:pt idx="20">
                  <c:v>-3.6828976435225869E-2</c:v>
                </c:pt>
                <c:pt idx="21">
                  <c:v>-5.1900018261344411E-2</c:v>
                </c:pt>
                <c:pt idx="22">
                  <c:v>-5.0292607492410241E-2</c:v>
                </c:pt>
                <c:pt idx="23">
                  <c:v>-2.6852470714073262E-2</c:v>
                </c:pt>
                <c:pt idx="24">
                  <c:v>-1.1977604653448076E-2</c:v>
                </c:pt>
                <c:pt idx="25">
                  <c:v>1.732077582189695E-2</c:v>
                </c:pt>
              </c:numCache>
            </c:numRef>
          </c:val>
          <c:extLst>
            <c:ext xmlns:c16="http://schemas.microsoft.com/office/drawing/2014/chart" uri="{C3380CC4-5D6E-409C-BE32-E72D297353CC}">
              <c16:uniqueId val="{00000004-A712-4C41-B3EF-296072A8B2B8}"/>
            </c:ext>
          </c:extLst>
        </c:ser>
        <c:ser>
          <c:idx val="4"/>
          <c:order val="5"/>
          <c:tx>
            <c:strRef>
              <c:f>'GrD-Grafikdaten'!$E$235</c:f>
              <c:strCache>
                <c:ptCount val="1"/>
                <c:pt idx="0">
                  <c:v>"Autres effets *
* Frais de réseau évités, privilège électricité verte, autres coûts "</c:v>
                </c:pt>
              </c:strCache>
            </c:strRef>
          </c:tx>
          <c:spPr>
            <a:solidFill>
              <a:schemeClr val="bg1">
                <a:lumMod val="75000"/>
              </a:schemeClr>
            </a:solidFill>
          </c:spPr>
          <c:invertIfNegative val="0"/>
          <c:cat>
            <c:numRef>
              <c:f>'GrD-Grafikdaten'!$F$230:$AE$230</c:f>
              <c:numCache>
                <c:formatCode>0</c:formatCode>
                <c:ptCount val="2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numCache>
            </c:numRef>
          </c:cat>
          <c:val>
            <c:numRef>
              <c:f>'GrD-Grafikdaten'!$F$235:$AE$235</c:f>
              <c:numCache>
                <c:formatCode>0.00</c:formatCode>
                <c:ptCount val="26"/>
                <c:pt idx="1">
                  <c:v>0.2044365729849198</c:v>
                </c:pt>
                <c:pt idx="2">
                  <c:v>-0.23736167483289211</c:v>
                </c:pt>
                <c:pt idx="3">
                  <c:v>-5.5892797263081051E-2</c:v>
                </c:pt>
                <c:pt idx="4">
                  <c:v>3.5504435661769251E-3</c:v>
                </c:pt>
                <c:pt idx="5">
                  <c:v>-8.1440415531695565E-2</c:v>
                </c:pt>
                <c:pt idx="6">
                  <c:v>-4.1305258452051102E-2</c:v>
                </c:pt>
                <c:pt idx="7">
                  <c:v>-3.7241957335622272E-2</c:v>
                </c:pt>
                <c:pt idx="8">
                  <c:v>6.0259891457742576E-2</c:v>
                </c:pt>
                <c:pt idx="9">
                  <c:v>3.8252944511957765E-2</c:v>
                </c:pt>
                <c:pt idx="10">
                  <c:v>5.3690056943824324E-2</c:v>
                </c:pt>
                <c:pt idx="11">
                  <c:v>-2.3348030746388887E-3</c:v>
                </c:pt>
                <c:pt idx="12">
                  <c:v>-1.4581075079773451E-2</c:v>
                </c:pt>
                <c:pt idx="13">
                  <c:v>2.6680683939221683E-4</c:v>
                </c:pt>
                <c:pt idx="14">
                  <c:v>9.8248915115781155E-4</c:v>
                </c:pt>
                <c:pt idx="15">
                  <c:v>5.4656436607114778E-3</c:v>
                </c:pt>
                <c:pt idx="16">
                  <c:v>6.2090439908494E-3</c:v>
                </c:pt>
                <c:pt idx="17">
                  <c:v>8.2692498962946143E-3</c:v>
                </c:pt>
                <c:pt idx="18">
                  <c:v>5.721319701709679E-3</c:v>
                </c:pt>
                <c:pt idx="19">
                  <c:v>1.8304524869793282E-3</c:v>
                </c:pt>
                <c:pt idx="20">
                  <c:v>4.982758418763486E-3</c:v>
                </c:pt>
                <c:pt idx="21">
                  <c:v>8.5550822950262173E-3</c:v>
                </c:pt>
                <c:pt idx="22">
                  <c:v>1.5703890429589439E-2</c:v>
                </c:pt>
                <c:pt idx="23">
                  <c:v>1.6496187534260146E-3</c:v>
                </c:pt>
                <c:pt idx="24">
                  <c:v>2.2171514130597467E-3</c:v>
                </c:pt>
                <c:pt idx="25">
                  <c:v>-1.5288749333471074E-4</c:v>
                </c:pt>
              </c:numCache>
            </c:numRef>
          </c:val>
          <c:extLst>
            <c:ext xmlns:c16="http://schemas.microsoft.com/office/drawing/2014/chart" uri="{C3380CC4-5D6E-409C-BE32-E72D297353CC}">
              <c16:uniqueId val="{00000005-A712-4C41-B3EF-296072A8B2B8}"/>
            </c:ext>
          </c:extLst>
        </c:ser>
        <c:dLbls>
          <c:showLegendKey val="0"/>
          <c:showVal val="0"/>
          <c:showCatName val="0"/>
          <c:showSerName val="0"/>
          <c:showPercent val="0"/>
          <c:showBubbleSize val="0"/>
        </c:dLbls>
        <c:gapWidth val="5"/>
        <c:overlap val="100"/>
        <c:axId val="318867328"/>
        <c:axId val="318868864"/>
      </c:barChart>
      <c:lineChart>
        <c:grouping val="standard"/>
        <c:varyColors val="0"/>
        <c:ser>
          <c:idx val="7"/>
          <c:order val="6"/>
          <c:tx>
            <c:strRef>
              <c:f>'GrD-Grafikdaten'!$E$238</c:f>
              <c:strCache>
                <c:ptCount val="1"/>
                <c:pt idx="0">
                  <c:v>Prélèvement (Prévision)</c:v>
                </c:pt>
              </c:strCache>
            </c:strRef>
          </c:tx>
          <c:spPr>
            <a:ln>
              <a:solidFill>
                <a:srgbClr val="FF0000"/>
              </a:solidFill>
            </a:ln>
          </c:spPr>
          <c:val>
            <c:numRef>
              <c:f>'GrD-Grafikdaten'!$F$238:$AE$238</c:f>
              <c:numCache>
                <c:formatCode>0.00</c:formatCode>
                <c:ptCount val="26"/>
                <c:pt idx="1">
                  <c:v>1.483000000000001</c:v>
                </c:pt>
                <c:pt idx="2">
                  <c:v>6.1999999999999833E-2</c:v>
                </c:pt>
                <c:pt idx="3">
                  <c:v>1.6849999999999987</c:v>
                </c:pt>
                <c:pt idx="4">
                  <c:v>0.96300000000000008</c:v>
                </c:pt>
                <c:pt idx="5">
                  <c:v>-6.9999999999999396E-2</c:v>
                </c:pt>
                <c:pt idx="6">
                  <c:v>0.16949239519145021</c:v>
                </c:pt>
                <c:pt idx="7">
                  <c:v>0.52337834979991182</c:v>
                </c:pt>
                <c:pt idx="8">
                  <c:v>-8.2126886616701533E-2</c:v>
                </c:pt>
                <c:pt idx="9">
                  <c:v>-0.37481885497932144</c:v>
                </c:pt>
                <c:pt idx="10">
                  <c:v>0.35014818520184221</c:v>
                </c:pt>
                <c:pt idx="11">
                  <c:v>-0.2557096890096453</c:v>
                </c:pt>
                <c:pt idx="12">
                  <c:v>-0.15481709463622018</c:v>
                </c:pt>
                <c:pt idx="13">
                  <c:v>-0.60778694984710846</c:v>
                </c:pt>
                <c:pt idx="14">
                  <c:v>-0.13989154221113598</c:v>
                </c:pt>
                <c:pt idx="15">
                  <c:v>-0.5084141913771596</c:v>
                </c:pt>
                <c:pt idx="16">
                  <c:v>-0.45092422573741864</c:v>
                </c:pt>
                <c:pt idx="17">
                  <c:v>-0.59126316455570649</c:v>
                </c:pt>
                <c:pt idx="18">
                  <c:v>-0.45303707895554091</c:v>
                </c:pt>
                <c:pt idx="19">
                  <c:v>-0.50023317897059494</c:v>
                </c:pt>
                <c:pt idx="20">
                  <c:v>-0.59955602595722501</c:v>
                </c:pt>
                <c:pt idx="21">
                  <c:v>-0.87048345834500918</c:v>
                </c:pt>
                <c:pt idx="22">
                  <c:v>-0.83150939025298842</c:v>
                </c:pt>
                <c:pt idx="23">
                  <c:v>-0.42782170015667187</c:v>
                </c:pt>
                <c:pt idx="24">
                  <c:v>-0.17807548350500912</c:v>
                </c:pt>
                <c:pt idx="25">
                  <c:v>0.32548043077437594</c:v>
                </c:pt>
              </c:numCache>
            </c:numRef>
          </c:val>
          <c:smooth val="0"/>
          <c:extLst>
            <c:ext xmlns:c16="http://schemas.microsoft.com/office/drawing/2014/chart" uri="{C3380CC4-5D6E-409C-BE32-E72D297353CC}">
              <c16:uniqueId val="{00000006-A712-4C41-B3EF-296072A8B2B8}"/>
            </c:ext>
          </c:extLst>
        </c:ser>
        <c:ser>
          <c:idx val="6"/>
          <c:order val="7"/>
          <c:tx>
            <c:strRef>
              <c:f>'GrD-Grafikdaten'!$E$237</c:f>
              <c:strCache>
                <c:ptCount val="1"/>
                <c:pt idx="0">
                  <c:v>Prélèvement (Référence)</c:v>
                </c:pt>
              </c:strCache>
            </c:strRef>
          </c:tx>
          <c:spPr>
            <a:ln>
              <a:solidFill>
                <a:schemeClr val="tx1"/>
              </a:solidFill>
            </a:ln>
          </c:spPr>
          <c:marker>
            <c:symbol val="none"/>
          </c:marker>
          <c:val>
            <c:numRef>
              <c:f>'GrD-Grafikdaten'!$F$237:$AE$237</c:f>
              <c:numCache>
                <c:formatCode>0.00</c:formatCode>
                <c:ptCount val="26"/>
                <c:pt idx="1">
                  <c:v>1.483000000000001</c:v>
                </c:pt>
                <c:pt idx="2">
                  <c:v>6.1999999999999833E-2</c:v>
                </c:pt>
                <c:pt idx="3">
                  <c:v>1.6849999999999987</c:v>
                </c:pt>
                <c:pt idx="4">
                  <c:v>0.96300000000000008</c:v>
                </c:pt>
                <c:pt idx="5">
                  <c:v>-6.9999999999999396E-2</c:v>
                </c:pt>
                <c:pt idx="6">
                  <c:v>0.16949239519145021</c:v>
                </c:pt>
                <c:pt idx="7">
                  <c:v>0.52337834979991182</c:v>
                </c:pt>
                <c:pt idx="8">
                  <c:v>-8.2126886616701533E-2</c:v>
                </c:pt>
                <c:pt idx="9">
                  <c:v>-0.37481885497932144</c:v>
                </c:pt>
                <c:pt idx="10">
                  <c:v>0.35014818520184221</c:v>
                </c:pt>
                <c:pt idx="11">
                  <c:v>-0.25570968900964708</c:v>
                </c:pt>
                <c:pt idx="12">
                  <c:v>-0.50053356787987813</c:v>
                </c:pt>
                <c:pt idx="13">
                  <c:v>-0.24577173411792153</c:v>
                </c:pt>
                <c:pt idx="14">
                  <c:v>-0.13667187926777657</c:v>
                </c:pt>
                <c:pt idx="15">
                  <c:v>-0.50678215871031806</c:v>
                </c:pt>
                <c:pt idx="16">
                  <c:v>-0.44876023528115727</c:v>
                </c:pt>
                <c:pt idx="17">
                  <c:v>-0.58905276750208646</c:v>
                </c:pt>
                <c:pt idx="18">
                  <c:v>-0.45121607514946449</c:v>
                </c:pt>
                <c:pt idx="19">
                  <c:v>-0.49880119277950419</c:v>
                </c:pt>
                <c:pt idx="20">
                  <c:v>-0.59851649829929077</c:v>
                </c:pt>
                <c:pt idx="21">
                  <c:v>-0.86982383048799572</c:v>
                </c:pt>
                <c:pt idx="22">
                  <c:v>-0.83123026302235492</c:v>
                </c:pt>
                <c:pt idx="23">
                  <c:v>-0.427902350011725</c:v>
                </c:pt>
                <c:pt idx="24">
                  <c:v>-0.17853264079331724</c:v>
                </c:pt>
                <c:pt idx="25">
                  <c:v>0.32515752151987376</c:v>
                </c:pt>
              </c:numCache>
            </c:numRef>
          </c:val>
          <c:smooth val="0"/>
          <c:extLst>
            <c:ext xmlns:c16="http://schemas.microsoft.com/office/drawing/2014/chart" uri="{C3380CC4-5D6E-409C-BE32-E72D297353CC}">
              <c16:uniqueId val="{00000007-A712-4C41-B3EF-296072A8B2B8}"/>
            </c:ext>
          </c:extLst>
        </c:ser>
        <c:dLbls>
          <c:showLegendKey val="0"/>
          <c:showVal val="0"/>
          <c:showCatName val="0"/>
          <c:showSerName val="0"/>
          <c:showPercent val="0"/>
          <c:showBubbleSize val="0"/>
        </c:dLbls>
        <c:marker val="1"/>
        <c:smooth val="0"/>
        <c:axId val="318867328"/>
        <c:axId val="318868864"/>
      </c:lineChart>
      <c:catAx>
        <c:axId val="318867328"/>
        <c:scaling>
          <c:orientation val="minMax"/>
        </c:scaling>
        <c:delete val="0"/>
        <c:axPos val="b"/>
        <c:numFmt formatCode="0" sourceLinked="1"/>
        <c:majorTickMark val="out"/>
        <c:minorTickMark val="none"/>
        <c:tickLblPos val="low"/>
        <c:crossAx val="318868864"/>
        <c:crosses val="autoZero"/>
        <c:auto val="1"/>
        <c:lblAlgn val="ctr"/>
        <c:lblOffset val="100"/>
        <c:noMultiLvlLbl val="0"/>
      </c:catAx>
      <c:valAx>
        <c:axId val="318868864"/>
        <c:scaling>
          <c:orientation val="minMax"/>
        </c:scaling>
        <c:delete val="0"/>
        <c:axPos val="l"/>
        <c:majorGridlines/>
        <c:title>
          <c:tx>
            <c:rich>
              <a:bodyPr rot="-5400000" vert="horz"/>
              <a:lstStyle/>
              <a:p>
                <a:pPr>
                  <a:defRPr/>
                </a:pPr>
                <a:r>
                  <a:rPr lang="de-DE"/>
                  <a:t>ct/kWh</a:t>
                </a:r>
              </a:p>
            </c:rich>
          </c:tx>
          <c:overlay val="0"/>
        </c:title>
        <c:numFmt formatCode="0.0" sourceLinked="0"/>
        <c:majorTickMark val="out"/>
        <c:minorTickMark val="none"/>
        <c:tickLblPos val="nextTo"/>
        <c:crossAx val="3188673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orientation="portrait"/>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MOD_Absenkung_Wind_offshore!$C$12</c:f>
              <c:strCache>
                <c:ptCount val="1"/>
                <c:pt idx="0">
                  <c:v>2010</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MOD_Absenkung_Wind_offshore!$K$12:$AE$12</c:f>
              <c:numCache>
                <c:formatCode>#,##0.00</c:formatCode>
                <c:ptCount val="21"/>
                <c:pt idx="0">
                  <c:v>0</c:v>
                </c:pt>
                <c:pt idx="1">
                  <c:v>0</c:v>
                </c:pt>
                <c:pt idx="2">
                  <c:v>0</c:v>
                </c:pt>
                <c:pt idx="3">
                  <c:v>0</c:v>
                </c:pt>
                <c:pt idx="4">
                  <c:v>0</c:v>
                </c:pt>
                <c:pt idx="5">
                  <c:v>0</c:v>
                </c:pt>
                <c:pt idx="6">
                  <c:v>0</c:v>
                </c:pt>
                <c:pt idx="7">
                  <c:v>0</c:v>
                </c:pt>
                <c:pt idx="8">
                  <c:v>0</c:v>
                </c:pt>
                <c:pt idx="9">
                  <c:v>0</c:v>
                </c:pt>
                <c:pt idx="10">
                  <c:v>0</c:v>
                </c:pt>
                <c:pt idx="11">
                  <c:v>1.6974E-2</c:v>
                </c:pt>
                <c:pt idx="12">
                  <c:v>1.6974E-2</c:v>
                </c:pt>
                <c:pt idx="13">
                  <c:v>1.6974E-2</c:v>
                </c:pt>
                <c:pt idx="14">
                  <c:v>1.6974E-2</c:v>
                </c:pt>
                <c:pt idx="15">
                  <c:v>1.6974E-2</c:v>
                </c:pt>
                <c:pt idx="16">
                  <c:v>0</c:v>
                </c:pt>
                <c:pt idx="17">
                  <c:v>0</c:v>
                </c:pt>
                <c:pt idx="18">
                  <c:v>0</c:v>
                </c:pt>
                <c:pt idx="19">
                  <c:v>0</c:v>
                </c:pt>
                <c:pt idx="20">
                  <c:v>0</c:v>
                </c:pt>
              </c:numCache>
            </c:numRef>
          </c:val>
          <c:extLst>
            <c:ext xmlns:c16="http://schemas.microsoft.com/office/drawing/2014/chart" uri="{C3380CC4-5D6E-409C-BE32-E72D297353CC}">
              <c16:uniqueId val="{00000000-5A14-48C3-B337-54B501D0AB92}"/>
            </c:ext>
          </c:extLst>
        </c:ser>
        <c:ser>
          <c:idx val="1"/>
          <c:order val="1"/>
          <c:tx>
            <c:strRef>
              <c:f>MOD_Absenkung_Wind_offshore!$C$13</c:f>
              <c:strCache>
                <c:ptCount val="1"/>
                <c:pt idx="0">
                  <c:v>2011</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MOD_Absenkung_Wind_offshore!$K$13:$AE$13</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4.0737599999999999E-2</c:v>
                </c:pt>
                <c:pt idx="13">
                  <c:v>4.0737599999999999E-2</c:v>
                </c:pt>
                <c:pt idx="14">
                  <c:v>4.0737599999999999E-2</c:v>
                </c:pt>
                <c:pt idx="15">
                  <c:v>4.0737599999999999E-2</c:v>
                </c:pt>
                <c:pt idx="16">
                  <c:v>4.0737599999999999E-2</c:v>
                </c:pt>
                <c:pt idx="17">
                  <c:v>0</c:v>
                </c:pt>
                <c:pt idx="18">
                  <c:v>0</c:v>
                </c:pt>
                <c:pt idx="19">
                  <c:v>0</c:v>
                </c:pt>
                <c:pt idx="20">
                  <c:v>0</c:v>
                </c:pt>
              </c:numCache>
            </c:numRef>
          </c:val>
          <c:extLst>
            <c:ext xmlns:c16="http://schemas.microsoft.com/office/drawing/2014/chart" uri="{C3380CC4-5D6E-409C-BE32-E72D297353CC}">
              <c16:uniqueId val="{00000001-5A14-48C3-B337-54B501D0AB92}"/>
            </c:ext>
          </c:extLst>
        </c:ser>
        <c:ser>
          <c:idx val="2"/>
          <c:order val="2"/>
          <c:tx>
            <c:strRef>
              <c:f>MOD_Absenkung_Wind_offshore!$C$14</c:f>
              <c:strCache>
                <c:ptCount val="1"/>
                <c:pt idx="0">
                  <c:v>2012</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MOD_Absenkung_Wind_offshore!$K$14:$AE$14</c:f>
              <c:numCache>
                <c:formatCode>#,##0.00</c:formatCode>
                <c:ptCount val="21"/>
                <c:pt idx="0">
                  <c:v>0</c:v>
                </c:pt>
                <c:pt idx="1">
                  <c:v>0</c:v>
                </c:pt>
                <c:pt idx="2">
                  <c:v>0</c:v>
                </c:pt>
                <c:pt idx="3">
                  <c:v>0</c:v>
                </c:pt>
                <c:pt idx="4">
                  <c:v>0</c:v>
                </c:pt>
                <c:pt idx="5">
                  <c:v>0</c:v>
                </c:pt>
                <c:pt idx="6">
                  <c:v>1.2109759999999999E-2</c:v>
                </c:pt>
                <c:pt idx="7">
                  <c:v>1.2109759999999999E-2</c:v>
                </c:pt>
                <c:pt idx="8">
                  <c:v>1.2109759999999999E-2</c:v>
                </c:pt>
                <c:pt idx="9">
                  <c:v>4.692532E-2</c:v>
                </c:pt>
                <c:pt idx="10">
                  <c:v>4.692532E-2</c:v>
                </c:pt>
                <c:pt idx="11">
                  <c:v>4.692532E-2</c:v>
                </c:pt>
                <c:pt idx="12">
                  <c:v>4.692532E-2</c:v>
                </c:pt>
                <c:pt idx="13">
                  <c:v>4.692532E-2</c:v>
                </c:pt>
                <c:pt idx="14">
                  <c:v>4.692532E-2</c:v>
                </c:pt>
                <c:pt idx="15">
                  <c:v>4.692532E-2</c:v>
                </c:pt>
                <c:pt idx="16">
                  <c:v>4.692532E-2</c:v>
                </c:pt>
                <c:pt idx="17">
                  <c:v>4.692532E-2</c:v>
                </c:pt>
                <c:pt idx="18">
                  <c:v>0</c:v>
                </c:pt>
                <c:pt idx="19">
                  <c:v>0</c:v>
                </c:pt>
                <c:pt idx="20">
                  <c:v>0</c:v>
                </c:pt>
              </c:numCache>
            </c:numRef>
          </c:val>
          <c:extLst>
            <c:ext xmlns:c16="http://schemas.microsoft.com/office/drawing/2014/chart" uri="{C3380CC4-5D6E-409C-BE32-E72D297353CC}">
              <c16:uniqueId val="{00000002-5A14-48C3-B337-54B501D0AB92}"/>
            </c:ext>
          </c:extLst>
        </c:ser>
        <c:ser>
          <c:idx val="3"/>
          <c:order val="3"/>
          <c:tx>
            <c:strRef>
              <c:f>MOD_Absenkung_Wind_offshore!$C$15</c:f>
              <c:strCache>
                <c:ptCount val="1"/>
                <c:pt idx="0">
                  <c:v>2013</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MOD_Absenkung_Wind_offshore!$K$15:$AE$15</c:f>
              <c:numCache>
                <c:formatCode>#,##0.00</c:formatCode>
                <c:ptCount val="21"/>
                <c:pt idx="0">
                  <c:v>0</c:v>
                </c:pt>
                <c:pt idx="1">
                  <c:v>0</c:v>
                </c:pt>
                <c:pt idx="2">
                  <c:v>0</c:v>
                </c:pt>
                <c:pt idx="3">
                  <c:v>0</c:v>
                </c:pt>
                <c:pt idx="4">
                  <c:v>0</c:v>
                </c:pt>
                <c:pt idx="5">
                  <c:v>0</c:v>
                </c:pt>
                <c:pt idx="6">
                  <c:v>0</c:v>
                </c:pt>
                <c:pt idx="7">
                  <c:v>3.1488000000000002E-2</c:v>
                </c:pt>
                <c:pt idx="8">
                  <c:v>3.1488000000000002E-2</c:v>
                </c:pt>
                <c:pt idx="9">
                  <c:v>3.1488000000000002E-2</c:v>
                </c:pt>
                <c:pt idx="10">
                  <c:v>0.12201599999999999</c:v>
                </c:pt>
                <c:pt idx="11">
                  <c:v>0.12201599999999999</c:v>
                </c:pt>
                <c:pt idx="12">
                  <c:v>0.12201599999999999</c:v>
                </c:pt>
                <c:pt idx="13">
                  <c:v>0.12201599999999999</c:v>
                </c:pt>
                <c:pt idx="14">
                  <c:v>0.12201599999999999</c:v>
                </c:pt>
                <c:pt idx="15">
                  <c:v>0.12201599999999999</c:v>
                </c:pt>
                <c:pt idx="16">
                  <c:v>0.12201599999999999</c:v>
                </c:pt>
                <c:pt idx="17">
                  <c:v>0.12201599999999999</c:v>
                </c:pt>
                <c:pt idx="18">
                  <c:v>0.12201599999999999</c:v>
                </c:pt>
                <c:pt idx="19">
                  <c:v>0</c:v>
                </c:pt>
                <c:pt idx="20">
                  <c:v>0</c:v>
                </c:pt>
              </c:numCache>
            </c:numRef>
          </c:val>
          <c:extLst>
            <c:ext xmlns:c16="http://schemas.microsoft.com/office/drawing/2014/chart" uri="{C3380CC4-5D6E-409C-BE32-E72D297353CC}">
              <c16:uniqueId val="{00000003-5A14-48C3-B337-54B501D0AB92}"/>
            </c:ext>
          </c:extLst>
        </c:ser>
        <c:ser>
          <c:idx val="4"/>
          <c:order val="4"/>
          <c:tx>
            <c:strRef>
              <c:f>MOD_Absenkung_Wind_offshore!$C$16</c:f>
              <c:strCache>
                <c:ptCount val="1"/>
                <c:pt idx="0">
                  <c:v>2014</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MOD_Absenkung_Wind_offshore!$K$16:$AE$16</c:f>
              <c:numCache>
                <c:formatCode>#,##0.00</c:formatCode>
                <c:ptCount val="21"/>
                <c:pt idx="0">
                  <c:v>0</c:v>
                </c:pt>
                <c:pt idx="1">
                  <c:v>0</c:v>
                </c:pt>
                <c:pt idx="2">
                  <c:v>0</c:v>
                </c:pt>
                <c:pt idx="3">
                  <c:v>0</c:v>
                </c:pt>
                <c:pt idx="4">
                  <c:v>0</c:v>
                </c:pt>
                <c:pt idx="5">
                  <c:v>0</c:v>
                </c:pt>
                <c:pt idx="6">
                  <c:v>0</c:v>
                </c:pt>
                <c:pt idx="7">
                  <c:v>0</c:v>
                </c:pt>
                <c:pt idx="8">
                  <c:v>6.2674240000000006E-2</c:v>
                </c:pt>
                <c:pt idx="9">
                  <c:v>6.2674240000000006E-2</c:v>
                </c:pt>
                <c:pt idx="10">
                  <c:v>6.2674240000000006E-2</c:v>
                </c:pt>
                <c:pt idx="11">
                  <c:v>0.24286268000000003</c:v>
                </c:pt>
                <c:pt idx="12">
                  <c:v>0.24286268000000003</c:v>
                </c:pt>
                <c:pt idx="13">
                  <c:v>0.24286268000000003</c:v>
                </c:pt>
                <c:pt idx="14">
                  <c:v>0.24286268000000003</c:v>
                </c:pt>
                <c:pt idx="15">
                  <c:v>0.24286268000000003</c:v>
                </c:pt>
                <c:pt idx="16">
                  <c:v>0.24286268000000003</c:v>
                </c:pt>
                <c:pt idx="17">
                  <c:v>0.24286268000000003</c:v>
                </c:pt>
                <c:pt idx="18">
                  <c:v>0.24286268000000003</c:v>
                </c:pt>
                <c:pt idx="19">
                  <c:v>0.24286268000000003</c:v>
                </c:pt>
                <c:pt idx="20">
                  <c:v>0</c:v>
                </c:pt>
              </c:numCache>
            </c:numRef>
          </c:val>
          <c:extLst>
            <c:ext xmlns:c16="http://schemas.microsoft.com/office/drawing/2014/chart" uri="{C3380CC4-5D6E-409C-BE32-E72D297353CC}">
              <c16:uniqueId val="{00000004-5A14-48C3-B337-54B501D0AB92}"/>
            </c:ext>
          </c:extLst>
        </c:ser>
        <c:ser>
          <c:idx val="5"/>
          <c:order val="5"/>
          <c:tx>
            <c:strRef>
              <c:f>MOD_Absenkung_Wind_offshore!$C$17</c:f>
              <c:strCache>
                <c:ptCount val="1"/>
                <c:pt idx="0">
                  <c:v>2015</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MOD_Absenkung_Wind_offshore!$K$17:$AE$17</c:f>
              <c:numCache>
                <c:formatCode>#,##0.00</c:formatCode>
                <c:ptCount val="21"/>
                <c:pt idx="0">
                  <c:v>0</c:v>
                </c:pt>
                <c:pt idx="1">
                  <c:v>0</c:v>
                </c:pt>
                <c:pt idx="2">
                  <c:v>0</c:v>
                </c:pt>
                <c:pt idx="3">
                  <c:v>0</c:v>
                </c:pt>
                <c:pt idx="4">
                  <c:v>0</c:v>
                </c:pt>
                <c:pt idx="5">
                  <c:v>0</c:v>
                </c:pt>
                <c:pt idx="6">
                  <c:v>0</c:v>
                </c:pt>
                <c:pt idx="7">
                  <c:v>0</c:v>
                </c:pt>
                <c:pt idx="8">
                  <c:v>0</c:v>
                </c:pt>
                <c:pt idx="9">
                  <c:v>0.299792</c:v>
                </c:pt>
                <c:pt idx="10">
                  <c:v>0.299792</c:v>
                </c:pt>
                <c:pt idx="11">
                  <c:v>0.299792</c:v>
                </c:pt>
                <c:pt idx="12">
                  <c:v>1.1616939999999998</c:v>
                </c:pt>
                <c:pt idx="13">
                  <c:v>1.1616939999999998</c:v>
                </c:pt>
                <c:pt idx="14">
                  <c:v>1.1616939999999998</c:v>
                </c:pt>
                <c:pt idx="15">
                  <c:v>1.1616939999999998</c:v>
                </c:pt>
                <c:pt idx="16">
                  <c:v>1.1616939999999998</c:v>
                </c:pt>
                <c:pt idx="17">
                  <c:v>1.1616939999999998</c:v>
                </c:pt>
                <c:pt idx="18">
                  <c:v>1.1616939999999998</c:v>
                </c:pt>
                <c:pt idx="19">
                  <c:v>1.1616939999999998</c:v>
                </c:pt>
                <c:pt idx="20">
                  <c:v>1.1616939999999998</c:v>
                </c:pt>
              </c:numCache>
            </c:numRef>
          </c:val>
          <c:extLst>
            <c:ext xmlns:c16="http://schemas.microsoft.com/office/drawing/2014/chart" uri="{C3380CC4-5D6E-409C-BE32-E72D297353CC}">
              <c16:uniqueId val="{00000005-5A14-48C3-B337-54B501D0AB92}"/>
            </c:ext>
          </c:extLst>
        </c:ser>
        <c:ser>
          <c:idx val="6"/>
          <c:order val="6"/>
          <c:tx>
            <c:strRef>
              <c:f>MOD_Absenkung_Wind_offshore!$C$18</c:f>
              <c:strCache>
                <c:ptCount val="1"/>
                <c:pt idx="0">
                  <c:v>2016</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MOD_Absenkung_Wind_offshore!$K$18:$AE$18</c:f>
              <c:numCache>
                <c:formatCode>#,##0.00</c:formatCode>
                <c:ptCount val="21"/>
                <c:pt idx="0">
                  <c:v>0</c:v>
                </c:pt>
                <c:pt idx="1">
                  <c:v>0</c:v>
                </c:pt>
                <c:pt idx="2">
                  <c:v>0</c:v>
                </c:pt>
                <c:pt idx="3">
                  <c:v>0</c:v>
                </c:pt>
                <c:pt idx="4">
                  <c:v>0</c:v>
                </c:pt>
                <c:pt idx="5">
                  <c:v>0</c:v>
                </c:pt>
                <c:pt idx="6">
                  <c:v>0</c:v>
                </c:pt>
                <c:pt idx="7">
                  <c:v>0</c:v>
                </c:pt>
                <c:pt idx="8">
                  <c:v>0</c:v>
                </c:pt>
                <c:pt idx="9">
                  <c:v>0</c:v>
                </c:pt>
                <c:pt idx="10">
                  <c:v>0.10732159999999999</c:v>
                </c:pt>
                <c:pt idx="11">
                  <c:v>0.10732159999999999</c:v>
                </c:pt>
                <c:pt idx="12">
                  <c:v>0.10732159999999999</c:v>
                </c:pt>
                <c:pt idx="13">
                  <c:v>0.41587119999999994</c:v>
                </c:pt>
                <c:pt idx="14">
                  <c:v>0.41587119999999994</c:v>
                </c:pt>
                <c:pt idx="15">
                  <c:v>0.41587119999999994</c:v>
                </c:pt>
                <c:pt idx="16">
                  <c:v>0.41587119999999994</c:v>
                </c:pt>
                <c:pt idx="17">
                  <c:v>0.41587119999999994</c:v>
                </c:pt>
                <c:pt idx="18">
                  <c:v>0.41587119999999994</c:v>
                </c:pt>
                <c:pt idx="19">
                  <c:v>0.41587119999999994</c:v>
                </c:pt>
                <c:pt idx="20">
                  <c:v>0.41587119999999994</c:v>
                </c:pt>
              </c:numCache>
            </c:numRef>
          </c:val>
          <c:extLst>
            <c:ext xmlns:c16="http://schemas.microsoft.com/office/drawing/2014/chart" uri="{C3380CC4-5D6E-409C-BE32-E72D297353CC}">
              <c16:uniqueId val="{00000006-5A14-48C3-B337-54B501D0AB92}"/>
            </c:ext>
          </c:extLst>
        </c:ser>
        <c:ser>
          <c:idx val="7"/>
          <c:order val="7"/>
          <c:tx>
            <c:strRef>
              <c:f>MOD_Absenkung_Wind_offshore!$C$19</c:f>
              <c:strCache>
                <c:ptCount val="1"/>
                <c:pt idx="0">
                  <c:v>2017</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MOD_Absenkung_Wind_offshore!$K$19:$AE$19</c:f>
              <c:numCache>
                <c:formatCode>#,##0.00</c:formatCode>
                <c:ptCount val="21"/>
                <c:pt idx="0">
                  <c:v>0</c:v>
                </c:pt>
                <c:pt idx="1">
                  <c:v>0</c:v>
                </c:pt>
                <c:pt idx="2">
                  <c:v>0</c:v>
                </c:pt>
                <c:pt idx="3">
                  <c:v>0</c:v>
                </c:pt>
                <c:pt idx="4">
                  <c:v>0</c:v>
                </c:pt>
                <c:pt idx="5">
                  <c:v>0</c:v>
                </c:pt>
                <c:pt idx="6">
                  <c:v>0</c:v>
                </c:pt>
                <c:pt idx="7">
                  <c:v>0</c:v>
                </c:pt>
                <c:pt idx="8">
                  <c:v>0</c:v>
                </c:pt>
                <c:pt idx="9">
                  <c:v>0</c:v>
                </c:pt>
                <c:pt idx="10">
                  <c:v>0</c:v>
                </c:pt>
                <c:pt idx="11">
                  <c:v>0.19109392</c:v>
                </c:pt>
                <c:pt idx="12">
                  <c:v>0.19109392</c:v>
                </c:pt>
                <c:pt idx="13">
                  <c:v>0.19109392</c:v>
                </c:pt>
                <c:pt idx="14">
                  <c:v>0.7404889400000001</c:v>
                </c:pt>
                <c:pt idx="15">
                  <c:v>0.7404889400000001</c:v>
                </c:pt>
                <c:pt idx="16">
                  <c:v>0.7404889400000001</c:v>
                </c:pt>
                <c:pt idx="17">
                  <c:v>0.7404889400000001</c:v>
                </c:pt>
                <c:pt idx="18">
                  <c:v>0.7404889400000001</c:v>
                </c:pt>
                <c:pt idx="19">
                  <c:v>0.7404889400000001</c:v>
                </c:pt>
                <c:pt idx="20">
                  <c:v>0.7404889400000001</c:v>
                </c:pt>
              </c:numCache>
            </c:numRef>
          </c:val>
          <c:extLst>
            <c:ext xmlns:c16="http://schemas.microsoft.com/office/drawing/2014/chart" uri="{C3380CC4-5D6E-409C-BE32-E72D297353CC}">
              <c16:uniqueId val="{00000007-5A14-48C3-B337-54B501D0AB92}"/>
            </c:ext>
          </c:extLst>
        </c:ser>
        <c:ser>
          <c:idx val="8"/>
          <c:order val="8"/>
          <c:tx>
            <c:strRef>
              <c:f>MOD_Absenkung_Wind_offshore!$C$20</c:f>
              <c:strCache>
                <c:ptCount val="1"/>
                <c:pt idx="0">
                  <c:v>2018</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MOD_Absenkung_Wind_offshore!$K$20:$AE$20</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0.37619999999999998</c:v>
                </c:pt>
                <c:pt idx="20">
                  <c:v>0.37619999999999998</c:v>
                </c:pt>
              </c:numCache>
            </c:numRef>
          </c:val>
          <c:extLst>
            <c:ext xmlns:c16="http://schemas.microsoft.com/office/drawing/2014/chart" uri="{C3380CC4-5D6E-409C-BE32-E72D297353CC}">
              <c16:uniqueId val="{00000008-5A14-48C3-B337-54B501D0AB92}"/>
            </c:ext>
          </c:extLst>
        </c:ser>
        <c:ser>
          <c:idx val="9"/>
          <c:order val="9"/>
          <c:tx>
            <c:strRef>
              <c:f>MOD_Absenkung_Wind_offshore!$C$21</c:f>
              <c:strCache>
                <c:ptCount val="1"/>
                <c:pt idx="0">
                  <c:v>2019</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MOD_Absenkung_Wind_offshore!$K$21:$AE$21</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0.54525482000000003</c:v>
                </c:pt>
              </c:numCache>
            </c:numRef>
          </c:val>
          <c:extLst>
            <c:ext xmlns:c16="http://schemas.microsoft.com/office/drawing/2014/chart" uri="{C3380CC4-5D6E-409C-BE32-E72D297353CC}">
              <c16:uniqueId val="{00000009-5A14-48C3-B337-54B501D0AB92}"/>
            </c:ext>
          </c:extLst>
        </c:ser>
        <c:ser>
          <c:idx val="10"/>
          <c:order val="10"/>
          <c:tx>
            <c:strRef>
              <c:f>MOD_Absenkung_Wind_offshore!$C$22</c:f>
              <c:strCache>
                <c:ptCount val="1"/>
                <c:pt idx="0">
                  <c:v>2020</c:v>
                </c:pt>
              </c:strCache>
            </c:strRef>
          </c:tx>
          <c:invertIfNegative val="0"/>
          <c:cat>
            <c:numRef>
              <c:f>MOD_Absenkung_Wind_offshore!$K$9:$AE$9</c:f>
              <c:numCache>
                <c:formatCode>0</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cat>
          <c:val>
            <c:numRef>
              <c:f>MOD_Absenkung_Wind_offshore!$K$22:$AE$22</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A-5A14-48C3-B337-54B501D0AB92}"/>
            </c:ext>
          </c:extLst>
        </c:ser>
        <c:dLbls>
          <c:showLegendKey val="0"/>
          <c:showVal val="0"/>
          <c:showCatName val="0"/>
          <c:showSerName val="0"/>
          <c:showPercent val="0"/>
          <c:showBubbleSize val="0"/>
        </c:dLbls>
        <c:gapWidth val="150"/>
        <c:overlap val="100"/>
        <c:axId val="321800832"/>
        <c:axId val="321827200"/>
      </c:barChart>
      <c:catAx>
        <c:axId val="321800832"/>
        <c:scaling>
          <c:orientation val="minMax"/>
        </c:scaling>
        <c:delete val="0"/>
        <c:axPos val="b"/>
        <c:numFmt formatCode="0" sourceLinked="1"/>
        <c:majorTickMark val="out"/>
        <c:minorTickMark val="none"/>
        <c:tickLblPos val="nextTo"/>
        <c:crossAx val="321827200"/>
        <c:crosses val="autoZero"/>
        <c:auto val="1"/>
        <c:lblAlgn val="ctr"/>
        <c:lblOffset val="100"/>
        <c:noMultiLvlLbl val="0"/>
      </c:catAx>
      <c:valAx>
        <c:axId val="321827200"/>
        <c:scaling>
          <c:orientation val="minMax"/>
        </c:scaling>
        <c:delete val="0"/>
        <c:axPos val="l"/>
        <c:majorGridlines/>
        <c:title>
          <c:tx>
            <c:strRef>
              <c:f>MOD_Absenkung_Wind_offshore!$K$10</c:f>
              <c:strCache>
                <c:ptCount val="1"/>
                <c:pt idx="0">
                  <c:v>Aucun paiement d'indemnisation (nominal) (en milliards d'euros)</c:v>
                </c:pt>
              </c:strCache>
            </c:strRef>
          </c:tx>
          <c:overlay val="0"/>
          <c:txPr>
            <a:bodyPr rot="-5400000" vert="horz"/>
            <a:lstStyle/>
            <a:p>
              <a:pPr>
                <a:defRPr/>
              </a:pPr>
              <a:endParaRPr lang="en-US"/>
            </a:p>
          </c:txPr>
        </c:title>
        <c:numFmt formatCode="#,##0.00" sourceLinked="1"/>
        <c:majorTickMark val="out"/>
        <c:minorTickMark val="none"/>
        <c:tickLblPos val="nextTo"/>
        <c:crossAx val="3218008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5.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image" Target="../media/image1.png"/><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17.xml"/></Relationships>
</file>

<file path=xl/drawings/_rels/vmlDrawing6.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1</xdr:row>
          <xdr:rowOff>68580</xdr:rowOff>
        </xdr:from>
        <xdr:to>
          <xdr:col>5</xdr:col>
          <xdr:colOff>2247900</xdr:colOff>
          <xdr:row>2</xdr:row>
          <xdr:rowOff>144780</xdr:rowOff>
        </xdr:to>
        <xdr:sp macro="" textlink="">
          <xdr:nvSpPr>
            <xdr:cNvPr id="103428" name="Button 4" hidden="1">
              <a:extLst>
                <a:ext uri="{63B3BB69-23CF-44E3-9099-C40C66FF867C}">
                  <a14:compatExt spid="_x0000_s103428"/>
                </a:ext>
                <a:ext uri="{FF2B5EF4-FFF2-40B4-BE49-F238E27FC236}">
                  <a16:creationId xmlns:a16="http://schemas.microsoft.com/office/drawing/2014/main" id="{00000000-0008-0000-0000-000004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Vers mode decideur...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1165860</xdr:colOff>
          <xdr:row>1</xdr:row>
          <xdr:rowOff>68580</xdr:rowOff>
        </xdr:from>
        <xdr:to>
          <xdr:col>5</xdr:col>
          <xdr:colOff>198120</xdr:colOff>
          <xdr:row>2</xdr:row>
          <xdr:rowOff>144780</xdr:rowOff>
        </xdr:to>
        <xdr:sp macro="" textlink="">
          <xdr:nvSpPr>
            <xdr:cNvPr id="103429" name="Button 5" hidden="1">
              <a:extLst>
                <a:ext uri="{63B3BB69-23CF-44E3-9099-C40C66FF867C}">
                  <a14:compatExt spid="_x0000_s103429"/>
                </a:ext>
                <a:ext uri="{FF2B5EF4-FFF2-40B4-BE49-F238E27FC236}">
                  <a16:creationId xmlns:a16="http://schemas.microsoft.com/office/drawing/2014/main" id="{00000000-0008-0000-0000-000005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Reinitialisation</a:t>
              </a:r>
            </a:p>
          </xdr:txBody>
        </xdr:sp>
        <xdr:clientData fPrintsWithSheet="0"/>
      </xdr:twoCellAnchor>
    </mc:Choice>
    <mc:Fallback/>
  </mc:AlternateContent>
  <xdr:twoCellAnchor editAs="oneCell">
    <xdr:from>
      <xdr:col>16</xdr:col>
      <xdr:colOff>154782</xdr:colOff>
      <xdr:row>1</xdr:row>
      <xdr:rowOff>54206</xdr:rowOff>
    </xdr:from>
    <xdr:to>
      <xdr:col>17</xdr:col>
      <xdr:colOff>644322</xdr:colOff>
      <xdr:row>2</xdr:row>
      <xdr:rowOff>174980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stretch>
          <a:fillRect/>
        </a:stretch>
      </xdr:blipFill>
      <xdr:spPr>
        <a:xfrm>
          <a:off x="15607694" y="244706"/>
          <a:ext cx="1424894" cy="339401"/>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304800</xdr:colOff>
          <xdr:row>1</xdr:row>
          <xdr:rowOff>68580</xdr:rowOff>
        </xdr:from>
        <xdr:to>
          <xdr:col>9</xdr:col>
          <xdr:colOff>22860</xdr:colOff>
          <xdr:row>2</xdr:row>
          <xdr:rowOff>144780</xdr:rowOff>
        </xdr:to>
        <xdr:sp macro="" textlink="">
          <xdr:nvSpPr>
            <xdr:cNvPr id="103435" name="Button 11" hidden="1">
              <a:extLst>
                <a:ext uri="{63B3BB69-23CF-44E3-9099-C40C66FF867C}">
                  <a14:compatExt spid="_x0000_s103435"/>
                </a:ext>
                <a:ext uri="{FF2B5EF4-FFF2-40B4-BE49-F238E27FC236}">
                  <a16:creationId xmlns:a16="http://schemas.microsoft.com/office/drawing/2014/main" id="{00000000-0008-0000-0000-00000B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Aide</a:t>
              </a:r>
            </a:p>
          </xdr:txBody>
        </xdr:sp>
        <xdr:clientData fPrintsWithSheet="0"/>
      </xdr:twoCellAnchor>
    </mc:Choice>
    <mc:Fallback/>
  </mc:AlternateContent>
  <xdr:twoCellAnchor editAs="oneCell">
    <xdr:from>
      <xdr:col>17</xdr:col>
      <xdr:colOff>1092573</xdr:colOff>
      <xdr:row>1</xdr:row>
      <xdr:rowOff>35719</xdr:rowOff>
    </xdr:from>
    <xdr:to>
      <xdr:col>18</xdr:col>
      <xdr:colOff>746296</xdr:colOff>
      <xdr:row>2</xdr:row>
      <xdr:rowOff>187559</xdr:rowOff>
    </xdr:to>
    <xdr:pic>
      <xdr:nvPicPr>
        <xdr:cNvPr id="15" name="Grafik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2"/>
        <a:stretch>
          <a:fillRect/>
        </a:stretch>
      </xdr:blipFill>
      <xdr:spPr>
        <a:xfrm>
          <a:off x="17497985" y="226219"/>
          <a:ext cx="847037" cy="353322"/>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2545080</xdr:colOff>
          <xdr:row>1</xdr:row>
          <xdr:rowOff>68580</xdr:rowOff>
        </xdr:from>
        <xdr:to>
          <xdr:col>8</xdr:col>
          <xdr:colOff>45720</xdr:colOff>
          <xdr:row>2</xdr:row>
          <xdr:rowOff>152400</xdr:rowOff>
        </xdr:to>
        <xdr:sp macro="" textlink="">
          <xdr:nvSpPr>
            <xdr:cNvPr id="103436" name="Button 12" hidden="1">
              <a:extLst>
                <a:ext uri="{63B3BB69-23CF-44E3-9099-C40C66FF867C}">
                  <a14:compatExt spid="_x0000_s103436"/>
                </a:ext>
                <a:ext uri="{FF2B5EF4-FFF2-40B4-BE49-F238E27FC236}">
                  <a16:creationId xmlns:a16="http://schemas.microsoft.com/office/drawing/2014/main" id="{00000000-0008-0000-0000-00000C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Plus de Résultats...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4</xdr:row>
          <xdr:rowOff>60960</xdr:rowOff>
        </xdr:from>
        <xdr:to>
          <xdr:col>20</xdr:col>
          <xdr:colOff>754380</xdr:colOff>
          <xdr:row>4</xdr:row>
          <xdr:rowOff>327660</xdr:rowOff>
        </xdr:to>
        <xdr:sp macro="" textlink="">
          <xdr:nvSpPr>
            <xdr:cNvPr id="103456" name="Button 32" hidden="1">
              <a:extLst>
                <a:ext uri="{63B3BB69-23CF-44E3-9099-C40C66FF867C}">
                  <a14:compatExt spid="_x0000_s103456"/>
                </a:ext>
                <a:ext uri="{FF2B5EF4-FFF2-40B4-BE49-F238E27FC236}">
                  <a16:creationId xmlns:a16="http://schemas.microsoft.com/office/drawing/2014/main" id="{00000000-0008-0000-0000-0000209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Changer</a:t>
              </a:r>
            </a:p>
          </xdr:txBody>
        </xdr:sp>
        <xdr:clientData fPrintsWithSheet="0"/>
      </xdr:twoCellAnchor>
    </mc:Choice>
    <mc:Fallback/>
  </mc:AlternateContent>
  <xdr:twoCellAnchor>
    <xdr:from>
      <xdr:col>14</xdr:col>
      <xdr:colOff>237367</xdr:colOff>
      <xdr:row>5</xdr:row>
      <xdr:rowOff>98736</xdr:rowOff>
    </xdr:from>
    <xdr:to>
      <xdr:col>26</xdr:col>
      <xdr:colOff>27214</xdr:colOff>
      <xdr:row>21</xdr:row>
      <xdr:rowOff>143513</xdr:rowOff>
    </xdr:to>
    <xdr:graphicFrame macro="">
      <xdr:nvGraphicFramePr>
        <xdr:cNvPr id="12" name="Diagramm 11">
          <a:extLst>
            <a:ext uri="{FF2B5EF4-FFF2-40B4-BE49-F238E27FC236}">
              <a16:creationId xmlns:a16="http://schemas.microsoft.com/office/drawing/2014/main" id="{00000000-0008-0000-0000-00000C000000}"/>
            </a:ext>
          </a:extLst>
        </xdr:cNvPr>
        <xdr:cNvGraphicFramePr>
          <a:graphicFrameLocks noGrp="1"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22</xdr:row>
      <xdr:rowOff>13606</xdr:rowOff>
    </xdr:from>
    <xdr:to>
      <xdr:col>26</xdr:col>
      <xdr:colOff>13606</xdr:colOff>
      <xdr:row>32</xdr:row>
      <xdr:rowOff>108856</xdr:rowOff>
    </xdr:to>
    <xdr:graphicFrame macro="">
      <xdr:nvGraphicFramePr>
        <xdr:cNvPr id="20" name="Diagramm 5">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1</xdr:row>
          <xdr:rowOff>76200</xdr:rowOff>
        </xdr:from>
        <xdr:to>
          <xdr:col>5</xdr:col>
          <xdr:colOff>830580</xdr:colOff>
          <xdr:row>2</xdr:row>
          <xdr:rowOff>160020</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0300-000004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Aller au mode Expert...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76200</xdr:rowOff>
        </xdr:from>
        <xdr:to>
          <xdr:col>3</xdr:col>
          <xdr:colOff>1257300</xdr:colOff>
          <xdr:row>2</xdr:row>
          <xdr:rowOff>160020</xdr:rowOff>
        </xdr:to>
        <xdr:sp macro="" textlink="">
          <xdr:nvSpPr>
            <xdr:cNvPr id="104459" name="Button 11" hidden="1">
              <a:extLst>
                <a:ext uri="{63B3BB69-23CF-44E3-9099-C40C66FF867C}">
                  <a14:compatExt spid="_x0000_s104459"/>
                </a:ext>
                <a:ext uri="{FF2B5EF4-FFF2-40B4-BE49-F238E27FC236}">
                  <a16:creationId xmlns:a16="http://schemas.microsoft.com/office/drawing/2014/main" id="{00000000-0008-0000-0300-00000B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Reinitialisation</a:t>
              </a:r>
            </a:p>
          </xdr:txBody>
        </xdr:sp>
        <xdr:clientData fPrintsWithSheet="0"/>
      </xdr:twoCellAnchor>
    </mc:Choice>
    <mc:Fallback/>
  </mc:AlternateContent>
  <xdr:twoCellAnchor editAs="oneCell">
    <xdr:from>
      <xdr:col>12</xdr:col>
      <xdr:colOff>2434379</xdr:colOff>
      <xdr:row>1</xdr:row>
      <xdr:rowOff>40821</xdr:rowOff>
    </xdr:from>
    <xdr:to>
      <xdr:col>16</xdr:col>
      <xdr:colOff>497349</xdr:colOff>
      <xdr:row>2</xdr:row>
      <xdr:rowOff>168495</xdr:rowOff>
    </xdr:to>
    <xdr:pic>
      <xdr:nvPicPr>
        <xdr:cNvPr id="8" name="Grafik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tretch>
          <a:fillRect/>
        </a:stretch>
      </xdr:blipFill>
      <xdr:spPr>
        <a:xfrm>
          <a:off x="16486555" y="253733"/>
          <a:ext cx="1413529" cy="348206"/>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2537460</xdr:colOff>
          <xdr:row>1</xdr:row>
          <xdr:rowOff>76200</xdr:rowOff>
        </xdr:from>
        <xdr:to>
          <xdr:col>5</xdr:col>
          <xdr:colOff>3322320</xdr:colOff>
          <xdr:row>2</xdr:row>
          <xdr:rowOff>160020</xdr:rowOff>
        </xdr:to>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0300-000016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Aide</a:t>
              </a:r>
            </a:p>
          </xdr:txBody>
        </xdr:sp>
        <xdr:clientData fPrintsWithSheet="0"/>
      </xdr:twoCellAnchor>
    </mc:Choice>
    <mc:Fallback/>
  </mc:AlternateContent>
  <xdr:twoCellAnchor editAs="oneCell">
    <xdr:from>
      <xdr:col>17</xdr:col>
      <xdr:colOff>234938</xdr:colOff>
      <xdr:row>1</xdr:row>
      <xdr:rowOff>39414</xdr:rowOff>
    </xdr:from>
    <xdr:to>
      <xdr:col>18</xdr:col>
      <xdr:colOff>76112</xdr:colOff>
      <xdr:row>2</xdr:row>
      <xdr:rowOff>174405</xdr:rowOff>
    </xdr:to>
    <xdr:pic>
      <xdr:nvPicPr>
        <xdr:cNvPr id="3" name="Grafik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18735850" y="252326"/>
          <a:ext cx="860909" cy="35742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1059180</xdr:colOff>
          <xdr:row>1</xdr:row>
          <xdr:rowOff>76200</xdr:rowOff>
        </xdr:from>
        <xdr:to>
          <xdr:col>5</xdr:col>
          <xdr:colOff>2286000</xdr:colOff>
          <xdr:row>2</xdr:row>
          <xdr:rowOff>160020</xdr:rowOff>
        </xdr:to>
        <xdr:sp macro="" textlink="">
          <xdr:nvSpPr>
            <xdr:cNvPr id="104471" name="Button 23" hidden="1">
              <a:extLst>
                <a:ext uri="{63B3BB69-23CF-44E3-9099-C40C66FF867C}">
                  <a14:compatExt spid="_x0000_s104471"/>
                </a:ext>
                <a:ext uri="{FF2B5EF4-FFF2-40B4-BE49-F238E27FC236}">
                  <a16:creationId xmlns:a16="http://schemas.microsoft.com/office/drawing/2014/main" id="{00000000-0008-0000-0300-000017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Plus de Résultats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83820</xdr:colOff>
          <xdr:row>4</xdr:row>
          <xdr:rowOff>60960</xdr:rowOff>
        </xdr:from>
        <xdr:to>
          <xdr:col>21</xdr:col>
          <xdr:colOff>403860</xdr:colOff>
          <xdr:row>4</xdr:row>
          <xdr:rowOff>297180</xdr:rowOff>
        </xdr:to>
        <xdr:sp macro="" textlink="">
          <xdr:nvSpPr>
            <xdr:cNvPr id="104473" name="Button 25" hidden="1">
              <a:extLst>
                <a:ext uri="{63B3BB69-23CF-44E3-9099-C40C66FF867C}">
                  <a14:compatExt spid="_x0000_s104473"/>
                </a:ext>
                <a:ext uri="{FF2B5EF4-FFF2-40B4-BE49-F238E27FC236}">
                  <a16:creationId xmlns:a16="http://schemas.microsoft.com/office/drawing/2014/main" id="{00000000-0008-0000-0300-0000199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Changer</a:t>
              </a:r>
            </a:p>
          </xdr:txBody>
        </xdr:sp>
        <xdr:clientData fPrintsWithSheet="0"/>
      </xdr:twoCellAnchor>
    </mc:Choice>
    <mc:Fallback/>
  </mc:AlternateContent>
  <xdr:twoCellAnchor>
    <xdr:from>
      <xdr:col>6</xdr:col>
      <xdr:colOff>183296</xdr:colOff>
      <xdr:row>23</xdr:row>
      <xdr:rowOff>84043</xdr:rowOff>
    </xdr:from>
    <xdr:to>
      <xdr:col>15</xdr:col>
      <xdr:colOff>136071</xdr:colOff>
      <xdr:row>37</xdr:row>
      <xdr:rowOff>81644</xdr:rowOff>
    </xdr:to>
    <xdr:graphicFrame macro="">
      <xdr:nvGraphicFramePr>
        <xdr:cNvPr id="19" name="Diagramm 5">
          <a:extLst>
            <a:ext uri="{FF2B5EF4-FFF2-40B4-BE49-F238E27FC236}">
              <a16:creationId xmlns:a16="http://schemas.microsoft.com/office/drawing/2014/main" id="{00000000-0008-0000-0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190500</xdr:colOff>
      <xdr:row>5</xdr:row>
      <xdr:rowOff>68036</xdr:rowOff>
    </xdr:from>
    <xdr:to>
      <xdr:col>26</xdr:col>
      <xdr:colOff>721179</xdr:colOff>
      <xdr:row>20</xdr:row>
      <xdr:rowOff>95249</xdr:rowOff>
    </xdr:to>
    <xdr:graphicFrame macro="">
      <xdr:nvGraphicFramePr>
        <xdr:cNvPr id="11" name="Diagramm 10">
          <a:extLst>
            <a:ext uri="{FF2B5EF4-FFF2-40B4-BE49-F238E27FC236}">
              <a16:creationId xmlns:a16="http://schemas.microsoft.com/office/drawing/2014/main" id="{00000000-0008-0000-0300-00000B000000}"/>
            </a:ext>
          </a:extLst>
        </xdr:cNvPr>
        <xdr:cNvGraphicFramePr>
          <a:graphicFrameLocks noGrp="1"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317500</xdr:colOff>
      <xdr:row>53</xdr:row>
      <xdr:rowOff>63873</xdr:rowOff>
    </xdr:from>
    <xdr:to>
      <xdr:col>14</xdr:col>
      <xdr:colOff>676274</xdr:colOff>
      <xdr:row>72</xdr:row>
      <xdr:rowOff>116417</xdr:rowOff>
    </xdr:to>
    <xdr:graphicFrame macro="">
      <xdr:nvGraphicFramePr>
        <xdr:cNvPr id="7" name="Diagramm 9">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1820</xdr:colOff>
      <xdr:row>28</xdr:row>
      <xdr:rowOff>28575</xdr:rowOff>
    </xdr:from>
    <xdr:to>
      <xdr:col>8</xdr:col>
      <xdr:colOff>404812</xdr:colOff>
      <xdr:row>52</xdr:row>
      <xdr:rowOff>76200</xdr:rowOff>
    </xdr:to>
    <xdr:graphicFrame macro="">
      <xdr:nvGraphicFramePr>
        <xdr:cNvPr id="2" name="Diagramm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500062</xdr:colOff>
      <xdr:row>28</xdr:row>
      <xdr:rowOff>19050</xdr:rowOff>
    </xdr:from>
    <xdr:to>
      <xdr:col>14</xdr:col>
      <xdr:colOff>666749</xdr:colOff>
      <xdr:row>52</xdr:row>
      <xdr:rowOff>76200</xdr:rowOff>
    </xdr:to>
    <xdr:graphicFrame macro="">
      <xdr:nvGraphicFramePr>
        <xdr:cNvPr id="3" name="Diagramm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750094</xdr:colOff>
      <xdr:row>28</xdr:row>
      <xdr:rowOff>9525</xdr:rowOff>
    </xdr:from>
    <xdr:to>
      <xdr:col>22</xdr:col>
      <xdr:colOff>678656</xdr:colOff>
      <xdr:row>52</xdr:row>
      <xdr:rowOff>76200</xdr:rowOff>
    </xdr:to>
    <xdr:graphicFrame macro="">
      <xdr:nvGraphicFramePr>
        <xdr:cNvPr id="4" name="Diagramm 1">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6862</xdr:colOff>
      <xdr:row>53</xdr:row>
      <xdr:rowOff>78441</xdr:rowOff>
    </xdr:from>
    <xdr:to>
      <xdr:col>8</xdr:col>
      <xdr:colOff>222250</xdr:colOff>
      <xdr:row>72</xdr:row>
      <xdr:rowOff>116416</xdr:rowOff>
    </xdr:to>
    <xdr:graphicFrame macro="">
      <xdr:nvGraphicFramePr>
        <xdr:cNvPr id="5" name="Diagramm 1">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3</xdr:col>
          <xdr:colOff>632460</xdr:colOff>
          <xdr:row>1</xdr:row>
          <xdr:rowOff>45720</xdr:rowOff>
        </xdr:from>
        <xdr:to>
          <xdr:col>6</xdr:col>
          <xdr:colOff>30480</xdr:colOff>
          <xdr:row>2</xdr:row>
          <xdr:rowOff>121920</xdr:rowOff>
        </xdr:to>
        <xdr:sp macro="" textlink="">
          <xdr:nvSpPr>
            <xdr:cNvPr id="157697" name="Button 1" hidden="1">
              <a:extLst>
                <a:ext uri="{63B3BB69-23CF-44E3-9099-C40C66FF867C}">
                  <a14:compatExt spid="_x0000_s157697"/>
                </a:ext>
                <a:ext uri="{FF2B5EF4-FFF2-40B4-BE49-F238E27FC236}">
                  <a16:creationId xmlns:a16="http://schemas.microsoft.com/office/drawing/2014/main" id="{00000000-0008-0000-0400-0000016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Retour aux paramètres</a:t>
              </a:r>
            </a:p>
          </xdr:txBody>
        </xdr:sp>
        <xdr:clientData fPrintsWithSheet="0"/>
      </xdr:twoCellAnchor>
    </mc:Choice>
    <mc:Fallback/>
  </mc:AlternateContent>
  <xdr:twoCellAnchor>
    <xdr:from>
      <xdr:col>2</xdr:col>
      <xdr:colOff>5844</xdr:colOff>
      <xdr:row>73</xdr:row>
      <xdr:rowOff>137583</xdr:rowOff>
    </xdr:from>
    <xdr:to>
      <xdr:col>8</xdr:col>
      <xdr:colOff>222249</xdr:colOff>
      <xdr:row>94</xdr:row>
      <xdr:rowOff>169332</xdr:rowOff>
    </xdr:to>
    <xdr:graphicFrame macro="">
      <xdr:nvGraphicFramePr>
        <xdr:cNvPr id="8" name="Diagramm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317500</xdr:colOff>
      <xdr:row>73</xdr:row>
      <xdr:rowOff>138545</xdr:rowOff>
    </xdr:from>
    <xdr:to>
      <xdr:col>14</xdr:col>
      <xdr:colOff>698500</xdr:colOff>
      <xdr:row>94</xdr:row>
      <xdr:rowOff>169332</xdr:rowOff>
    </xdr:to>
    <xdr:graphicFrame macro="">
      <xdr:nvGraphicFramePr>
        <xdr:cNvPr id="9" name="Diagramm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21166</xdr:colOff>
      <xdr:row>73</xdr:row>
      <xdr:rowOff>127000</xdr:rowOff>
    </xdr:from>
    <xdr:to>
      <xdr:col>22</xdr:col>
      <xdr:colOff>688182</xdr:colOff>
      <xdr:row>94</xdr:row>
      <xdr:rowOff>158750</xdr:rowOff>
    </xdr:to>
    <xdr:graphicFrame macro="">
      <xdr:nvGraphicFramePr>
        <xdr:cNvPr id="10" name="Diagramm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358774</xdr:colOff>
      <xdr:row>4</xdr:row>
      <xdr:rowOff>63498</xdr:rowOff>
    </xdr:from>
    <xdr:to>
      <xdr:col>19</xdr:col>
      <xdr:colOff>380999</xdr:colOff>
      <xdr:row>27</xdr:row>
      <xdr:rowOff>141815</xdr:rowOff>
    </xdr:to>
    <xdr:graphicFrame macro="">
      <xdr:nvGraphicFramePr>
        <xdr:cNvPr id="13" name="Diagramm 5">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20</xdr:col>
          <xdr:colOff>152400</xdr:colOff>
          <xdr:row>9</xdr:row>
          <xdr:rowOff>121920</xdr:rowOff>
        </xdr:from>
        <xdr:to>
          <xdr:col>21</xdr:col>
          <xdr:colOff>563880</xdr:colOff>
          <xdr:row>11</xdr:row>
          <xdr:rowOff>68580</xdr:rowOff>
        </xdr:to>
        <xdr:sp macro="" textlink="">
          <xdr:nvSpPr>
            <xdr:cNvPr id="157702" name="Button 6" hidden="1">
              <a:extLst>
                <a:ext uri="{63B3BB69-23CF-44E3-9099-C40C66FF867C}">
                  <a14:compatExt spid="_x0000_s157702"/>
                </a:ext>
                <a:ext uri="{FF2B5EF4-FFF2-40B4-BE49-F238E27FC236}">
                  <a16:creationId xmlns:a16="http://schemas.microsoft.com/office/drawing/2014/main" id="{00000000-0008-0000-0400-0000066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Changer</a:t>
              </a:r>
            </a:p>
          </xdr:txBody>
        </xdr:sp>
        <xdr:clientData fPrintsWithSheet="0"/>
      </xdr:twoCellAnchor>
    </mc:Choice>
    <mc:Fallback/>
  </mc:AlternateContent>
  <xdr:twoCellAnchor>
    <xdr:from>
      <xdr:col>16</xdr:col>
      <xdr:colOff>31750</xdr:colOff>
      <xdr:row>53</xdr:row>
      <xdr:rowOff>52917</xdr:rowOff>
    </xdr:from>
    <xdr:to>
      <xdr:col>22</xdr:col>
      <xdr:colOff>690563</xdr:colOff>
      <xdr:row>72</xdr:row>
      <xdr:rowOff>116417</xdr:rowOff>
    </xdr:to>
    <xdr:graphicFrame macro="">
      <xdr:nvGraphicFramePr>
        <xdr:cNvPr id="11" name="Diagramm 2">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6</xdr:col>
          <xdr:colOff>335280</xdr:colOff>
          <xdr:row>1</xdr:row>
          <xdr:rowOff>76200</xdr:rowOff>
        </xdr:from>
        <xdr:to>
          <xdr:col>7</xdr:col>
          <xdr:colOff>556260</xdr:colOff>
          <xdr:row>2</xdr:row>
          <xdr:rowOff>114300</xdr:rowOff>
        </xdr:to>
        <xdr:sp macro="" textlink="">
          <xdr:nvSpPr>
            <xdr:cNvPr id="157707" name="Button 11" hidden="1">
              <a:extLst>
                <a:ext uri="{63B3BB69-23CF-44E3-9099-C40C66FF867C}">
                  <a14:compatExt spid="_x0000_s157707"/>
                </a:ext>
                <a:ext uri="{FF2B5EF4-FFF2-40B4-BE49-F238E27FC236}">
                  <a16:creationId xmlns:a16="http://schemas.microsoft.com/office/drawing/2014/main" id="{00000000-0008-0000-0400-00000B6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Aide</a:t>
              </a:r>
            </a:p>
          </xdr:txBody>
        </xdr:sp>
        <xdr:clientData fPrintsWithSheet="0"/>
      </xdr:twoCellAnchor>
    </mc:Choice>
    <mc:Fallback/>
  </mc:AlternateContent>
  <xdr:twoCellAnchor editAs="oneCell">
    <xdr:from>
      <xdr:col>14</xdr:col>
      <xdr:colOff>10584</xdr:colOff>
      <xdr:row>1</xdr:row>
      <xdr:rowOff>50237</xdr:rowOff>
    </xdr:from>
    <xdr:to>
      <xdr:col>15</xdr:col>
      <xdr:colOff>436835</xdr:colOff>
      <xdr:row>2</xdr:row>
      <xdr:rowOff>132886</xdr:rowOff>
    </xdr:to>
    <xdr:pic>
      <xdr:nvPicPr>
        <xdr:cNvPr id="22" name="Grafik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1"/>
        <a:stretch>
          <a:fillRect/>
        </a:stretch>
      </xdr:blipFill>
      <xdr:spPr>
        <a:xfrm>
          <a:off x="12456584" y="208987"/>
          <a:ext cx="1424894" cy="339401"/>
        </a:xfrm>
        <a:prstGeom prst="rect">
          <a:avLst/>
        </a:prstGeom>
      </xdr:spPr>
    </xdr:pic>
    <xdr:clientData/>
  </xdr:twoCellAnchor>
  <xdr:twoCellAnchor editAs="oneCell">
    <xdr:from>
      <xdr:col>16</xdr:col>
      <xdr:colOff>101708</xdr:colOff>
      <xdr:row>1</xdr:row>
      <xdr:rowOff>31750</xdr:rowOff>
    </xdr:from>
    <xdr:to>
      <xdr:col>17</xdr:col>
      <xdr:colOff>186745</xdr:colOff>
      <xdr:row>2</xdr:row>
      <xdr:rowOff>132130</xdr:rowOff>
    </xdr:to>
    <xdr:pic>
      <xdr:nvPicPr>
        <xdr:cNvPr id="23" name="Grafik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2"/>
        <a:stretch>
          <a:fillRect/>
        </a:stretch>
      </xdr:blipFill>
      <xdr:spPr>
        <a:xfrm>
          <a:off x="14346875" y="190500"/>
          <a:ext cx="847037" cy="353322"/>
        </a:xfrm>
        <a:prstGeom prst="rect">
          <a:avLst/>
        </a:prstGeom>
      </xdr:spPr>
    </xdr:pic>
    <xdr:clientData/>
  </xdr:twoCellAnchor>
  <xdr:twoCellAnchor>
    <xdr:from>
      <xdr:col>1</xdr:col>
      <xdr:colOff>466725</xdr:colOff>
      <xdr:row>4</xdr:row>
      <xdr:rowOff>55807</xdr:rowOff>
    </xdr:from>
    <xdr:to>
      <xdr:col>10</xdr:col>
      <xdr:colOff>278018</xdr:colOff>
      <xdr:row>27</xdr:row>
      <xdr:rowOff>134247</xdr:rowOff>
    </xdr:to>
    <xdr:graphicFrame macro="">
      <xdr:nvGraphicFramePr>
        <xdr:cNvPr id="18" name="Diagramm 17">
          <a:extLst>
            <a:ext uri="{FF2B5EF4-FFF2-40B4-BE49-F238E27FC236}">
              <a16:creationId xmlns:a16="http://schemas.microsoft.com/office/drawing/2014/main" id="{00000000-0008-0000-0400-000012000000}"/>
            </a:ext>
          </a:extLst>
        </xdr:cNvPr>
        <xdr:cNvGraphicFramePr>
          <a:graphicFrameLocks noGrp="1"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0.70206</cdr:x>
      <cdr:y>0.57136</cdr:y>
    </cdr:from>
    <cdr:to>
      <cdr:x>0.72655</cdr:x>
      <cdr:y>0.60501</cdr:y>
    </cdr:to>
    <cdr:sp macro="" textlink="">
      <cdr:nvSpPr>
        <cdr:cNvPr id="2" name="Rechteck 1">
          <a:extLst xmlns:a="http://schemas.openxmlformats.org/drawingml/2006/main">
            <a:ext uri="{FF2B5EF4-FFF2-40B4-BE49-F238E27FC236}">
              <a16:creationId xmlns:a16="http://schemas.microsoft.com/office/drawing/2014/main" id="{D9D6F29E-9449-44B6-BA30-E86381512A83}"/>
            </a:ext>
          </a:extLst>
        </cdr:cNvPr>
        <cdr:cNvSpPr/>
      </cdr:nvSpPr>
      <cdr:spPr>
        <a:xfrm xmlns:a="http://schemas.openxmlformats.org/drawingml/2006/main" rot="2881754">
          <a:off x="3785147" y="2259754"/>
          <a:ext cx="133049" cy="132061"/>
        </a:xfrm>
        <a:prstGeom xmlns:a="http://schemas.openxmlformats.org/drawingml/2006/main" prst="rect">
          <a:avLst/>
        </a:prstGeom>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de-DE">
            <a:noFill/>
          </a:endParaRPr>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7848600</xdr:colOff>
          <xdr:row>1</xdr:row>
          <xdr:rowOff>38100</xdr:rowOff>
        </xdr:from>
        <xdr:to>
          <xdr:col>3</xdr:col>
          <xdr:colOff>137160</xdr:colOff>
          <xdr:row>1</xdr:row>
          <xdr:rowOff>297180</xdr:rowOff>
        </xdr:to>
        <xdr:sp macro="" textlink="">
          <xdr:nvSpPr>
            <xdr:cNvPr id="114690" name="Button 2" hidden="1">
              <a:extLst>
                <a:ext uri="{63B3BB69-23CF-44E3-9099-C40C66FF867C}">
                  <a14:compatExt spid="_x0000_s114690"/>
                </a:ext>
                <a:ext uri="{FF2B5EF4-FFF2-40B4-BE49-F238E27FC236}">
                  <a16:creationId xmlns:a16="http://schemas.microsoft.com/office/drawing/2014/main" id="{00000000-0008-0000-0500-000002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zur Parametereingabe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114300</xdr:colOff>
      <xdr:row>1</xdr:row>
      <xdr:rowOff>106594</xdr:rowOff>
    </xdr:from>
    <xdr:to>
      <xdr:col>5</xdr:col>
      <xdr:colOff>409575</xdr:colOff>
      <xdr:row>1</xdr:row>
      <xdr:rowOff>1059094</xdr:rowOff>
    </xdr:to>
    <xdr:pic>
      <xdr:nvPicPr>
        <xdr:cNvPr id="2" name="Grafik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733425" y="411394"/>
          <a:ext cx="3990975" cy="952500"/>
        </a:xfrm>
        <a:prstGeom prst="rect">
          <a:avLst/>
        </a:prstGeom>
      </xdr:spPr>
    </xdr:pic>
    <xdr:clientData/>
  </xdr:twoCellAnchor>
  <xdr:twoCellAnchor editAs="oneCell">
    <xdr:from>
      <xdr:col>11</xdr:col>
      <xdr:colOff>243009</xdr:colOff>
      <xdr:row>1</xdr:row>
      <xdr:rowOff>76201</xdr:rowOff>
    </xdr:from>
    <xdr:to>
      <xdr:col>14</xdr:col>
      <xdr:colOff>590550</xdr:colOff>
      <xdr:row>1</xdr:row>
      <xdr:rowOff>1113817</xdr:rowOff>
    </xdr:to>
    <xdr:pic>
      <xdr:nvPicPr>
        <xdr:cNvPr id="3" name="Grafik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8634534" y="381001"/>
          <a:ext cx="2633541" cy="10376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9</xdr:col>
          <xdr:colOff>693420</xdr:colOff>
          <xdr:row>6</xdr:row>
          <xdr:rowOff>137160</xdr:rowOff>
        </xdr:to>
        <xdr:sp macro="" textlink="">
          <xdr:nvSpPr>
            <xdr:cNvPr id="20481" name="IndexAktualisieren"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9</xdr:col>
          <xdr:colOff>693420</xdr:colOff>
          <xdr:row>9</xdr:row>
          <xdr:rowOff>137160</xdr:rowOff>
        </xdr:to>
        <xdr:sp macro="" textlink="">
          <xdr:nvSpPr>
            <xdr:cNvPr id="153601" name="IndexAktualisieren"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78441</xdr:colOff>
      <xdr:row>259</xdr:row>
      <xdr:rowOff>1120</xdr:rowOff>
    </xdr:from>
    <xdr:to>
      <xdr:col>27</xdr:col>
      <xdr:colOff>67235</xdr:colOff>
      <xdr:row>288</xdr:row>
      <xdr:rowOff>44823</xdr:rowOff>
    </xdr:to>
    <xdr:graphicFrame macro="">
      <xdr:nvGraphicFramePr>
        <xdr:cNvPr id="5" name="Diagramm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0.10323</cdr:x>
      <cdr:y>0.04611</cdr:y>
    </cdr:from>
    <cdr:to>
      <cdr:x>0.50261</cdr:x>
      <cdr:y>0.12174</cdr:y>
    </cdr:to>
    <cdr:sp macro="" textlink="">
      <cdr:nvSpPr>
        <cdr:cNvPr id="2" name="Textfeld 1"/>
        <cdr:cNvSpPr txBox="1"/>
      </cdr:nvSpPr>
      <cdr:spPr>
        <a:xfrm xmlns:a="http://schemas.openxmlformats.org/drawingml/2006/main">
          <a:off x="1109380" y="211790"/>
          <a:ext cx="4291853" cy="34738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fr-FR" sz="1200" b="1"/>
            <a:t>Changement annuel influençant les facteurs de la surcharge EEG </a:t>
          </a:r>
          <a:endParaRPr lang="de-DE" sz="1200" b="1"/>
        </a:p>
      </cdr:txBody>
    </cdr:sp>
  </cdr:relSizeAnchor>
</c:userShapes>
</file>

<file path=xl/drawings/drawing11.xml><?xml version="1.0" encoding="utf-8"?>
<xdr:wsDr xmlns:xdr="http://schemas.openxmlformats.org/drawingml/2006/spreadsheetDrawing" xmlns:a="http://schemas.openxmlformats.org/drawingml/2006/main">
  <xdr:twoCellAnchor>
    <xdr:from>
      <xdr:col>18</xdr:col>
      <xdr:colOff>17318</xdr:colOff>
      <xdr:row>24</xdr:row>
      <xdr:rowOff>69273</xdr:rowOff>
    </xdr:from>
    <xdr:to>
      <xdr:col>27</xdr:col>
      <xdr:colOff>848590</xdr:colOff>
      <xdr:row>51</xdr:row>
      <xdr:rowOff>121227</xdr:rowOff>
    </xdr:to>
    <xdr:graphicFrame macro="">
      <xdr:nvGraphicFramePr>
        <xdr:cNvPr id="8" name="Diagramm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26</xdr:row>
      <xdr:rowOff>0</xdr:rowOff>
    </xdr:from>
    <xdr:to>
      <xdr:col>9</xdr:col>
      <xdr:colOff>819061</xdr:colOff>
      <xdr:row>52</xdr:row>
      <xdr:rowOff>60333</xdr:rowOff>
    </xdr:to>
    <xdr:pic>
      <xdr:nvPicPr>
        <xdr:cNvPr id="2" name="Grafik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2"/>
        <a:stretch>
          <a:fillRect/>
        </a:stretch>
      </xdr:blipFill>
      <xdr:spPr>
        <a:xfrm>
          <a:off x="6073588" y="5771029"/>
          <a:ext cx="8790477" cy="5019048"/>
        </a:xfrm>
        <a:prstGeom prst="rect">
          <a:avLst/>
        </a:prstGeom>
      </xdr:spPr>
    </xdr:pic>
    <xdr:clientData/>
  </xdr:twoCellAnchor>
</xdr:wsDr>
</file>

<file path=xl/theme/theme1.xml><?xml version="1.0" encoding="utf-8"?>
<a:theme xmlns:a="http://schemas.openxmlformats.org/drawingml/2006/main" name="Agora-Design">
  <a:themeElements>
    <a:clrScheme name="Agora Farben">
      <a:dk1>
        <a:srgbClr val="080318"/>
      </a:dk1>
      <a:lt1>
        <a:srgbClr val="E6E6E6"/>
      </a:lt1>
      <a:dk2>
        <a:srgbClr val="00B3C9"/>
      </a:dk2>
      <a:lt2>
        <a:srgbClr val="FFFFFF"/>
      </a:lt2>
      <a:accent1>
        <a:srgbClr val="733E88"/>
      </a:accent1>
      <a:accent2>
        <a:srgbClr val="D05094"/>
      </a:accent2>
      <a:accent3>
        <a:srgbClr val="00B3C9"/>
      </a:accent3>
      <a:accent4>
        <a:srgbClr val="E5DEFB"/>
      </a:accent4>
      <a:accent5>
        <a:srgbClr val="4BACC6"/>
      </a:accent5>
      <a:accent6>
        <a:srgbClr val="E6A4C7"/>
      </a:accent6>
      <a:hlink>
        <a:srgbClr val="0000FF"/>
      </a:hlink>
      <a:folHlink>
        <a:srgbClr val="800080"/>
      </a:folHlink>
    </a:clrScheme>
    <a:fontScheme name="Agora Schriften">
      <a:majorFont>
        <a:latin typeface="Flexo Medium"/>
        <a:ea typeface=""/>
        <a:cs typeface=""/>
      </a:majorFont>
      <a:minorFont>
        <a:latin typeface="Flexo"/>
        <a:ea typeface=""/>
        <a:cs typeface=""/>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Agora Farben">
    <a:dk1>
      <a:srgbClr val="080318"/>
    </a:dk1>
    <a:lt1>
      <a:srgbClr val="E6E6E6"/>
    </a:lt1>
    <a:dk2>
      <a:srgbClr val="00B3C9"/>
    </a:dk2>
    <a:lt2>
      <a:srgbClr val="FFFFFF"/>
    </a:lt2>
    <a:accent1>
      <a:srgbClr val="733E88"/>
    </a:accent1>
    <a:accent2>
      <a:srgbClr val="D05094"/>
    </a:accent2>
    <a:accent3>
      <a:srgbClr val="00B3C9"/>
    </a:accent3>
    <a:accent4>
      <a:srgbClr val="E5DEFB"/>
    </a:accent4>
    <a:accent5>
      <a:srgbClr val="4BACC6"/>
    </a:accent5>
    <a:accent6>
      <a:srgbClr val="E6A4C7"/>
    </a:accent6>
    <a:hlink>
      <a:srgbClr val="0000FF"/>
    </a:hlink>
    <a:folHlink>
      <a:srgbClr val="800080"/>
    </a:folHlink>
  </a:clrScheme>
  <a:fontScheme name="Agora Schriften">
    <a:majorFont>
      <a:latin typeface="Flexo Medium"/>
      <a:ea typeface=""/>
      <a:cs typeface=""/>
    </a:majorFont>
    <a:minorFont>
      <a:latin typeface="Flexo"/>
      <a:ea typeface=""/>
      <a:cs typeface=""/>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Agora Farben">
    <a:dk1>
      <a:srgbClr val="080318"/>
    </a:dk1>
    <a:lt1>
      <a:srgbClr val="E6E6E6"/>
    </a:lt1>
    <a:dk2>
      <a:srgbClr val="00B3C9"/>
    </a:dk2>
    <a:lt2>
      <a:srgbClr val="FFFFFF"/>
    </a:lt2>
    <a:accent1>
      <a:srgbClr val="733E88"/>
    </a:accent1>
    <a:accent2>
      <a:srgbClr val="D05094"/>
    </a:accent2>
    <a:accent3>
      <a:srgbClr val="00B3C9"/>
    </a:accent3>
    <a:accent4>
      <a:srgbClr val="E5DEFB"/>
    </a:accent4>
    <a:accent5>
      <a:srgbClr val="4BACC6"/>
    </a:accent5>
    <a:accent6>
      <a:srgbClr val="E6A4C7"/>
    </a:accent6>
    <a:hlink>
      <a:srgbClr val="0000FF"/>
    </a:hlink>
    <a:folHlink>
      <a:srgbClr val="800080"/>
    </a:folHlink>
  </a:clrScheme>
  <a:fontScheme name="Agora Schriften">
    <a:majorFont>
      <a:latin typeface="Flexo Medium"/>
      <a:ea typeface=""/>
      <a:cs typeface=""/>
    </a:majorFont>
    <a:minorFont>
      <a:latin typeface="Flexo"/>
      <a:ea typeface=""/>
      <a:cs typeface=""/>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Agora Farben">
    <a:dk1>
      <a:srgbClr val="080318"/>
    </a:dk1>
    <a:lt1>
      <a:srgbClr val="E6E6E6"/>
    </a:lt1>
    <a:dk2>
      <a:srgbClr val="00B3C9"/>
    </a:dk2>
    <a:lt2>
      <a:srgbClr val="FFFFFF"/>
    </a:lt2>
    <a:accent1>
      <a:srgbClr val="733E88"/>
    </a:accent1>
    <a:accent2>
      <a:srgbClr val="D05094"/>
    </a:accent2>
    <a:accent3>
      <a:srgbClr val="00B3C9"/>
    </a:accent3>
    <a:accent4>
      <a:srgbClr val="E5DEFB"/>
    </a:accent4>
    <a:accent5>
      <a:srgbClr val="4BACC6"/>
    </a:accent5>
    <a:accent6>
      <a:srgbClr val="E6A4C7"/>
    </a:accent6>
    <a:hlink>
      <a:srgbClr val="0000FF"/>
    </a:hlink>
    <a:folHlink>
      <a:srgbClr val="800080"/>
    </a:folHlink>
  </a:clrScheme>
  <a:fontScheme name="Agora Schriften">
    <a:majorFont>
      <a:latin typeface="Flexo Medium"/>
      <a:ea typeface=""/>
      <a:cs typeface=""/>
    </a:majorFont>
    <a:minorFont>
      <a:latin typeface="Flexo"/>
      <a:ea typeface=""/>
      <a:cs typeface=""/>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omments" Target="../comments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www.agora-energiewende.de/de/service/eeg-rechner/" TargetMode="External"/><Relationship Id="rId5" Type="http://schemas.openxmlformats.org/officeDocument/2006/relationships/ctrlProp" Target="../ctrlProps/ctrlProp14.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hyperlink" Target="mailto:info@agora-energiewende.de" TargetMode="External"/><Relationship Id="rId2" Type="http://schemas.openxmlformats.org/officeDocument/2006/relationships/hyperlink" Target="http://www.oeko.de/" TargetMode="External"/><Relationship Id="rId1" Type="http://schemas.openxmlformats.org/officeDocument/2006/relationships/hyperlink" Target="http://www.agora-energiewende.de/" TargetMode="External"/><Relationship Id="rId5" Type="http://schemas.openxmlformats.org/officeDocument/2006/relationships/drawing" Target="../drawings/drawing6.xml"/><Relationship Id="rId4"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6.v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7.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tabColor theme="4"/>
    <pageSetUpPr fitToPage="1"/>
  </sheetPr>
  <dimension ref="A1:AC69"/>
  <sheetViews>
    <sheetView showGridLines="0" zoomScale="85" zoomScaleNormal="85" workbookViewId="0"/>
  </sheetViews>
  <sheetFormatPr defaultColWidth="11.44140625" defaultRowHeight="15" customHeight="1"/>
  <cols>
    <col min="1" max="2" width="3.6640625" style="122" customWidth="1"/>
    <col min="3" max="4" width="22.21875" style="122" customWidth="1"/>
    <col min="5" max="5" width="16.5546875" style="122" customWidth="1"/>
    <col min="6" max="6" width="51.109375" style="137" customWidth="1"/>
    <col min="7" max="7" width="2.88671875" style="137" customWidth="1"/>
    <col min="8" max="8" width="4.6640625" style="137" customWidth="1"/>
    <col min="9" max="9" width="25.88671875" style="137" customWidth="1"/>
    <col min="10" max="10" width="17.6640625" style="137" customWidth="1"/>
    <col min="11" max="11" width="7.5546875" style="137" customWidth="1"/>
    <col min="12" max="12" width="15.88671875" style="137" customWidth="1"/>
    <col min="13" max="13" width="40.88671875" style="137" customWidth="1"/>
    <col min="14" max="14" width="2.109375" style="137" customWidth="1"/>
    <col min="15" max="15" width="3.6640625" style="137" customWidth="1"/>
    <col min="16" max="16" width="3.88671875" style="137" customWidth="1"/>
    <col min="17" max="17" width="14.33203125" style="137" customWidth="1"/>
    <col min="18" max="18" width="18" style="137" customWidth="1"/>
    <col min="19" max="19" width="17.109375" style="122" customWidth="1"/>
    <col min="20" max="26" width="12.6640625" style="122" customWidth="1"/>
    <col min="27" max="27" width="4.44140625" style="122" customWidth="1"/>
    <col min="28" max="28" width="3" style="122" customWidth="1"/>
    <col min="29" max="16384" width="11.44140625" style="122"/>
  </cols>
  <sheetData>
    <row r="1" spans="1:29" ht="15" customHeight="1">
      <c r="A1" s="848" t="s">
        <v>74</v>
      </c>
      <c r="B1" s="848"/>
      <c r="C1" s="848" t="s">
        <v>74</v>
      </c>
      <c r="D1" s="848" t="s">
        <v>74</v>
      </c>
      <c r="E1" s="848"/>
      <c r="F1" s="848"/>
      <c r="G1" s="848"/>
      <c r="H1" s="848"/>
      <c r="I1" s="848"/>
      <c r="J1" s="848"/>
      <c r="K1" s="848"/>
      <c r="L1" s="848"/>
      <c r="M1" s="848"/>
      <c r="N1" s="848"/>
      <c r="O1" s="848"/>
      <c r="P1" s="848"/>
      <c r="Q1" s="848"/>
      <c r="R1" s="848"/>
      <c r="S1" s="848"/>
      <c r="T1" s="848"/>
      <c r="U1" s="848"/>
      <c r="V1" s="848"/>
      <c r="W1" s="848"/>
      <c r="X1" s="848"/>
      <c r="Y1" s="848"/>
      <c r="Z1" s="848"/>
      <c r="AA1" s="848"/>
      <c r="AB1" s="848"/>
      <c r="AC1" s="848"/>
    </row>
    <row r="2" spans="1:29" ht="17.100000000000001" customHeight="1">
      <c r="A2" s="848"/>
      <c r="B2" s="882"/>
      <c r="C2" s="1278" t="s">
        <v>98</v>
      </c>
      <c r="D2" s="883"/>
      <c r="E2" s="883"/>
      <c r="F2" s="883"/>
      <c r="G2" s="883"/>
      <c r="H2" s="883"/>
      <c r="I2" s="883"/>
      <c r="J2" s="883"/>
      <c r="K2" s="883"/>
      <c r="L2" s="883"/>
      <c r="M2" s="883"/>
      <c r="N2" s="883"/>
      <c r="O2" s="883"/>
      <c r="P2" s="883"/>
      <c r="Q2" s="883"/>
      <c r="R2" s="883"/>
      <c r="S2" s="883"/>
      <c r="T2" s="1267" t="str">
        <f>CONCATENATE("Version ",Impressum!$C$17)</f>
        <v>Version 4.1.1</v>
      </c>
      <c r="U2" s="1267"/>
      <c r="V2" s="884"/>
      <c r="W2" s="884"/>
      <c r="X2" s="884"/>
      <c r="Y2" s="884"/>
      <c r="Z2" s="884"/>
      <c r="AA2" s="885"/>
      <c r="AB2" s="848"/>
    </row>
    <row r="3" spans="1:29" ht="17.100000000000001" customHeight="1">
      <c r="A3" s="848"/>
      <c r="B3" s="886"/>
      <c r="C3" s="1279"/>
      <c r="D3" s="887"/>
      <c r="E3" s="887"/>
      <c r="F3" s="887"/>
      <c r="G3" s="887"/>
      <c r="H3" s="887"/>
      <c r="I3" s="887"/>
      <c r="J3" s="887"/>
      <c r="K3" s="887"/>
      <c r="L3" s="887"/>
      <c r="M3" s="887"/>
      <c r="N3" s="887"/>
      <c r="O3" s="887"/>
      <c r="P3" s="887"/>
      <c r="Q3" s="887"/>
      <c r="R3" s="887"/>
      <c r="S3" s="887"/>
      <c r="T3" s="1268"/>
      <c r="U3" s="1268"/>
      <c r="V3" s="888"/>
      <c r="W3" s="888"/>
      <c r="X3" s="888"/>
      <c r="Y3" s="888"/>
      <c r="Z3" s="888"/>
      <c r="AA3" s="889"/>
      <c r="AB3" s="848"/>
    </row>
    <row r="4" spans="1:29" ht="17.100000000000001" customHeight="1" thickBot="1">
      <c r="A4" s="848"/>
      <c r="B4" s="781"/>
      <c r="C4" s="782" t="s">
        <v>64</v>
      </c>
      <c r="D4" s="783"/>
      <c r="E4" s="783"/>
      <c r="F4" s="783"/>
      <c r="G4" s="783"/>
      <c r="H4" s="783"/>
      <c r="I4" s="783"/>
      <c r="J4" s="783"/>
      <c r="K4" s="783"/>
      <c r="L4" s="783"/>
      <c r="M4" s="783"/>
      <c r="N4" s="783"/>
      <c r="O4" s="783"/>
      <c r="P4" s="783"/>
      <c r="Q4" s="783"/>
      <c r="R4" s="783"/>
      <c r="S4" s="783"/>
      <c r="T4" s="783"/>
      <c r="U4" s="783"/>
      <c r="V4" s="783"/>
      <c r="W4" s="783"/>
      <c r="X4" s="783"/>
      <c r="Y4" s="783"/>
      <c r="Z4" s="783"/>
      <c r="AA4" s="784"/>
      <c r="AB4" s="848"/>
    </row>
    <row r="5" spans="1:29" ht="31.5" customHeight="1" thickBot="1">
      <c r="A5" s="848"/>
      <c r="B5" s="152"/>
      <c r="C5" s="153"/>
      <c r="D5" s="124"/>
      <c r="E5" s="124"/>
      <c r="F5" s="124"/>
      <c r="G5" s="124"/>
      <c r="H5" s="124"/>
      <c r="I5" s="124"/>
      <c r="J5" s="124"/>
      <c r="K5" s="124"/>
      <c r="L5" s="124"/>
      <c r="M5" s="124"/>
      <c r="N5" s="124"/>
      <c r="O5" s="124"/>
      <c r="P5" s="124"/>
      <c r="Q5" s="1285" t="s">
        <v>424</v>
      </c>
      <c r="R5" s="1286"/>
      <c r="S5" s="1287"/>
      <c r="T5" s="972" t="str">
        <f>ControlPanel!$T$5</f>
        <v>nominal</v>
      </c>
      <c r="U5" s="643"/>
      <c r="V5" s="124"/>
      <c r="W5" s="124"/>
      <c r="X5" s="124"/>
      <c r="Y5" s="124"/>
      <c r="Z5" s="124"/>
      <c r="AA5" s="154"/>
      <c r="AB5" s="848"/>
    </row>
    <row r="6" spans="1:29" ht="44.25" customHeight="1" thickBot="1">
      <c r="A6" s="848"/>
      <c r="B6" s="152"/>
      <c r="C6" s="378"/>
      <c r="D6" s="1265" t="s">
        <v>444</v>
      </c>
      <c r="E6" s="1276"/>
      <c r="F6" s="1266"/>
      <c r="G6" s="124"/>
      <c r="H6" s="124"/>
      <c r="I6" s="124"/>
      <c r="J6" s="1265" t="str">
        <f>"Paramètres d'entrée:
Evolution des taux de rémunération (réels, basés sur  "&amp;ControlPanel!D60&amp;")"</f>
        <v>Paramètres d'entrée:
Evolution des taux de rémunération (réels, basés sur  2020)</v>
      </c>
      <c r="K6" s="1276"/>
      <c r="L6" s="1276"/>
      <c r="M6" s="1266"/>
      <c r="N6" s="108"/>
      <c r="O6" s="124"/>
      <c r="P6" s="124"/>
      <c r="Q6" s="124"/>
      <c r="R6" s="124"/>
      <c r="S6" s="124"/>
      <c r="T6" s="124"/>
      <c r="U6" s="124"/>
      <c r="V6" s="124"/>
      <c r="W6" s="124"/>
      <c r="X6" s="124"/>
      <c r="Y6" s="124"/>
      <c r="Z6" s="124"/>
      <c r="AA6" s="154"/>
      <c r="AB6" s="848"/>
    </row>
    <row r="7" spans="1:29" ht="17.100000000000001" customHeight="1" thickBot="1">
      <c r="A7" s="848"/>
      <c r="B7" s="152"/>
      <c r="C7" s="795" t="s">
        <v>65</v>
      </c>
      <c r="D7" s="796" t="s">
        <v>353</v>
      </c>
      <c r="E7" s="1256" t="s">
        <v>365</v>
      </c>
      <c r="F7" s="1257"/>
      <c r="G7" s="124"/>
      <c r="H7" s="124"/>
      <c r="I7" s="795" t="s">
        <v>65</v>
      </c>
      <c r="J7" s="1258" t="s">
        <v>353</v>
      </c>
      <c r="K7" s="1259"/>
      <c r="L7" s="1256" t="s">
        <v>365</v>
      </c>
      <c r="M7" s="1257"/>
      <c r="N7" s="108"/>
      <c r="O7" s="124"/>
      <c r="P7" s="124"/>
      <c r="Q7" s="124"/>
      <c r="R7" s="124"/>
      <c r="S7" s="124"/>
      <c r="T7" s="124"/>
      <c r="U7" s="124"/>
      <c r="V7" s="124"/>
      <c r="W7" s="124"/>
      <c r="X7" s="124"/>
      <c r="Y7" s="124"/>
      <c r="Z7" s="124"/>
      <c r="AA7" s="154"/>
      <c r="AB7" s="848"/>
    </row>
    <row r="8" spans="1:29" ht="20.100000000000001" customHeight="1">
      <c r="A8" s="848"/>
      <c r="B8" s="152"/>
      <c r="C8" s="1221" t="s">
        <v>339</v>
      </c>
      <c r="D8" s="1232" t="s">
        <v>341</v>
      </c>
      <c r="E8" s="499" t="s">
        <v>409</v>
      </c>
      <c r="F8" s="770" t="str">
        <f>'D-Bruttozubau'!E10</f>
        <v>1,5 GW jusqu´à 2021, à partir de 2023 2,5 GW/a</v>
      </c>
      <c r="G8" s="124"/>
      <c r="H8" s="124"/>
      <c r="I8" s="667" t="s">
        <v>339</v>
      </c>
      <c r="J8" s="1280" t="s">
        <v>418</v>
      </c>
      <c r="K8" s="1281"/>
      <c r="L8" s="499" t="s">
        <v>409</v>
      </c>
      <c r="M8" s="747" t="str">
        <f>'D-Vergütungssatz Neuanlagen'!E10</f>
        <v>Baisse de 4 ct/kWh in 2035</v>
      </c>
      <c r="N8" s="108"/>
      <c r="O8" s="124"/>
      <c r="P8" s="124"/>
      <c r="Q8" s="124"/>
      <c r="R8" s="124"/>
      <c r="S8" s="124"/>
      <c r="T8" s="124"/>
      <c r="U8" s="124"/>
      <c r="V8" s="124"/>
      <c r="W8" s="124"/>
      <c r="X8" s="124"/>
      <c r="Y8" s="124"/>
      <c r="Z8" s="124"/>
      <c r="AA8" s="154"/>
      <c r="AB8" s="848"/>
    </row>
    <row r="9" spans="1:29" ht="20.100000000000001" customHeight="1">
      <c r="A9" s="848"/>
      <c r="B9" s="152"/>
      <c r="C9" s="1222" t="s">
        <v>340</v>
      </c>
      <c r="D9" s="1233" t="s">
        <v>341</v>
      </c>
      <c r="E9" s="502" t="s">
        <v>409</v>
      </c>
      <c r="F9" s="771" t="str">
        <f>'D-Bruttozubau'!E11</f>
        <v>Tendance MFP, puis constante 1,6 GW</v>
      </c>
      <c r="G9" s="124"/>
      <c r="H9" s="124"/>
      <c r="I9" s="668" t="s">
        <v>340</v>
      </c>
      <c r="J9" s="1282" t="s">
        <v>418</v>
      </c>
      <c r="K9" s="1283"/>
      <c r="L9" s="502" t="s">
        <v>409</v>
      </c>
      <c r="M9" s="748" t="str">
        <f>'D-Vergütungssatz Neuanlagen'!E11</f>
        <v>Baisse de 5 ct/kWh in 2035</v>
      </c>
      <c r="N9" s="108"/>
      <c r="O9" s="124"/>
      <c r="P9" s="124"/>
      <c r="Q9" s="124"/>
      <c r="R9" s="124"/>
      <c r="S9" s="124"/>
      <c r="T9" s="124"/>
      <c r="U9" s="124"/>
      <c r="V9" s="124"/>
      <c r="W9" s="124"/>
      <c r="X9" s="124"/>
      <c r="Y9" s="124"/>
      <c r="Z9" s="124"/>
      <c r="AA9" s="154"/>
      <c r="AB9" s="848"/>
    </row>
    <row r="10" spans="1:29" ht="20.100000000000001" customHeight="1">
      <c r="A10" s="848"/>
      <c r="B10" s="152"/>
      <c r="C10" s="1223" t="s">
        <v>12</v>
      </c>
      <c r="D10" s="1233" t="s">
        <v>341</v>
      </c>
      <c r="E10" s="502" t="s">
        <v>409</v>
      </c>
      <c r="F10" s="771" t="str">
        <f>'D-Bruttozubau'!E12</f>
        <v>Tendence MFP</v>
      </c>
      <c r="G10" s="124"/>
      <c r="H10" s="124"/>
      <c r="I10" s="705" t="s">
        <v>12</v>
      </c>
      <c r="J10" s="1282" t="s">
        <v>418</v>
      </c>
      <c r="K10" s="1283"/>
      <c r="L10" s="502" t="s">
        <v>409</v>
      </c>
      <c r="M10" s="774" t="str">
        <f>'D-Vergütungssatz Neuanlagen'!E12</f>
        <v>EEG 2017; Proportion d'offres à partir de 2020 50%</v>
      </c>
      <c r="N10" s="108"/>
      <c r="O10" s="124"/>
      <c r="P10" s="124"/>
      <c r="Q10" s="124"/>
      <c r="R10" s="124"/>
      <c r="S10" s="124"/>
      <c r="T10" s="124"/>
      <c r="U10" s="124"/>
      <c r="V10" s="124"/>
      <c r="W10" s="124"/>
      <c r="X10" s="124"/>
      <c r="Y10" s="124"/>
      <c r="Z10" s="124"/>
      <c r="AA10" s="154"/>
      <c r="AB10" s="848"/>
    </row>
    <row r="11" spans="1:29" ht="20.100000000000001" customHeight="1">
      <c r="A11" s="848"/>
      <c r="B11" s="152"/>
      <c r="C11" s="1224" t="s">
        <v>11</v>
      </c>
      <c r="D11" s="1233" t="s">
        <v>341</v>
      </c>
      <c r="E11" s="502" t="s">
        <v>409</v>
      </c>
      <c r="F11" s="771" t="str">
        <f>'D-Bruttozubau'!E8</f>
        <v>0,2 GW/a</v>
      </c>
      <c r="G11" s="124"/>
      <c r="H11" s="124"/>
      <c r="I11" s="669" t="s">
        <v>11</v>
      </c>
      <c r="J11" s="1282" t="s">
        <v>418</v>
      </c>
      <c r="K11" s="1283"/>
      <c r="L11" s="502" t="s">
        <v>409</v>
      </c>
      <c r="M11" s="748" t="str">
        <f>'D-Vergütungssatz Neuanlagen'!E8</f>
        <v>EEG 2017</v>
      </c>
      <c r="N11" s="108"/>
      <c r="O11" s="124"/>
      <c r="P11" s="124"/>
      <c r="Q11" s="124"/>
      <c r="R11" s="124"/>
      <c r="S11" s="124"/>
      <c r="T11" s="124"/>
      <c r="U11" s="124"/>
      <c r="V11" s="124"/>
      <c r="W11" s="124"/>
      <c r="X11" s="124"/>
      <c r="Y11" s="124"/>
      <c r="Z11" s="124"/>
      <c r="AA11" s="154"/>
      <c r="AB11" s="848"/>
    </row>
    <row r="12" spans="1:29" ht="20.100000000000001" customHeight="1">
      <c r="A12" s="848"/>
      <c r="B12" s="152"/>
      <c r="C12" s="1225" t="s">
        <v>10</v>
      </c>
      <c r="D12" s="1233" t="s">
        <v>341</v>
      </c>
      <c r="E12" s="502" t="s">
        <v>410</v>
      </c>
      <c r="F12" s="772" t="str">
        <f>'D-Bruttozubau'!E9</f>
        <v>0 GW/a</v>
      </c>
      <c r="G12" s="124"/>
      <c r="H12" s="124"/>
      <c r="I12" s="670" t="s">
        <v>10</v>
      </c>
      <c r="J12" s="1272" t="s">
        <v>418</v>
      </c>
      <c r="K12" s="1273"/>
      <c r="L12" s="502" t="s">
        <v>409</v>
      </c>
      <c r="M12" s="748" t="str">
        <f>'D-Vergütungssatz Neuanlagen'!E9</f>
        <v>EEG 2017</v>
      </c>
      <c r="N12" s="108"/>
      <c r="O12" s="124"/>
      <c r="P12" s="124"/>
      <c r="Q12" s="124"/>
      <c r="R12" s="124"/>
      <c r="S12" s="124"/>
      <c r="T12" s="124"/>
      <c r="U12" s="124"/>
      <c r="V12" s="124"/>
      <c r="W12" s="124"/>
      <c r="X12" s="124"/>
      <c r="Y12" s="124"/>
      <c r="Z12" s="124"/>
      <c r="AA12" s="154"/>
      <c r="AB12" s="848"/>
    </row>
    <row r="13" spans="1:29" ht="20.100000000000001" customHeight="1">
      <c r="A13" s="848"/>
      <c r="B13" s="152"/>
      <c r="C13" s="1226" t="s">
        <v>529</v>
      </c>
      <c r="D13" s="1233" t="s">
        <v>341</v>
      </c>
      <c r="E13" s="502" t="s">
        <v>410</v>
      </c>
      <c r="F13" s="772" t="str">
        <f>'D-Bruttozubau'!E6</f>
        <v>0 GW/a</v>
      </c>
      <c r="G13" s="124"/>
      <c r="H13" s="124"/>
      <c r="I13" s="671" t="s">
        <v>529</v>
      </c>
      <c r="J13" s="1272" t="s">
        <v>418</v>
      </c>
      <c r="K13" s="1273"/>
      <c r="L13" s="502" t="s">
        <v>409</v>
      </c>
      <c r="M13" s="748" t="str">
        <f>'D-Vergütungssatz Neuanlagen'!E6</f>
        <v>EEG 2017</v>
      </c>
      <c r="N13" s="108"/>
      <c r="O13" s="124"/>
      <c r="P13" s="124"/>
      <c r="Q13" s="124"/>
      <c r="R13" s="124"/>
      <c r="S13" s="124"/>
      <c r="T13" s="124"/>
      <c r="U13" s="124"/>
      <c r="V13" s="124"/>
      <c r="W13" s="124"/>
      <c r="X13" s="124"/>
      <c r="Y13" s="124"/>
      <c r="Z13" s="124"/>
      <c r="AA13" s="154"/>
      <c r="AB13" s="848"/>
    </row>
    <row r="14" spans="1:29" ht="20.100000000000001" customHeight="1" thickBot="1">
      <c r="A14" s="848"/>
      <c r="B14" s="152"/>
      <c r="C14" s="1227" t="s">
        <v>349</v>
      </c>
      <c r="D14" s="1234" t="s">
        <v>341</v>
      </c>
      <c r="E14" s="503" t="s">
        <v>410</v>
      </c>
      <c r="F14" s="773" t="str">
        <f>'D-Bruttozubau'!E7</f>
        <v>0 GW/a</v>
      </c>
      <c r="G14" s="124"/>
      <c r="H14" s="124"/>
      <c r="I14" s="672" t="s">
        <v>349</v>
      </c>
      <c r="J14" s="1274" t="s">
        <v>418</v>
      </c>
      <c r="K14" s="1275"/>
      <c r="L14" s="503" t="s">
        <v>409</v>
      </c>
      <c r="M14" s="773" t="str">
        <f>'D-Vergütungssatz Neuanlagen'!E7</f>
        <v>EEG 2017</v>
      </c>
      <c r="N14" s="108"/>
      <c r="O14" s="124"/>
      <c r="P14" s="124"/>
      <c r="Q14" s="124"/>
      <c r="R14" s="124"/>
      <c r="S14" s="124"/>
      <c r="T14" s="124"/>
      <c r="U14" s="124"/>
      <c r="V14" s="124"/>
      <c r="W14" s="124"/>
      <c r="X14" s="124"/>
      <c r="Y14" s="124"/>
      <c r="Z14" s="124"/>
      <c r="AA14" s="154"/>
      <c r="AB14" s="848"/>
    </row>
    <row r="15" spans="1:29" ht="32.25" customHeight="1">
      <c r="A15" s="848"/>
      <c r="B15" s="152"/>
      <c r="C15" s="124"/>
      <c r="D15" s="124"/>
      <c r="E15" s="124"/>
      <c r="F15" s="108" t="s">
        <v>133</v>
      </c>
      <c r="G15" s="124"/>
      <c r="H15" s="124"/>
      <c r="I15" s="124"/>
      <c r="J15" s="124"/>
      <c r="K15" s="124"/>
      <c r="L15" s="124"/>
      <c r="M15" s="109" t="s">
        <v>133</v>
      </c>
      <c r="N15" s="124"/>
      <c r="O15" s="124"/>
      <c r="P15" s="124"/>
      <c r="Q15" s="124"/>
      <c r="R15" s="124"/>
      <c r="S15" s="124"/>
      <c r="T15" s="124"/>
      <c r="U15" s="124"/>
      <c r="V15" s="124"/>
      <c r="W15" s="124"/>
      <c r="X15" s="124"/>
      <c r="Y15" s="124"/>
      <c r="Z15" s="124"/>
      <c r="AA15" s="154"/>
      <c r="AB15" s="848"/>
    </row>
    <row r="16" spans="1:29" ht="16.5" customHeight="1" thickBot="1">
      <c r="A16" s="848"/>
      <c r="B16" s="152"/>
      <c r="C16" s="124"/>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54"/>
      <c r="AB16" s="848"/>
    </row>
    <row r="17" spans="1:28" ht="36" customHeight="1" thickBot="1">
      <c r="A17" s="848"/>
      <c r="B17" s="152"/>
      <c r="C17" s="124"/>
      <c r="D17" s="1265" t="s">
        <v>1027</v>
      </c>
      <c r="E17" s="1276"/>
      <c r="F17" s="1266"/>
      <c r="G17" s="124"/>
      <c r="H17" s="124"/>
      <c r="I17" s="124"/>
      <c r="J17" s="1265" t="s">
        <v>445</v>
      </c>
      <c r="K17" s="1276"/>
      <c r="L17" s="1276"/>
      <c r="M17" s="1266"/>
      <c r="N17" s="124"/>
      <c r="O17" s="124"/>
      <c r="P17" s="124"/>
      <c r="Q17" s="124"/>
      <c r="R17" s="124"/>
      <c r="S17" s="124"/>
      <c r="T17" s="124"/>
      <c r="U17" s="124"/>
      <c r="V17" s="124"/>
      <c r="W17" s="124"/>
      <c r="X17" s="124"/>
      <c r="Y17" s="124"/>
      <c r="Z17" s="124"/>
      <c r="AA17" s="154"/>
      <c r="AB17" s="848"/>
    </row>
    <row r="18" spans="1:28" ht="13.8" thickBot="1">
      <c r="A18" s="848"/>
      <c r="B18" s="152"/>
      <c r="C18" s="124"/>
      <c r="D18" s="796" t="s">
        <v>353</v>
      </c>
      <c r="E18" s="1256" t="s">
        <v>365</v>
      </c>
      <c r="F18" s="1257"/>
      <c r="G18" s="124"/>
      <c r="H18" s="124"/>
      <c r="I18" s="124"/>
      <c r="J18" s="1258" t="s">
        <v>353</v>
      </c>
      <c r="K18" s="1259"/>
      <c r="L18" s="1256" t="s">
        <v>365</v>
      </c>
      <c r="M18" s="1257"/>
      <c r="N18" s="124"/>
      <c r="O18" s="124"/>
      <c r="P18" s="124"/>
      <c r="Q18" s="124"/>
      <c r="R18" s="124"/>
      <c r="S18" s="124"/>
      <c r="T18" s="124"/>
      <c r="U18" s="124"/>
      <c r="V18" s="124"/>
      <c r="W18" s="124"/>
      <c r="X18" s="124"/>
      <c r="Y18" s="124"/>
      <c r="Z18" s="124"/>
      <c r="AA18" s="154"/>
      <c r="AB18" s="848"/>
    </row>
    <row r="19" spans="1:28" ht="35.25" customHeight="1">
      <c r="A19" s="848"/>
      <c r="B19" s="152"/>
      <c r="C19" s="797" t="s">
        <v>374</v>
      </c>
      <c r="D19" s="1232" t="s">
        <v>341</v>
      </c>
      <c r="E19" s="499" t="s">
        <v>409</v>
      </c>
      <c r="F19" s="751" t="str">
        <f>'D-Privilegierter Letztverbrauch'!$D$6</f>
        <v>MFP Référence</v>
      </c>
      <c r="G19" s="124"/>
      <c r="H19" s="106" t="s">
        <v>72</v>
      </c>
      <c r="I19" s="797" t="s">
        <v>1024</v>
      </c>
      <c r="J19" s="1270" t="s">
        <v>418</v>
      </c>
      <c r="K19" s="1271"/>
      <c r="L19" s="499" t="s">
        <v>409</v>
      </c>
      <c r="M19" s="790" t="str">
        <f>'D-Future Strompreis'!$D$6</f>
        <v>5 -&gt; 6 ct/kWh</v>
      </c>
      <c r="N19" s="124"/>
      <c r="O19" s="106" t="s">
        <v>72</v>
      </c>
      <c r="P19" s="124"/>
      <c r="Q19" s="124"/>
      <c r="R19" s="124"/>
      <c r="S19" s="124"/>
      <c r="T19" s="124"/>
      <c r="U19" s="124"/>
      <c r="V19" s="124"/>
      <c r="W19" s="124"/>
      <c r="X19" s="124"/>
      <c r="Y19" s="124"/>
      <c r="Z19" s="124"/>
      <c r="AA19" s="154"/>
      <c r="AB19" s="848"/>
    </row>
    <row r="20" spans="1:28" ht="52.8">
      <c r="A20" s="848"/>
      <c r="B20" s="152"/>
      <c r="C20" s="798" t="s">
        <v>375</v>
      </c>
      <c r="D20" s="1233" t="s">
        <v>341</v>
      </c>
      <c r="E20" s="502" t="s">
        <v>409</v>
      </c>
      <c r="F20" s="776" t="str">
        <f>'D-Umlage priv. Letztverbrauch'!$D$6</f>
        <v>15% (gem. EEG 2014)</v>
      </c>
      <c r="G20" s="124"/>
      <c r="H20" s="106" t="s">
        <v>72</v>
      </c>
      <c r="I20" s="798" t="s">
        <v>1023</v>
      </c>
      <c r="J20" s="1272" t="s">
        <v>418</v>
      </c>
      <c r="K20" s="1273"/>
      <c r="L20" s="504" t="s">
        <v>409</v>
      </c>
      <c r="M20" s="752" t="str">
        <f>'D-Liquiditätspuffer'!$D$6</f>
        <v>Calcul des prélèvements GRT, puis 6%</v>
      </c>
      <c r="N20" s="124"/>
      <c r="O20" s="106" t="s">
        <v>72</v>
      </c>
      <c r="P20" s="124"/>
      <c r="Q20" s="124"/>
      <c r="R20" s="124"/>
      <c r="S20" s="124"/>
      <c r="T20" s="124"/>
      <c r="U20" s="124"/>
      <c r="V20" s="124"/>
      <c r="W20" s="124"/>
      <c r="X20" s="124"/>
      <c r="Y20" s="124"/>
      <c r="Z20" s="124"/>
      <c r="AA20" s="154"/>
      <c r="AB20" s="848"/>
    </row>
    <row r="21" spans="1:28" ht="53.4" thickBot="1">
      <c r="A21" s="848"/>
      <c r="B21" s="152"/>
      <c r="C21" s="800" t="s">
        <v>376</v>
      </c>
      <c r="D21" s="1233" t="s">
        <v>341</v>
      </c>
      <c r="E21" s="653" t="s">
        <v>409</v>
      </c>
      <c r="F21" s="777" t="str">
        <f>'D-Faktor Zusatzprivilegierung'!$D$6</f>
        <v>Jusqu'en 2021: calculs de la surtaxe GRT, par la suite constante (agit comme une exonération complète de 62% de la BT privée)</v>
      </c>
      <c r="G21" s="124"/>
      <c r="H21" s="106" t="s">
        <v>72</v>
      </c>
      <c r="I21" s="798" t="str">
        <f>CONCATENATE("Solde au 30.9.",ControlPanel!$D$59-1)</f>
        <v>Solde au 30.9.2021</v>
      </c>
      <c r="J21" s="1272" t="s">
        <v>418</v>
      </c>
      <c r="K21" s="1273"/>
      <c r="L21" s="502" t="s">
        <v>1018</v>
      </c>
      <c r="M21" s="788" t="str">
        <f>'D-Kontostand aktuelles Jahr'!D6</f>
        <v xml:space="preserve">Est calculé de manière endogène </v>
      </c>
      <c r="N21" s="124"/>
      <c r="O21" s="106" t="s">
        <v>72</v>
      </c>
      <c r="P21" s="124"/>
      <c r="Q21" s="124"/>
      <c r="R21" s="124"/>
      <c r="S21" s="124"/>
      <c r="T21" s="124"/>
      <c r="U21" s="124"/>
      <c r="V21" s="124"/>
      <c r="W21" s="124"/>
      <c r="X21" s="124"/>
      <c r="Y21" s="124"/>
      <c r="Z21" s="124"/>
      <c r="AA21" s="154"/>
      <c r="AB21" s="848"/>
    </row>
    <row r="22" spans="1:28" ht="55.2" customHeight="1" thickBot="1">
      <c r="A22" s="848"/>
      <c r="B22" s="152"/>
      <c r="C22" s="124"/>
      <c r="D22" s="124"/>
      <c r="E22" s="124"/>
      <c r="F22" s="124"/>
      <c r="G22" s="124"/>
      <c r="H22" s="124"/>
      <c r="I22" s="800" t="str">
        <f>CONCATENATE("Alternativement: Écart par rapport aux prévisions de solde de compte pour le 30/9.",ControlPanel!$D$59-1)</f>
        <v>Alternativement: Écart par rapport aux prévisions de solde de compte pour le 30/9.2021</v>
      </c>
      <c r="J22" s="1274" t="s">
        <v>418</v>
      </c>
      <c r="K22" s="1275"/>
      <c r="L22" s="503" t="s">
        <v>909</v>
      </c>
      <c r="M22" s="778" t="str">
        <f>'D-Prognosefehler Kontostand'!D6</f>
        <v>pas de déviation</v>
      </c>
      <c r="N22" s="124"/>
      <c r="O22" s="106" t="s">
        <v>72</v>
      </c>
      <c r="P22" s="124"/>
      <c r="Q22" s="124"/>
      <c r="R22" s="124"/>
      <c r="S22" s="124"/>
      <c r="T22" s="124"/>
      <c r="U22" s="124"/>
      <c r="V22" s="124"/>
      <c r="W22" s="124"/>
      <c r="X22" s="124"/>
      <c r="Y22" s="124"/>
      <c r="Z22" s="124"/>
      <c r="AA22" s="154"/>
      <c r="AB22" s="848"/>
    </row>
    <row r="23" spans="1:28" ht="32.25" customHeight="1" thickBot="1">
      <c r="A23" s="848"/>
      <c r="B23" s="152"/>
      <c r="C23" s="124"/>
      <c r="D23" s="124"/>
      <c r="E23" s="124"/>
      <c r="F23" s="124"/>
      <c r="G23" s="124"/>
      <c r="H23" s="124"/>
      <c r="I23" s="128"/>
      <c r="J23" s="128"/>
      <c r="K23" s="128"/>
      <c r="L23" s="124"/>
      <c r="M23" s="128"/>
      <c r="N23" s="124"/>
      <c r="O23" s="124"/>
      <c r="P23" s="124"/>
      <c r="Q23" s="124"/>
      <c r="R23" s="124"/>
      <c r="S23" s="124"/>
      <c r="T23" s="124"/>
      <c r="U23" s="124"/>
      <c r="V23" s="124"/>
      <c r="W23" s="124"/>
      <c r="X23" s="124"/>
      <c r="Y23" s="124"/>
      <c r="Z23" s="124"/>
      <c r="AA23" s="154"/>
      <c r="AB23" s="848"/>
    </row>
    <row r="24" spans="1:28" ht="32.25" customHeight="1" thickBot="1">
      <c r="A24" s="848"/>
      <c r="B24" s="152"/>
      <c r="C24" s="124"/>
      <c r="D24" s="1265" t="s">
        <v>1036</v>
      </c>
      <c r="E24" s="1276"/>
      <c r="F24" s="1266"/>
      <c r="G24" s="124"/>
      <c r="H24" s="124"/>
      <c r="I24" s="133"/>
      <c r="J24" s="1265" t="s">
        <v>1028</v>
      </c>
      <c r="K24" s="1263"/>
      <c r="L24" s="1263"/>
      <c r="M24" s="1269"/>
      <c r="N24" s="133"/>
      <c r="O24" s="133"/>
      <c r="P24" s="124"/>
      <c r="Q24" s="124"/>
      <c r="R24" s="124"/>
      <c r="S24" s="124"/>
      <c r="T24" s="124"/>
      <c r="U24" s="124"/>
      <c r="V24" s="124"/>
      <c r="W24" s="124"/>
      <c r="X24" s="124"/>
      <c r="Y24" s="124"/>
      <c r="Z24" s="124"/>
      <c r="AA24" s="154"/>
      <c r="AB24" s="848"/>
    </row>
    <row r="25" spans="1:28" ht="51.75" customHeight="1" thickBot="1">
      <c r="A25" s="848"/>
      <c r="B25" s="152"/>
      <c r="C25" s="806" t="s">
        <v>420</v>
      </c>
      <c r="D25" s="796" t="s">
        <v>353</v>
      </c>
      <c r="E25" s="1256" t="s">
        <v>365</v>
      </c>
      <c r="F25" s="1257"/>
      <c r="G25" s="124"/>
      <c r="H25" s="124"/>
      <c r="I25" s="133"/>
      <c r="J25" s="1258" t="s">
        <v>353</v>
      </c>
      <c r="K25" s="1259"/>
      <c r="L25" s="1256" t="s">
        <v>365</v>
      </c>
      <c r="M25" s="1257"/>
      <c r="N25" s="133"/>
      <c r="O25" s="133"/>
      <c r="P25" s="124"/>
      <c r="Q25" s="124"/>
      <c r="R25" s="124"/>
      <c r="S25" s="124"/>
      <c r="T25" s="124"/>
      <c r="U25" s="124"/>
      <c r="V25" s="124"/>
      <c r="W25" s="124"/>
      <c r="X25" s="124"/>
      <c r="Y25" s="124"/>
      <c r="Z25" s="124"/>
      <c r="AA25" s="154"/>
      <c r="AB25" s="848"/>
    </row>
    <row r="26" spans="1:28" ht="39.9" customHeight="1">
      <c r="A26" s="848"/>
      <c r="B26" s="152"/>
      <c r="C26" s="797" t="s">
        <v>1035</v>
      </c>
      <c r="D26" s="809" t="s">
        <v>1025</v>
      </c>
      <c r="E26" s="504" t="s">
        <v>409</v>
      </c>
      <c r="F26" s="752" t="str">
        <f>'D-Eigenverbrauch KWK Neue'!$D$6</f>
        <v>2021: calculs de la surtaxe GRT jusqu'en 2025, par la suite constante</v>
      </c>
      <c r="G26" s="124"/>
      <c r="H26" s="106" t="s">
        <v>72</v>
      </c>
      <c r="I26" s="797" t="s">
        <v>393</v>
      </c>
      <c r="J26" s="1290" t="s">
        <v>1025</v>
      </c>
      <c r="K26" s="1290"/>
      <c r="L26" s="499" t="s">
        <v>409</v>
      </c>
      <c r="M26" s="790" t="str">
        <f>'D-Nettostromverbrauch'!$D$6</f>
        <v>2021: calcul GRT 2020. Par la suite constante</v>
      </c>
      <c r="N26" s="124"/>
      <c r="O26" s="106" t="s">
        <v>72</v>
      </c>
      <c r="P26" s="124"/>
      <c r="Q26" s="124"/>
      <c r="R26" s="124"/>
      <c r="S26" s="124"/>
      <c r="T26" s="124"/>
      <c r="U26" s="124"/>
      <c r="V26" s="124"/>
      <c r="W26" s="124"/>
      <c r="X26" s="124"/>
      <c r="Y26" s="124"/>
      <c r="Z26" s="124"/>
      <c r="AA26" s="154"/>
      <c r="AB26" s="848"/>
    </row>
    <row r="27" spans="1:28" ht="39.9" customHeight="1">
      <c r="A27" s="848"/>
      <c r="B27" s="155"/>
      <c r="C27" s="798" t="s">
        <v>381</v>
      </c>
      <c r="D27" s="809" t="s">
        <v>1025</v>
      </c>
      <c r="E27" s="502" t="s">
        <v>409</v>
      </c>
      <c r="F27" s="753" t="str">
        <f>'D-Anteil Eigenverbrauch EE neu'!E12</f>
        <v>6%</v>
      </c>
      <c r="G27" s="124"/>
      <c r="H27" s="106" t="s">
        <v>72</v>
      </c>
      <c r="I27" s="798" t="s">
        <v>1044</v>
      </c>
      <c r="J27" s="1277" t="s">
        <v>1025</v>
      </c>
      <c r="K27" s="1277"/>
      <c r="L27" s="618" t="s">
        <v>409</v>
      </c>
      <c r="M27" s="788" t="str">
        <f>'D-Spot-Skalierungsfaktor'!$D$6</f>
        <v>90%</v>
      </c>
      <c r="N27" s="124"/>
      <c r="O27" s="106" t="s">
        <v>72</v>
      </c>
      <c r="P27" s="124"/>
      <c r="Q27" s="124"/>
      <c r="R27" s="124"/>
      <c r="S27" s="124"/>
      <c r="T27" s="124"/>
      <c r="U27" s="124"/>
      <c r="V27" s="124"/>
      <c r="W27" s="124"/>
      <c r="X27" s="124"/>
      <c r="Y27" s="124"/>
      <c r="Z27" s="124"/>
      <c r="AA27" s="154"/>
      <c r="AB27" s="848"/>
    </row>
    <row r="28" spans="1:28" ht="53.25" customHeight="1" collapsed="1">
      <c r="A28" s="848"/>
      <c r="B28" s="152"/>
      <c r="C28" s="798" t="s">
        <v>422</v>
      </c>
      <c r="D28" s="809" t="s">
        <v>1025</v>
      </c>
      <c r="E28" s="502" t="s">
        <v>409</v>
      </c>
      <c r="F28" s="753" t="str">
        <f>'D-Umlage Eigenverbrauch PV+KWK'!$D$6</f>
        <v>selon EEG 2017, à partir de 2020 constant 38%</v>
      </c>
      <c r="G28" s="124"/>
      <c r="H28" s="106" t="s">
        <v>72</v>
      </c>
      <c r="I28" s="798" t="s">
        <v>1045</v>
      </c>
      <c r="J28" s="1277" t="s">
        <v>1025</v>
      </c>
      <c r="K28" s="1277"/>
      <c r="L28" s="502" t="s">
        <v>409</v>
      </c>
      <c r="M28" s="788" t="str">
        <f>'D-vermiedene Netzentgelte'!$D$6</f>
        <v>7.17€/MWh</v>
      </c>
      <c r="N28" s="124"/>
      <c r="O28" s="106" t="s">
        <v>72</v>
      </c>
      <c r="P28" s="124"/>
      <c r="Q28" s="124"/>
      <c r="R28" s="124"/>
      <c r="S28" s="124"/>
      <c r="T28" s="124"/>
      <c r="U28" s="124"/>
      <c r="V28" s="124"/>
      <c r="W28" s="124"/>
      <c r="X28" s="124"/>
      <c r="Y28" s="124"/>
      <c r="Z28" s="124"/>
      <c r="AA28" s="154"/>
      <c r="AB28" s="848"/>
    </row>
    <row r="29" spans="1:28" ht="63" customHeight="1" thickBot="1">
      <c r="A29" s="848"/>
      <c r="B29" s="152"/>
      <c r="C29" s="800" t="s">
        <v>1037</v>
      </c>
      <c r="D29" s="809" t="s">
        <v>1025</v>
      </c>
      <c r="E29" s="503" t="s">
        <v>409</v>
      </c>
      <c r="F29" s="755" t="str">
        <f>'D-Umlage EV Bestand'!$D$6</f>
        <v>complètement exempté (selon EEG 2014)</v>
      </c>
      <c r="G29" s="124"/>
      <c r="H29" s="106" t="s">
        <v>72</v>
      </c>
      <c r="I29" s="798" t="s">
        <v>395</v>
      </c>
      <c r="J29" s="1277" t="s">
        <v>1025</v>
      </c>
      <c r="K29" s="1277"/>
      <c r="L29" s="502" t="s">
        <v>409</v>
      </c>
      <c r="M29" s="788" t="str">
        <f>'D-Sonstige Kosten'!$D$6</f>
        <v>0,06Mrd. €</v>
      </c>
      <c r="N29" s="124"/>
      <c r="O29" s="106" t="s">
        <v>72</v>
      </c>
      <c r="P29" s="124"/>
      <c r="Q29" s="124"/>
      <c r="R29" s="124"/>
      <c r="S29" s="124"/>
      <c r="T29" s="124"/>
      <c r="U29" s="124"/>
      <c r="V29" s="124"/>
      <c r="W29" s="124"/>
      <c r="X29" s="124"/>
      <c r="Y29" s="124"/>
      <c r="Z29" s="124"/>
      <c r="AA29" s="154"/>
      <c r="AB29" s="848"/>
    </row>
    <row r="30" spans="1:28" ht="13.8" thickBot="1">
      <c r="A30" s="848"/>
      <c r="B30" s="152"/>
      <c r="C30" s="129"/>
      <c r="D30" s="129"/>
      <c r="E30" s="129"/>
      <c r="F30" s="129"/>
      <c r="G30" s="129"/>
      <c r="H30" s="124"/>
      <c r="I30" s="800" t="s">
        <v>1046</v>
      </c>
      <c r="J30" s="1291" t="s">
        <v>1025</v>
      </c>
      <c r="K30" s="1291"/>
      <c r="L30" s="503" t="s">
        <v>409</v>
      </c>
      <c r="M30" s="789" t="str">
        <f>'D-Inflationsrate'!$D$6</f>
        <v>1,5% par année</v>
      </c>
      <c r="N30" s="124"/>
      <c r="O30" s="106" t="s">
        <v>72</v>
      </c>
      <c r="P30" s="124"/>
      <c r="Q30" s="124"/>
      <c r="R30" s="124"/>
      <c r="S30" s="124"/>
      <c r="T30" s="124"/>
      <c r="U30" s="124"/>
      <c r="V30" s="124"/>
      <c r="W30" s="124"/>
      <c r="X30" s="124"/>
      <c r="Y30" s="124"/>
      <c r="Z30" s="124"/>
      <c r="AA30" s="154"/>
      <c r="AB30" s="848"/>
    </row>
    <row r="31" spans="1:28" ht="13.8" thickBot="1">
      <c r="A31" s="848"/>
      <c r="B31" s="152"/>
      <c r="C31" s="129"/>
      <c r="D31" s="129"/>
      <c r="E31" s="129"/>
      <c r="F31" s="129"/>
      <c r="G31" s="129"/>
      <c r="H31" s="124"/>
      <c r="I31" s="129"/>
      <c r="J31" s="129"/>
      <c r="K31" s="129"/>
      <c r="L31" s="124"/>
      <c r="M31" s="129"/>
      <c r="N31" s="124"/>
      <c r="O31" s="124"/>
      <c r="P31" s="124"/>
      <c r="Q31" s="124"/>
      <c r="R31" s="124"/>
      <c r="S31" s="124"/>
      <c r="T31" s="124"/>
      <c r="U31" s="124"/>
      <c r="V31" s="124"/>
      <c r="W31" s="124"/>
      <c r="X31" s="124"/>
      <c r="Y31" s="124"/>
      <c r="Z31" s="124"/>
      <c r="AA31" s="154"/>
      <c r="AB31" s="848"/>
    </row>
    <row r="32" spans="1:28" ht="51.75" customHeight="1" thickBot="1">
      <c r="A32" s="848"/>
      <c r="B32" s="152"/>
      <c r="C32" s="128"/>
      <c r="D32" s="128"/>
      <c r="E32" s="1265" t="s">
        <v>390</v>
      </c>
      <c r="F32" s="1266"/>
      <c r="G32" s="128"/>
      <c r="H32" s="124"/>
      <c r="I32" s="1265" t="s">
        <v>369</v>
      </c>
      <c r="J32" s="1266"/>
      <c r="K32" s="128"/>
      <c r="L32" s="1265" t="s">
        <v>453</v>
      </c>
      <c r="M32" s="1266"/>
      <c r="N32" s="124"/>
      <c r="O32" s="124"/>
      <c r="P32" s="124"/>
      <c r="Q32" s="124"/>
      <c r="R32" s="124"/>
      <c r="S32" s="124"/>
      <c r="T32" s="124"/>
      <c r="U32" s="124"/>
      <c r="V32" s="124"/>
      <c r="W32" s="124"/>
      <c r="X32" s="124"/>
      <c r="Y32" s="124"/>
      <c r="Z32" s="124"/>
      <c r="AA32" s="154"/>
      <c r="AB32" s="848"/>
    </row>
    <row r="33" spans="1:28" ht="13.8" thickBot="1">
      <c r="A33" s="848"/>
      <c r="B33" s="152"/>
      <c r="C33" s="812" t="s">
        <v>65</v>
      </c>
      <c r="D33" s="796" t="s">
        <v>353</v>
      </c>
      <c r="E33" s="1256" t="s">
        <v>365</v>
      </c>
      <c r="F33" s="1257"/>
      <c r="G33" s="124"/>
      <c r="H33" s="124"/>
      <c r="I33" s="1256" t="s">
        <v>365</v>
      </c>
      <c r="J33" s="1257"/>
      <c r="K33" s="133"/>
      <c r="L33" s="1256" t="s">
        <v>365</v>
      </c>
      <c r="M33" s="1257"/>
      <c r="N33" s="124"/>
      <c r="O33" s="124"/>
      <c r="P33" s="124"/>
      <c r="Q33" s="124"/>
      <c r="R33" s="124"/>
      <c r="S33" s="124"/>
      <c r="T33" s="124"/>
      <c r="U33" s="124"/>
      <c r="V33" s="124"/>
      <c r="W33" s="124"/>
      <c r="X33" s="124"/>
      <c r="Y33" s="124"/>
      <c r="Z33" s="124"/>
      <c r="AA33" s="154"/>
      <c r="AB33" s="848"/>
    </row>
    <row r="34" spans="1:28" ht="13.2">
      <c r="A34" s="848"/>
      <c r="B34" s="152"/>
      <c r="C34" s="797" t="s">
        <v>339</v>
      </c>
      <c r="D34" s="809" t="s">
        <v>1025</v>
      </c>
      <c r="E34" s="504" t="s">
        <v>409</v>
      </c>
      <c r="F34" s="811" t="str">
        <f>'D-Standardauslastung'!E10</f>
        <v>Augmentation à 2600h en 2035</v>
      </c>
      <c r="G34" s="124"/>
      <c r="H34" s="124"/>
      <c r="I34" s="505" t="s">
        <v>409</v>
      </c>
      <c r="J34" s="494" t="str">
        <f>'D-Dargebotsfaktor'!E10</f>
        <v>100%</v>
      </c>
      <c r="K34" s="133"/>
      <c r="L34" s="505" t="s">
        <v>409</v>
      </c>
      <c r="M34" s="491" t="str">
        <f>'D-Profilfaktoren'!E10</f>
        <v>propre calcul</v>
      </c>
      <c r="N34" s="124"/>
      <c r="O34" s="124"/>
      <c r="P34" s="124"/>
      <c r="Q34" s="124"/>
      <c r="R34" s="124"/>
      <c r="S34" s="124"/>
      <c r="T34" s="124"/>
      <c r="U34" s="124"/>
      <c r="V34" s="124"/>
      <c r="W34" s="124"/>
      <c r="X34" s="124"/>
      <c r="Y34" s="124"/>
      <c r="Z34" s="124"/>
      <c r="AA34" s="154"/>
      <c r="AB34" s="848"/>
    </row>
    <row r="35" spans="1:28" ht="13.8" thickBot="1">
      <c r="A35" s="848"/>
      <c r="B35" s="152"/>
      <c r="C35" s="798" t="s">
        <v>340</v>
      </c>
      <c r="D35" s="769" t="s">
        <v>1025</v>
      </c>
      <c r="E35" s="502" t="s">
        <v>409</v>
      </c>
      <c r="F35" s="495" t="str">
        <f>'D-Standardauslastung'!E11</f>
        <v>Augmentation à 4700 h en 2035</v>
      </c>
      <c r="G35" s="124"/>
      <c r="H35" s="124"/>
      <c r="I35" s="506" t="s">
        <v>409</v>
      </c>
      <c r="J35" s="495" t="str">
        <f>'D-Dargebotsfaktor'!E11</f>
        <v>100%</v>
      </c>
      <c r="K35" s="133"/>
      <c r="L35" s="506" t="s">
        <v>409</v>
      </c>
      <c r="M35" s="492" t="str">
        <f>'D-Profilfaktoren'!E11</f>
        <v>propre calcul</v>
      </c>
      <c r="N35" s="351"/>
      <c r="O35" s="124"/>
      <c r="P35" s="124"/>
      <c r="Q35" s="124"/>
      <c r="R35" s="124"/>
      <c r="S35" s="124"/>
      <c r="T35" s="124"/>
      <c r="U35" s="124"/>
      <c r="V35" s="124"/>
      <c r="W35" s="124"/>
      <c r="X35" s="124"/>
      <c r="Y35" s="124"/>
      <c r="Z35" s="124"/>
      <c r="AA35" s="154"/>
      <c r="AB35" s="848"/>
    </row>
    <row r="36" spans="1:28" ht="13.8" thickBot="1">
      <c r="A36" s="848"/>
      <c r="B36" s="152"/>
      <c r="C36" s="798" t="s">
        <v>12</v>
      </c>
      <c r="D36" s="769" t="s">
        <v>1025</v>
      </c>
      <c r="E36" s="502" t="s">
        <v>409</v>
      </c>
      <c r="F36" s="495" t="str">
        <f>'D-Standardauslastung'!E12</f>
        <v>Augmentation à 950h en 2035</v>
      </c>
      <c r="G36" s="124"/>
      <c r="H36" s="124"/>
      <c r="I36" s="506" t="s">
        <v>409</v>
      </c>
      <c r="J36" s="495" t="str">
        <f>'D-Dargebotsfaktor'!E12</f>
        <v>100%</v>
      </c>
      <c r="K36" s="351"/>
      <c r="L36" s="506" t="s">
        <v>409</v>
      </c>
      <c r="M36" s="492" t="str">
        <f>'D-Profilfaktoren'!E12</f>
        <v>propre calcul</v>
      </c>
      <c r="N36" s="351"/>
      <c r="O36" s="124"/>
      <c r="P36" s="124"/>
      <c r="Q36" s="1262" t="s">
        <v>129</v>
      </c>
      <c r="R36" s="1263"/>
      <c r="S36" s="1263"/>
      <c r="T36" s="1263"/>
      <c r="U36" s="1263"/>
      <c r="V36" s="1263"/>
      <c r="W36" s="1263"/>
      <c r="X36" s="1263"/>
      <c r="Y36" s="1263"/>
      <c r="Z36" s="1269"/>
      <c r="AA36" s="154"/>
      <c r="AB36" s="848"/>
    </row>
    <row r="37" spans="1:28" ht="13.8" thickBot="1">
      <c r="A37" s="848"/>
      <c r="B37" s="152"/>
      <c r="C37" s="798" t="s">
        <v>11</v>
      </c>
      <c r="D37" s="769" t="s">
        <v>1025</v>
      </c>
      <c r="E37" s="502" t="s">
        <v>409</v>
      </c>
      <c r="F37" s="495" t="str">
        <f>'D-Standardauslastung'!E8</f>
        <v>Tendance MFP</v>
      </c>
      <c r="G37" s="124"/>
      <c r="H37" s="124"/>
      <c r="I37" s="506" t="s">
        <v>409</v>
      </c>
      <c r="J37" s="495" t="str">
        <f>'D-Dargebotsfaktor'!E8</f>
        <v>100%</v>
      </c>
      <c r="K37" s="133"/>
      <c r="L37" s="506" t="s">
        <v>409</v>
      </c>
      <c r="M37" s="492" t="str">
        <f>'D-Profilfaktoren'!E8</f>
        <v>100%</v>
      </c>
      <c r="N37" s="351"/>
      <c r="O37" s="124"/>
      <c r="P37" s="124"/>
      <c r="Q37" s="813"/>
      <c r="R37" s="814"/>
      <c r="S37" s="801">
        <f>ControlPanel!$D$59-1</f>
        <v>2021</v>
      </c>
      <c r="T37" s="801">
        <f>ControlPanel!$D$59</f>
        <v>2022</v>
      </c>
      <c r="U37" s="802">
        <f>ControlPanel!$D$59+1</f>
        <v>2023</v>
      </c>
      <c r="V37" s="802">
        <f>ControlPanel!$D$59+2</f>
        <v>2024</v>
      </c>
      <c r="W37" s="802">
        <f>ControlPanel!$D$59+3</f>
        <v>2025</v>
      </c>
      <c r="X37" s="802">
        <v>2025</v>
      </c>
      <c r="Y37" s="802">
        <v>2030</v>
      </c>
      <c r="Z37" s="802">
        <v>2035</v>
      </c>
      <c r="AA37" s="154"/>
      <c r="AB37" s="848"/>
    </row>
    <row r="38" spans="1:28" ht="13.8" thickBot="1">
      <c r="A38" s="848"/>
      <c r="B38" s="152"/>
      <c r="C38" s="798" t="s">
        <v>10</v>
      </c>
      <c r="D38" s="769" t="s">
        <v>1025</v>
      </c>
      <c r="E38" s="502" t="s">
        <v>409</v>
      </c>
      <c r="F38" s="495" t="str">
        <f>'D-Standardauslastung'!E9</f>
        <v>Tendance MFP</v>
      </c>
      <c r="G38" s="124"/>
      <c r="H38" s="124"/>
      <c r="I38" s="506" t="s">
        <v>409</v>
      </c>
      <c r="J38" s="495" t="str">
        <f>'D-Dargebotsfaktor'!E9</f>
        <v>100%</v>
      </c>
      <c r="K38" s="133"/>
      <c r="L38" s="506" t="s">
        <v>409</v>
      </c>
      <c r="M38" s="492" t="str">
        <f>'D-Profilfaktoren'!E9</f>
        <v>100%</v>
      </c>
      <c r="N38" s="351"/>
      <c r="O38" s="133"/>
      <c r="P38" s="124"/>
      <c r="Q38" s="1258" t="s">
        <v>130</v>
      </c>
      <c r="R38" s="1284"/>
      <c r="S38" s="1284"/>
      <c r="T38" s="1284"/>
      <c r="U38" s="1284"/>
      <c r="V38" s="1284"/>
      <c r="W38" s="1284"/>
      <c r="X38" s="1284"/>
      <c r="Y38" s="1284"/>
      <c r="Z38" s="1257"/>
      <c r="AA38" s="154"/>
      <c r="AB38" s="848"/>
    </row>
    <row r="39" spans="1:28" ht="13.2">
      <c r="A39" s="848"/>
      <c r="B39" s="152"/>
      <c r="C39" s="798" t="s">
        <v>529</v>
      </c>
      <c r="D39" s="769" t="s">
        <v>1025</v>
      </c>
      <c r="E39" s="502" t="s">
        <v>409</v>
      </c>
      <c r="F39" s="495" t="str">
        <f>'D-Standardauslastung'!E6</f>
        <v>Tendance MFP</v>
      </c>
      <c r="G39" s="124"/>
      <c r="H39" s="124"/>
      <c r="I39" s="506" t="s">
        <v>409</v>
      </c>
      <c r="J39" s="495" t="str">
        <f>'D-Dargebotsfaktor'!E6</f>
        <v>100%</v>
      </c>
      <c r="K39" s="133"/>
      <c r="L39" s="506" t="s">
        <v>409</v>
      </c>
      <c r="M39" s="492" t="str">
        <f>'D-Profilfaktoren'!E6</f>
        <v>100%</v>
      </c>
      <c r="N39" s="351"/>
      <c r="O39" s="351"/>
      <c r="P39" s="124"/>
      <c r="Q39" s="815" t="s">
        <v>71</v>
      </c>
      <c r="R39" s="816"/>
      <c r="S39" s="1138">
        <f ca="1">IF(ControlPanel!$T$5="nominal",OFFSET('GrD-Grafikdaten'!$J8,0,S$37-2014),OFFSET('GrD-Grafikdaten'!$J26,0,S$37-2014))</f>
        <v>6.5003634995875341</v>
      </c>
      <c r="T39" s="1139">
        <f ca="1">IF(ControlPanel!$T$5="nominal",OFFSET('GrD-Grafikdaten'!$J8,0,T$37-2014),OFFSET('GrD-Grafikdaten'!$J26,0,T$37-2014))</f>
        <v>5.999829931707656</v>
      </c>
      <c r="U39" s="1139">
        <f ca="1">IF(ControlPanel!$T$5="nominal",OFFSET('GrD-Grafikdaten'!$J8,0,U$37-2014),OFFSET('GrD-Grafikdaten'!$J26,0,U$37-2014))</f>
        <v>5.7540581975897345</v>
      </c>
      <c r="V39" s="1139">
        <f ca="1">IF(ControlPanel!$T$5="nominal",OFFSET('GrD-Grafikdaten'!$J8,0,V$37-2014),OFFSET('GrD-Grafikdaten'!$J26,0,V$37-2014))</f>
        <v>5.6173863183219579</v>
      </c>
      <c r="W39" s="1139">
        <f ca="1">IF(ControlPanel!$T$5="nominal",OFFSET('GrD-Grafikdaten'!$J8,0,W$37-2014),OFFSET('GrD-Grafikdaten'!$J26,0,W$37-2014))</f>
        <v>5.1106041596116398</v>
      </c>
      <c r="X39" s="1139">
        <f ca="1">IF(ControlPanel!$T$5="nominal",OFFSET('GrD-Grafikdaten'!$J8,0,X$37-2014),OFFSET('GrD-Grafikdaten'!$J26,0,X$37-2014))</f>
        <v>5.1106041596116398</v>
      </c>
      <c r="Y39" s="1139">
        <f ca="1">IF(ControlPanel!$T$5="nominal",OFFSET('GrD-Grafikdaten'!$J8,0,Y$37-2014),OFFSET('GrD-Grafikdaten'!$J26,0,Y$37-2014))</f>
        <v>2.5242573906001367</v>
      </c>
      <c r="Z39" s="1140">
        <f ca="1">IF(ControlPanel!$T$5="nominal",OFFSET('GrD-Grafikdaten'!$J8,0,Z$37-2014),OFFSET('GrD-Grafikdaten'!$J26,0,Z$37-2014))</f>
        <v>0.54192582780461751</v>
      </c>
      <c r="AA39" s="154"/>
      <c r="AB39" s="848"/>
    </row>
    <row r="40" spans="1:28" ht="13.8" thickBot="1">
      <c r="A40" s="848"/>
      <c r="B40" s="152"/>
      <c r="C40" s="800" t="s">
        <v>349</v>
      </c>
      <c r="D40" s="775" t="s">
        <v>1025</v>
      </c>
      <c r="E40" s="503" t="s">
        <v>409</v>
      </c>
      <c r="F40" s="496" t="str">
        <f>'D-Standardauslastung'!E7</f>
        <v>Tendance MFP</v>
      </c>
      <c r="G40" s="124"/>
      <c r="H40" s="124"/>
      <c r="I40" s="507" t="s">
        <v>409</v>
      </c>
      <c r="J40" s="496" t="str">
        <f>'D-Dargebotsfaktor'!E7</f>
        <v>100%</v>
      </c>
      <c r="K40" s="133"/>
      <c r="L40" s="507" t="s">
        <v>409</v>
      </c>
      <c r="M40" s="493" t="str">
        <f>'D-Profilfaktoren'!E7</f>
        <v>100%</v>
      </c>
      <c r="N40" s="351"/>
      <c r="O40" s="351"/>
      <c r="P40" s="124"/>
      <c r="Q40" s="817" t="s">
        <v>73</v>
      </c>
      <c r="R40" s="818"/>
      <c r="S40" s="725">
        <f ca="1">IF(ControlPanel!$T$5="nominal",OFFSET('GrD-Grafikdaten'!$J20,0,S$37-2014),OFFSET('GrD-Grafikdaten'!$J38,0,S$37-2014))</f>
        <v>10.574363499587534</v>
      </c>
      <c r="T40" s="726">
        <f ca="1">IF(ControlPanel!$T$5="nominal",OFFSET('GrD-Grafikdaten'!$J20,0,T$37-2014),OFFSET('GrD-Grafikdaten'!$J38,0,T$37-2014))</f>
        <v>10.493671381707655</v>
      </c>
      <c r="U40" s="726">
        <f ca="1">IF(ControlPanel!$T$5="nominal",OFFSET('GrD-Grafikdaten'!$J20,0,U$37-2014),OFFSET('GrD-Grafikdaten'!$J38,0,U$37-2014))</f>
        <v>10.506666411964733</v>
      </c>
      <c r="V40" s="726">
        <f ca="1">IF(ControlPanel!$T$5="nominal",OFFSET('GrD-Grafikdaten'!$J20,0,V$37-2014),OFFSET('GrD-Grafikdaten'!$J38,0,V$37-2014))</f>
        <v>10.569973986425861</v>
      </c>
      <c r="W40" s="726">
        <f ca="1">IF(ControlPanel!$T$5="nominal",OFFSET('GrD-Grafikdaten'!$J20,0,W$37-2014),OFFSET('GrD-Grafikdaten'!$J38,0,W$37-2014))</f>
        <v>10.268101328208083</v>
      </c>
      <c r="X40" s="726">
        <f ca="1">IF(ControlPanel!$T$5="nominal",OFFSET('GrD-Grafikdaten'!$J20,0,X$37-2014),OFFSET('GrD-Grafikdaten'!$J38,0,X$37-2014))</f>
        <v>10.268101328208083</v>
      </c>
      <c r="Y40" s="726">
        <f ca="1">IF(ControlPanel!$T$5="nominal",OFFSET('GrD-Grafikdaten'!$J20,0,Y$37-2014),OFFSET('GrD-Grafikdaten'!$J38,0,Y$37-2014))</f>
        <v>8.7839244655795312</v>
      </c>
      <c r="Z40" s="727">
        <f ca="1">IF(ControlPanel!$T$5="nominal",OFFSET('GrD-Grafikdaten'!$J20,0,Z$37-2014),OFFSET('GrD-Grafikdaten'!$J38,0,Z$37-2014))</f>
        <v>8.0433182277308219</v>
      </c>
      <c r="AA40" s="154"/>
      <c r="AB40" s="848"/>
    </row>
    <row r="41" spans="1:28" ht="17.100000000000001" customHeight="1" thickBot="1">
      <c r="A41" s="848"/>
      <c r="B41" s="152"/>
      <c r="C41" s="351"/>
      <c r="D41" s="351"/>
      <c r="E41" s="124"/>
      <c r="F41" s="108" t="s">
        <v>72</v>
      </c>
      <c r="G41" s="124"/>
      <c r="H41" s="124"/>
      <c r="I41" s="124"/>
      <c r="J41" s="108" t="s">
        <v>72</v>
      </c>
      <c r="K41" s="351"/>
      <c r="L41" s="124"/>
      <c r="M41" s="108" t="s">
        <v>72</v>
      </c>
      <c r="N41" s="351"/>
      <c r="O41" s="351"/>
      <c r="P41" s="124"/>
      <c r="Q41" s="819" t="s">
        <v>160</v>
      </c>
      <c r="R41" s="820"/>
      <c r="S41" s="728">
        <f ca="1">OFFSET('GrD-Grafikdaten'!$J48,0,S$37-2014)</f>
        <v>0.43632172207942227</v>
      </c>
      <c r="T41" s="729">
        <f ca="1">OFFSET('GrD-Grafikdaten'!$J48,0,T$37-2014)</f>
        <v>0.44585345469727838</v>
      </c>
      <c r="U41" s="729">
        <f ca="1">OFFSET('GrD-Grafikdaten'!$J48,0,U$37-2014)</f>
        <v>0.46501375143170837</v>
      </c>
      <c r="V41" s="729">
        <f ca="1">OFFSET('GrD-Grafikdaten'!$J48,0,V$37-2014)</f>
        <v>0.48493602092876686</v>
      </c>
      <c r="W41" s="729">
        <f ca="1">OFFSET('GrD-Grafikdaten'!$J48,0,W$37-2014)</f>
        <v>0.50114232433943284</v>
      </c>
      <c r="X41" s="729">
        <f ca="1">OFFSET('GrD-Grafikdaten'!$J48,0,X$37-2014)</f>
        <v>0.50114232433943284</v>
      </c>
      <c r="Y41" s="729">
        <f ca="1">OFFSET('GrD-Grafikdaten'!$J48,0,Y$37-2014)</f>
        <v>0.55579821584924383</v>
      </c>
      <c r="Z41" s="730">
        <f ca="1">OFFSET('GrD-Grafikdaten'!$J48,0,Z$37-2014)</f>
        <v>0.59955065091912929</v>
      </c>
      <c r="AA41" s="154"/>
      <c r="AB41" s="848"/>
    </row>
    <row r="42" spans="1:28" ht="17.100000000000001" customHeight="1" thickBot="1">
      <c r="A42" s="848"/>
      <c r="B42" s="152"/>
      <c r="C42" s="124"/>
      <c r="D42" s="124"/>
      <c r="E42" s="124"/>
      <c r="F42" s="124"/>
      <c r="G42" s="124"/>
      <c r="H42" s="124"/>
      <c r="I42" s="124"/>
      <c r="J42" s="124"/>
      <c r="K42" s="124"/>
      <c r="L42" s="124"/>
      <c r="M42" s="124"/>
      <c r="N42" s="351"/>
      <c r="O42" s="351"/>
      <c r="P42" s="124"/>
      <c r="Q42" s="1288" t="s">
        <v>128</v>
      </c>
      <c r="R42" s="1289"/>
      <c r="S42" s="1284"/>
      <c r="T42" s="1284"/>
      <c r="U42" s="1284"/>
      <c r="V42" s="1284"/>
      <c r="W42" s="1284"/>
      <c r="X42" s="1284"/>
      <c r="Y42" s="1284"/>
      <c r="Z42" s="1257"/>
      <c r="AA42" s="154"/>
      <c r="AB42" s="848"/>
    </row>
    <row r="43" spans="1:28" ht="33.75" customHeight="1" thickBot="1">
      <c r="A43" s="848"/>
      <c r="B43" s="152"/>
      <c r="C43" s="128"/>
      <c r="D43" s="128"/>
      <c r="E43" s="1265" t="s">
        <v>406</v>
      </c>
      <c r="F43" s="1266"/>
      <c r="G43" s="124"/>
      <c r="H43" s="124"/>
      <c r="I43" s="133"/>
      <c r="J43" s="1262" t="s">
        <v>367</v>
      </c>
      <c r="K43" s="1263"/>
      <c r="L43" s="1263"/>
      <c r="M43" s="1264"/>
      <c r="N43" s="351"/>
      <c r="O43" s="351"/>
      <c r="P43" s="124"/>
      <c r="Q43" s="815" t="s">
        <v>71</v>
      </c>
      <c r="R43" s="816"/>
      <c r="S43" s="779">
        <f ca="1">OFFSET('GrD-Grafikdaten'!$J132,0,S$37-2014)</f>
        <v>1.7763568394002505E-15</v>
      </c>
      <c r="T43" s="731">
        <f ca="1">OFFSET('GrD-Grafikdaten'!$J132,0,T$37-2014)</f>
        <v>0.34571647324365973</v>
      </c>
      <c r="U43" s="731">
        <f ca="1">OFFSET('GrD-Grafikdaten'!$J132,0,U$37-2014)</f>
        <v>-1.6298742485527207E-2</v>
      </c>
      <c r="V43" s="731">
        <f ca="1">OFFSET('GrD-Grafikdaten'!$J132,0,V$37-2014)</f>
        <v>-1.9518405428886609E-2</v>
      </c>
      <c r="W43" s="731">
        <f ca="1">OFFSET('GrD-Grafikdaten'!$J132,0,W$37-2014)</f>
        <v>-2.1150438095728141E-2</v>
      </c>
      <c r="X43" s="731">
        <f ca="1">OFFSET('GrD-Grafikdaten'!$J132,0,X$37-2014)</f>
        <v>-2.1150438095728141E-2</v>
      </c>
      <c r="Y43" s="731">
        <f ca="1">OFFSET('GrD-Grafikdaten'!$J132,0,Y$37-2014)</f>
        <v>-2.9817343260710949E-2</v>
      </c>
      <c r="Z43" s="731">
        <f ca="1">OFFSET('GrD-Grafikdaten'!$J132,0,Z$37-2014)</f>
        <v>-2.989538195049446E-2</v>
      </c>
      <c r="AA43" s="154"/>
      <c r="AB43" s="848"/>
    </row>
    <row r="44" spans="1:28" ht="17.100000000000001" customHeight="1" thickBot="1">
      <c r="A44" s="848"/>
      <c r="B44" s="152"/>
      <c r="C44" s="812" t="s">
        <v>65</v>
      </c>
      <c r="D44" s="796" t="s">
        <v>353</v>
      </c>
      <c r="E44" s="1256" t="s">
        <v>365</v>
      </c>
      <c r="F44" s="1257"/>
      <c r="G44" s="124"/>
      <c r="H44" s="124"/>
      <c r="I44" s="1220"/>
      <c r="J44" s="1258" t="s">
        <v>353</v>
      </c>
      <c r="K44" s="1259"/>
      <c r="L44" s="1256" t="s">
        <v>365</v>
      </c>
      <c r="M44" s="1257"/>
      <c r="N44" s="351"/>
      <c r="O44" s="351"/>
      <c r="P44" s="124"/>
      <c r="Q44" s="817" t="s">
        <v>73</v>
      </c>
      <c r="R44" s="818"/>
      <c r="S44" s="780">
        <f ca="1">OFFSET('GrD-Grafikdaten'!$J144,0,S$37-2014)</f>
        <v>1.7763568394002505E-15</v>
      </c>
      <c r="T44" s="734">
        <f ca="1">OFFSET('GrD-Grafikdaten'!$J144,0,T$37-2014)</f>
        <v>0.34571647324366062</v>
      </c>
      <c r="U44" s="734">
        <f ca="1">OFFSET('GrD-Grafikdaten'!$J144,0,U$37-2014)</f>
        <v>-1.6298742485528095E-2</v>
      </c>
      <c r="V44" s="734">
        <f ca="1">OFFSET('GrD-Grafikdaten'!$J144,0,V$37-2014)</f>
        <v>-1.9518405428886609E-2</v>
      </c>
      <c r="W44" s="734">
        <f ca="1">OFFSET('GrD-Grafikdaten'!$J144,0,W$37-2014)</f>
        <v>-2.1150438095729029E-2</v>
      </c>
      <c r="X44" s="734">
        <f ca="1">OFFSET('GrD-Grafikdaten'!$J144,0,X$37-2014)</f>
        <v>-2.1150438095729029E-2</v>
      </c>
      <c r="Y44" s="734">
        <f ca="1">OFFSET('GrD-Grafikdaten'!$J144,0,Y$37-2014)</f>
        <v>-2.9817343260710061E-2</v>
      </c>
      <c r="Z44" s="734">
        <f ca="1">OFFSET('GrD-Grafikdaten'!$J144,0,Z$37-2014)</f>
        <v>-2.9895381950494126E-2</v>
      </c>
      <c r="AA44" s="154"/>
      <c r="AB44" s="848"/>
    </row>
    <row r="45" spans="1:28" ht="28.2" customHeight="1" thickBot="1">
      <c r="A45" s="848"/>
      <c r="B45" s="152"/>
      <c r="C45" s="797" t="s">
        <v>339</v>
      </c>
      <c r="D45" s="810" t="s">
        <v>1025</v>
      </c>
      <c r="E45" s="504" t="s">
        <v>409</v>
      </c>
      <c r="F45" s="811" t="str">
        <f>'D-Dauer Goldenes Ende'!E10</f>
        <v>5 Années</v>
      </c>
      <c r="G45" s="124"/>
      <c r="H45" s="124"/>
      <c r="I45" s="800" t="s">
        <v>409</v>
      </c>
      <c r="J45" s="1260" t="s">
        <v>1026</v>
      </c>
      <c r="K45" s="1261"/>
      <c r="L45" s="503" t="s">
        <v>409</v>
      </c>
      <c r="M45" s="1219" t="str">
        <f>'D-Zuschuss'!D6</f>
        <v>6,5 ct / kWh en 2021 et 6,0 ct / kWh en 2022 seront atteints</v>
      </c>
      <c r="N45" s="124"/>
      <c r="O45" s="108" t="s">
        <v>72</v>
      </c>
      <c r="P45" s="124"/>
      <c r="Q45" s="819" t="s">
        <v>160</v>
      </c>
      <c r="R45" s="820"/>
      <c r="S45" s="728">
        <f ca="1">OFFSET('GrD-Grafikdaten'!$J92,0,S$37-2014) - OFFSET('GrD-Grafikdaten'!$J48,0,S$37-2014)</f>
        <v>0</v>
      </c>
      <c r="T45" s="737">
        <f ca="1">OFFSET('GrD-Grafikdaten'!$J92,0,T$37-2014) - OFFSET('GrD-Grafikdaten'!$J48,0,T$37-2014)</f>
        <v>-9.093896566936821E-4</v>
      </c>
      <c r="U45" s="737">
        <f ca="1">OFFSET('GrD-Grafikdaten'!$J92,0,U$37-2014) - OFFSET('GrD-Grafikdaten'!$J48,0,U$37-2014)</f>
        <v>-1.2218782338156431E-3</v>
      </c>
      <c r="V45" s="737">
        <f ca="1">OFFSET('GrD-Grafikdaten'!$J92,0,V$37-2014) - OFFSET('GrD-Grafikdaten'!$J48,0,V$37-2014)</f>
        <v>-1.4427492751010185E-3</v>
      </c>
      <c r="W45" s="737">
        <f ca="1">OFFSET('GrD-Grafikdaten'!$J92,0,W$37-2014) - OFFSET('GrD-Grafikdaten'!$J48,0,W$37-2014)</f>
        <v>-1.6594543100552084E-3</v>
      </c>
      <c r="X45" s="737">
        <f ca="1">OFFSET('GrD-Grafikdaten'!$J92,0,X$37-2014) - OFFSET('GrD-Grafikdaten'!$J48,0,X$37-2014)</f>
        <v>-1.6594543100552084E-3</v>
      </c>
      <c r="Y45" s="737">
        <f ca="1">OFFSET('GrD-Grafikdaten'!$J92,0,Y$37-2014) - OFFSET('GrD-Grafikdaten'!$J48,0,Y$37-2014)</f>
        <v>-3.0849729987681984E-3</v>
      </c>
      <c r="Z45" s="737">
        <f ca="1">OFFSET('GrD-Grafikdaten'!$J92,0,Z$37-2014) - OFFSET('GrD-Grafikdaten'!$J48,0,Z$37-2014)</f>
        <v>-4.5307492312058883E-3</v>
      </c>
      <c r="AA45" s="154"/>
      <c r="AB45" s="848"/>
    </row>
    <row r="46" spans="1:28" ht="17.100000000000001" customHeight="1">
      <c r="A46" s="848"/>
      <c r="B46" s="152"/>
      <c r="C46" s="798" t="s">
        <v>340</v>
      </c>
      <c r="D46" s="769" t="s">
        <v>1025</v>
      </c>
      <c r="E46" s="502" t="s">
        <v>409</v>
      </c>
      <c r="F46" s="495" t="str">
        <f>'D-Dauer Goldenes Ende'!E11</f>
        <v>Rien</v>
      </c>
      <c r="G46" s="124"/>
      <c r="H46" s="124"/>
      <c r="I46" s="124"/>
      <c r="J46" s="124"/>
      <c r="K46" s="124"/>
      <c r="L46" s="124"/>
      <c r="M46" s="124"/>
      <c r="N46" s="124"/>
      <c r="O46" s="124"/>
      <c r="P46" s="124"/>
      <c r="Q46" s="124"/>
      <c r="R46" s="124"/>
      <c r="S46" s="124"/>
      <c r="T46" s="124"/>
      <c r="U46" s="124"/>
      <c r="V46" s="124"/>
      <c r="W46" s="124"/>
      <c r="X46" s="124"/>
      <c r="Y46" s="124"/>
      <c r="Z46" s="124"/>
      <c r="AA46" s="154"/>
      <c r="AB46" s="848"/>
    </row>
    <row r="47" spans="1:28" ht="17.100000000000001" customHeight="1">
      <c r="A47" s="848"/>
      <c r="B47" s="152"/>
      <c r="C47" s="798" t="s">
        <v>12</v>
      </c>
      <c r="D47" s="769" t="s">
        <v>1025</v>
      </c>
      <c r="E47" s="502" t="s">
        <v>409</v>
      </c>
      <c r="F47" s="495" t="str">
        <f>'D-Dauer Goldenes Ende'!E12</f>
        <v>5 Années</v>
      </c>
      <c r="G47" s="124"/>
      <c r="H47" s="124"/>
      <c r="I47" s="124"/>
      <c r="J47" s="124"/>
      <c r="K47" s="124"/>
      <c r="L47" s="124"/>
      <c r="M47" s="124"/>
      <c r="N47" s="124"/>
      <c r="O47" s="124"/>
      <c r="P47" s="124"/>
      <c r="Q47" s="124"/>
      <c r="R47" s="124"/>
      <c r="S47" s="124"/>
      <c r="T47" s="124"/>
      <c r="U47" s="124"/>
      <c r="V47" s="124"/>
      <c r="W47" s="124"/>
      <c r="X47" s="124"/>
      <c r="Y47" s="124"/>
      <c r="Z47" s="124"/>
      <c r="AA47" s="154"/>
      <c r="AB47" s="848"/>
    </row>
    <row r="48" spans="1:28" ht="17.100000000000001" customHeight="1">
      <c r="A48" s="848"/>
      <c r="B48" s="152"/>
      <c r="C48" s="798" t="s">
        <v>11</v>
      </c>
      <c r="D48" s="769" t="s">
        <v>1025</v>
      </c>
      <c r="E48" s="502" t="s">
        <v>409</v>
      </c>
      <c r="F48" s="495" t="str">
        <f>'D-Dauer Goldenes Ende'!E8</f>
        <v>Rien</v>
      </c>
      <c r="G48" s="124"/>
      <c r="H48" s="124"/>
      <c r="I48" s="124"/>
      <c r="J48" s="124"/>
      <c r="K48" s="124"/>
      <c r="L48" s="124"/>
      <c r="M48" s="124"/>
      <c r="N48" s="124"/>
      <c r="O48" s="124"/>
      <c r="P48" s="124"/>
      <c r="Q48" s="124"/>
      <c r="R48" s="124"/>
      <c r="S48" s="124"/>
      <c r="T48" s="124"/>
      <c r="U48" s="124"/>
      <c r="V48" s="124"/>
      <c r="W48" s="124"/>
      <c r="X48" s="124"/>
      <c r="Y48" s="124"/>
      <c r="Z48" s="124"/>
      <c r="AA48" s="154"/>
      <c r="AB48" s="848"/>
    </row>
    <row r="49" spans="1:29" ht="16.5" customHeight="1">
      <c r="A49" s="848"/>
      <c r="B49" s="152"/>
      <c r="C49" s="798" t="s">
        <v>10</v>
      </c>
      <c r="D49" s="769" t="s">
        <v>1025</v>
      </c>
      <c r="E49" s="502" t="s">
        <v>409</v>
      </c>
      <c r="F49" s="495" t="str">
        <f>'D-Dauer Goldenes Ende'!E9</f>
        <v>Rien</v>
      </c>
      <c r="G49" s="124"/>
      <c r="H49" s="124"/>
      <c r="I49" s="124"/>
      <c r="J49" s="124"/>
      <c r="K49" s="124"/>
      <c r="L49" s="124"/>
      <c r="M49" s="124"/>
      <c r="N49" s="124"/>
      <c r="O49" s="124"/>
      <c r="P49" s="124"/>
      <c r="Q49" s="124"/>
      <c r="R49" s="124"/>
      <c r="S49" s="124"/>
      <c r="T49" s="124"/>
      <c r="U49" s="124"/>
      <c r="V49" s="124"/>
      <c r="W49" s="124"/>
      <c r="X49" s="124"/>
      <c r="Y49" s="124"/>
      <c r="Z49" s="124"/>
      <c r="AA49" s="154"/>
      <c r="AB49" s="848"/>
    </row>
    <row r="50" spans="1:29" ht="17.100000000000001" customHeight="1">
      <c r="A50" s="848"/>
      <c r="B50" s="152"/>
      <c r="C50" s="798" t="s">
        <v>529</v>
      </c>
      <c r="D50" s="769" t="s">
        <v>1025</v>
      </c>
      <c r="E50" s="502" t="s">
        <v>409</v>
      </c>
      <c r="F50" s="495" t="str">
        <f>'D-Dauer Goldenes Ende'!E6</f>
        <v>Rien</v>
      </c>
      <c r="G50" s="124"/>
      <c r="H50" s="124"/>
      <c r="I50" s="124"/>
      <c r="J50" s="124"/>
      <c r="K50" s="124"/>
      <c r="L50" s="124"/>
      <c r="M50" s="124"/>
      <c r="N50" s="124"/>
      <c r="O50" s="124"/>
      <c r="P50" s="124"/>
      <c r="Q50" s="124"/>
      <c r="R50" s="124"/>
      <c r="S50" s="124"/>
      <c r="T50" s="124"/>
      <c r="U50" s="124"/>
      <c r="V50" s="124"/>
      <c r="W50" s="124"/>
      <c r="X50" s="124"/>
      <c r="Y50" s="124"/>
      <c r="Z50" s="124"/>
      <c r="AA50" s="154"/>
      <c r="AB50" s="848"/>
    </row>
    <row r="51" spans="1:29" ht="17.100000000000001" customHeight="1" thickBot="1">
      <c r="A51" s="848"/>
      <c r="B51" s="152"/>
      <c r="C51" s="800" t="s">
        <v>349</v>
      </c>
      <c r="D51" s="775" t="s">
        <v>1025</v>
      </c>
      <c r="E51" s="503" t="s">
        <v>409</v>
      </c>
      <c r="F51" s="496" t="str">
        <f>'D-Dauer Goldenes Ende'!E7</f>
        <v>Rien</v>
      </c>
      <c r="G51" s="124"/>
      <c r="H51" s="124"/>
      <c r="I51" s="124"/>
      <c r="J51" s="124"/>
      <c r="K51" s="124"/>
      <c r="L51" s="124"/>
      <c r="M51" s="124"/>
      <c r="N51" s="124"/>
      <c r="O51" s="124"/>
      <c r="P51" s="124"/>
      <c r="Q51" s="124"/>
      <c r="R51" s="124"/>
      <c r="S51" s="124"/>
      <c r="T51" s="124"/>
      <c r="U51" s="124"/>
      <c r="V51" s="124"/>
      <c r="W51" s="124"/>
      <c r="X51" s="124"/>
      <c r="Y51" s="124"/>
      <c r="Z51" s="124"/>
      <c r="AA51" s="154"/>
      <c r="AB51" s="848"/>
    </row>
    <row r="52" spans="1:29" ht="17.100000000000001" customHeight="1">
      <c r="A52" s="848"/>
      <c r="B52" s="156"/>
      <c r="C52" s="157"/>
      <c r="D52" s="157"/>
      <c r="E52" s="157"/>
      <c r="F52" s="636" t="s">
        <v>72</v>
      </c>
      <c r="G52" s="157"/>
      <c r="H52" s="157"/>
      <c r="I52" s="157"/>
      <c r="J52" s="157"/>
      <c r="K52" s="157"/>
      <c r="L52" s="157"/>
      <c r="M52" s="157"/>
      <c r="N52" s="157"/>
      <c r="O52" s="157"/>
      <c r="P52" s="157"/>
      <c r="Q52" s="157"/>
      <c r="R52" s="157"/>
      <c r="S52" s="157"/>
      <c r="T52" s="157"/>
      <c r="U52" s="157"/>
      <c r="V52" s="157"/>
      <c r="W52" s="157"/>
      <c r="X52" s="157"/>
      <c r="Y52" s="157"/>
      <c r="Z52" s="157"/>
      <c r="AA52" s="158"/>
      <c r="AB52" s="848"/>
    </row>
    <row r="53" spans="1:29" ht="17.100000000000001" customHeight="1">
      <c r="A53" s="848"/>
      <c r="B53" s="848"/>
      <c r="C53" s="848"/>
      <c r="D53" s="848"/>
      <c r="E53" s="848"/>
      <c r="F53" s="848"/>
      <c r="G53" s="848"/>
      <c r="H53" s="848"/>
      <c r="I53" s="848"/>
      <c r="J53" s="848"/>
      <c r="K53" s="848"/>
      <c r="L53" s="848"/>
      <c r="M53" s="848"/>
      <c r="N53" s="848"/>
      <c r="O53" s="848"/>
      <c r="P53" s="848"/>
      <c r="Q53" s="848"/>
      <c r="R53" s="848"/>
      <c r="S53" s="848"/>
      <c r="T53" s="848"/>
      <c r="U53" s="848"/>
      <c r="V53" s="848"/>
      <c r="W53" s="848"/>
      <c r="X53" s="848"/>
      <c r="Y53" s="848"/>
      <c r="Z53" s="848"/>
      <c r="AA53" s="848"/>
      <c r="AB53" s="848"/>
      <c r="AC53" s="848"/>
    </row>
    <row r="54" spans="1:29" ht="17.100000000000001" customHeight="1">
      <c r="A54" s="855"/>
      <c r="B54" s="137"/>
      <c r="C54" s="159"/>
      <c r="D54" s="159"/>
      <c r="E54" s="159"/>
      <c r="F54" s="159"/>
      <c r="G54" s="159"/>
      <c r="H54" s="159"/>
      <c r="I54" s="159"/>
      <c r="J54" s="159"/>
      <c r="K54" s="159"/>
      <c r="L54" s="159"/>
      <c r="M54" s="159"/>
      <c r="N54" s="159"/>
      <c r="O54" s="159"/>
      <c r="P54" s="159"/>
      <c r="Q54" s="159"/>
      <c r="R54" s="159"/>
      <c r="S54" s="159"/>
      <c r="T54" s="45"/>
      <c r="U54" s="159"/>
      <c r="V54" s="159"/>
      <c r="W54" s="159"/>
      <c r="X54" s="159"/>
      <c r="Y54" s="159"/>
      <c r="Z54" s="159"/>
      <c r="AA54" s="159"/>
      <c r="AB54" s="159"/>
    </row>
    <row r="55" spans="1:29" ht="17.100000000000001" customHeight="1">
      <c r="A55" s="855"/>
      <c r="B55" s="137"/>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row>
    <row r="56" spans="1:29" ht="17.100000000000001" customHeight="1">
      <c r="A56" s="159"/>
      <c r="B56" s="137"/>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row>
    <row r="57" spans="1:29" ht="17.100000000000001" customHeight="1">
      <c r="A57" s="159"/>
      <c r="B57" s="137"/>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row>
    <row r="58" spans="1:29" ht="17.100000000000001" customHeight="1">
      <c r="A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row>
    <row r="59" spans="1:29" ht="17.100000000000001" customHeight="1">
      <c r="A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row>
    <row r="60" spans="1:29" ht="17.100000000000001" customHeight="1">
      <c r="A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row>
    <row r="61" spans="1:29" ht="17.100000000000001" customHeight="1">
      <c r="A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row>
    <row r="62" spans="1:29" ht="17.100000000000001" customHeight="1">
      <c r="A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row>
    <row r="63" spans="1:29" ht="17.100000000000001" customHeight="1">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row>
    <row r="64" spans="1:29" ht="17.100000000000001" customHeight="1">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row>
    <row r="65" spans="1:28" ht="15" customHeight="1">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row>
    <row r="66" spans="1:28" ht="15" customHeight="1">
      <c r="A66" s="137"/>
      <c r="B66" s="137"/>
      <c r="C66" s="137"/>
      <c r="D66" s="137"/>
      <c r="E66" s="137"/>
      <c r="S66" s="137"/>
      <c r="T66" s="137"/>
      <c r="U66" s="137"/>
      <c r="V66" s="137"/>
      <c r="W66" s="137"/>
      <c r="X66" s="137"/>
      <c r="Y66" s="137"/>
      <c r="Z66" s="137"/>
      <c r="AA66" s="137"/>
    </row>
    <row r="67" spans="1:28" ht="15" customHeight="1">
      <c r="A67" s="137"/>
      <c r="B67" s="137"/>
      <c r="C67" s="137"/>
      <c r="D67" s="137"/>
      <c r="E67" s="137"/>
      <c r="S67" s="137"/>
      <c r="T67" s="137"/>
      <c r="U67" s="137"/>
      <c r="V67" s="137"/>
      <c r="W67" s="137"/>
      <c r="X67" s="137"/>
      <c r="Y67" s="137"/>
      <c r="Z67" s="137"/>
      <c r="AA67" s="137"/>
    </row>
    <row r="68" spans="1:28" ht="15" customHeight="1">
      <c r="A68" s="137"/>
      <c r="B68" s="137"/>
      <c r="C68" s="137"/>
      <c r="D68" s="137"/>
      <c r="E68" s="137"/>
      <c r="S68" s="137"/>
      <c r="T68" s="137"/>
      <c r="U68" s="137"/>
      <c r="V68" s="137"/>
      <c r="W68" s="137"/>
      <c r="X68" s="137"/>
      <c r="Y68" s="137"/>
      <c r="Z68" s="137"/>
      <c r="AA68" s="137"/>
    </row>
    <row r="69" spans="1:28" ht="15" customHeight="1">
      <c r="A69" s="137"/>
      <c r="B69" s="137"/>
      <c r="S69" s="137"/>
      <c r="T69" s="137"/>
      <c r="U69" s="137"/>
      <c r="V69" s="137"/>
      <c r="W69" s="137"/>
      <c r="X69" s="137"/>
      <c r="Y69" s="137"/>
      <c r="Z69" s="137"/>
      <c r="AA69" s="137"/>
    </row>
  </sheetData>
  <mergeCells count="49">
    <mergeCell ref="Q38:Z38"/>
    <mergeCell ref="Q5:S5"/>
    <mergeCell ref="Q42:Z42"/>
    <mergeCell ref="Q36:Z36"/>
    <mergeCell ref="J26:K26"/>
    <mergeCell ref="L7:M7"/>
    <mergeCell ref="J30:K30"/>
    <mergeCell ref="J27:K27"/>
    <mergeCell ref="J12:K12"/>
    <mergeCell ref="J13:K13"/>
    <mergeCell ref="J14:K14"/>
    <mergeCell ref="J18:K18"/>
    <mergeCell ref="I33:J33"/>
    <mergeCell ref="C2:C3"/>
    <mergeCell ref="D6:F6"/>
    <mergeCell ref="D17:F17"/>
    <mergeCell ref="J17:M17"/>
    <mergeCell ref="E18:F18"/>
    <mergeCell ref="J7:K7"/>
    <mergeCell ref="J8:K8"/>
    <mergeCell ref="J9:K9"/>
    <mergeCell ref="J10:K10"/>
    <mergeCell ref="J11:K11"/>
    <mergeCell ref="L18:M18"/>
    <mergeCell ref="J6:M6"/>
    <mergeCell ref="E32:F32"/>
    <mergeCell ref="J28:K28"/>
    <mergeCell ref="J29:K29"/>
    <mergeCell ref="L32:M32"/>
    <mergeCell ref="I32:J32"/>
    <mergeCell ref="T2:U3"/>
    <mergeCell ref="E7:F7"/>
    <mergeCell ref="J24:M24"/>
    <mergeCell ref="L25:M25"/>
    <mergeCell ref="J19:K19"/>
    <mergeCell ref="J20:K20"/>
    <mergeCell ref="J21:K21"/>
    <mergeCell ref="J22:K22"/>
    <mergeCell ref="J25:K25"/>
    <mergeCell ref="E25:F25"/>
    <mergeCell ref="D24:F24"/>
    <mergeCell ref="L44:M44"/>
    <mergeCell ref="J44:K44"/>
    <mergeCell ref="J45:K45"/>
    <mergeCell ref="J43:M43"/>
    <mergeCell ref="E33:F33"/>
    <mergeCell ref="L33:M33"/>
    <mergeCell ref="E43:F43"/>
    <mergeCell ref="E44:F44"/>
  </mergeCells>
  <conditionalFormatting sqref="S43:Z44">
    <cfRule type="cellIs" dxfId="269" priority="3" operator="lessThan">
      <formula>0</formula>
    </cfRule>
    <cfRule type="cellIs" dxfId="268" priority="4" operator="greaterThan">
      <formula>0</formula>
    </cfRule>
  </conditionalFormatting>
  <conditionalFormatting sqref="S45:Z45">
    <cfRule type="cellIs" dxfId="267" priority="1" operator="greaterThan">
      <formula>0</formula>
    </cfRule>
    <cfRule type="cellIs" dxfId="266" priority="2" operator="lessThan">
      <formula>0</formula>
    </cfRule>
  </conditionalFormatting>
  <dataValidations count="58">
    <dataValidation type="list" allowBlank="1" showInputMessage="1" showErrorMessage="1" sqref="E12" xr:uid="{00000000-0002-0000-0000-000000000000}">
      <formula1>INDIRECT("'D-Bruttozubau'!$C$91:$C$115")</formula1>
    </dataValidation>
    <dataValidation type="list" allowBlank="1" showInputMessage="1" showErrorMessage="1" sqref="E11" xr:uid="{00000000-0002-0000-0000-000001000000}">
      <formula1>INDIRECT("'D-Bruttozubau'!$C$65:$C$89")</formula1>
    </dataValidation>
    <dataValidation type="list" allowBlank="1" showInputMessage="1" showErrorMessage="1" sqref="E13" xr:uid="{00000000-0002-0000-0000-000002000000}">
      <formula1>INDIRECT("'D-Bruttozubau'!$C$13:$C$37")</formula1>
    </dataValidation>
    <dataValidation type="list" allowBlank="1" showInputMessage="1" showErrorMessage="1" sqref="E8" xr:uid="{00000000-0002-0000-0000-000003000000}">
      <formula1>INDIRECT("'D-Bruttozubau'!$C$117:$C$141")</formula1>
    </dataValidation>
    <dataValidation type="list" allowBlank="1" showInputMessage="1" showErrorMessage="1" sqref="E9" xr:uid="{00000000-0002-0000-0000-000004000000}">
      <formula1>INDIRECT("'D-Bruttozubau'!$C$143:$C$167")</formula1>
    </dataValidation>
    <dataValidation type="list" allowBlank="1" showInputMessage="1" showErrorMessage="1" sqref="E10" xr:uid="{00000000-0002-0000-0000-000005000000}">
      <formula1>INDIRECT("'D-Bruttozubau'!$C$169:$C$193")</formula1>
    </dataValidation>
    <dataValidation type="list" allowBlank="1" showInputMessage="1" showErrorMessage="1" sqref="L36" xr:uid="{00000000-0002-0000-0000-000006000000}">
      <formula1>INDIRECT("'D-Profilfaktoren'!$C$169:$C$193")</formula1>
    </dataValidation>
    <dataValidation type="list" allowBlank="1" showInputMessage="1" showErrorMessage="1" sqref="L35" xr:uid="{00000000-0002-0000-0000-000007000000}">
      <formula1>INDIRECT("'D-Profilfaktoren'!$C$143:$C$167")</formula1>
    </dataValidation>
    <dataValidation type="list" allowBlank="1" showInputMessage="1" showErrorMessage="1" sqref="L34" xr:uid="{00000000-0002-0000-0000-000008000000}">
      <formula1>INDIRECT("'D-Profilfaktoren'!$C$117:$C$141")</formula1>
    </dataValidation>
    <dataValidation type="list" allowBlank="1" showInputMessage="1" showErrorMessage="1" sqref="L38" xr:uid="{00000000-0002-0000-0000-000009000000}">
      <formula1>INDIRECT("'D-Profilfaktoren'!$C$91:$C$115")</formula1>
    </dataValidation>
    <dataValidation type="list" allowBlank="1" showInputMessage="1" showErrorMessage="1" sqref="L37" xr:uid="{00000000-0002-0000-0000-00000A000000}">
      <formula1>INDIRECT("'D-Profilfaktoren'!$C$65:$C$89")</formula1>
    </dataValidation>
    <dataValidation type="list" allowBlank="1" showInputMessage="1" showErrorMessage="1" sqref="L40" xr:uid="{00000000-0002-0000-0000-00000B000000}">
      <formula1>INDIRECT("'D-Profilfaktoren'!$C$39:$C$63")</formula1>
    </dataValidation>
    <dataValidation type="list" allowBlank="1" showInputMessage="1" showErrorMessage="1" sqref="L39" xr:uid="{00000000-0002-0000-0000-00000C000000}">
      <formula1>INDIRECT("'D-Profilfaktoren'!$C$13:$C$37")</formula1>
    </dataValidation>
    <dataValidation type="list" allowBlank="1" showInputMessage="1" showErrorMessage="1" sqref="L10" xr:uid="{00000000-0002-0000-0000-00000D000000}">
      <formula1>INDIRECT("'D-Vergütungssatz Neuanlagen'!$C$169:$C$187")</formula1>
    </dataValidation>
    <dataValidation type="list" allowBlank="1" showInputMessage="1" showErrorMessage="1" sqref="L9" xr:uid="{00000000-0002-0000-0000-00000E000000}">
      <formula1>INDIRECT("'D-Vergütungssatz Neuanlagen'!$C$143:$C$167")</formula1>
    </dataValidation>
    <dataValidation type="list" allowBlank="1" showInputMessage="1" showErrorMessage="1" sqref="L8" xr:uid="{00000000-0002-0000-0000-00000F000000}">
      <formula1>INDIRECT("'D-Vergütungssatz Neuanlagen'!$C$117:$C$135")</formula1>
    </dataValidation>
    <dataValidation type="list" allowBlank="1" showInputMessage="1" showErrorMessage="1" sqref="L12" xr:uid="{00000000-0002-0000-0000-000010000000}">
      <formula1>INDIRECT("'D-Vergütungssatz Neuanlagen'!$C$91:$C$115")</formula1>
    </dataValidation>
    <dataValidation type="list" allowBlank="1" showInputMessage="1" showErrorMessage="1" sqref="L11" xr:uid="{00000000-0002-0000-0000-000011000000}">
      <formula1>INDIRECT("'D-Vergütungssatz Neuanlagen'!$C$65:$C$83")</formula1>
    </dataValidation>
    <dataValidation type="list" allowBlank="1" showInputMessage="1" showErrorMessage="1" sqref="L14" xr:uid="{00000000-0002-0000-0000-000012000000}">
      <formula1>INDIRECT("'D-Vergütungssatz Neuanlagen'!$C$39:$C$63")</formula1>
    </dataValidation>
    <dataValidation type="list" allowBlank="1" showInputMessage="1" showErrorMessage="1" sqref="L13" xr:uid="{00000000-0002-0000-0000-000013000000}">
      <formula1>INDIRECT("'D-Vergütungssatz Neuanlagen'!$C$13:$C$37")</formula1>
    </dataValidation>
    <dataValidation type="list" allowBlank="1" showInputMessage="1" showErrorMessage="1" sqref="L29" xr:uid="{00000000-0002-0000-0000-000014000000}">
      <formula1>INDIRECT("'D-Sonstige Kosten'!$B$7:$B$25")</formula1>
    </dataValidation>
    <dataValidation type="list" allowBlank="1" showInputMessage="1" showErrorMessage="1" sqref="E20" xr:uid="{00000000-0002-0000-0000-000015000000}">
      <formula1>INDIRECT("'D-Umlage priv. Letztverbrauch'!$B$7:$B$25")</formula1>
    </dataValidation>
    <dataValidation type="list" allowBlank="1" showInputMessage="1" showErrorMessage="1" sqref="E19" xr:uid="{00000000-0002-0000-0000-000016000000}">
      <formula1>INDIRECT("'D-Privilegierter Letztverbrauch'!$B$7:$B$25")</formula1>
    </dataValidation>
    <dataValidation type="list" allowBlank="1" showInputMessage="1" showErrorMessage="1" sqref="L26" xr:uid="{00000000-0002-0000-0000-000017000000}">
      <formula1>INDIRECT("'D-Nettostromverbrauch'!$B$7:$B$25")</formula1>
    </dataValidation>
    <dataValidation type="list" allowBlank="1" showInputMessage="1" showErrorMessage="1" sqref="L20" xr:uid="{00000000-0002-0000-0000-000018000000}">
      <formula1>INDIRECT("'D-Liquiditätspuffer'!$B$7:$B$25")</formula1>
    </dataValidation>
    <dataValidation type="list" allowBlank="1" showInputMessage="1" showErrorMessage="1" sqref="L27" xr:uid="{00000000-0002-0000-0000-000019000000}">
      <formula1>INDIRECT("'D-Spot-Skalierungsfaktor'!$B$7:$B$25")</formula1>
    </dataValidation>
    <dataValidation type="list" allowBlank="1" showInputMessage="1" showErrorMessage="1" sqref="L19" xr:uid="{00000000-0002-0000-0000-00001A000000}">
      <formula1>INDIRECT("'D-Future Strompreis'!$B$7:$B$25")</formula1>
    </dataValidation>
    <dataValidation type="list" allowBlank="1" showInputMessage="1" showErrorMessage="1" sqref="L28" xr:uid="{00000000-0002-0000-0000-00001B000000}">
      <formula1>INDIRECT("'D-vermiedene Netzentgelte'!$B$7:$B$25")</formula1>
    </dataValidation>
    <dataValidation type="list" allowBlank="1" showInputMessage="1" showErrorMessage="1" sqref="E36" xr:uid="{00000000-0002-0000-0000-00001C000000}">
      <formula1>INDIRECT("'D-Standardauslastung'!$C$169:$C$193")</formula1>
    </dataValidation>
    <dataValidation type="list" allowBlank="1" showInputMessage="1" showErrorMessage="1" sqref="E35" xr:uid="{00000000-0002-0000-0000-00001D000000}">
      <formula1>INDIRECT("'D-Standardauslastung'!$C$143:$C$167")</formula1>
    </dataValidation>
    <dataValidation type="list" allowBlank="1" showInputMessage="1" showErrorMessage="1" sqref="E34" xr:uid="{00000000-0002-0000-0000-00001E000000}">
      <formula1>INDIRECT("'D-Standardauslastung'!$C$117:$C$141")</formula1>
    </dataValidation>
    <dataValidation type="list" allowBlank="1" showInputMessage="1" showErrorMessage="1" sqref="E38" xr:uid="{00000000-0002-0000-0000-00001F000000}">
      <formula1>INDIRECT("'D-Standardauslastung'!$C$91:$C$115")</formula1>
    </dataValidation>
    <dataValidation type="list" allowBlank="1" showInputMessage="1" showErrorMessage="1" sqref="E37" xr:uid="{00000000-0002-0000-0000-000020000000}">
      <formula1>INDIRECT("'D-Standardauslastung'!$C$65:$C$89")</formula1>
    </dataValidation>
    <dataValidation type="list" allowBlank="1" showInputMessage="1" showErrorMessage="1" sqref="E40" xr:uid="{00000000-0002-0000-0000-000021000000}">
      <formula1>INDIRECT("'D-Standardauslastung'!$C$39:$C$63")</formula1>
    </dataValidation>
    <dataValidation type="list" allowBlank="1" showInputMessage="1" showErrorMessage="1" sqref="E39" xr:uid="{00000000-0002-0000-0000-000022000000}">
      <formula1>INDIRECT("'D-Standardauslastung'!$C$13:$C$37")</formula1>
    </dataValidation>
    <dataValidation type="list" allowBlank="1" showInputMessage="1" showErrorMessage="1" sqref="E14" xr:uid="{00000000-0002-0000-0000-000023000000}">
      <formula1>INDIRECT("'D-Bruttozubau'!$C$39:$C$63")</formula1>
    </dataValidation>
    <dataValidation type="list" allowBlank="1" showInputMessage="1" showErrorMessage="1" sqref="I36" xr:uid="{00000000-0002-0000-0000-000024000000}">
      <formula1>INDIRECT("'D-Dargebotsfaktor'!$C$169:$C$193")</formula1>
    </dataValidation>
    <dataValidation type="list" allowBlank="1" showInputMessage="1" showErrorMessage="1" sqref="I35" xr:uid="{00000000-0002-0000-0000-000025000000}">
      <formula1>INDIRECT("'D-Dargebotsfaktor'!$C$143:$C$167")</formula1>
    </dataValidation>
    <dataValidation type="list" allowBlank="1" showInputMessage="1" showErrorMessage="1" sqref="I34" xr:uid="{00000000-0002-0000-0000-000026000000}">
      <formula1>INDIRECT("'D-Dargebotsfaktor'!$C$117:$C$141")</formula1>
    </dataValidation>
    <dataValidation type="list" allowBlank="1" showInputMessage="1" showErrorMessage="1" sqref="I38" xr:uid="{00000000-0002-0000-0000-000027000000}">
      <formula1>INDIRECT("'D-Dargebotsfaktor'!$C$91:$C$115")</formula1>
    </dataValidation>
    <dataValidation type="list" allowBlank="1" showInputMessage="1" showErrorMessage="1" sqref="I37" xr:uid="{00000000-0002-0000-0000-000028000000}">
      <formula1>INDIRECT("'D-Dargebotsfaktor'!$C$65:$C$89")</formula1>
    </dataValidation>
    <dataValidation type="list" allowBlank="1" showInputMessage="1" showErrorMessage="1" sqref="I40" xr:uid="{00000000-0002-0000-0000-000029000000}">
      <formula1>INDIRECT("'D-Dargebotsfaktor'!$C$39:$C$63")</formula1>
    </dataValidation>
    <dataValidation type="list" allowBlank="1" showInputMessage="1" showErrorMessage="1" sqref="I39" xr:uid="{00000000-0002-0000-0000-00002A000000}">
      <formula1>INDIRECT("'D-Dargebotsfaktor'!$C$13:$C$37")</formula1>
    </dataValidation>
    <dataValidation type="list" allowBlank="1" showInputMessage="1" showErrorMessage="1" sqref="L21" xr:uid="{00000000-0002-0000-0000-00002B000000}">
      <formula1>INDIRECT("'D-Kontostand aktuelles Jahr'!$B$7:$B$25")</formula1>
    </dataValidation>
    <dataValidation type="list" allowBlank="1" showInputMessage="1" showErrorMessage="1" sqref="L22" xr:uid="{00000000-0002-0000-0000-00002C000000}">
      <formula1>INDIRECT("'D-Prognosefehler Kontostand'!$B$7:$B$25")</formula1>
    </dataValidation>
    <dataValidation type="list" allowBlank="1" showInputMessage="1" showErrorMessage="1" sqref="E26" xr:uid="{00000000-0002-0000-0000-00002D000000}">
      <formula1>INDIRECT("'D-Eigenverbrauch KWK Neue'!$B$7:$B$25")</formula1>
    </dataValidation>
    <dataValidation type="list" allowBlank="1" showInputMessage="1" showErrorMessage="1" sqref="E28" xr:uid="{00000000-0002-0000-0000-00002E000000}">
      <formula1>INDIRECT("'D-Umlage Eigenverbrauch PV+KWK'!$B$7:$B$25")</formula1>
    </dataValidation>
    <dataValidation type="list" allowBlank="1" showInputMessage="1" showErrorMessage="1" sqref="E27" xr:uid="{00000000-0002-0000-0000-00002F000000}">
      <formula1>INDIRECT("'D-Anteil Eigenverbrauch EE neu'!$C$13:$C$37")</formula1>
    </dataValidation>
    <dataValidation type="list" allowBlank="1" showInputMessage="1" showErrorMessage="1" sqref="E21" xr:uid="{00000000-0002-0000-0000-000030000000}">
      <formula1>INDIRECT("'D-Faktor Zusatzprivilegierung'!$B$7:$B$25")</formula1>
    </dataValidation>
    <dataValidation type="list" allowBlank="1" showInputMessage="1" showErrorMessage="1" sqref="E29" xr:uid="{00000000-0002-0000-0000-000031000000}">
      <formula1>INDIRECT("'D-Umlage EV Bestand'!$B$7:$B$12")</formula1>
    </dataValidation>
    <dataValidation type="list" allowBlank="1" showInputMessage="1" showErrorMessage="1" sqref="L30" xr:uid="{00000000-0002-0000-0000-000032000000}">
      <formula1>INDIRECT("'D-Inflationsrate'!$B$7:$B$25")</formula1>
    </dataValidation>
    <dataValidation type="list" allowBlank="1" showInputMessage="1" showErrorMessage="1" sqref="E45" xr:uid="{00000000-0002-0000-0000-000033000000}">
      <formula1>INDIRECT("'D-Dauer Goldenes Ende'!$C$117:$C$141")</formula1>
    </dataValidation>
    <dataValidation type="list" allowBlank="1" showInputMessage="1" showErrorMessage="1" sqref="E46" xr:uid="{00000000-0002-0000-0000-000034000000}">
      <formula1>INDIRECT("'D-Dauer Goldenes Ende'!$C$143:$C$167")</formula1>
    </dataValidation>
    <dataValidation type="list" allowBlank="1" showInputMessage="1" showErrorMessage="1" sqref="E47" xr:uid="{00000000-0002-0000-0000-000035000000}">
      <formula1>INDIRECT("'D-Dauer Goldenes Ende'!$C$169:$C$193")</formula1>
    </dataValidation>
    <dataValidation type="list" allowBlank="1" showInputMessage="1" showErrorMessage="1" sqref="E48" xr:uid="{00000000-0002-0000-0000-000036000000}">
      <formula1>INDIRECT("'D-Dauer Goldenes Ende'!$C$65:$C$89")</formula1>
    </dataValidation>
    <dataValidation type="list" allowBlank="1" showInputMessage="1" showErrorMessage="1" sqref="E49" xr:uid="{00000000-0002-0000-0000-000037000000}">
      <formula1>INDIRECT("'D-Dauer Goldenes Ende'!$C$91:$C$115")</formula1>
    </dataValidation>
    <dataValidation type="list" allowBlank="1" showInputMessage="1" showErrorMessage="1" sqref="E50" xr:uid="{00000000-0002-0000-0000-000038000000}">
      <formula1>INDIRECT("'D-Dauer Goldenes Ende'!$C$13:$C$37")</formula1>
    </dataValidation>
    <dataValidation type="list" allowBlank="1" showInputMessage="1" showErrorMessage="1" sqref="E51" xr:uid="{00000000-0002-0000-0000-000039000000}">
      <formula1>INDIRECT("'D-Dauer Goldenes Ende'!$C$39:$C$63")</formula1>
    </dataValidation>
  </dataValidations>
  <hyperlinks>
    <hyperlink ref="O26" location="'D-Nettostromverbrauch'!Druckbereich" display="&gt;" xr:uid="{00000000-0004-0000-0000-000000000000}"/>
    <hyperlink ref="H19" location="'D-Privilegierter Letztverbrauch'!A1" display="&gt;" xr:uid="{00000000-0004-0000-0000-000001000000}"/>
    <hyperlink ref="H26" location="'D-Eigenverbrauch KWK Neue'!Druckbereich" display="&gt;" xr:uid="{00000000-0004-0000-0000-000002000000}"/>
    <hyperlink ref="H20" location="'D-Umlage priv. Letztverbrauch'!A1" display="&gt;" xr:uid="{00000000-0004-0000-0000-000003000000}"/>
    <hyperlink ref="H29" location="'D-Umlage EV Bestand'!A1" display="&gt;" xr:uid="{00000000-0004-0000-0000-000004000000}"/>
    <hyperlink ref="O28" location="'D-vermiedene Netzentgelte'!A1" display="&gt;" xr:uid="{00000000-0004-0000-0000-000005000000}"/>
    <hyperlink ref="O19" location="'D-Future Strompreis'!A1" display="&gt;" xr:uid="{00000000-0004-0000-0000-000006000000}"/>
    <hyperlink ref="O27" location="'D-Spot-Skalierungsfaktor'!A1" display="&gt;" xr:uid="{00000000-0004-0000-0000-000007000000}"/>
    <hyperlink ref="O20" location="'D-Liquiditätspuffer'!A1" display="&gt;" xr:uid="{00000000-0004-0000-0000-000008000000}"/>
    <hyperlink ref="O29" location="'D-Sonstige Kosten'!A1" display="&gt;" xr:uid="{00000000-0004-0000-0000-000009000000}"/>
    <hyperlink ref="J41" location="'D-Dargebotsfaktor'!A1" display="&gt;" xr:uid="{00000000-0004-0000-0000-00000A000000}"/>
    <hyperlink ref="F15" location="'D-Bruttozubau'!A1" display="zu den Szenariendaten:   &gt;" xr:uid="{00000000-0004-0000-0000-00000B000000}"/>
    <hyperlink ref="F41" location="'D-Standardauslastung'!A1" display="&gt;" xr:uid="{00000000-0004-0000-0000-00000C000000}"/>
    <hyperlink ref="M41" location="'D-Profilfaktoren'!A1" display="&gt;" xr:uid="{00000000-0004-0000-0000-00000D000000}"/>
    <hyperlink ref="M15" location="'D-Vergütungssatz Neuanlagen'!A1" display="&gt;" xr:uid="{00000000-0004-0000-0000-00000E000000}"/>
    <hyperlink ref="H27" location="'D-Anteil Eigenverbrauch EE neu'!Druckbereich" display="&gt;" xr:uid="{00000000-0004-0000-0000-00000F000000}"/>
    <hyperlink ref="O21" location="'D-Kontostand aktuelles Jahr'!A1" display="&gt;" xr:uid="{00000000-0004-0000-0000-000010000000}"/>
    <hyperlink ref="O22" location="'D-Prognosefehler Kontostand'!A1" display="&gt;" xr:uid="{00000000-0004-0000-0000-000011000000}"/>
    <hyperlink ref="H28" location="'D-Umlage Eigenverbrauch PV+KWK'!A1" display="&gt;" xr:uid="{00000000-0004-0000-0000-000012000000}"/>
    <hyperlink ref="H21" location="'D-Faktor Zusatzprivilegierung'!Druckbereich" display="&gt;" xr:uid="{00000000-0004-0000-0000-000013000000}"/>
    <hyperlink ref="O30" location="'D-Inflationsrate'!A1" display="&gt;" xr:uid="{00000000-0004-0000-0000-000014000000}"/>
    <hyperlink ref="F52" location="'D-Dauer Goldenes Ende'!A1" display="&gt;" xr:uid="{00000000-0004-0000-0000-000015000000}"/>
    <hyperlink ref="O45" location="'D-Zuschuss'!A1" display="&gt;" xr:uid="{E79BB168-0279-4DC8-A11D-76C4EC1237B2}"/>
  </hyperlinks>
  <printOptions verticalCentered="1"/>
  <pageMargins left="0.78740157480314965" right="0.78740157480314965" top="0.98425196850393704" bottom="0.98425196850393704" header="0.59055118110236227" footer="0.59055118110236227"/>
  <pageSetup paperSize="9" scale="38" fitToHeight="0" orientation="landscape" r:id="rId1"/>
  <headerFooter scaleWithDoc="0">
    <oddHeader>&amp;C&amp;"Arial,Fett"&amp;18EEG Calculator</oddHeader>
    <oddFooter>&amp;LExpertenmodus:
Eingangsparameter &amp;&amp; Ergebnisse&amp;C&amp;F  &amp;A
Seite &amp;P/&amp;N&amp;R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428" r:id="rId4" name="Button 4">
              <controlPr defaultSize="0" print="0" autoFill="0" autoPict="0" macro="[0]!ChangeToSimplifiedMode">
                <anchor moveWithCells="1" sizeWithCells="1">
                  <from>
                    <xdr:col>5</xdr:col>
                    <xdr:colOff>449580</xdr:colOff>
                    <xdr:row>1</xdr:row>
                    <xdr:rowOff>68580</xdr:rowOff>
                  </from>
                  <to>
                    <xdr:col>5</xdr:col>
                    <xdr:colOff>2247900</xdr:colOff>
                    <xdr:row>2</xdr:row>
                    <xdr:rowOff>144780</xdr:rowOff>
                  </to>
                </anchor>
              </controlPr>
            </control>
          </mc:Choice>
        </mc:AlternateContent>
        <mc:AlternateContent xmlns:mc="http://schemas.openxmlformats.org/markup-compatibility/2006">
          <mc:Choice Requires="x14">
            <control shapeId="103429" r:id="rId5" name="Button 5">
              <controlPr defaultSize="0" print="0" autoFill="0" autoPict="0" macro="[0]!revertToReferenceScenarioExpertMode">
                <anchor moveWithCells="1" sizeWithCells="1">
                  <from>
                    <xdr:col>3</xdr:col>
                    <xdr:colOff>1165860</xdr:colOff>
                    <xdr:row>1</xdr:row>
                    <xdr:rowOff>68580</xdr:rowOff>
                  </from>
                  <to>
                    <xdr:col>5</xdr:col>
                    <xdr:colOff>198120</xdr:colOff>
                    <xdr:row>2</xdr:row>
                    <xdr:rowOff>144780</xdr:rowOff>
                  </to>
                </anchor>
              </controlPr>
            </control>
          </mc:Choice>
        </mc:AlternateContent>
        <mc:AlternateContent xmlns:mc="http://schemas.openxmlformats.org/markup-compatibility/2006">
          <mc:Choice Requires="x14">
            <control shapeId="103435" r:id="rId6" name="Button 11">
              <controlPr defaultSize="0" print="0" autoFill="0" autoPict="0" macro="[0]!goToManual">
                <anchor moveWithCells="1" sizeWithCells="1">
                  <from>
                    <xdr:col>8</xdr:col>
                    <xdr:colOff>304800</xdr:colOff>
                    <xdr:row>1</xdr:row>
                    <xdr:rowOff>68580</xdr:rowOff>
                  </from>
                  <to>
                    <xdr:col>9</xdr:col>
                    <xdr:colOff>22860</xdr:colOff>
                    <xdr:row>2</xdr:row>
                    <xdr:rowOff>144780</xdr:rowOff>
                  </to>
                </anchor>
              </controlPr>
            </control>
          </mc:Choice>
        </mc:AlternateContent>
        <mc:AlternateContent xmlns:mc="http://schemas.openxmlformats.org/markup-compatibility/2006">
          <mc:Choice Requires="x14">
            <control shapeId="103436" r:id="rId7" name="Button 12">
              <controlPr defaultSize="0" print="0" autoFill="0" autoPict="0" macro="[0]!goToResults">
                <anchor moveWithCells="1" sizeWithCells="1">
                  <from>
                    <xdr:col>5</xdr:col>
                    <xdr:colOff>2545080</xdr:colOff>
                    <xdr:row>1</xdr:row>
                    <xdr:rowOff>68580</xdr:rowOff>
                  </from>
                  <to>
                    <xdr:col>8</xdr:col>
                    <xdr:colOff>45720</xdr:colOff>
                    <xdr:row>2</xdr:row>
                    <xdr:rowOff>152400</xdr:rowOff>
                  </to>
                </anchor>
              </controlPr>
            </control>
          </mc:Choice>
        </mc:AlternateContent>
        <mc:AlternateContent xmlns:mc="http://schemas.openxmlformats.org/markup-compatibility/2006">
          <mc:Choice Requires="x14">
            <control shapeId="103456" r:id="rId8" name="Button 32">
              <controlPr defaultSize="0" print="0" autoFill="0" autoPict="0" macro="[0]!switchNominalReal">
                <anchor moveWithCells="1" sizeWithCells="1">
                  <from>
                    <xdr:col>20</xdr:col>
                    <xdr:colOff>45720</xdr:colOff>
                    <xdr:row>4</xdr:row>
                    <xdr:rowOff>60960</xdr:rowOff>
                  </from>
                  <to>
                    <xdr:col>20</xdr:col>
                    <xdr:colOff>754380</xdr:colOff>
                    <xdr:row>4</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56994AC-B395-4569-AB26-C934D1BAF54C}">
          <x14:formula1>
            <xm:f>'D-Zuschuss'!$B$7:$B$25</xm:f>
          </x14:formula1>
          <xm:sqref>L45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tabColor rgb="FFFF0000"/>
  </sheetPr>
  <dimension ref="A1:X101"/>
  <sheetViews>
    <sheetView zoomScale="85" zoomScaleNormal="85" workbookViewId="0">
      <selection activeCell="C4" sqref="C4"/>
    </sheetView>
  </sheetViews>
  <sheetFormatPr defaultColWidth="11.44140625" defaultRowHeight="15" customHeight="1"/>
  <cols>
    <col min="1" max="2" width="3.6640625" style="122" customWidth="1"/>
    <col min="3" max="3" width="34.44140625" style="122" customWidth="1"/>
    <col min="4" max="4" width="17.6640625" style="122" bestFit="1" customWidth="1"/>
    <col min="5" max="5" width="10.6640625" style="122" customWidth="1"/>
    <col min="6" max="6" width="40.6640625" style="137" customWidth="1"/>
    <col min="7" max="7" width="5.88671875" style="137" customWidth="1"/>
    <col min="8" max="8" width="6.88671875" style="137" customWidth="1"/>
    <col min="9" max="9" width="30.6640625" style="137" customWidth="1"/>
    <col min="10" max="10" width="17.6640625" style="137" bestFit="1" customWidth="1"/>
    <col min="11" max="11" width="7.5546875" style="137" customWidth="1"/>
    <col min="12" max="12" width="15.88671875" style="137" customWidth="1"/>
    <col min="13" max="13" width="39.109375" style="137" customWidth="1"/>
    <col min="14" max="14" width="2.109375" style="137" customWidth="1"/>
    <col min="15" max="15" width="3.6640625" style="137" customWidth="1"/>
    <col min="16" max="16" width="3.88671875" style="137" customWidth="1"/>
    <col min="17" max="17" width="28.5546875" style="137" customWidth="1"/>
    <col min="18" max="18" width="25.44140625" style="137" customWidth="1"/>
    <col min="19" max="22" width="12.6640625" style="122" customWidth="1"/>
    <col min="23" max="23" width="4.44140625" style="122" customWidth="1"/>
    <col min="24" max="16384" width="11.44140625" style="122"/>
  </cols>
  <sheetData>
    <row r="1" spans="1:23" ht="15" customHeight="1">
      <c r="A1" s="121"/>
      <c r="B1" s="121"/>
      <c r="C1" s="121"/>
      <c r="D1" s="121"/>
      <c r="E1" s="121"/>
      <c r="F1" s="121"/>
      <c r="G1" s="121"/>
      <c r="H1" s="121"/>
      <c r="I1" s="121"/>
      <c r="J1" s="121"/>
      <c r="K1" s="121"/>
      <c r="L1" s="121"/>
      <c r="M1" s="121"/>
      <c r="N1" s="121"/>
      <c r="O1" s="121"/>
      <c r="P1" s="121"/>
      <c r="Q1" s="121"/>
      <c r="R1" s="121"/>
      <c r="S1" s="121"/>
      <c r="T1" s="121"/>
      <c r="U1" s="121"/>
      <c r="V1" s="121"/>
    </row>
    <row r="2" spans="1:23" ht="17.100000000000001" customHeight="1">
      <c r="A2" s="121"/>
      <c r="B2" s="138"/>
      <c r="C2" s="1312" t="s">
        <v>57</v>
      </c>
      <c r="D2" s="139"/>
      <c r="E2" s="139"/>
      <c r="F2" s="139"/>
      <c r="G2" s="139"/>
      <c r="H2" s="139"/>
      <c r="I2" s="139"/>
      <c r="J2" s="139"/>
      <c r="K2" s="139"/>
      <c r="L2" s="139"/>
      <c r="M2" s="139"/>
      <c r="N2" s="139"/>
      <c r="O2" s="139"/>
      <c r="P2" s="139"/>
      <c r="Q2" s="139"/>
      <c r="R2" s="139"/>
      <c r="S2" s="139"/>
      <c r="T2" s="1310"/>
      <c r="U2" s="1310"/>
      <c r="V2" s="468"/>
      <c r="W2" s="140"/>
    </row>
    <row r="3" spans="1:23" ht="17.100000000000001" customHeight="1">
      <c r="A3" s="121"/>
      <c r="B3" s="141"/>
      <c r="C3" s="1313"/>
      <c r="D3" s="142"/>
      <c r="E3" s="142"/>
      <c r="F3" s="142"/>
      <c r="G3" s="142"/>
      <c r="H3" s="142"/>
      <c r="I3" s="142"/>
      <c r="J3" s="142"/>
      <c r="K3" s="142"/>
      <c r="L3" s="142"/>
      <c r="M3" s="142"/>
      <c r="N3" s="142"/>
      <c r="O3" s="142"/>
      <c r="P3" s="142"/>
      <c r="Q3" s="142"/>
      <c r="R3" s="142"/>
      <c r="S3" s="142"/>
      <c r="T3" s="1311"/>
      <c r="U3" s="1311"/>
      <c r="V3" s="469"/>
      <c r="W3" s="143"/>
    </row>
    <row r="4" spans="1:23" ht="17.100000000000001" customHeight="1" thickBot="1">
      <c r="A4" s="121"/>
      <c r="B4" s="150"/>
      <c r="C4" s="498" t="s">
        <v>1047</v>
      </c>
      <c r="D4" s="123"/>
      <c r="E4" s="123"/>
      <c r="F4" s="123"/>
      <c r="G4" s="123"/>
      <c r="H4" s="123"/>
      <c r="I4" s="123"/>
      <c r="J4" s="123"/>
      <c r="K4" s="123"/>
      <c r="L4" s="123"/>
      <c r="M4" s="123"/>
      <c r="N4" s="123"/>
      <c r="O4" s="123"/>
      <c r="P4" s="123"/>
      <c r="Q4" s="123"/>
      <c r="R4" s="123"/>
      <c r="S4" s="123"/>
      <c r="T4" s="123"/>
      <c r="U4" s="123"/>
      <c r="V4" s="123"/>
      <c r="W4" s="151"/>
    </row>
    <row r="5" spans="1:23" ht="17.100000000000001" customHeight="1" thickBot="1">
      <c r="A5" s="121"/>
      <c r="B5" s="152"/>
      <c r="C5" s="153"/>
      <c r="D5" s="124"/>
      <c r="E5" s="124"/>
      <c r="F5" s="124"/>
      <c r="G5" s="124"/>
      <c r="H5" s="124"/>
      <c r="I5" s="124"/>
      <c r="J5" s="124"/>
      <c r="K5" s="124"/>
      <c r="L5" s="124"/>
      <c r="M5" s="124"/>
      <c r="N5" s="124"/>
      <c r="O5" s="124"/>
      <c r="P5" s="124"/>
      <c r="Q5" s="1285" t="s">
        <v>397</v>
      </c>
      <c r="R5" s="1286"/>
      <c r="S5" s="1287"/>
      <c r="T5" s="971" t="s">
        <v>141</v>
      </c>
      <c r="U5" s="124"/>
      <c r="V5" s="124"/>
      <c r="W5" s="154"/>
    </row>
    <row r="6" spans="1:23" ht="37.5" customHeight="1" thickBot="1">
      <c r="A6" s="121"/>
      <c r="B6" s="152"/>
      <c r="C6" s="378"/>
      <c r="D6" s="1292" t="s">
        <v>405</v>
      </c>
      <c r="E6" s="1293"/>
      <c r="F6" s="1294"/>
      <c r="G6" s="124"/>
      <c r="H6" s="124"/>
      <c r="I6" s="124"/>
      <c r="J6" s="1292" t="s">
        <v>401</v>
      </c>
      <c r="K6" s="1293"/>
      <c r="L6" s="1293"/>
      <c r="M6" s="1294"/>
      <c r="N6" s="108"/>
      <c r="O6" s="124"/>
      <c r="P6" s="124"/>
      <c r="Q6" s="124"/>
      <c r="R6" s="124"/>
      <c r="S6" s="124"/>
      <c r="T6" s="124"/>
      <c r="U6" s="124"/>
      <c r="V6" s="124"/>
      <c r="W6" s="154"/>
    </row>
    <row r="7" spans="1:23" ht="17.100000000000001" customHeight="1" thickBot="1">
      <c r="A7" s="121"/>
      <c r="B7" s="152"/>
      <c r="C7" s="403" t="s">
        <v>65</v>
      </c>
      <c r="D7" s="404" t="s">
        <v>350</v>
      </c>
      <c r="E7" s="1295" t="s">
        <v>351</v>
      </c>
      <c r="F7" s="1296"/>
      <c r="G7" s="124"/>
      <c r="H7" s="124"/>
      <c r="I7" s="403" t="s">
        <v>65</v>
      </c>
      <c r="J7" s="1297" t="s">
        <v>350</v>
      </c>
      <c r="K7" s="1298"/>
      <c r="L7" s="1299" t="s">
        <v>365</v>
      </c>
      <c r="M7" s="1300"/>
      <c r="N7" s="108"/>
      <c r="O7" s="124"/>
      <c r="P7" s="124"/>
      <c r="Q7" s="124"/>
      <c r="R7" s="124" t="s">
        <v>398</v>
      </c>
      <c r="S7" s="124"/>
      <c r="T7" s="124"/>
      <c r="U7" s="124"/>
      <c r="V7" s="124"/>
      <c r="W7" s="154"/>
    </row>
    <row r="8" spans="1:23" ht="17.100000000000001" customHeight="1">
      <c r="A8" s="121"/>
      <c r="B8" s="152"/>
      <c r="C8" s="130" t="s">
        <v>339</v>
      </c>
      <c r="D8" s="470"/>
      <c r="E8" s="432" t="str">
        <f>IF($C$4="Mode décideur",'Parameter-Entscheider'!E8,'Start-Experte'!E8)</f>
        <v>Référence</v>
      </c>
      <c r="F8" s="412" t="str">
        <f>'D-Bruttozubau'!E10</f>
        <v>1,5 GW jusqu´à 2021, à partir de 2023 2,5 GW/a</v>
      </c>
      <c r="G8" s="124"/>
      <c r="H8" s="124"/>
      <c r="I8" s="130" t="s">
        <v>339</v>
      </c>
      <c r="J8" s="1301" t="s">
        <v>74</v>
      </c>
      <c r="K8" s="1302"/>
      <c r="L8" s="432" t="str">
        <f>IF($C$4="Mode décideur",'Parameter-Entscheider'!L8,'Start-Experte'!L8)</f>
        <v>Référence</v>
      </c>
      <c r="M8" s="413" t="str">
        <f>'D-Vergütungssatz Neuanlagen'!E10</f>
        <v>Baisse de 4 ct/kWh in 2035</v>
      </c>
      <c r="N8" s="108"/>
      <c r="O8" s="124"/>
      <c r="P8" s="124"/>
      <c r="Q8" s="124"/>
      <c r="R8" s="122" t="s">
        <v>141</v>
      </c>
      <c r="S8" s="124"/>
      <c r="T8" s="124"/>
      <c r="U8" s="124"/>
      <c r="V8" s="124"/>
      <c r="W8" s="154"/>
    </row>
    <row r="9" spans="1:23" ht="17.100000000000001" customHeight="1">
      <c r="A9" s="121"/>
      <c r="B9" s="152"/>
      <c r="C9" s="131" t="s">
        <v>340</v>
      </c>
      <c r="D9" s="471"/>
      <c r="E9" s="125" t="str">
        <f>IF($C$4="Mode décideur",'Parameter-Entscheider'!E9,'Start-Experte'!E9)</f>
        <v>Référence</v>
      </c>
      <c r="F9" s="246" t="str">
        <f>'D-Bruttozubau'!E11</f>
        <v>Tendance MFP, puis constante 1,6 GW</v>
      </c>
      <c r="G9" s="124"/>
      <c r="H9" s="124"/>
      <c r="I9" s="131" t="s">
        <v>340</v>
      </c>
      <c r="J9" s="1303" t="s">
        <v>74</v>
      </c>
      <c r="K9" s="1304"/>
      <c r="L9" s="125" t="str">
        <f>IF($C$4="Mode décideur",'Parameter-Entscheider'!L9,'Start-Experte'!L9)</f>
        <v>Référence</v>
      </c>
      <c r="M9" s="381" t="str">
        <f>'D-Vergütungssatz Neuanlagen'!E11</f>
        <v>Baisse de 5 ct/kWh in 2035</v>
      </c>
      <c r="N9" s="108"/>
      <c r="O9" s="124"/>
      <c r="P9" s="124"/>
      <c r="Q9" s="124"/>
      <c r="R9" s="122" t="s">
        <v>399</v>
      </c>
      <c r="S9" s="124"/>
      <c r="T9" s="124"/>
      <c r="U9" s="124"/>
      <c r="V9" s="124"/>
      <c r="W9" s="154"/>
    </row>
    <row r="10" spans="1:23" ht="17.100000000000001" customHeight="1">
      <c r="A10" s="121"/>
      <c r="B10" s="152"/>
      <c r="C10" s="386" t="s">
        <v>12</v>
      </c>
      <c r="D10" s="471"/>
      <c r="E10" s="125" t="str">
        <f>IF($C$4="Mode décideur",'Parameter-Entscheider'!E10,'Start-Experte'!E10)</f>
        <v>Référence</v>
      </c>
      <c r="F10" s="401" t="str">
        <f>'D-Bruttozubau'!E12</f>
        <v>Tendence MFP</v>
      </c>
      <c r="G10" s="124"/>
      <c r="H10" s="124"/>
      <c r="I10" s="386" t="s">
        <v>12</v>
      </c>
      <c r="J10" s="1303" t="s">
        <v>74</v>
      </c>
      <c r="K10" s="1304"/>
      <c r="L10" s="125" t="str">
        <f>IF($C$4="Mode décideur",'Parameter-Entscheider'!L10,'Start-Experte'!L10)</f>
        <v>Référence</v>
      </c>
      <c r="M10" s="401" t="str">
        <f>'D-Vergütungssatz Neuanlagen'!E12</f>
        <v>EEG 2017; Proportion d'offres à partir de 2020 50%</v>
      </c>
      <c r="N10" s="108"/>
      <c r="O10" s="124"/>
      <c r="P10" s="124"/>
      <c r="Q10" s="124"/>
      <c r="R10" s="124"/>
      <c r="S10" s="124"/>
      <c r="T10" s="124"/>
      <c r="U10" s="124"/>
      <c r="V10" s="124"/>
      <c r="W10" s="154"/>
    </row>
    <row r="11" spans="1:23" ht="17.100000000000001" customHeight="1">
      <c r="A11" s="121"/>
      <c r="B11" s="152"/>
      <c r="C11" s="131" t="s">
        <v>11</v>
      </c>
      <c r="D11" s="471"/>
      <c r="E11" s="125" t="str">
        <f>IF($C$4="Mode décideur",'Parameter-Entscheider'!E11,'Start-Experte'!E11)</f>
        <v>Référence</v>
      </c>
      <c r="F11" s="246" t="str">
        <f>'D-Bruttozubau'!E8</f>
        <v>0,2 GW/a</v>
      </c>
      <c r="G11" s="124"/>
      <c r="H11" s="124"/>
      <c r="I11" s="131" t="s">
        <v>11</v>
      </c>
      <c r="J11" s="1303" t="s">
        <v>74</v>
      </c>
      <c r="K11" s="1304"/>
      <c r="L11" s="125" t="str">
        <f>IF($C$4="Mode décideur",'Parameter-Entscheider'!L11,'Start-Experte'!L11)</f>
        <v>Référence</v>
      </c>
      <c r="M11" s="381" t="str">
        <f>'D-Vergütungssatz Neuanlagen'!E8</f>
        <v>EEG 2017</v>
      </c>
      <c r="N11" s="108"/>
      <c r="O11" s="124"/>
      <c r="P11" s="124"/>
      <c r="Q11" s="124"/>
      <c r="R11" s="124" t="s">
        <v>400</v>
      </c>
      <c r="S11" s="124"/>
      <c r="T11" s="124"/>
      <c r="U11" s="124"/>
      <c r="V11" s="124"/>
      <c r="W11" s="154"/>
    </row>
    <row r="12" spans="1:23" ht="17.100000000000001" customHeight="1">
      <c r="A12" s="121"/>
      <c r="B12" s="152"/>
      <c r="C12" s="131" t="s">
        <v>10</v>
      </c>
      <c r="D12" s="471"/>
      <c r="E12" s="433" t="str">
        <f>IF($C$4="Mode décideur",'Parameter-Entscheider'!E12,'Start-Experte'!E12)</f>
        <v>Pas d'extension</v>
      </c>
      <c r="F12" s="246" t="str">
        <f>'D-Bruttozubau'!E9</f>
        <v>0 GW/a</v>
      </c>
      <c r="G12" s="124"/>
      <c r="H12" s="124"/>
      <c r="I12" s="131" t="s">
        <v>10</v>
      </c>
      <c r="J12" s="1303" t="s">
        <v>74</v>
      </c>
      <c r="K12" s="1304"/>
      <c r="L12" s="433" t="str">
        <f>IF($C$4="Mode décideur",'Parameter-Entscheider'!L12,'Start-Experte'!L12)</f>
        <v>Référence</v>
      </c>
      <c r="M12" s="381" t="str">
        <f>'D-Vergütungssatz Neuanlagen'!E9</f>
        <v>EEG 2017</v>
      </c>
      <c r="N12" s="108"/>
      <c r="O12" s="124"/>
      <c r="P12" s="124"/>
      <c r="Q12" s="124"/>
      <c r="R12" s="124" t="str">
        <f>IF(T5="real",CONCATENATE("Mrd. € (",D60,")"),"Mrd. €")</f>
        <v>Mrd. €</v>
      </c>
      <c r="S12" s="124"/>
      <c r="T12" s="124"/>
      <c r="U12" s="124"/>
      <c r="V12" s="124"/>
      <c r="W12" s="154"/>
    </row>
    <row r="13" spans="1:23" ht="17.100000000000001" customHeight="1">
      <c r="A13" s="121"/>
      <c r="B13" s="152"/>
      <c r="C13" s="131" t="s">
        <v>529</v>
      </c>
      <c r="D13" s="471"/>
      <c r="E13" s="433" t="str">
        <f>IF($C$4="Mode décideur",'Parameter-Entscheider'!E13,'Start-Experte'!E13)</f>
        <v>Pas d'extension</v>
      </c>
      <c r="F13" s="246" t="str">
        <f>'D-Bruttozubau'!E6</f>
        <v>0 GW/a</v>
      </c>
      <c r="G13" s="124"/>
      <c r="H13" s="124"/>
      <c r="I13" s="131" t="s">
        <v>529</v>
      </c>
      <c r="J13" s="1303" t="s">
        <v>74</v>
      </c>
      <c r="K13" s="1304"/>
      <c r="L13" s="433" t="str">
        <f>IF($C$4="Mode décideur",'Parameter-Entscheider'!L13,'Start-Experte'!L13)</f>
        <v>Référence</v>
      </c>
      <c r="M13" s="381" t="str">
        <f>'D-Vergütungssatz Neuanlagen'!E6</f>
        <v>EEG 2017</v>
      </c>
      <c r="N13" s="108"/>
      <c r="O13" s="124"/>
      <c r="P13" s="124"/>
      <c r="Q13" s="124"/>
      <c r="R13" s="124" t="str">
        <f>IF(T5="real",CONCATENATE("ct/kWh (",D60,")"),"ct/kWh")</f>
        <v>ct/kWh</v>
      </c>
      <c r="S13" s="124"/>
      <c r="T13" s="124"/>
      <c r="U13" s="124"/>
      <c r="V13" s="124"/>
      <c r="W13" s="154"/>
    </row>
    <row r="14" spans="1:23" ht="17.100000000000001" customHeight="1" thickBot="1">
      <c r="A14" s="121"/>
      <c r="B14" s="152"/>
      <c r="C14" s="132" t="s">
        <v>349</v>
      </c>
      <c r="D14" s="471"/>
      <c r="E14" s="434" t="str">
        <f>IF($C$4="Mode décideur",'Parameter-Entscheider'!E14,'Start-Experte'!E14)</f>
        <v>Pas d'extension</v>
      </c>
      <c r="F14" s="402" t="str">
        <f>'D-Bruttozubau'!E7</f>
        <v>0 GW/a</v>
      </c>
      <c r="G14" s="124"/>
      <c r="H14" s="124"/>
      <c r="I14" s="132" t="s">
        <v>349</v>
      </c>
      <c r="J14" s="1305" t="s">
        <v>74</v>
      </c>
      <c r="K14" s="1306"/>
      <c r="L14" s="434" t="str">
        <f>IF($C$4="Mode décideur",'Parameter-Entscheider'!L14,'Start-Experte'!L14)</f>
        <v>Référence</v>
      </c>
      <c r="M14" s="402" t="str">
        <f>'D-Vergütungssatz Neuanlagen'!E7</f>
        <v>EEG 2017</v>
      </c>
      <c r="N14" s="108"/>
      <c r="O14" s="124"/>
      <c r="P14" s="124"/>
      <c r="Q14" s="124"/>
      <c r="R14" s="124"/>
      <c r="S14" s="124"/>
      <c r="T14" s="124"/>
      <c r="U14" s="124"/>
      <c r="V14" s="124"/>
      <c r="W14" s="154"/>
    </row>
    <row r="15" spans="1:23" ht="17.100000000000001" customHeight="1">
      <c r="A15" s="121"/>
      <c r="B15" s="152"/>
      <c r="C15" s="124"/>
      <c r="D15" s="124"/>
      <c r="E15" s="124"/>
      <c r="F15" s="108"/>
      <c r="G15" s="124"/>
      <c r="H15" s="124"/>
      <c r="I15" s="124"/>
      <c r="J15" s="124"/>
      <c r="K15" s="124"/>
      <c r="L15" s="124"/>
      <c r="M15" s="109"/>
      <c r="N15" s="124"/>
      <c r="O15" s="124"/>
      <c r="P15" s="124"/>
      <c r="Q15" s="124"/>
      <c r="R15" s="124"/>
      <c r="S15" s="124"/>
      <c r="T15" s="124"/>
      <c r="U15" s="124"/>
      <c r="V15" s="124"/>
      <c r="W15" s="154"/>
    </row>
    <row r="16" spans="1:23" ht="17.100000000000001" customHeight="1" thickBot="1">
      <c r="A16" s="121"/>
      <c r="B16" s="152"/>
      <c r="C16" s="124"/>
      <c r="D16" s="124"/>
      <c r="E16" s="124"/>
      <c r="F16" s="124"/>
      <c r="G16" s="124"/>
      <c r="H16" s="124"/>
      <c r="I16" s="124"/>
      <c r="J16" s="124"/>
      <c r="K16" s="124"/>
      <c r="L16" s="124"/>
      <c r="M16" s="124"/>
      <c r="N16" s="124"/>
      <c r="O16" s="124"/>
      <c r="P16" s="124"/>
      <c r="Q16" s="124"/>
      <c r="R16" s="124"/>
      <c r="S16" s="124"/>
      <c r="T16" s="124"/>
      <c r="U16" s="124"/>
      <c r="V16" s="124"/>
      <c r="W16" s="154"/>
    </row>
    <row r="17" spans="1:23" ht="34.5" customHeight="1" thickBot="1">
      <c r="A17" s="121"/>
      <c r="B17" s="152"/>
      <c r="C17" s="124"/>
      <c r="D17" s="1292" t="s">
        <v>408</v>
      </c>
      <c r="E17" s="1293"/>
      <c r="F17" s="1294"/>
      <c r="G17" s="124"/>
      <c r="H17" s="124"/>
      <c r="I17" s="124"/>
      <c r="J17" s="1292" t="s">
        <v>402</v>
      </c>
      <c r="K17" s="1293"/>
      <c r="L17" s="1293"/>
      <c r="M17" s="1294"/>
      <c r="N17" s="124"/>
      <c r="O17" s="124"/>
      <c r="P17" s="124"/>
      <c r="Q17" s="124"/>
      <c r="R17" s="124"/>
      <c r="S17" s="124"/>
      <c r="T17" s="124"/>
      <c r="U17" s="124"/>
      <c r="V17" s="124"/>
      <c r="W17" s="154"/>
    </row>
    <row r="18" spans="1:23" ht="36" customHeight="1" thickBot="1">
      <c r="A18" s="121"/>
      <c r="B18" s="152"/>
      <c r="C18" s="124"/>
      <c r="D18" s="404" t="s">
        <v>350</v>
      </c>
      <c r="E18" s="1295" t="s">
        <v>365</v>
      </c>
      <c r="F18" s="1296"/>
      <c r="G18" s="124"/>
      <c r="H18" s="124"/>
      <c r="I18" s="124"/>
      <c r="J18" s="1297" t="s">
        <v>350</v>
      </c>
      <c r="K18" s="1298"/>
      <c r="L18" s="1299" t="s">
        <v>365</v>
      </c>
      <c r="M18" s="1300"/>
      <c r="N18" s="124"/>
      <c r="O18" s="124"/>
      <c r="P18" s="124"/>
      <c r="Q18" s="124"/>
      <c r="R18" s="124"/>
      <c r="S18" s="124"/>
      <c r="T18" s="124"/>
      <c r="U18" s="124"/>
      <c r="V18" s="124"/>
      <c r="W18" s="154"/>
    </row>
    <row r="19" spans="1:23" ht="30.75" customHeight="1">
      <c r="A19" s="121"/>
      <c r="B19" s="152"/>
      <c r="C19" s="406" t="s">
        <v>374</v>
      </c>
      <c r="D19" s="407"/>
      <c r="E19" s="432" t="str">
        <f>IF($C$4="Mode décideur",'Parameter-Entscheider'!E19,'Start-Experte'!E19)</f>
        <v>Référence</v>
      </c>
      <c r="F19" s="384" t="str">
        <f>'D-Privilegierter Letztverbrauch'!$D$6</f>
        <v>MFP Référence</v>
      </c>
      <c r="G19" s="124"/>
      <c r="H19" s="106"/>
      <c r="I19" s="428" t="s">
        <v>377</v>
      </c>
      <c r="J19" s="1301"/>
      <c r="K19" s="1302"/>
      <c r="L19" s="432" t="str">
        <f>IF($C$4="Mode décideur",'Parameter-Entscheider'!L19,'Start-Experte'!L19)</f>
        <v>Référence</v>
      </c>
      <c r="M19" s="384" t="str">
        <f>'D-Future Strompreis'!$D$6</f>
        <v>5 -&gt; 6 ct/kWh</v>
      </c>
      <c r="N19" s="124"/>
      <c r="O19" s="106"/>
      <c r="P19" s="124"/>
      <c r="Q19" s="124"/>
      <c r="R19" s="124"/>
      <c r="S19" s="124"/>
      <c r="T19" s="124"/>
      <c r="U19" s="124"/>
      <c r="V19" s="124"/>
      <c r="W19" s="154"/>
    </row>
    <row r="20" spans="1:23" ht="33" customHeight="1" thickBot="1">
      <c r="A20" s="121"/>
      <c r="B20" s="152"/>
      <c r="C20" s="409" t="s">
        <v>375</v>
      </c>
      <c r="D20" s="410"/>
      <c r="E20" s="435" t="str">
        <f>IF($C$4="Mode décideur",'Parameter-Entscheider'!E20,'Start-Experte'!E20)</f>
        <v>Référence</v>
      </c>
      <c r="F20" s="422" t="str">
        <f>'D-Umlage priv. Letztverbrauch'!$D$6</f>
        <v>15% (gem. EEG 2014)</v>
      </c>
      <c r="G20" s="124"/>
      <c r="H20" s="106"/>
      <c r="I20" s="385" t="s">
        <v>378</v>
      </c>
      <c r="J20" s="1303"/>
      <c r="K20" s="1304"/>
      <c r="L20" s="125" t="str">
        <f>IF($C$4="Mode décideur",'Parameter-Entscheider'!L20,'Start-Experte'!L20)</f>
        <v>Référence</v>
      </c>
      <c r="M20" s="382" t="str">
        <f>'D-Liquiditätspuffer'!$D$6</f>
        <v>Calcul des prélèvements GRT, puis 6%</v>
      </c>
      <c r="N20" s="124"/>
      <c r="O20" s="106"/>
      <c r="P20" s="124"/>
      <c r="Q20" s="124"/>
      <c r="R20" s="124"/>
      <c r="S20" s="124"/>
      <c r="T20" s="124"/>
      <c r="U20" s="124"/>
      <c r="V20" s="124"/>
      <c r="W20" s="154"/>
    </row>
    <row r="21" spans="1:23" ht="32.25" customHeight="1" thickBot="1">
      <c r="A21" s="121"/>
      <c r="B21" s="152"/>
      <c r="C21" s="409" t="s">
        <v>376</v>
      </c>
      <c r="D21" s="410"/>
      <c r="E21" s="435" t="str">
        <f>IF($C$4="Mode décideur",'Parameter-Entscheider'!E21,'Start-Experte'!E21)</f>
        <v>Référence</v>
      </c>
      <c r="F21" s="422"/>
      <c r="G21" s="124"/>
      <c r="H21" s="124"/>
      <c r="I21" s="131" t="str">
        <f>CONCATENATE("Solde du compte au 30/09 ",ControlPanel!$D$59-1)</f>
        <v>Solde du compte au 30/09 2021</v>
      </c>
      <c r="J21" s="1303"/>
      <c r="K21" s="1304"/>
      <c r="L21" s="125" t="str">
        <f>IF($C$4="Mode décideur",'Parameter-Entscheider'!L21,'Start-Experte'!L21)</f>
        <v>Endogène</v>
      </c>
      <c r="M21" s="126" t="str">
        <f>'D-Kontostand aktuelles Jahr'!D6</f>
        <v xml:space="preserve">Est calculé de manière endogène </v>
      </c>
      <c r="N21" s="124"/>
      <c r="O21" s="106"/>
      <c r="P21" s="124"/>
      <c r="Q21" s="124"/>
      <c r="R21" s="124"/>
      <c r="S21" s="124"/>
      <c r="T21" s="124"/>
      <c r="U21" s="124"/>
      <c r="V21" s="124"/>
      <c r="W21" s="154"/>
    </row>
    <row r="22" spans="1:23" ht="40.200000000000003" thickBot="1">
      <c r="A22" s="121"/>
      <c r="B22" s="152"/>
      <c r="C22" s="124"/>
      <c r="D22" s="124"/>
      <c r="E22" s="124"/>
      <c r="F22" s="124"/>
      <c r="G22" s="124"/>
      <c r="H22" s="124"/>
      <c r="I22" s="134" t="str">
        <f>CONCATENATE("Alternativement: erreur de prévision pour le solde du compte au 30 septembre ",ControlPanel!$D$59-1)</f>
        <v>Alternativement: erreur de prévision pour le solde du compte au 30 septembre 2021</v>
      </c>
      <c r="J22" s="1305"/>
      <c r="K22" s="1306"/>
      <c r="L22" s="435" t="str">
        <f>IF($C$4="Mode décideur",'Parameter-Entscheider'!L22,'Start-Experte'!L22)</f>
        <v>pas de déviation</v>
      </c>
      <c r="M22" s="127" t="str">
        <f>'D-Prognosefehler Kontostand'!D6</f>
        <v>pas de déviation</v>
      </c>
      <c r="N22" s="124"/>
      <c r="O22" s="106"/>
      <c r="P22" s="124"/>
      <c r="Q22" s="124"/>
      <c r="R22" s="124"/>
      <c r="S22" s="124"/>
      <c r="T22" s="124"/>
      <c r="U22" s="124"/>
      <c r="V22" s="124"/>
      <c r="W22" s="154"/>
    </row>
    <row r="23" spans="1:23" ht="32.25" customHeight="1" thickBot="1">
      <c r="A23" s="121"/>
      <c r="B23" s="152"/>
      <c r="C23" s="124"/>
      <c r="D23" s="124"/>
      <c r="E23" s="124"/>
      <c r="F23" s="124"/>
      <c r="G23" s="124"/>
      <c r="H23" s="124"/>
      <c r="I23" s="128"/>
      <c r="J23" s="128"/>
      <c r="K23" s="128"/>
      <c r="L23" s="124"/>
      <c r="M23" s="128"/>
      <c r="N23" s="124"/>
      <c r="O23" s="124"/>
      <c r="P23" s="124"/>
      <c r="Q23" s="124"/>
      <c r="R23" s="124"/>
      <c r="S23" s="124"/>
      <c r="T23" s="124"/>
      <c r="U23" s="124"/>
      <c r="V23" s="124"/>
      <c r="W23" s="154"/>
    </row>
    <row r="24" spans="1:23" ht="32.25" customHeight="1" thickBot="1">
      <c r="A24" s="121"/>
      <c r="B24" s="152"/>
      <c r="C24" s="124"/>
      <c r="D24" s="1292" t="s">
        <v>407</v>
      </c>
      <c r="E24" s="1293"/>
      <c r="F24" s="1294"/>
      <c r="G24" s="124"/>
      <c r="H24" s="124"/>
      <c r="I24" s="133"/>
      <c r="J24" s="1292" t="s">
        <v>403</v>
      </c>
      <c r="K24" s="1314"/>
      <c r="L24" s="1314"/>
      <c r="M24" s="1315"/>
      <c r="N24" s="133"/>
      <c r="O24" s="133"/>
      <c r="P24" s="124"/>
      <c r="Q24" s="124"/>
      <c r="R24" s="124"/>
      <c r="S24" s="124"/>
      <c r="T24" s="124"/>
      <c r="U24" s="124"/>
      <c r="V24" s="124"/>
      <c r="W24" s="154"/>
    </row>
    <row r="25" spans="1:23" ht="32.25" customHeight="1" thickBot="1">
      <c r="A25" s="121"/>
      <c r="B25" s="152"/>
      <c r="C25" s="423" t="s">
        <v>379</v>
      </c>
      <c r="D25" s="404" t="s">
        <v>353</v>
      </c>
      <c r="E25" s="1299" t="s">
        <v>351</v>
      </c>
      <c r="F25" s="1300"/>
      <c r="G25" s="124"/>
      <c r="H25" s="124"/>
      <c r="I25" s="133"/>
      <c r="J25" s="1307" t="s">
        <v>350</v>
      </c>
      <c r="K25" s="1316"/>
      <c r="L25" s="1299" t="s">
        <v>351</v>
      </c>
      <c r="M25" s="1300"/>
      <c r="N25" s="133"/>
      <c r="O25" s="133"/>
      <c r="P25" s="124"/>
      <c r="Q25" s="124"/>
      <c r="R25" s="124"/>
      <c r="S25" s="124"/>
      <c r="T25" s="124"/>
      <c r="U25" s="124"/>
      <c r="V25" s="124"/>
      <c r="W25" s="154"/>
    </row>
    <row r="26" spans="1:23" ht="35.25" customHeight="1">
      <c r="A26" s="121"/>
      <c r="B26" s="152"/>
      <c r="C26" s="428" t="s">
        <v>380</v>
      </c>
      <c r="D26" s="1235"/>
      <c r="E26" s="432" t="str">
        <f>IF($C$4="Mode décideur",'Parameter-Entscheider'!E26,'Start-Experte'!E26)</f>
        <v>Référence</v>
      </c>
      <c r="F26" s="384" t="str">
        <f>'D-Eigenverbrauch fossil Bestand'!$D$6</f>
        <v>Auto-approvisionnement selon §61 (3) à partir du calcul d'allocation GRT pour 2020</v>
      </c>
      <c r="G26" s="124"/>
      <c r="H26" s="106"/>
      <c r="I26" s="130" t="s">
        <v>393</v>
      </c>
      <c r="J26" s="1301"/>
      <c r="K26" s="1317"/>
      <c r="L26" s="437" t="str">
        <f>IF($C$4="Mode décideur",'Parameter-Entscheider'!L26,'Start-Experte'!L26)</f>
        <v>Référence</v>
      </c>
      <c r="M26" s="425" t="str">
        <f>'D-Nettostromverbrauch'!$D$6</f>
        <v>2021: calcul GRT 2020. Par la suite constante</v>
      </c>
      <c r="N26" s="124"/>
      <c r="O26" s="106"/>
      <c r="P26" s="124"/>
      <c r="Q26" s="124"/>
      <c r="R26" s="124"/>
      <c r="S26" s="124"/>
      <c r="T26" s="124"/>
      <c r="U26" s="124"/>
      <c r="V26" s="124"/>
      <c r="W26" s="154"/>
    </row>
    <row r="27" spans="1:23" ht="30" customHeight="1">
      <c r="A27" s="121"/>
      <c r="B27" s="155"/>
      <c r="C27" s="386" t="s">
        <v>381</v>
      </c>
      <c r="D27" s="1236"/>
      <c r="E27" s="125" t="str">
        <f>IF($C$4="Mode décideur",'Parameter-Entscheider'!E27,'Start-Experte'!E27)</f>
        <v>Référence</v>
      </c>
      <c r="F27" s="126" t="str">
        <f>'D-Anteil Eigenverbrauch EE neu'!E12</f>
        <v>6%</v>
      </c>
      <c r="G27" s="124"/>
      <c r="H27" s="106"/>
      <c r="I27" s="386" t="s">
        <v>394</v>
      </c>
      <c r="J27" s="1303"/>
      <c r="K27" s="1308"/>
      <c r="L27" s="438" t="str">
        <f>IF($C$4="Mode décideur",'Parameter-Entscheider'!L27,'Start-Experte'!L27)</f>
        <v>Référence</v>
      </c>
      <c r="M27" s="426" t="str">
        <f>'D-Spot-Skalierungsfaktor'!$D$6</f>
        <v>90%</v>
      </c>
      <c r="N27" s="124"/>
      <c r="O27" s="106"/>
      <c r="P27" s="124"/>
      <c r="Q27" s="124"/>
      <c r="R27" s="124"/>
      <c r="S27" s="124"/>
      <c r="T27" s="124"/>
      <c r="U27" s="124"/>
      <c r="V27" s="124"/>
      <c r="W27" s="154"/>
    </row>
    <row r="28" spans="1:23" ht="27.75" customHeight="1" collapsed="1" thickBot="1">
      <c r="A28" s="121"/>
      <c r="B28" s="152"/>
      <c r="C28" s="134" t="s">
        <v>382</v>
      </c>
      <c r="D28" s="1237"/>
      <c r="E28" s="125" t="str">
        <f>IF($C$4="Mode décideur",'Parameter-Entscheider'!E28,'Start-Experte'!E28)</f>
        <v>Référence</v>
      </c>
      <c r="F28" s="383"/>
      <c r="G28" s="124"/>
      <c r="H28" s="106"/>
      <c r="I28" s="131" t="s">
        <v>386</v>
      </c>
      <c r="J28" s="1303"/>
      <c r="K28" s="1308"/>
      <c r="L28" s="438" t="str">
        <f>IF($C$4="Mode décideur",'Parameter-Entscheider'!L28,'Start-Experte'!L28)</f>
        <v>Référence</v>
      </c>
      <c r="M28" s="426" t="str">
        <f>'D-vermiedene Netzentgelte'!$D$6</f>
        <v>7.17€/MWh</v>
      </c>
      <c r="N28" s="124"/>
      <c r="O28" s="106"/>
      <c r="P28" s="124"/>
      <c r="Q28" s="124"/>
      <c r="R28" s="124"/>
      <c r="S28" s="124"/>
      <c r="T28" s="124"/>
      <c r="U28" s="124"/>
      <c r="V28" s="124"/>
      <c r="W28" s="154"/>
    </row>
    <row r="29" spans="1:23" ht="43.2" customHeight="1" thickBot="1">
      <c r="A29" s="121"/>
      <c r="B29" s="152"/>
      <c r="C29" s="431" t="s">
        <v>383</v>
      </c>
      <c r="D29" s="1238"/>
      <c r="E29" s="435" t="str">
        <f>IF($C$4="Mode décideur",'Parameter-Entscheider'!E29,'Start-Experte'!E29)</f>
        <v>Référence</v>
      </c>
      <c r="F29" s="424"/>
      <c r="G29" s="124"/>
      <c r="H29" s="106"/>
      <c r="I29" s="132" t="s">
        <v>395</v>
      </c>
      <c r="J29" s="1305"/>
      <c r="K29" s="1309"/>
      <c r="L29" s="438" t="str">
        <f>IF($C$4="Mode décideur",'Parameter-Entscheider'!L29,'Start-Experte'!L29)</f>
        <v>Référence</v>
      </c>
      <c r="M29" s="427" t="str">
        <f>'D-Sonstige Kosten'!$D$6</f>
        <v>0,06Mrd. €</v>
      </c>
      <c r="N29" s="124"/>
      <c r="O29" s="106"/>
      <c r="P29" s="124"/>
      <c r="Q29" s="124"/>
      <c r="R29" s="124"/>
      <c r="S29" s="124"/>
      <c r="T29" s="124"/>
      <c r="U29" s="124"/>
      <c r="V29" s="124"/>
      <c r="W29" s="154"/>
    </row>
    <row r="30" spans="1:23" ht="26.25" customHeight="1" thickBot="1">
      <c r="A30" s="121"/>
      <c r="B30" s="152"/>
      <c r="C30" s="129"/>
      <c r="D30" s="129"/>
      <c r="E30" s="129"/>
      <c r="F30" s="129"/>
      <c r="G30" s="129"/>
      <c r="H30" s="124"/>
      <c r="I30" s="132" t="s">
        <v>396</v>
      </c>
      <c r="J30" s="1305"/>
      <c r="K30" s="1309"/>
      <c r="L30" s="439" t="str">
        <f>IF($C$4="Mode décideur",'Parameter-Entscheider'!L30,'Start-Experte'!L30)</f>
        <v>Référence</v>
      </c>
      <c r="M30" s="427" t="str">
        <f>'D-Inflationsrate'!$D$6</f>
        <v>1,5% par année</v>
      </c>
      <c r="N30" s="124"/>
      <c r="O30" s="124"/>
      <c r="P30" s="124"/>
      <c r="Q30" s="124"/>
      <c r="R30" s="124"/>
      <c r="S30" s="124"/>
      <c r="T30" s="124"/>
      <c r="U30" s="124"/>
      <c r="V30" s="124"/>
      <c r="W30" s="154"/>
    </row>
    <row r="31" spans="1:23" ht="26.25" customHeight="1" thickBot="1">
      <c r="A31" s="121"/>
      <c r="B31" s="152"/>
      <c r="C31" s="129"/>
      <c r="D31" s="129"/>
      <c r="E31" s="129"/>
      <c r="F31" s="129"/>
      <c r="G31" s="129"/>
      <c r="H31" s="124"/>
      <c r="I31" s="129"/>
      <c r="J31" s="129"/>
      <c r="K31" s="129"/>
      <c r="L31" s="124"/>
      <c r="M31" s="129"/>
      <c r="N31" s="124"/>
      <c r="O31" s="124"/>
      <c r="P31" s="124"/>
      <c r="Q31" s="124"/>
      <c r="R31" s="124"/>
      <c r="S31" s="124"/>
      <c r="T31" s="124"/>
      <c r="U31" s="124"/>
      <c r="V31" s="124"/>
      <c r="W31" s="154"/>
    </row>
    <row r="32" spans="1:23" ht="26.25" customHeight="1" thickBot="1">
      <c r="A32" s="121"/>
      <c r="B32" s="152"/>
      <c r="C32" s="128"/>
      <c r="D32" s="128"/>
      <c r="E32" s="1292" t="s">
        <v>390</v>
      </c>
      <c r="F32" s="1294"/>
      <c r="G32" s="128"/>
      <c r="H32" s="124"/>
      <c r="I32" s="1292" t="s">
        <v>391</v>
      </c>
      <c r="J32" s="1294"/>
      <c r="K32" s="128"/>
      <c r="L32" s="1292" t="s">
        <v>392</v>
      </c>
      <c r="M32" s="1294"/>
      <c r="N32" s="124"/>
      <c r="O32" s="124"/>
      <c r="P32" s="124"/>
      <c r="Q32" s="124"/>
      <c r="R32" s="124"/>
      <c r="S32" s="124"/>
      <c r="T32" s="124"/>
      <c r="U32" s="124"/>
      <c r="V32" s="124"/>
      <c r="W32" s="154"/>
    </row>
    <row r="33" spans="1:23" ht="26.25" customHeight="1" thickBot="1">
      <c r="A33" s="121"/>
      <c r="B33" s="152"/>
      <c r="C33" s="403" t="s">
        <v>65</v>
      </c>
      <c r="D33" s="404" t="s">
        <v>353</v>
      </c>
      <c r="E33" s="1299" t="s">
        <v>351</v>
      </c>
      <c r="F33" s="1300"/>
      <c r="G33" s="124"/>
      <c r="H33" s="124"/>
      <c r="I33" s="1297" t="s">
        <v>351</v>
      </c>
      <c r="J33" s="1300"/>
      <c r="K33" s="133"/>
      <c r="L33" s="1307" t="s">
        <v>365</v>
      </c>
      <c r="M33" s="1296"/>
      <c r="N33" s="124"/>
      <c r="O33" s="124"/>
      <c r="P33" s="124"/>
      <c r="Q33" s="124"/>
      <c r="R33" s="124"/>
      <c r="S33" s="124"/>
      <c r="T33" s="124"/>
      <c r="U33" s="124"/>
      <c r="V33" s="124"/>
      <c r="W33" s="154"/>
    </row>
    <row r="34" spans="1:23" ht="26.25" customHeight="1">
      <c r="A34" s="121"/>
      <c r="B34" s="152"/>
      <c r="C34" s="406" t="s">
        <v>339</v>
      </c>
      <c r="D34" s="481"/>
      <c r="E34" s="437" t="str">
        <f>IF($C$4="Mode décideur",'Parameter-Entscheider'!E34,'Start-Experte'!E34)</f>
        <v>Référence</v>
      </c>
      <c r="F34" s="425" t="str">
        <f>'D-Standardauslastung'!E10</f>
        <v>Augmentation à 2600h en 2035</v>
      </c>
      <c r="G34" s="124"/>
      <c r="H34" s="124"/>
      <c r="I34" s="437" t="str">
        <f>IF($C$4="Mode décideur",'Parameter-Entscheider'!I34,'Start-Experte'!I34)</f>
        <v>Référence</v>
      </c>
      <c r="J34" s="425" t="str">
        <f>'D-Dargebotsfaktor'!E10</f>
        <v>100%</v>
      </c>
      <c r="K34" s="133"/>
      <c r="L34" s="437" t="str">
        <f>IF($C$4="Mode décideur",'Parameter-Entscheider'!L34,'Start-Experte'!L34)</f>
        <v>Référence</v>
      </c>
      <c r="M34" s="476" t="str">
        <f>'D-Profilfaktoren'!E10</f>
        <v>propre calcul</v>
      </c>
      <c r="N34" s="124"/>
      <c r="O34" s="124"/>
      <c r="P34" s="124"/>
      <c r="Q34" s="124"/>
      <c r="R34" s="124"/>
      <c r="S34" s="124"/>
      <c r="T34" s="124"/>
      <c r="U34" s="124"/>
      <c r="V34" s="124"/>
      <c r="W34" s="154"/>
    </row>
    <row r="35" spans="1:23" ht="26.25" customHeight="1">
      <c r="A35" s="121"/>
      <c r="B35" s="152"/>
      <c r="C35" s="429" t="s">
        <v>340</v>
      </c>
      <c r="D35" s="482"/>
      <c r="E35" s="438" t="str">
        <f>IF($C$4="Mode décideur",'Parameter-Entscheider'!E35,'Start-Experte'!E35)</f>
        <v>Référence</v>
      </c>
      <c r="F35" s="426" t="str">
        <f>'D-Standardauslastung'!E11</f>
        <v>Augmentation à 4700 h en 2035</v>
      </c>
      <c r="G35" s="124"/>
      <c r="H35" s="124"/>
      <c r="I35" s="438" t="str">
        <f>IF($C$4="Mode décideur",'Parameter-Entscheider'!I35,'Start-Experte'!I35)</f>
        <v>Référence</v>
      </c>
      <c r="J35" s="426" t="str">
        <f>'D-Dargebotsfaktor'!E11</f>
        <v>100%</v>
      </c>
      <c r="K35" s="133"/>
      <c r="L35" s="438" t="str">
        <f>IF($C$4="Mode décideur",'Parameter-Entscheider'!L35,'Start-Experte'!L35)</f>
        <v>Référence</v>
      </c>
      <c r="M35" s="474" t="str">
        <f>'D-Profilfaktoren'!E11</f>
        <v>propre calcul</v>
      </c>
      <c r="N35" s="351"/>
      <c r="O35" s="124"/>
      <c r="P35" s="124"/>
      <c r="Q35" s="124"/>
      <c r="R35" s="124"/>
      <c r="S35" s="124"/>
      <c r="T35" s="124"/>
      <c r="U35" s="124"/>
      <c r="V35" s="124"/>
      <c r="W35" s="154"/>
    </row>
    <row r="36" spans="1:23" ht="17.100000000000001" customHeight="1">
      <c r="A36" s="121"/>
      <c r="B36" s="152"/>
      <c r="C36" s="408" t="s">
        <v>12</v>
      </c>
      <c r="D36" s="482"/>
      <c r="E36" s="438" t="str">
        <f>IF($C$4="Mode décideur",'Parameter-Entscheider'!E36,'Start-Experte'!E36)</f>
        <v>Référence</v>
      </c>
      <c r="F36" s="426" t="str">
        <f>'D-Standardauslastung'!E12</f>
        <v>Augmentation à 950h en 2035</v>
      </c>
      <c r="G36" s="124"/>
      <c r="H36" s="124"/>
      <c r="I36" s="438" t="str">
        <f>IF($C$4="Mode décideur",'Parameter-Entscheider'!I36,'Start-Experte'!I36)</f>
        <v>Référence</v>
      </c>
      <c r="J36" s="426" t="str">
        <f>'D-Dargebotsfaktor'!E12</f>
        <v>100%</v>
      </c>
      <c r="K36" s="351"/>
      <c r="L36" s="438" t="str">
        <f>IF($C$4="Mode décideur",'Parameter-Entscheider'!L36,'Start-Experte'!L36)</f>
        <v>Référence</v>
      </c>
      <c r="M36" s="474" t="str">
        <f>'D-Profilfaktoren'!E12</f>
        <v>propre calcul</v>
      </c>
      <c r="N36" s="351"/>
      <c r="O36" s="124"/>
      <c r="P36" s="124"/>
      <c r="Q36" s="124"/>
      <c r="R36" s="124"/>
      <c r="S36" s="124"/>
      <c r="T36" s="124"/>
      <c r="U36" s="124"/>
      <c r="V36" s="124"/>
      <c r="W36" s="154"/>
    </row>
    <row r="37" spans="1:23" ht="17.100000000000001" customHeight="1">
      <c r="A37" s="121"/>
      <c r="B37" s="152"/>
      <c r="C37" s="429" t="s">
        <v>11</v>
      </c>
      <c r="D37" s="482"/>
      <c r="E37" s="438" t="str">
        <f>IF($C$4="Mode décideur",'Parameter-Entscheider'!E37,'Start-Experte'!E37)</f>
        <v>Référence</v>
      </c>
      <c r="F37" s="426" t="str">
        <f>'D-Standardauslastung'!E8</f>
        <v>Tendance MFP</v>
      </c>
      <c r="G37" s="124"/>
      <c r="H37" s="124"/>
      <c r="I37" s="438" t="str">
        <f>IF($C$4="Mode décideur",'Parameter-Entscheider'!I37,'Start-Experte'!I37)</f>
        <v>Référence</v>
      </c>
      <c r="J37" s="426" t="str">
        <f>'D-Dargebotsfaktor'!E8</f>
        <v>100%</v>
      </c>
      <c r="K37" s="133"/>
      <c r="L37" s="438" t="str">
        <f>IF($C$4="Mode décideur",'Parameter-Entscheider'!L37,'Start-Experte'!L37)</f>
        <v>Référence</v>
      </c>
      <c r="M37" s="474" t="str">
        <f>'D-Profilfaktoren'!E8</f>
        <v>100%</v>
      </c>
      <c r="N37" s="351"/>
      <c r="O37" s="124"/>
      <c r="P37" s="124"/>
      <c r="Q37" s="124"/>
      <c r="R37" s="124"/>
      <c r="S37" s="124"/>
      <c r="T37" s="124"/>
      <c r="U37" s="124"/>
      <c r="V37" s="124"/>
      <c r="W37" s="154"/>
    </row>
    <row r="38" spans="1:23" ht="31.5" customHeight="1">
      <c r="A38" s="121"/>
      <c r="B38" s="152"/>
      <c r="C38" s="429" t="s">
        <v>10</v>
      </c>
      <c r="D38" s="482"/>
      <c r="E38" s="438" t="str">
        <f>IF($C$4="Mode décideur",'Parameter-Entscheider'!E38,'Start-Experte'!E38)</f>
        <v>Référence</v>
      </c>
      <c r="F38" s="426" t="str">
        <f>'D-Standardauslastung'!E9</f>
        <v>Tendance MFP</v>
      </c>
      <c r="G38" s="124"/>
      <c r="H38" s="124"/>
      <c r="I38" s="438" t="str">
        <f>IF($C$4="Mode décideur",'Parameter-Entscheider'!I38,'Start-Experte'!I38)</f>
        <v>Référence</v>
      </c>
      <c r="J38" s="426" t="str">
        <f>'D-Dargebotsfaktor'!E9</f>
        <v>100%</v>
      </c>
      <c r="K38" s="133"/>
      <c r="L38" s="438" t="str">
        <f>IF($C$4="Mode décideur",'Parameter-Entscheider'!L38,'Start-Experte'!L38)</f>
        <v>Référence</v>
      </c>
      <c r="M38" s="474" t="str">
        <f>'D-Profilfaktoren'!E9</f>
        <v>100%</v>
      </c>
      <c r="N38" s="351"/>
      <c r="O38" s="133"/>
      <c r="P38" s="124"/>
      <c r="Q38" s="124"/>
      <c r="R38" s="124"/>
      <c r="S38" s="124"/>
      <c r="T38" s="124"/>
      <c r="U38" s="124"/>
      <c r="V38" s="124"/>
      <c r="W38" s="154"/>
    </row>
    <row r="39" spans="1:23" ht="17.100000000000001" customHeight="1">
      <c r="A39" s="121"/>
      <c r="B39" s="152"/>
      <c r="C39" s="131" t="s">
        <v>529</v>
      </c>
      <c r="D39" s="482"/>
      <c r="E39" s="438" t="str">
        <f>IF($C$4="Mode décideur",'Parameter-Entscheider'!E39,'Start-Experte'!E39)</f>
        <v>Référence</v>
      </c>
      <c r="F39" s="426" t="str">
        <f>'D-Standardauslastung'!E6</f>
        <v>Tendance MFP</v>
      </c>
      <c r="G39" s="124"/>
      <c r="H39" s="124"/>
      <c r="I39" s="438" t="str">
        <f>IF($C$4="Mode décideur",'Parameter-Entscheider'!I39,'Start-Experte'!I39)</f>
        <v>Référence</v>
      </c>
      <c r="J39" s="426" t="str">
        <f>'D-Dargebotsfaktor'!E6</f>
        <v>100%</v>
      </c>
      <c r="K39" s="133"/>
      <c r="L39" s="438" t="str">
        <f>IF($C$4="Mode décideur",'Parameter-Entscheider'!L39,'Start-Experte'!L39)</f>
        <v>Référence</v>
      </c>
      <c r="M39" s="474" t="str">
        <f>'D-Profilfaktoren'!E6</f>
        <v>100%</v>
      </c>
      <c r="N39" s="351"/>
      <c r="O39" s="351"/>
      <c r="P39" s="124"/>
      <c r="Q39" s="124"/>
      <c r="R39" s="124"/>
      <c r="S39" s="124"/>
      <c r="T39" s="124"/>
      <c r="U39" s="124"/>
      <c r="V39" s="124"/>
      <c r="W39" s="154"/>
    </row>
    <row r="40" spans="1:23" ht="17.100000000000001" customHeight="1" thickBot="1">
      <c r="A40" s="121"/>
      <c r="B40" s="152"/>
      <c r="C40" s="411" t="s">
        <v>349</v>
      </c>
      <c r="D40" s="483"/>
      <c r="E40" s="439" t="str">
        <f>IF($C$4="Mode décideur",'Parameter-Entscheider'!E40,'Start-Experte'!E40)</f>
        <v>Référence</v>
      </c>
      <c r="F40" s="427" t="str">
        <f>'D-Standardauslastung'!E7</f>
        <v>Tendance MFP</v>
      </c>
      <c r="G40" s="124"/>
      <c r="H40" s="124"/>
      <c r="I40" s="439" t="str">
        <f>IF($C$4="Mode décideur",'Parameter-Entscheider'!I40,'Start-Experte'!I40)</f>
        <v>Référence</v>
      </c>
      <c r="J40" s="427" t="str">
        <f>'D-Dargebotsfaktor'!E7</f>
        <v>100%</v>
      </c>
      <c r="K40" s="133"/>
      <c r="L40" s="439" t="str">
        <f>IF($C$4="Mode décideur",'Parameter-Entscheider'!L40,'Start-Experte'!L40)</f>
        <v>Référence</v>
      </c>
      <c r="M40" s="473" t="str">
        <f>'D-Profilfaktoren'!E7</f>
        <v>100%</v>
      </c>
      <c r="N40" s="351"/>
      <c r="O40" s="351"/>
      <c r="P40" s="124"/>
      <c r="Q40" s="124"/>
      <c r="R40" s="124"/>
      <c r="S40" s="124"/>
      <c r="T40" s="124"/>
      <c r="U40" s="124"/>
      <c r="V40" s="124"/>
      <c r="W40" s="154"/>
    </row>
    <row r="41" spans="1:23" ht="17.100000000000001" customHeight="1">
      <c r="A41" s="121"/>
      <c r="B41" s="152"/>
      <c r="C41" s="351"/>
      <c r="D41" s="351"/>
      <c r="E41" s="124"/>
      <c r="F41" s="108"/>
      <c r="G41" s="124"/>
      <c r="H41" s="124"/>
      <c r="I41" s="124"/>
      <c r="J41" s="108"/>
      <c r="K41" s="351"/>
      <c r="L41" s="124"/>
      <c r="M41" s="108"/>
      <c r="N41" s="351"/>
      <c r="O41" s="351"/>
      <c r="P41" s="124"/>
      <c r="Q41" s="124"/>
      <c r="R41" s="124"/>
      <c r="S41" s="124"/>
      <c r="T41" s="124"/>
      <c r="U41" s="124"/>
      <c r="V41" s="124"/>
      <c r="W41" s="154"/>
    </row>
    <row r="42" spans="1:23" ht="17.100000000000001" customHeight="1" thickBot="1">
      <c r="A42" s="121"/>
      <c r="B42" s="152"/>
      <c r="C42" s="124"/>
      <c r="D42" s="124"/>
      <c r="E42" s="124"/>
      <c r="F42" s="124"/>
      <c r="G42" s="124"/>
      <c r="H42" s="124"/>
      <c r="I42" s="124"/>
      <c r="J42" s="124"/>
      <c r="K42" s="124"/>
      <c r="L42" s="124"/>
      <c r="M42" s="124"/>
      <c r="N42" s="351"/>
      <c r="O42" s="351"/>
      <c r="P42" s="124"/>
      <c r="Q42" s="124"/>
      <c r="R42" s="124"/>
      <c r="S42" s="124"/>
      <c r="T42" s="124"/>
      <c r="U42" s="124"/>
      <c r="V42" s="124"/>
      <c r="W42" s="154"/>
    </row>
    <row r="43" spans="1:23" ht="28.5" customHeight="1" thickBot="1">
      <c r="A43" s="121"/>
      <c r="B43" s="152"/>
      <c r="C43" s="128"/>
      <c r="D43" s="128"/>
      <c r="E43" s="1292" t="s">
        <v>406</v>
      </c>
      <c r="F43" s="1294"/>
      <c r="G43" s="124"/>
      <c r="H43" s="124"/>
      <c r="I43" s="1265" t="s">
        <v>404</v>
      </c>
      <c r="J43" s="1266"/>
      <c r="K43" s="124"/>
      <c r="L43" s="124"/>
      <c r="M43" s="124"/>
      <c r="N43" s="351"/>
      <c r="O43" s="351"/>
      <c r="P43" s="124"/>
      <c r="Q43" s="124"/>
      <c r="R43" s="124"/>
      <c r="S43" s="124"/>
      <c r="T43" s="124"/>
      <c r="U43" s="124"/>
      <c r="V43" s="124"/>
      <c r="W43" s="154"/>
    </row>
    <row r="44" spans="1:23" ht="17.100000000000001" customHeight="1" thickBot="1">
      <c r="A44" s="121"/>
      <c r="B44" s="152"/>
      <c r="C44" s="403" t="s">
        <v>65</v>
      </c>
      <c r="D44" s="404" t="s">
        <v>353</v>
      </c>
      <c r="E44" s="1299" t="s">
        <v>351</v>
      </c>
      <c r="F44" s="1300"/>
      <c r="G44" s="124"/>
      <c r="H44" s="124"/>
      <c r="I44" s="1211" t="s">
        <v>365</v>
      </c>
      <c r="J44" s="808"/>
      <c r="K44" s="124"/>
      <c r="L44" s="124"/>
      <c r="M44" s="124"/>
      <c r="N44" s="351"/>
      <c r="O44" s="351"/>
      <c r="P44" s="124"/>
      <c r="Q44" s="124"/>
      <c r="R44" s="124"/>
      <c r="S44" s="124"/>
      <c r="T44" s="124"/>
      <c r="U44" s="124"/>
      <c r="V44" s="124"/>
      <c r="W44" s="154"/>
    </row>
    <row r="45" spans="1:23" ht="66.599999999999994" customHeight="1" thickBot="1">
      <c r="A45" s="121"/>
      <c r="B45" s="152"/>
      <c r="C45" s="406" t="s">
        <v>339</v>
      </c>
      <c r="D45" s="481"/>
      <c r="E45" s="437" t="str">
        <f>IF($C$4="Mode décideur",'Parameter-Entscheider'!E45,'Start-Experte'!E45)</f>
        <v>Référence</v>
      </c>
      <c r="F45" s="494" t="str">
        <f>'D-Dauer Goldenes Ende'!E10</f>
        <v>5 Années</v>
      </c>
      <c r="G45" s="351"/>
      <c r="H45" s="351"/>
      <c r="I45" s="439" t="str">
        <f>IF($C$4="Mode décideur",'Parameter-Entscheider'!I45,'Start-Experte'!L45)</f>
        <v>Référence</v>
      </c>
      <c r="J45" s="494" t="str">
        <f>'D-Zuschuss'!D6</f>
        <v>6,5 ct / kWh en 2021 et 6,0 ct / kWh en 2022 seront atteints</v>
      </c>
      <c r="K45" s="351"/>
      <c r="L45" s="351"/>
      <c r="M45" s="351"/>
      <c r="N45" s="351"/>
      <c r="O45" s="351"/>
      <c r="P45" s="124"/>
      <c r="Q45" s="124"/>
      <c r="R45" s="124"/>
      <c r="S45" s="124"/>
      <c r="T45" s="124"/>
      <c r="U45" s="124"/>
      <c r="V45" s="124"/>
      <c r="W45" s="154"/>
    </row>
    <row r="46" spans="1:23" ht="17.100000000000001" customHeight="1">
      <c r="A46" s="121"/>
      <c r="B46" s="152"/>
      <c r="C46" s="429" t="s">
        <v>340</v>
      </c>
      <c r="D46" s="482"/>
      <c r="E46" s="438" t="str">
        <f>IF($C$4="Mode décideur",'Parameter-Entscheider'!E46,'Start-Experte'!E46)</f>
        <v>Référence</v>
      </c>
      <c r="F46" s="495" t="str">
        <f>'D-Dauer Goldenes Ende'!E11</f>
        <v>Rien</v>
      </c>
      <c r="G46" s="351"/>
      <c r="H46" s="351"/>
      <c r="I46" s="351"/>
      <c r="J46" s="351"/>
      <c r="K46" s="351"/>
      <c r="L46" s="351"/>
      <c r="M46" s="351"/>
      <c r="N46" s="351"/>
      <c r="O46" s="351"/>
      <c r="P46" s="124"/>
      <c r="Q46" s="124"/>
      <c r="R46" s="124"/>
      <c r="S46" s="124"/>
      <c r="T46" s="124"/>
      <c r="U46" s="124"/>
      <c r="V46" s="124"/>
      <c r="W46" s="154"/>
    </row>
    <row r="47" spans="1:23" ht="17.100000000000001" customHeight="1">
      <c r="A47" s="121"/>
      <c r="B47" s="152"/>
      <c r="C47" s="408" t="s">
        <v>12</v>
      </c>
      <c r="D47" s="482"/>
      <c r="E47" s="438" t="str">
        <f>IF($C$4="Mode décideur",'Parameter-Entscheider'!E47,'Start-Experte'!E47)</f>
        <v>Référence</v>
      </c>
      <c r="F47" s="495" t="str">
        <f>'D-Dauer Goldenes Ende'!E12</f>
        <v>5 Années</v>
      </c>
      <c r="G47" s="351"/>
      <c r="H47" s="351"/>
      <c r="I47" s="351"/>
      <c r="J47" s="351"/>
      <c r="K47" s="351"/>
      <c r="L47" s="351"/>
      <c r="M47" s="351"/>
      <c r="N47" s="351"/>
      <c r="O47" s="351"/>
      <c r="P47" s="124"/>
      <c r="Q47" s="124"/>
      <c r="R47" s="124"/>
      <c r="S47" s="124"/>
      <c r="T47" s="124"/>
      <c r="U47" s="124"/>
      <c r="V47" s="124"/>
      <c r="W47" s="154"/>
    </row>
    <row r="48" spans="1:23" ht="17.100000000000001" customHeight="1">
      <c r="A48" s="121"/>
      <c r="B48" s="152"/>
      <c r="C48" s="429" t="s">
        <v>11</v>
      </c>
      <c r="D48" s="482"/>
      <c r="E48" s="438" t="str">
        <f>IF($C$4="Mode décideur",'Parameter-Entscheider'!E48,'Start-Experte'!E48)</f>
        <v>Référence</v>
      </c>
      <c r="F48" s="495" t="str">
        <f>'D-Dauer Goldenes Ende'!E8</f>
        <v>Rien</v>
      </c>
      <c r="G48" s="351"/>
      <c r="H48" s="351"/>
      <c r="I48" s="351"/>
      <c r="J48" s="351"/>
      <c r="K48" s="351"/>
      <c r="L48" s="351"/>
      <c r="M48" s="351"/>
      <c r="N48" s="351"/>
      <c r="O48" s="351"/>
      <c r="P48" s="124"/>
      <c r="Q48" s="124"/>
      <c r="R48" s="124"/>
      <c r="S48" s="124"/>
      <c r="T48" s="124"/>
      <c r="U48" s="124"/>
      <c r="V48" s="124"/>
      <c r="W48" s="154"/>
    </row>
    <row r="49" spans="1:23" ht="17.100000000000001" customHeight="1">
      <c r="A49" s="121"/>
      <c r="B49" s="152"/>
      <c r="C49" s="429" t="s">
        <v>10</v>
      </c>
      <c r="D49" s="482"/>
      <c r="E49" s="438" t="str">
        <f>IF($C$4="Mode décideur",'Parameter-Entscheider'!E49,'Start-Experte'!E49)</f>
        <v>Référence</v>
      </c>
      <c r="F49" s="495" t="str">
        <f>'D-Dauer Goldenes Ende'!E9</f>
        <v>Rien</v>
      </c>
      <c r="G49" s="351"/>
      <c r="H49" s="351"/>
      <c r="I49" s="351"/>
      <c r="J49" s="351"/>
      <c r="K49" s="351"/>
      <c r="L49" s="351"/>
      <c r="M49" s="351"/>
      <c r="N49" s="351"/>
      <c r="O49" s="351"/>
      <c r="P49" s="124"/>
      <c r="Q49" s="124"/>
      <c r="R49" s="124"/>
      <c r="S49" s="124"/>
      <c r="T49" s="124"/>
      <c r="U49" s="124"/>
      <c r="V49" s="124"/>
      <c r="W49" s="154"/>
    </row>
    <row r="50" spans="1:23" ht="17.100000000000001" customHeight="1">
      <c r="A50" s="121"/>
      <c r="B50" s="152"/>
      <c r="C50" s="131" t="s">
        <v>529</v>
      </c>
      <c r="D50" s="482"/>
      <c r="E50" s="438" t="str">
        <f>IF($C$4="Mode décideur",'Parameter-Entscheider'!E50,'Start-Experte'!E50)</f>
        <v>Référence</v>
      </c>
      <c r="F50" s="495" t="str">
        <f>'D-Dauer Goldenes Ende'!E6</f>
        <v>Rien</v>
      </c>
      <c r="G50" s="351"/>
      <c r="H50" s="351"/>
      <c r="I50" s="351"/>
      <c r="J50" s="351"/>
      <c r="K50" s="351"/>
      <c r="L50" s="351"/>
      <c r="M50" s="351"/>
      <c r="N50" s="351"/>
      <c r="O50" s="351"/>
      <c r="P50" s="124"/>
      <c r="Q50" s="124"/>
      <c r="R50" s="124"/>
      <c r="S50" s="124"/>
      <c r="T50" s="124"/>
      <c r="U50" s="124"/>
      <c r="V50" s="124"/>
      <c r="W50" s="154"/>
    </row>
    <row r="51" spans="1:23" ht="17.100000000000001" customHeight="1" thickBot="1">
      <c r="A51" s="121"/>
      <c r="B51" s="152"/>
      <c r="C51" s="411" t="s">
        <v>349</v>
      </c>
      <c r="D51" s="483"/>
      <c r="E51" s="439" t="str">
        <f>IF($C$4="Mode décideur",'Parameter-Entscheider'!E51,'Start-Experte'!E51)</f>
        <v>Référence</v>
      </c>
      <c r="F51" s="496" t="str">
        <f>'D-Dauer Goldenes Ende'!E7</f>
        <v>Rien</v>
      </c>
      <c r="G51" s="351"/>
      <c r="H51" s="351"/>
      <c r="I51" s="351"/>
      <c r="J51" s="351"/>
      <c r="K51" s="351"/>
      <c r="L51" s="351"/>
      <c r="M51" s="351"/>
      <c r="N51" s="351"/>
      <c r="O51" s="351"/>
      <c r="P51" s="124"/>
      <c r="Q51" s="124"/>
      <c r="R51" s="124"/>
      <c r="S51" s="124"/>
      <c r="T51" s="124"/>
      <c r="U51" s="124"/>
      <c r="V51" s="124"/>
      <c r="W51" s="154"/>
    </row>
    <row r="52" spans="1:23" ht="17.100000000000001" customHeight="1">
      <c r="A52" s="121"/>
      <c r="B52" s="152"/>
      <c r="C52" s="351"/>
      <c r="D52" s="351"/>
      <c r="E52" s="351"/>
      <c r="F52" s="351"/>
      <c r="G52" s="351"/>
      <c r="H52" s="351"/>
      <c r="I52" s="351"/>
      <c r="J52" s="351"/>
      <c r="K52" s="351"/>
      <c r="L52" s="351"/>
      <c r="M52" s="351"/>
      <c r="N52" s="351"/>
      <c r="O52" s="351"/>
      <c r="P52" s="124"/>
      <c r="Q52" s="124"/>
      <c r="R52" s="124"/>
      <c r="S52" s="124"/>
      <c r="T52" s="124"/>
      <c r="U52" s="124"/>
      <c r="V52" s="124"/>
      <c r="W52" s="154"/>
    </row>
    <row r="53" spans="1:23" ht="17.100000000000001" customHeight="1">
      <c r="A53" s="121"/>
      <c r="B53" s="152"/>
      <c r="C53" s="351"/>
      <c r="D53" s="351"/>
      <c r="E53" s="351"/>
      <c r="F53" s="351"/>
      <c r="G53" s="351"/>
      <c r="H53" s="351"/>
      <c r="I53" s="351"/>
      <c r="J53" s="351"/>
      <c r="K53" s="351"/>
      <c r="L53" s="351"/>
      <c r="M53" s="351"/>
      <c r="N53" s="351"/>
      <c r="O53" s="351"/>
      <c r="P53" s="124"/>
      <c r="Q53" s="124"/>
      <c r="R53" s="124"/>
      <c r="S53" s="124"/>
      <c r="T53" s="124"/>
      <c r="U53" s="124"/>
      <c r="V53" s="124"/>
      <c r="W53" s="154"/>
    </row>
    <row r="54" spans="1:23" ht="17.100000000000001" customHeight="1">
      <c r="A54" s="121"/>
      <c r="B54" s="152"/>
      <c r="C54" s="351"/>
      <c r="D54" s="351"/>
      <c r="E54" s="351"/>
      <c r="F54" s="351"/>
      <c r="G54" s="351"/>
      <c r="H54" s="351"/>
      <c r="I54" s="351"/>
      <c r="J54" s="351"/>
      <c r="K54" s="351"/>
      <c r="L54" s="351"/>
      <c r="M54" s="351"/>
      <c r="N54" s="351"/>
      <c r="O54" s="351"/>
      <c r="P54" s="124"/>
      <c r="Q54" s="124"/>
      <c r="R54" s="124"/>
      <c r="S54" s="124"/>
      <c r="T54" s="124"/>
      <c r="U54" s="124"/>
      <c r="V54" s="124"/>
      <c r="W54" s="154"/>
    </row>
    <row r="55" spans="1:23" ht="17.100000000000001" customHeight="1">
      <c r="A55" s="121"/>
      <c r="B55" s="152"/>
      <c r="C55" s="351"/>
      <c r="D55" s="351"/>
      <c r="E55" s="351"/>
      <c r="F55" s="351"/>
      <c r="G55" s="351"/>
      <c r="H55" s="351"/>
      <c r="I55" s="351"/>
      <c r="J55" s="351"/>
      <c r="K55" s="351"/>
      <c r="L55" s="351"/>
      <c r="M55" s="351"/>
      <c r="N55" s="351"/>
      <c r="O55" s="351"/>
      <c r="P55" s="124"/>
      <c r="Q55" s="124"/>
      <c r="R55" s="124"/>
      <c r="S55" s="124"/>
      <c r="T55" s="124"/>
      <c r="U55" s="124"/>
      <c r="V55" s="124"/>
      <c r="W55" s="154"/>
    </row>
    <row r="56" spans="1:23" ht="17.100000000000001" customHeight="1">
      <c r="A56" s="121"/>
      <c r="B56" s="152"/>
      <c r="C56" s="351"/>
      <c r="D56" s="351"/>
      <c r="E56" s="351"/>
      <c r="F56" s="351"/>
      <c r="G56" s="351"/>
      <c r="H56" s="351"/>
      <c r="I56" s="351"/>
      <c r="J56" s="351"/>
      <c r="K56" s="351"/>
      <c r="L56" s="351"/>
      <c r="M56" s="351"/>
      <c r="N56" s="351"/>
      <c r="O56" s="351"/>
      <c r="P56" s="124"/>
      <c r="Q56" s="124"/>
      <c r="R56" s="124"/>
      <c r="S56" s="124"/>
      <c r="T56" s="124"/>
      <c r="U56" s="124"/>
      <c r="V56" s="124"/>
      <c r="W56" s="154"/>
    </row>
    <row r="57" spans="1:23" s="136" customFormat="1" ht="16.5" customHeight="1">
      <c r="A57" s="121"/>
      <c r="B57" s="152"/>
      <c r="C57" s="351"/>
      <c r="D57" s="351"/>
      <c r="E57" s="351"/>
      <c r="F57" s="351"/>
      <c r="G57" s="351"/>
      <c r="H57" s="351"/>
      <c r="I57" s="351"/>
      <c r="J57" s="351"/>
      <c r="K57" s="351"/>
      <c r="L57" s="351"/>
      <c r="M57" s="351"/>
      <c r="N57" s="351"/>
      <c r="O57" s="351"/>
      <c r="P57" s="124"/>
      <c r="Q57" s="124"/>
      <c r="R57" s="124"/>
      <c r="S57" s="124"/>
      <c r="T57" s="124"/>
      <c r="U57" s="124"/>
      <c r="V57" s="124"/>
      <c r="W57" s="154"/>
    </row>
    <row r="58" spans="1:23" s="136" customFormat="1" ht="16.5" customHeight="1">
      <c r="A58" s="121"/>
      <c r="B58" s="152"/>
      <c r="C58" s="351"/>
      <c r="D58" s="351"/>
      <c r="E58" s="351"/>
      <c r="F58" s="351"/>
      <c r="G58" s="351"/>
      <c r="H58" s="351"/>
      <c r="I58" s="351"/>
      <c r="J58" s="351"/>
      <c r="K58" s="351"/>
      <c r="L58" s="351"/>
      <c r="M58" s="351"/>
      <c r="N58" s="351"/>
      <c r="O58" s="351"/>
      <c r="P58" s="124"/>
      <c r="Q58" s="124"/>
      <c r="R58" s="124"/>
      <c r="S58" s="124"/>
      <c r="T58" s="124"/>
      <c r="U58" s="124"/>
      <c r="V58" s="124"/>
      <c r="W58" s="154"/>
    </row>
    <row r="59" spans="1:23" s="136" customFormat="1" ht="16.5" customHeight="1">
      <c r="A59" s="121"/>
      <c r="B59" s="152"/>
      <c r="C59" s="429" t="s">
        <v>388</v>
      </c>
      <c r="D59" s="405">
        <v>2022</v>
      </c>
      <c r="E59" s="351"/>
      <c r="F59" s="351"/>
      <c r="G59" s="351"/>
      <c r="H59" s="351"/>
      <c r="I59" s="351"/>
      <c r="J59" s="351"/>
      <c r="K59" s="351"/>
      <c r="L59" s="351"/>
      <c r="M59" s="351"/>
      <c r="N59" s="351"/>
      <c r="O59" s="351"/>
      <c r="P59" s="124"/>
      <c r="Q59" s="124"/>
      <c r="R59" s="124"/>
      <c r="S59" s="124"/>
      <c r="T59" s="124"/>
      <c r="U59" s="124"/>
      <c r="V59" s="124"/>
      <c r="W59" s="154"/>
    </row>
    <row r="60" spans="1:23" s="136" customFormat="1" ht="26.4" customHeight="1">
      <c r="A60" s="121"/>
      <c r="B60" s="152"/>
      <c r="C60" s="408" t="s">
        <v>389</v>
      </c>
      <c r="D60" s="405">
        <v>2020</v>
      </c>
      <c r="E60" s="124"/>
      <c r="F60" s="124"/>
      <c r="G60" s="124"/>
      <c r="H60" s="124"/>
      <c r="I60" s="124"/>
      <c r="J60" s="124"/>
      <c r="K60" s="124"/>
      <c r="L60" s="124"/>
      <c r="M60" s="124"/>
      <c r="N60" s="124"/>
      <c r="O60" s="124"/>
      <c r="P60" s="124"/>
      <c r="Q60" s="124"/>
      <c r="R60" s="124"/>
      <c r="S60" s="124"/>
      <c r="T60" s="124"/>
      <c r="U60" s="124"/>
      <c r="V60" s="124"/>
      <c r="W60" s="154"/>
    </row>
    <row r="61" spans="1:23" s="136" customFormat="1" ht="17.100000000000001" customHeight="1">
      <c r="A61" s="121"/>
      <c r="B61" s="152"/>
      <c r="C61" s="124"/>
      <c r="D61" s="124"/>
      <c r="E61" s="124"/>
      <c r="F61" s="124"/>
      <c r="G61" s="124"/>
      <c r="H61" s="124"/>
      <c r="I61" s="124"/>
      <c r="J61" s="124"/>
      <c r="K61" s="124"/>
      <c r="L61" s="124"/>
      <c r="M61" s="124"/>
      <c r="N61" s="124"/>
      <c r="O61" s="124"/>
      <c r="P61" s="124"/>
      <c r="Q61" s="124"/>
      <c r="R61" s="124"/>
      <c r="S61" s="124"/>
      <c r="T61" s="124"/>
      <c r="U61" s="124"/>
      <c r="V61" s="124"/>
      <c r="W61" s="154"/>
    </row>
    <row r="62" spans="1:23" ht="17.100000000000001" customHeight="1">
      <c r="A62" s="121"/>
      <c r="B62" s="152"/>
      <c r="C62" s="124"/>
      <c r="D62" s="124"/>
      <c r="E62" s="124"/>
      <c r="F62" s="124"/>
      <c r="G62" s="124"/>
      <c r="H62" s="124"/>
      <c r="I62" s="124"/>
      <c r="J62" s="124"/>
      <c r="K62" s="124"/>
      <c r="L62" s="124"/>
      <c r="M62" s="124"/>
      <c r="N62" s="124"/>
      <c r="O62" s="124"/>
      <c r="P62" s="124"/>
      <c r="Q62" s="124"/>
      <c r="R62" s="124"/>
      <c r="S62" s="124"/>
      <c r="T62" s="124"/>
      <c r="U62" s="124"/>
      <c r="V62" s="124"/>
      <c r="W62" s="154"/>
    </row>
    <row r="63" spans="1:23" ht="17.100000000000001" customHeight="1" collapsed="1">
      <c r="A63" s="121"/>
      <c r="B63" s="152"/>
      <c r="C63" s="124"/>
      <c r="D63" s="124"/>
      <c r="E63" s="124"/>
      <c r="F63" s="124"/>
      <c r="G63" s="124"/>
      <c r="H63" s="124"/>
      <c r="I63" s="124"/>
      <c r="J63" s="124"/>
      <c r="K63" s="124"/>
      <c r="L63" s="124"/>
      <c r="M63" s="124"/>
      <c r="N63" s="124"/>
      <c r="O63" s="124"/>
      <c r="P63" s="124"/>
      <c r="Q63" s="124"/>
      <c r="R63" s="124"/>
      <c r="S63" s="124"/>
      <c r="T63" s="124"/>
      <c r="U63" s="124"/>
      <c r="V63" s="124"/>
      <c r="W63" s="154"/>
    </row>
    <row r="64" spans="1:23" ht="17.100000000000001" customHeight="1">
      <c r="A64" s="121"/>
      <c r="B64" s="152"/>
      <c r="C64" s="124"/>
      <c r="D64" s="124"/>
      <c r="E64" s="124"/>
      <c r="F64" s="124"/>
      <c r="G64" s="124"/>
      <c r="H64" s="124"/>
      <c r="I64" s="124"/>
      <c r="J64" s="124"/>
      <c r="K64" s="124"/>
      <c r="L64" s="124"/>
      <c r="M64" s="124"/>
      <c r="N64" s="124"/>
      <c r="O64" s="124"/>
      <c r="P64" s="124"/>
      <c r="Q64" s="124"/>
      <c r="R64" s="124"/>
      <c r="S64" s="124"/>
      <c r="T64" s="124"/>
      <c r="U64" s="124"/>
      <c r="V64" s="124"/>
      <c r="W64" s="154"/>
    </row>
    <row r="65" spans="1:24" ht="17.100000000000001" customHeight="1">
      <c r="A65" s="121"/>
      <c r="B65" s="152"/>
      <c r="C65" s="124"/>
      <c r="D65" s="124"/>
      <c r="E65" s="124"/>
      <c r="F65" s="124"/>
      <c r="G65" s="124"/>
      <c r="H65" s="124"/>
      <c r="I65" s="124"/>
      <c r="J65" s="124"/>
      <c r="K65" s="124"/>
      <c r="L65" s="124"/>
      <c r="M65" s="124"/>
      <c r="N65" s="124"/>
      <c r="O65" s="124"/>
      <c r="P65" s="124"/>
      <c r="Q65" s="124"/>
      <c r="R65" s="124"/>
      <c r="S65" s="124"/>
      <c r="T65" s="124"/>
      <c r="U65" s="124"/>
      <c r="V65" s="124"/>
      <c r="W65" s="154"/>
    </row>
    <row r="66" spans="1:24" ht="17.100000000000001" customHeight="1">
      <c r="A66" s="121"/>
      <c r="B66" s="152"/>
      <c r="C66" s="124"/>
      <c r="D66" s="124"/>
      <c r="E66" s="124"/>
      <c r="F66" s="124"/>
      <c r="G66" s="124"/>
      <c r="H66" s="124"/>
      <c r="I66" s="124"/>
      <c r="J66" s="124"/>
      <c r="K66" s="124"/>
      <c r="L66" s="124"/>
      <c r="M66" s="124"/>
      <c r="N66" s="124"/>
      <c r="O66" s="124"/>
      <c r="P66" s="124"/>
      <c r="Q66" s="124"/>
      <c r="R66" s="124"/>
      <c r="S66" s="124"/>
      <c r="T66" s="124"/>
      <c r="U66" s="124"/>
      <c r="V66" s="124"/>
      <c r="W66" s="154"/>
    </row>
    <row r="67" spans="1:24" ht="17.100000000000001" customHeight="1">
      <c r="A67" s="121"/>
      <c r="B67" s="152"/>
      <c r="C67" s="124"/>
      <c r="D67" s="124"/>
      <c r="E67" s="124"/>
      <c r="F67" s="124"/>
      <c r="G67" s="124"/>
      <c r="H67" s="124"/>
      <c r="I67" s="124"/>
      <c r="J67" s="124"/>
      <c r="K67" s="124"/>
      <c r="L67" s="124"/>
      <c r="M67" s="124"/>
      <c r="N67" s="124"/>
      <c r="O67" s="124"/>
      <c r="P67" s="124"/>
      <c r="Q67" s="124"/>
      <c r="R67" s="124"/>
      <c r="S67" s="124"/>
      <c r="T67" s="124"/>
      <c r="U67" s="124"/>
      <c r="V67" s="124"/>
      <c r="W67" s="154"/>
    </row>
    <row r="68" spans="1:24" ht="17.100000000000001" customHeight="1">
      <c r="A68" s="121"/>
      <c r="B68" s="152"/>
      <c r="C68" s="124"/>
      <c r="D68" s="124"/>
      <c r="E68" s="124"/>
      <c r="F68" s="124"/>
      <c r="G68" s="124"/>
      <c r="H68" s="124"/>
      <c r="I68" s="124"/>
      <c r="J68" s="124"/>
      <c r="K68" s="124"/>
      <c r="L68" s="124"/>
      <c r="M68" s="124"/>
      <c r="N68" s="124"/>
      <c r="O68" s="124"/>
      <c r="P68" s="124"/>
      <c r="Q68" s="124"/>
      <c r="R68" s="124"/>
      <c r="S68" s="124"/>
      <c r="T68" s="124"/>
      <c r="U68" s="124"/>
      <c r="V68" s="124"/>
      <c r="W68" s="154"/>
    </row>
    <row r="69" spans="1:24" ht="17.100000000000001" customHeight="1">
      <c r="A69" s="121"/>
      <c r="B69" s="152"/>
      <c r="C69" s="124"/>
      <c r="D69" s="124"/>
      <c r="E69" s="124"/>
      <c r="F69" s="124"/>
      <c r="G69" s="124"/>
      <c r="H69" s="124"/>
      <c r="I69" s="124"/>
      <c r="J69" s="124"/>
      <c r="K69" s="124"/>
      <c r="L69" s="124"/>
      <c r="M69" s="124"/>
      <c r="N69" s="124"/>
      <c r="O69" s="124"/>
      <c r="P69" s="124"/>
      <c r="Q69" s="124"/>
      <c r="R69" s="124"/>
      <c r="S69" s="124"/>
      <c r="T69" s="124"/>
      <c r="U69" s="124"/>
      <c r="V69" s="124"/>
      <c r="W69" s="154"/>
    </row>
    <row r="70" spans="1:24" ht="17.100000000000001" customHeight="1">
      <c r="A70" s="121"/>
      <c r="B70" s="152"/>
      <c r="C70" s="124"/>
      <c r="D70" s="124"/>
      <c r="E70" s="124"/>
      <c r="F70" s="124"/>
      <c r="G70" s="124"/>
      <c r="H70" s="124"/>
      <c r="I70" s="124"/>
      <c r="J70" s="124"/>
      <c r="K70" s="124"/>
      <c r="L70" s="124"/>
      <c r="M70" s="124"/>
      <c r="N70" s="124"/>
      <c r="O70" s="124"/>
      <c r="P70" s="124"/>
      <c r="Q70" s="124"/>
      <c r="R70" s="124"/>
      <c r="S70" s="124"/>
      <c r="T70" s="124"/>
      <c r="U70" s="124"/>
      <c r="V70" s="124"/>
      <c r="W70" s="154"/>
    </row>
    <row r="71" spans="1:24" ht="13.5" customHeight="1">
      <c r="A71" s="121"/>
      <c r="B71" s="152"/>
      <c r="C71" s="124"/>
      <c r="D71" s="124"/>
      <c r="E71" s="124"/>
      <c r="F71" s="124"/>
      <c r="G71" s="124"/>
      <c r="H71" s="124"/>
      <c r="I71" s="124"/>
      <c r="J71" s="124"/>
      <c r="K71" s="124"/>
      <c r="L71" s="124"/>
      <c r="M71" s="124"/>
      <c r="N71" s="124"/>
      <c r="O71" s="124"/>
      <c r="P71" s="124"/>
      <c r="Q71" s="124"/>
      <c r="R71" s="124"/>
      <c r="S71" s="124"/>
      <c r="T71" s="124"/>
      <c r="U71" s="124"/>
      <c r="V71" s="124"/>
      <c r="W71" s="154"/>
    </row>
    <row r="72" spans="1:24" ht="17.100000000000001" customHeight="1">
      <c r="A72" s="121"/>
      <c r="B72" s="152"/>
      <c r="C72" s="124"/>
      <c r="D72" s="124"/>
      <c r="E72" s="124"/>
      <c r="F72" s="124"/>
      <c r="G72" s="124"/>
      <c r="H72" s="124"/>
      <c r="I72" s="124"/>
      <c r="J72" s="124"/>
      <c r="K72" s="124"/>
      <c r="L72" s="124"/>
      <c r="M72" s="124"/>
      <c r="N72" s="124"/>
      <c r="O72" s="124"/>
      <c r="P72" s="124"/>
      <c r="Q72" s="124"/>
      <c r="R72" s="124"/>
      <c r="S72" s="124"/>
      <c r="T72" s="124"/>
      <c r="U72" s="124"/>
      <c r="V72" s="124"/>
      <c r="W72" s="154"/>
    </row>
    <row r="73" spans="1:24" ht="17.100000000000001" customHeight="1">
      <c r="A73" s="121"/>
      <c r="B73" s="152"/>
      <c r="C73" s="124"/>
      <c r="D73" s="124"/>
      <c r="E73" s="124"/>
      <c r="F73" s="124"/>
      <c r="G73" s="124"/>
      <c r="H73" s="124"/>
      <c r="I73" s="124"/>
      <c r="J73" s="124"/>
      <c r="K73" s="124"/>
      <c r="L73" s="124"/>
      <c r="M73" s="124"/>
      <c r="N73" s="124"/>
      <c r="O73" s="124"/>
      <c r="P73" s="124"/>
      <c r="Q73" s="124"/>
      <c r="R73" s="124"/>
      <c r="S73" s="124"/>
      <c r="T73" s="124"/>
      <c r="U73" s="124"/>
      <c r="V73" s="124"/>
      <c r="W73" s="154"/>
    </row>
    <row r="74" spans="1:24" ht="17.100000000000001" customHeight="1">
      <c r="A74" s="121"/>
      <c r="B74" s="152"/>
      <c r="C74" s="124"/>
      <c r="D74" s="124"/>
      <c r="E74" s="124"/>
      <c r="F74" s="124"/>
      <c r="G74" s="124"/>
      <c r="H74" s="124"/>
      <c r="I74" s="124"/>
      <c r="J74" s="124"/>
      <c r="K74" s="124"/>
      <c r="L74" s="124"/>
      <c r="M74" s="124"/>
      <c r="N74" s="124"/>
      <c r="O74" s="124"/>
      <c r="P74" s="124"/>
      <c r="Q74" s="124"/>
      <c r="R74" s="124"/>
      <c r="S74" s="124"/>
      <c r="T74" s="124"/>
      <c r="U74" s="124"/>
      <c r="V74" s="124"/>
      <c r="W74" s="154"/>
    </row>
    <row r="75" spans="1:24" ht="17.100000000000001" customHeight="1">
      <c r="A75" s="121"/>
      <c r="B75" s="152"/>
      <c r="C75" s="124"/>
      <c r="D75" s="124"/>
      <c r="E75" s="124"/>
      <c r="F75" s="124"/>
      <c r="G75" s="124"/>
      <c r="H75" s="124"/>
      <c r="I75" s="124"/>
      <c r="J75" s="124"/>
      <c r="K75" s="124"/>
      <c r="L75" s="124"/>
      <c r="M75" s="124"/>
      <c r="N75" s="124"/>
      <c r="O75" s="124"/>
      <c r="P75" s="124"/>
      <c r="Q75" s="124"/>
      <c r="R75" s="124"/>
      <c r="S75" s="124"/>
      <c r="T75" s="124"/>
      <c r="U75" s="124"/>
      <c r="V75" s="124"/>
      <c r="W75" s="154"/>
    </row>
    <row r="76" spans="1:24" ht="17.100000000000001" customHeight="1">
      <c r="A76" s="121"/>
      <c r="B76" s="152"/>
      <c r="C76" s="124"/>
      <c r="D76" s="124"/>
      <c r="E76" s="124"/>
      <c r="F76" s="124"/>
      <c r="G76" s="124"/>
      <c r="H76" s="124"/>
      <c r="I76" s="124"/>
      <c r="J76" s="124"/>
      <c r="K76" s="124"/>
      <c r="L76" s="124"/>
      <c r="M76" s="124"/>
      <c r="N76" s="124"/>
      <c r="O76" s="124"/>
      <c r="P76" s="124"/>
      <c r="Q76" s="124"/>
      <c r="R76" s="124"/>
      <c r="S76" s="124"/>
      <c r="T76" s="124"/>
      <c r="U76" s="124"/>
      <c r="V76" s="124"/>
      <c r="W76" s="154"/>
    </row>
    <row r="77" spans="1:24" ht="17.100000000000001" customHeight="1">
      <c r="A77" s="121"/>
      <c r="B77" s="152"/>
      <c r="C77" s="124"/>
      <c r="D77" s="124"/>
      <c r="E77" s="124"/>
      <c r="F77" s="124"/>
      <c r="G77" s="124"/>
      <c r="H77" s="124"/>
      <c r="I77" s="124"/>
      <c r="J77" s="124"/>
      <c r="K77" s="124"/>
      <c r="L77" s="124"/>
      <c r="M77" s="124"/>
      <c r="N77" s="124"/>
      <c r="O77" s="124"/>
      <c r="P77" s="124"/>
      <c r="Q77" s="124"/>
      <c r="R77" s="124"/>
      <c r="S77" s="124"/>
      <c r="T77" s="124"/>
      <c r="U77" s="124"/>
      <c r="V77" s="124"/>
      <c r="W77" s="154"/>
    </row>
    <row r="78" spans="1:24" ht="17.100000000000001" customHeight="1">
      <c r="A78" s="121"/>
      <c r="B78" s="156"/>
      <c r="C78" s="157"/>
      <c r="D78" s="157"/>
      <c r="E78" s="157"/>
      <c r="F78" s="157"/>
      <c r="G78" s="157"/>
      <c r="H78" s="157"/>
      <c r="I78" s="157"/>
      <c r="J78" s="157"/>
      <c r="K78" s="157"/>
      <c r="L78" s="157"/>
      <c r="M78" s="157"/>
      <c r="N78" s="157"/>
      <c r="O78" s="157"/>
      <c r="P78" s="157"/>
      <c r="Q78" s="157"/>
      <c r="R78" s="157"/>
      <c r="S78" s="157"/>
      <c r="T78" s="157"/>
      <c r="U78" s="157"/>
      <c r="V78" s="157"/>
      <c r="W78" s="158"/>
    </row>
    <row r="79" spans="1:24" ht="17.100000000000001" customHeight="1">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row>
    <row r="80" spans="1:24" ht="17.100000000000001" customHeight="1">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row>
    <row r="81" spans="1:24" ht="17.100000000000001" customHeight="1">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row>
    <row r="82" spans="1:24" ht="17.100000000000001" customHeight="1">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row>
    <row r="83" spans="1:24" ht="17.100000000000001" customHeight="1">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row>
    <row r="84" spans="1:24" ht="17.100000000000001" customHeight="1">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row>
    <row r="85" spans="1:24" ht="17.100000000000001" customHeight="1">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row>
    <row r="86" spans="1:24" ht="17.100000000000001" customHeight="1">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row>
    <row r="87" spans="1:24" ht="17.100000000000001" customHeight="1">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row>
    <row r="88" spans="1:24" ht="17.100000000000001" customHeight="1">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row>
    <row r="89" spans="1:24" ht="17.100000000000001" customHeight="1">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row>
    <row r="90" spans="1:24" ht="17.100000000000001" customHeight="1">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row>
    <row r="91" spans="1:24" ht="17.100000000000001" customHeight="1">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row>
    <row r="92" spans="1:24" ht="17.100000000000001" customHeight="1">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row>
    <row r="93" spans="1:24" ht="17.100000000000001" customHeight="1">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row>
    <row r="94" spans="1:24" ht="17.100000000000001" customHeight="1">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row>
    <row r="95" spans="1:24" ht="17.100000000000001" customHeight="1">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row>
    <row r="96" spans="1:24" ht="17.100000000000001" customHeight="1">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row>
    <row r="97" spans="1:24" ht="15" customHeight="1">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row>
    <row r="98" spans="1:24" ht="15" customHeight="1">
      <c r="A98" s="137"/>
      <c r="B98" s="137"/>
      <c r="C98" s="137"/>
      <c r="D98" s="137"/>
      <c r="E98" s="137"/>
      <c r="S98" s="137"/>
      <c r="T98" s="137"/>
      <c r="U98" s="137"/>
      <c r="V98" s="137"/>
      <c r="W98" s="137"/>
    </row>
    <row r="99" spans="1:24" ht="15" customHeight="1">
      <c r="A99" s="137"/>
      <c r="B99" s="137"/>
      <c r="C99" s="137"/>
      <c r="D99" s="137"/>
      <c r="E99" s="137"/>
      <c r="S99" s="137"/>
      <c r="T99" s="137"/>
      <c r="U99" s="137"/>
      <c r="V99" s="137"/>
      <c r="W99" s="137"/>
    </row>
    <row r="100" spans="1:24" ht="15" customHeight="1">
      <c r="A100" s="137"/>
      <c r="B100" s="137"/>
      <c r="C100" s="137"/>
      <c r="D100" s="137"/>
      <c r="E100" s="137"/>
      <c r="S100" s="137"/>
      <c r="T100" s="137"/>
      <c r="U100" s="137"/>
      <c r="V100" s="137"/>
      <c r="W100" s="137"/>
    </row>
    <row r="101" spans="1:24" ht="15" customHeight="1">
      <c r="A101" s="137"/>
      <c r="B101" s="137"/>
      <c r="S101" s="137"/>
      <c r="T101" s="137"/>
      <c r="U101" s="137"/>
      <c r="V101" s="137"/>
      <c r="W101" s="137"/>
    </row>
  </sheetData>
  <mergeCells count="43">
    <mergeCell ref="E44:F44"/>
    <mergeCell ref="J30:K30"/>
    <mergeCell ref="C2:C3"/>
    <mergeCell ref="E7:F7"/>
    <mergeCell ref="D6:F6"/>
    <mergeCell ref="D24:F24"/>
    <mergeCell ref="J24:M24"/>
    <mergeCell ref="E25:F25"/>
    <mergeCell ref="J25:K25"/>
    <mergeCell ref="L25:M25"/>
    <mergeCell ref="J14:K14"/>
    <mergeCell ref="J26:K26"/>
    <mergeCell ref="I33:J33"/>
    <mergeCell ref="E32:F32"/>
    <mergeCell ref="I32:J32"/>
    <mergeCell ref="J13:K13"/>
    <mergeCell ref="J29:K29"/>
    <mergeCell ref="T2:U3"/>
    <mergeCell ref="J6:M6"/>
    <mergeCell ref="J7:K7"/>
    <mergeCell ref="L7:M7"/>
    <mergeCell ref="Q5:S5"/>
    <mergeCell ref="J9:K9"/>
    <mergeCell ref="J8:K8"/>
    <mergeCell ref="J10:K10"/>
    <mergeCell ref="J11:K11"/>
    <mergeCell ref="J12:K12"/>
    <mergeCell ref="I43:J43"/>
    <mergeCell ref="D17:F17"/>
    <mergeCell ref="E18:F18"/>
    <mergeCell ref="J17:M17"/>
    <mergeCell ref="J18:K18"/>
    <mergeCell ref="L18:M18"/>
    <mergeCell ref="J19:K19"/>
    <mergeCell ref="J20:K20"/>
    <mergeCell ref="J21:K21"/>
    <mergeCell ref="J22:K22"/>
    <mergeCell ref="E43:F43"/>
    <mergeCell ref="L32:M32"/>
    <mergeCell ref="E33:F33"/>
    <mergeCell ref="L33:M33"/>
    <mergeCell ref="J27:K27"/>
    <mergeCell ref="J28:K28"/>
  </mergeCells>
  <conditionalFormatting sqref="S60:V69 R12:U13">
    <cfRule type="cellIs" dxfId="265" priority="7" operator="lessThan">
      <formula>0</formula>
    </cfRule>
    <cfRule type="cellIs" dxfId="264" priority="8" operator="greaterThan">
      <formula>0</formula>
    </cfRule>
  </conditionalFormatting>
  <conditionalFormatting sqref="S74 V74">
    <cfRule type="cellIs" dxfId="263" priority="5" operator="lessThan">
      <formula>$S$73</formula>
    </cfRule>
    <cfRule type="cellIs" dxfId="262" priority="6" operator="greaterThan">
      <formula>$S$73</formula>
    </cfRule>
  </conditionalFormatting>
  <conditionalFormatting sqref="T74">
    <cfRule type="cellIs" dxfId="261" priority="2" operator="greaterThan">
      <formula>$T$73</formula>
    </cfRule>
    <cfRule type="cellIs" dxfId="260" priority="4" operator="lessThan">
      <formula>$T$73</formula>
    </cfRule>
  </conditionalFormatting>
  <conditionalFormatting sqref="U74">
    <cfRule type="cellIs" dxfId="259" priority="1" operator="greaterThan">
      <formula>$U$73</formula>
    </cfRule>
    <cfRule type="cellIs" dxfId="258" priority="3" operator="lessThan">
      <formula>$U$73</formula>
    </cfRule>
  </conditionalFormatting>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7">
    <tabColor rgb="FFFF0000"/>
  </sheetPr>
  <dimension ref="A1:X101"/>
  <sheetViews>
    <sheetView zoomScale="70" zoomScaleNormal="70" workbookViewId="0">
      <selection activeCell="E8" sqref="E8"/>
    </sheetView>
  </sheetViews>
  <sheetFormatPr defaultColWidth="11.44140625" defaultRowHeight="15" customHeight="1" outlineLevelRow="1"/>
  <cols>
    <col min="1" max="2" width="3.6640625" style="122" customWidth="1"/>
    <col min="3" max="3" width="37.33203125" style="122" customWidth="1"/>
    <col min="4" max="4" width="17.6640625" style="122" bestFit="1" customWidth="1"/>
    <col min="5" max="5" width="10.6640625" style="122" customWidth="1"/>
    <col min="6" max="6" width="40.6640625" style="137" customWidth="1"/>
    <col min="7" max="7" width="5.88671875" style="137" customWidth="1"/>
    <col min="8" max="8" width="6.88671875" style="137" customWidth="1"/>
    <col min="9" max="9" width="25.88671875" style="137" customWidth="1"/>
    <col min="10" max="10" width="17.6640625" style="137" bestFit="1" customWidth="1"/>
    <col min="11" max="11" width="7.5546875" style="137" customWidth="1"/>
    <col min="12" max="12" width="15.88671875" style="137" customWidth="1"/>
    <col min="13" max="13" width="39.109375" style="137" customWidth="1"/>
    <col min="14" max="14" width="2.109375" style="137" customWidth="1"/>
    <col min="15" max="15" width="3.6640625" style="137" customWidth="1"/>
    <col min="16" max="16" width="3.88671875" style="137" customWidth="1"/>
    <col min="17" max="17" width="28.5546875" style="137" customWidth="1"/>
    <col min="18" max="18" width="72" style="137" customWidth="1"/>
    <col min="19" max="22" width="12.6640625" style="122" customWidth="1"/>
    <col min="23" max="23" width="4.44140625" style="122" customWidth="1"/>
    <col min="24" max="16384" width="11.44140625" style="122"/>
  </cols>
  <sheetData>
    <row r="1" spans="1:23" ht="15" customHeight="1">
      <c r="A1" s="121"/>
      <c r="B1" s="121"/>
      <c r="C1" s="121"/>
      <c r="D1" s="121"/>
      <c r="E1" s="121"/>
      <c r="F1" s="121"/>
      <c r="G1" s="121"/>
      <c r="H1" s="121"/>
      <c r="I1" s="121"/>
      <c r="J1" s="121"/>
      <c r="K1" s="121"/>
      <c r="L1" s="121"/>
      <c r="M1" s="121"/>
      <c r="N1" s="121"/>
      <c r="O1" s="121"/>
      <c r="P1" s="121"/>
      <c r="Q1" s="121"/>
      <c r="R1" s="121"/>
      <c r="S1" s="121"/>
      <c r="T1" s="121"/>
      <c r="U1" s="121"/>
      <c r="V1" s="121"/>
    </row>
    <row r="2" spans="1:23" ht="15" customHeight="1">
      <c r="A2" s="121"/>
      <c r="B2" s="138"/>
      <c r="C2" s="1312" t="s">
        <v>57</v>
      </c>
      <c r="D2" s="139" t="s">
        <v>352</v>
      </c>
      <c r="E2" s="139"/>
      <c r="F2" s="139"/>
      <c r="G2" s="139"/>
      <c r="H2" s="139"/>
      <c r="I2" s="139"/>
      <c r="J2" s="139"/>
      <c r="K2" s="139"/>
      <c r="L2" s="139"/>
      <c r="M2" s="139"/>
      <c r="N2" s="139"/>
      <c r="O2" s="139"/>
      <c r="P2" s="139"/>
      <c r="Q2" s="139"/>
      <c r="R2" s="139"/>
      <c r="S2" s="139"/>
      <c r="T2" s="1310"/>
      <c r="U2" s="1310"/>
      <c r="V2" s="468"/>
      <c r="W2" s="140"/>
    </row>
    <row r="3" spans="1:23" ht="15" customHeight="1">
      <c r="A3" s="121"/>
      <c r="B3" s="141"/>
      <c r="C3" s="1313"/>
      <c r="D3" s="142"/>
      <c r="E3" s="142"/>
      <c r="F3" s="142"/>
      <c r="G3" s="142"/>
      <c r="H3" s="142"/>
      <c r="I3" s="142"/>
      <c r="J3" s="142"/>
      <c r="K3" s="142"/>
      <c r="L3" s="142"/>
      <c r="M3" s="142"/>
      <c r="N3" s="142"/>
      <c r="O3" s="142"/>
      <c r="P3" s="142"/>
      <c r="Q3" s="142"/>
      <c r="R3" s="142"/>
      <c r="S3" s="142"/>
      <c r="T3" s="1311"/>
      <c r="U3" s="1311"/>
      <c r="V3" s="469"/>
      <c r="W3" s="143"/>
    </row>
    <row r="4" spans="1:23" ht="17.100000000000001" customHeight="1">
      <c r="A4" s="121"/>
      <c r="B4" s="478"/>
      <c r="C4" s="477" t="s">
        <v>352</v>
      </c>
      <c r="D4" s="479"/>
      <c r="E4" s="479"/>
      <c r="F4" s="479"/>
      <c r="G4" s="479"/>
      <c r="H4" s="479"/>
      <c r="I4" s="479"/>
      <c r="J4" s="479"/>
      <c r="K4" s="479"/>
      <c r="L4" s="479"/>
      <c r="M4" s="479"/>
      <c r="N4" s="479"/>
      <c r="O4" s="479"/>
      <c r="P4" s="479"/>
      <c r="Q4" s="479"/>
      <c r="R4" s="479"/>
      <c r="S4" s="479"/>
      <c r="T4" s="479"/>
      <c r="U4" s="479"/>
      <c r="V4" s="479"/>
      <c r="W4" s="480"/>
    </row>
    <row r="5" spans="1:23" ht="15" customHeight="1" outlineLevel="1" thickBot="1">
      <c r="A5" s="121"/>
      <c r="B5" s="152"/>
      <c r="C5" s="153"/>
      <c r="D5" s="124"/>
      <c r="E5" s="124"/>
      <c r="F5" s="124"/>
      <c r="G5" s="124"/>
      <c r="H5" s="124"/>
      <c r="I5" s="124"/>
      <c r="J5" s="124"/>
      <c r="K5" s="124"/>
      <c r="L5" s="124"/>
      <c r="M5" s="124"/>
      <c r="N5" s="124"/>
      <c r="O5" s="124"/>
      <c r="P5" s="124"/>
      <c r="Q5" s="124"/>
      <c r="R5" s="124"/>
      <c r="S5" s="124"/>
      <c r="T5" s="124"/>
      <c r="U5" s="124"/>
      <c r="V5" s="124"/>
      <c r="W5" s="154"/>
    </row>
    <row r="6" spans="1:23" ht="34.799999999999997" customHeight="1" outlineLevel="1" thickBot="1">
      <c r="A6" s="121"/>
      <c r="B6" s="152"/>
      <c r="C6" s="378"/>
      <c r="D6" s="1292" t="s">
        <v>405</v>
      </c>
      <c r="E6" s="1293"/>
      <c r="F6" s="1294"/>
      <c r="G6" s="124"/>
      <c r="H6" s="124"/>
      <c r="I6" s="124"/>
      <c r="J6" s="1292" t="s">
        <v>401</v>
      </c>
      <c r="K6" s="1293"/>
      <c r="L6" s="1293"/>
      <c r="M6" s="1294"/>
      <c r="N6" s="108"/>
      <c r="O6" s="124"/>
      <c r="P6" s="124"/>
      <c r="Q6" s="124"/>
      <c r="R6" s="124"/>
      <c r="S6" s="124"/>
      <c r="T6" s="124"/>
      <c r="U6" s="124"/>
      <c r="V6" s="124"/>
      <c r="W6" s="154"/>
    </row>
    <row r="7" spans="1:23" ht="15" customHeight="1" outlineLevel="1" thickBot="1">
      <c r="A7" s="121"/>
      <c r="B7" s="152"/>
      <c r="C7" s="403" t="s">
        <v>65</v>
      </c>
      <c r="D7" s="404" t="s">
        <v>353</v>
      </c>
      <c r="E7" s="1295" t="s">
        <v>351</v>
      </c>
      <c r="F7" s="1296"/>
      <c r="G7" s="124"/>
      <c r="H7" s="124"/>
      <c r="I7" s="403" t="s">
        <v>65</v>
      </c>
      <c r="J7" s="1307" t="s">
        <v>353</v>
      </c>
      <c r="K7" s="1316"/>
      <c r="L7" s="1295" t="s">
        <v>351</v>
      </c>
      <c r="M7" s="1296"/>
      <c r="N7" s="108"/>
      <c r="O7" s="124"/>
      <c r="P7" s="124"/>
      <c r="Q7" s="124"/>
      <c r="R7" s="124"/>
      <c r="S7" s="124"/>
      <c r="T7" s="124"/>
      <c r="U7" s="124"/>
      <c r="V7" s="124"/>
      <c r="W7" s="154"/>
    </row>
    <row r="8" spans="1:23" ht="15" customHeight="1" outlineLevel="1">
      <c r="A8" s="121"/>
      <c r="B8" s="152"/>
      <c r="C8" s="130" t="s">
        <v>339</v>
      </c>
      <c r="D8" s="470"/>
      <c r="E8" s="432" t="str">
        <f>Start!E8</f>
        <v>Référence</v>
      </c>
      <c r="F8" s="412"/>
      <c r="G8" s="124"/>
      <c r="H8" s="124"/>
      <c r="I8" s="130" t="s">
        <v>339</v>
      </c>
      <c r="J8" s="1301"/>
      <c r="K8" s="1302"/>
      <c r="L8" s="432" t="str">
        <f>Start!L8</f>
        <v>Référence</v>
      </c>
      <c r="M8" s="413"/>
      <c r="N8" s="108"/>
      <c r="O8" s="124"/>
      <c r="P8" s="124"/>
      <c r="Q8" s="124"/>
      <c r="R8" s="124"/>
      <c r="S8" s="124"/>
      <c r="T8" s="124"/>
      <c r="U8" s="124"/>
      <c r="V8" s="124"/>
      <c r="W8" s="154"/>
    </row>
    <row r="9" spans="1:23" ht="15" customHeight="1" outlineLevel="1">
      <c r="A9" s="121"/>
      <c r="B9" s="152"/>
      <c r="C9" s="131" t="s">
        <v>340</v>
      </c>
      <c r="D9" s="471"/>
      <c r="E9" s="125" t="str">
        <f>Start!E9</f>
        <v>Référence</v>
      </c>
      <c r="F9" s="246"/>
      <c r="G9" s="124"/>
      <c r="H9" s="124"/>
      <c r="I9" s="131" t="s">
        <v>340</v>
      </c>
      <c r="J9" s="1303"/>
      <c r="K9" s="1304"/>
      <c r="L9" s="125" t="str">
        <f>Start!L9</f>
        <v>Référence</v>
      </c>
      <c r="M9" s="381"/>
      <c r="N9" s="108"/>
      <c r="O9" s="124"/>
      <c r="P9" s="124"/>
      <c r="Q9" s="124"/>
      <c r="R9" s="124"/>
      <c r="S9" s="124"/>
      <c r="T9" s="124"/>
      <c r="U9" s="124"/>
      <c r="V9" s="124"/>
      <c r="W9" s="154"/>
    </row>
    <row r="10" spans="1:23" ht="15" customHeight="1" outlineLevel="1">
      <c r="A10" s="121"/>
      <c r="B10" s="152"/>
      <c r="C10" s="386" t="s">
        <v>12</v>
      </c>
      <c r="D10" s="471"/>
      <c r="E10" s="125" t="str">
        <f>Start!E10</f>
        <v>Référence</v>
      </c>
      <c r="F10" s="401"/>
      <c r="G10" s="124"/>
      <c r="H10" s="124"/>
      <c r="I10" s="386" t="s">
        <v>12</v>
      </c>
      <c r="J10" s="1303"/>
      <c r="K10" s="1304"/>
      <c r="L10" s="125" t="str">
        <f>Start!L10</f>
        <v>Référence</v>
      </c>
      <c r="M10" s="401"/>
      <c r="N10" s="108"/>
      <c r="O10" s="124"/>
      <c r="P10" s="124"/>
      <c r="Q10" s="124"/>
      <c r="R10" s="124"/>
      <c r="S10" s="124"/>
      <c r="T10" s="124"/>
      <c r="U10" s="124"/>
      <c r="V10" s="124"/>
      <c r="W10" s="154"/>
    </row>
    <row r="11" spans="1:23" ht="15" customHeight="1" outlineLevel="1" thickBot="1">
      <c r="A11" s="121"/>
      <c r="B11" s="152"/>
      <c r="C11" s="131" t="s">
        <v>11</v>
      </c>
      <c r="D11" s="471"/>
      <c r="E11" s="125" t="str">
        <f>Start!E11</f>
        <v>Référence</v>
      </c>
      <c r="F11" s="246"/>
      <c r="G11" s="124"/>
      <c r="H11" s="124"/>
      <c r="I11" s="131" t="s">
        <v>11</v>
      </c>
      <c r="J11" s="1303"/>
      <c r="K11" s="1304"/>
      <c r="L11" s="125" t="str">
        <f>Start!L11</f>
        <v>Référence</v>
      </c>
      <c r="M11" s="381"/>
      <c r="N11" s="108"/>
      <c r="O11" s="124"/>
      <c r="P11" s="124"/>
      <c r="Q11" s="124"/>
      <c r="R11" s="124"/>
      <c r="S11" s="124"/>
      <c r="T11" s="124"/>
      <c r="U11" s="124"/>
      <c r="V11" s="124"/>
      <c r="W11" s="154"/>
    </row>
    <row r="12" spans="1:23" ht="15" customHeight="1" outlineLevel="1" thickBot="1">
      <c r="A12" s="121"/>
      <c r="B12" s="152"/>
      <c r="C12" s="131" t="s">
        <v>10</v>
      </c>
      <c r="D12" s="471"/>
      <c r="E12" s="433" t="s">
        <v>409</v>
      </c>
      <c r="F12" s="246"/>
      <c r="G12" s="124"/>
      <c r="H12" s="124"/>
      <c r="I12" s="131" t="s">
        <v>10</v>
      </c>
      <c r="J12" s="1303"/>
      <c r="K12" s="1304"/>
      <c r="L12" s="433" t="s">
        <v>409</v>
      </c>
      <c r="M12" s="381"/>
      <c r="N12" s="108"/>
      <c r="O12" s="124"/>
      <c r="P12" s="124"/>
      <c r="Q12" s="124"/>
      <c r="R12" s="1058" t="s">
        <v>371</v>
      </c>
      <c r="S12" s="124"/>
      <c r="T12" s="124"/>
      <c r="U12" s="124"/>
      <c r="V12" s="124"/>
      <c r="W12" s="154"/>
    </row>
    <row r="13" spans="1:23" ht="13.8" outlineLevel="1" thickBot="1">
      <c r="A13" s="121"/>
      <c r="B13" s="152"/>
      <c r="C13" s="131" t="s">
        <v>348</v>
      </c>
      <c r="D13" s="471"/>
      <c r="E13" s="433" t="s">
        <v>409</v>
      </c>
      <c r="F13" s="246"/>
      <c r="G13" s="124"/>
      <c r="H13" s="124"/>
      <c r="I13" s="131" t="s">
        <v>348</v>
      </c>
      <c r="J13" s="1303"/>
      <c r="K13" s="1304"/>
      <c r="L13" s="433" t="s">
        <v>409</v>
      </c>
      <c r="M13" s="381"/>
      <c r="N13" s="108"/>
      <c r="O13" s="124"/>
      <c r="P13" s="124"/>
      <c r="Q13" s="124"/>
      <c r="R13" s="1057" t="s">
        <v>372</v>
      </c>
      <c r="S13" s="124"/>
      <c r="T13" s="124"/>
      <c r="U13" s="124"/>
      <c r="V13" s="124"/>
      <c r="W13" s="154"/>
    </row>
    <row r="14" spans="1:23" ht="27" outlineLevel="1" thickBot="1">
      <c r="A14" s="121"/>
      <c r="B14" s="152"/>
      <c r="C14" s="132" t="s">
        <v>349</v>
      </c>
      <c r="D14" s="471"/>
      <c r="E14" s="434" t="s">
        <v>409</v>
      </c>
      <c r="F14" s="402"/>
      <c r="G14" s="124"/>
      <c r="H14" s="124"/>
      <c r="I14" s="132" t="s">
        <v>349</v>
      </c>
      <c r="J14" s="1305"/>
      <c r="K14" s="1306"/>
      <c r="L14" s="434" t="s">
        <v>409</v>
      </c>
      <c r="M14" s="402"/>
      <c r="N14" s="108"/>
      <c r="O14" s="124"/>
      <c r="P14" s="124"/>
      <c r="Q14" s="124"/>
      <c r="R14" s="1056" t="s">
        <v>373</v>
      </c>
      <c r="S14" s="124"/>
      <c r="T14" s="124"/>
      <c r="U14" s="124"/>
      <c r="V14" s="124"/>
      <c r="W14" s="154"/>
    </row>
    <row r="15" spans="1:23" ht="15" customHeight="1" outlineLevel="1">
      <c r="A15" s="121"/>
      <c r="B15" s="152"/>
      <c r="C15" s="124"/>
      <c r="D15" s="124"/>
      <c r="E15" s="124"/>
      <c r="F15" s="108"/>
      <c r="G15" s="124"/>
      <c r="H15" s="124"/>
      <c r="I15" s="124"/>
      <c r="J15" s="124"/>
      <c r="K15" s="124"/>
      <c r="L15" s="124"/>
      <c r="M15" s="109"/>
      <c r="N15" s="124"/>
      <c r="O15" s="124"/>
      <c r="P15" s="124"/>
      <c r="Q15" s="124"/>
      <c r="R15" s="124"/>
      <c r="S15" s="124"/>
      <c r="T15" s="124"/>
      <c r="U15" s="124"/>
      <c r="V15" s="124"/>
      <c r="W15" s="154"/>
    </row>
    <row r="16" spans="1:23" ht="15" customHeight="1" outlineLevel="1" thickBot="1">
      <c r="A16" s="121"/>
      <c r="B16" s="152"/>
      <c r="C16" s="124"/>
      <c r="D16" s="124"/>
      <c r="E16" s="124"/>
      <c r="F16" s="124"/>
      <c r="G16" s="124"/>
      <c r="H16" s="124"/>
      <c r="I16" s="124"/>
      <c r="J16" s="124"/>
      <c r="K16" s="124"/>
      <c r="L16" s="124"/>
      <c r="M16" s="124"/>
      <c r="N16" s="124"/>
      <c r="O16" s="124"/>
      <c r="P16" s="124"/>
      <c r="Q16" s="124"/>
      <c r="R16" s="124"/>
      <c r="S16" s="124"/>
      <c r="T16" s="124"/>
      <c r="U16" s="124"/>
      <c r="V16" s="124"/>
      <c r="W16" s="154"/>
    </row>
    <row r="17" spans="1:23" ht="35.25" customHeight="1" outlineLevel="1" thickBot="1">
      <c r="A17" s="121"/>
      <c r="B17" s="152"/>
      <c r="C17" s="124"/>
      <c r="D17" s="1292" t="s">
        <v>408</v>
      </c>
      <c r="E17" s="1293"/>
      <c r="F17" s="1294"/>
      <c r="G17" s="124"/>
      <c r="H17" s="124"/>
      <c r="I17" s="124"/>
      <c r="J17" s="1292" t="s">
        <v>402</v>
      </c>
      <c r="K17" s="1293"/>
      <c r="L17" s="1293"/>
      <c r="M17" s="1294"/>
      <c r="N17" s="124"/>
      <c r="O17" s="124"/>
      <c r="P17" s="124"/>
      <c r="Q17" s="124"/>
      <c r="R17" s="124"/>
      <c r="S17" s="124"/>
      <c r="T17" s="124"/>
      <c r="U17" s="124"/>
      <c r="V17" s="124"/>
      <c r="W17" s="154"/>
    </row>
    <row r="18" spans="1:23" ht="15" customHeight="1" outlineLevel="1" thickBot="1">
      <c r="A18" s="121"/>
      <c r="B18" s="152"/>
      <c r="C18" s="124"/>
      <c r="D18" s="404" t="s">
        <v>353</v>
      </c>
      <c r="E18" s="1295" t="s">
        <v>365</v>
      </c>
      <c r="F18" s="1296"/>
      <c r="G18" s="124"/>
      <c r="H18" s="124"/>
      <c r="I18" s="124"/>
      <c r="J18" s="1307" t="s">
        <v>353</v>
      </c>
      <c r="K18" s="1316"/>
      <c r="L18" s="1295" t="s">
        <v>365</v>
      </c>
      <c r="M18" s="1296"/>
      <c r="N18" s="124"/>
      <c r="O18" s="124"/>
      <c r="P18" s="124"/>
      <c r="Q18" s="124"/>
      <c r="R18" s="124"/>
      <c r="S18" s="124"/>
      <c r="T18" s="124"/>
      <c r="U18" s="124"/>
      <c r="V18" s="124"/>
      <c r="W18" s="154"/>
    </row>
    <row r="19" spans="1:23" ht="36.75" customHeight="1" outlineLevel="1">
      <c r="A19" s="121"/>
      <c r="B19" s="152"/>
      <c r="C19" s="406" t="s">
        <v>374</v>
      </c>
      <c r="D19" s="407"/>
      <c r="E19" s="432" t="str">
        <f>Start!E19</f>
        <v>Référence</v>
      </c>
      <c r="F19" s="384"/>
      <c r="G19" s="124"/>
      <c r="H19" s="106"/>
      <c r="I19" s="428" t="s">
        <v>377</v>
      </c>
      <c r="J19" s="1301"/>
      <c r="K19" s="1302"/>
      <c r="L19" s="432" t="str">
        <f>Start!L19</f>
        <v>Référence</v>
      </c>
      <c r="M19" s="384"/>
      <c r="N19" s="124"/>
      <c r="O19" s="106"/>
      <c r="P19" s="124"/>
      <c r="Q19" s="124"/>
      <c r="R19" s="124"/>
      <c r="S19" s="124"/>
      <c r="T19" s="124"/>
      <c r="U19" s="124"/>
      <c r="V19" s="124"/>
      <c r="W19" s="154"/>
    </row>
    <row r="20" spans="1:23" ht="36" customHeight="1" outlineLevel="1" thickBot="1">
      <c r="A20" s="121"/>
      <c r="B20" s="152"/>
      <c r="C20" s="409" t="s">
        <v>375</v>
      </c>
      <c r="D20" s="410"/>
      <c r="E20" s="435" t="str">
        <f>Start!E20</f>
        <v>Référence</v>
      </c>
      <c r="F20" s="422"/>
      <c r="G20" s="124"/>
      <c r="H20" s="106"/>
      <c r="I20" s="385" t="s">
        <v>378</v>
      </c>
      <c r="J20" s="1303"/>
      <c r="K20" s="1304"/>
      <c r="L20" s="433" t="s">
        <v>409</v>
      </c>
      <c r="M20" s="382"/>
      <c r="N20" s="124"/>
      <c r="O20" s="106"/>
      <c r="P20" s="124"/>
      <c r="Q20" s="124"/>
      <c r="R20" s="124"/>
      <c r="S20" s="124"/>
      <c r="T20" s="124"/>
      <c r="U20" s="124"/>
      <c r="V20" s="124"/>
      <c r="W20" s="154"/>
    </row>
    <row r="21" spans="1:23" ht="38.25" customHeight="1" outlineLevel="1" thickBot="1">
      <c r="A21" s="121"/>
      <c r="B21" s="152"/>
      <c r="C21" s="409" t="s">
        <v>376</v>
      </c>
      <c r="D21" s="410"/>
      <c r="E21" s="435" t="str">
        <f>Start!E21</f>
        <v>Référence</v>
      </c>
      <c r="F21" s="422"/>
      <c r="G21" s="124"/>
      <c r="H21" s="124"/>
      <c r="I21" s="386" t="str">
        <f>CONCATENATE("Solde du compte au 30/09 ",ControlPanel!$D$59-1)</f>
        <v>Solde du compte au 30/09 2021</v>
      </c>
      <c r="J21" s="1303"/>
      <c r="K21" s="1304"/>
      <c r="L21" s="433" t="s">
        <v>1018</v>
      </c>
      <c r="M21" s="126"/>
      <c r="N21" s="124"/>
      <c r="O21" s="106"/>
      <c r="P21" s="124"/>
      <c r="Q21" s="124"/>
      <c r="R21" s="124"/>
      <c r="S21" s="124"/>
      <c r="T21" s="124"/>
      <c r="U21" s="124"/>
      <c r="V21" s="124"/>
      <c r="W21" s="154"/>
    </row>
    <row r="22" spans="1:23" ht="53.4" outlineLevel="1" thickBot="1">
      <c r="A22" s="121"/>
      <c r="B22" s="152"/>
      <c r="C22" s="124"/>
      <c r="D22" s="124"/>
      <c r="E22" s="124"/>
      <c r="F22" s="124"/>
      <c r="G22" s="124"/>
      <c r="H22" s="124"/>
      <c r="I22" s="134" t="str">
        <f>CONCATENATE("Alternativement: erreur de prévision pour le solde du compte au 30 septembre ",ControlPanel!$D$59-1)</f>
        <v>Alternativement: erreur de prévision pour le solde du compte au 30 septembre 2021</v>
      </c>
      <c r="J22" s="1305"/>
      <c r="K22" s="1306"/>
      <c r="L22" s="436" t="str">
        <f>Start!L20</f>
        <v>pas de déviation</v>
      </c>
      <c r="M22" s="127"/>
      <c r="N22" s="124"/>
      <c r="O22" s="106"/>
      <c r="P22" s="124"/>
      <c r="Q22" s="124"/>
      <c r="R22" s="124"/>
      <c r="S22" s="124"/>
      <c r="T22" s="124"/>
      <c r="U22" s="124"/>
      <c r="V22" s="124"/>
      <c r="W22" s="154"/>
    </row>
    <row r="23" spans="1:23" ht="29.25" customHeight="1" outlineLevel="1" thickBot="1">
      <c r="A23" s="121"/>
      <c r="B23" s="152"/>
      <c r="C23" s="124"/>
      <c r="D23" s="124"/>
      <c r="E23" s="124"/>
      <c r="F23" s="124"/>
      <c r="G23" s="124"/>
      <c r="H23" s="124"/>
      <c r="I23" s="128"/>
      <c r="J23" s="128"/>
      <c r="K23" s="128"/>
      <c r="L23" s="124"/>
      <c r="M23" s="128"/>
      <c r="N23" s="124"/>
      <c r="O23" s="124"/>
      <c r="P23" s="124"/>
      <c r="Q23" s="124"/>
      <c r="R23" s="124"/>
      <c r="S23" s="124"/>
      <c r="T23" s="124"/>
      <c r="U23" s="124"/>
      <c r="V23" s="124"/>
      <c r="W23" s="154"/>
    </row>
    <row r="24" spans="1:23" ht="28.5" customHeight="1" outlineLevel="1" thickBot="1">
      <c r="A24" s="121"/>
      <c r="B24" s="152"/>
      <c r="C24" s="124"/>
      <c r="D24" s="1292" t="s">
        <v>407</v>
      </c>
      <c r="E24" s="1293"/>
      <c r="F24" s="1294"/>
      <c r="G24" s="124"/>
      <c r="H24" s="124"/>
      <c r="I24" s="133"/>
      <c r="J24" s="1292" t="s">
        <v>403</v>
      </c>
      <c r="K24" s="1314"/>
      <c r="L24" s="1314"/>
      <c r="M24" s="1315"/>
      <c r="N24" s="133"/>
      <c r="O24" s="133"/>
      <c r="P24" s="124"/>
      <c r="Q24" s="124"/>
      <c r="R24" s="124"/>
      <c r="S24" s="124"/>
      <c r="T24" s="124"/>
      <c r="U24" s="124"/>
      <c r="V24" s="124"/>
      <c r="W24" s="154"/>
    </row>
    <row r="25" spans="1:23" ht="30" customHeight="1" outlineLevel="1" thickBot="1">
      <c r="A25" s="121"/>
      <c r="B25" s="152"/>
      <c r="C25" s="423" t="s">
        <v>379</v>
      </c>
      <c r="D25" s="404" t="s">
        <v>353</v>
      </c>
      <c r="E25" s="1295" t="s">
        <v>365</v>
      </c>
      <c r="F25" s="1296"/>
      <c r="G25" s="124"/>
      <c r="H25" s="124"/>
      <c r="I25" s="133"/>
      <c r="J25" s="1307" t="s">
        <v>353</v>
      </c>
      <c r="K25" s="1316"/>
      <c r="L25" s="1295" t="s">
        <v>365</v>
      </c>
      <c r="M25" s="1296"/>
      <c r="N25" s="133"/>
      <c r="O25" s="133"/>
      <c r="P25" s="124"/>
      <c r="Q25" s="124"/>
      <c r="R25" s="124"/>
      <c r="S25" s="124"/>
      <c r="T25" s="124"/>
      <c r="U25" s="124"/>
      <c r="V25" s="124"/>
      <c r="W25" s="154"/>
    </row>
    <row r="26" spans="1:23" ht="28.5" customHeight="1" outlineLevel="1">
      <c r="A26" s="121"/>
      <c r="B26" s="152"/>
      <c r="C26" s="428" t="s">
        <v>380</v>
      </c>
      <c r="D26" s="470"/>
      <c r="E26" s="432" t="str">
        <f>Start!E26</f>
        <v>Référence</v>
      </c>
      <c r="F26" s="384"/>
      <c r="G26" s="124"/>
      <c r="H26" s="106"/>
      <c r="I26" s="130" t="s">
        <v>384</v>
      </c>
      <c r="J26" s="1301"/>
      <c r="K26" s="1302"/>
      <c r="L26" s="432" t="str">
        <f>Start!E34</f>
        <v>Référence</v>
      </c>
      <c r="M26" s="425"/>
      <c r="N26" s="124"/>
      <c r="O26" s="106"/>
      <c r="P26" s="124"/>
      <c r="Q26" s="124"/>
      <c r="R26" s="124"/>
      <c r="S26" s="124"/>
      <c r="T26" s="124"/>
      <c r="U26" s="124"/>
      <c r="V26" s="124"/>
      <c r="W26" s="154"/>
    </row>
    <row r="27" spans="1:23" ht="30" customHeight="1" outlineLevel="1">
      <c r="A27" s="121"/>
      <c r="B27" s="155"/>
      <c r="C27" s="386" t="s">
        <v>381</v>
      </c>
      <c r="D27" s="471"/>
      <c r="E27" s="125" t="str">
        <f>Start!E27</f>
        <v>Référence</v>
      </c>
      <c r="F27" s="126"/>
      <c r="G27" s="124"/>
      <c r="H27" s="106"/>
      <c r="I27" s="386" t="s">
        <v>385</v>
      </c>
      <c r="J27" s="1303"/>
      <c r="K27" s="1304"/>
      <c r="L27" s="433" t="s">
        <v>409</v>
      </c>
      <c r="M27" s="426"/>
      <c r="N27" s="124"/>
      <c r="O27" s="106"/>
      <c r="P27" s="124"/>
      <c r="Q27" s="124"/>
      <c r="R27" s="124"/>
      <c r="S27" s="124"/>
      <c r="T27" s="124"/>
      <c r="U27" s="124"/>
      <c r="V27" s="124"/>
      <c r="W27" s="154"/>
    </row>
    <row r="28" spans="1:23" ht="34.5" customHeight="1" outlineLevel="1" thickBot="1">
      <c r="A28" s="121"/>
      <c r="B28" s="152"/>
      <c r="C28" s="134" t="s">
        <v>382</v>
      </c>
      <c r="D28" s="472"/>
      <c r="E28" s="435" t="str">
        <f>Start!E28</f>
        <v>Référence</v>
      </c>
      <c r="F28" s="383"/>
      <c r="G28" s="124"/>
      <c r="H28" s="106"/>
      <c r="I28" s="131" t="s">
        <v>386</v>
      </c>
      <c r="J28" s="1303"/>
      <c r="K28" s="1304"/>
      <c r="L28" s="433" t="s">
        <v>409</v>
      </c>
      <c r="M28" s="426"/>
      <c r="N28" s="124"/>
      <c r="O28" s="106"/>
      <c r="P28" s="124"/>
      <c r="Q28" s="124"/>
      <c r="R28" s="124"/>
      <c r="S28" s="124"/>
      <c r="T28" s="124"/>
      <c r="U28" s="124"/>
      <c r="V28" s="124"/>
      <c r="W28" s="154"/>
    </row>
    <row r="29" spans="1:23" ht="33.75" customHeight="1" thickBot="1">
      <c r="A29" s="121"/>
      <c r="B29" s="152"/>
      <c r="C29" s="431" t="s">
        <v>383</v>
      </c>
      <c r="D29" s="430"/>
      <c r="E29" s="436" t="str">
        <f>Start!E29</f>
        <v>Référence</v>
      </c>
      <c r="F29" s="424"/>
      <c r="G29" s="124"/>
      <c r="H29" s="106"/>
      <c r="I29" s="132" t="s">
        <v>387</v>
      </c>
      <c r="J29" s="1305"/>
      <c r="K29" s="1306"/>
      <c r="L29" s="433" t="s">
        <v>409</v>
      </c>
      <c r="M29" s="426"/>
      <c r="N29" s="124"/>
      <c r="O29" s="106"/>
      <c r="P29" s="124"/>
      <c r="Q29" s="124"/>
      <c r="R29" s="124"/>
      <c r="S29" s="124"/>
      <c r="T29" s="124"/>
      <c r="U29" s="124"/>
      <c r="V29" s="124"/>
      <c r="W29" s="154"/>
    </row>
    <row r="30" spans="1:23" ht="40.5" customHeight="1" thickBot="1">
      <c r="A30" s="121"/>
      <c r="B30" s="152"/>
      <c r="C30" s="129"/>
      <c r="D30" s="129"/>
      <c r="E30" s="129"/>
      <c r="F30" s="129"/>
      <c r="G30" s="129"/>
      <c r="H30" s="124"/>
      <c r="I30" s="132" t="s">
        <v>387</v>
      </c>
      <c r="J30" s="1305"/>
      <c r="K30" s="1306"/>
      <c r="L30" s="433" t="s">
        <v>409</v>
      </c>
      <c r="M30" s="426"/>
      <c r="N30" s="124"/>
      <c r="O30" s="124"/>
      <c r="P30" s="124"/>
      <c r="Q30" s="124"/>
      <c r="R30" s="124"/>
      <c r="S30" s="124"/>
      <c r="T30" s="124"/>
      <c r="U30" s="124"/>
      <c r="V30" s="124"/>
      <c r="W30" s="154"/>
    </row>
    <row r="31" spans="1:23" ht="15" customHeight="1" outlineLevel="1" thickBot="1">
      <c r="A31" s="121"/>
      <c r="B31" s="152"/>
      <c r="C31" s="129"/>
      <c r="D31" s="129"/>
      <c r="E31" s="129"/>
      <c r="F31" s="129"/>
      <c r="G31" s="129"/>
      <c r="H31" s="124"/>
      <c r="I31" s="129"/>
      <c r="J31" s="129"/>
      <c r="K31" s="129"/>
      <c r="L31" s="124"/>
      <c r="M31" s="129"/>
      <c r="N31" s="124"/>
      <c r="O31" s="124"/>
      <c r="P31" s="124"/>
      <c r="Q31" s="124"/>
      <c r="R31" s="124"/>
      <c r="S31" s="124"/>
      <c r="T31" s="124"/>
      <c r="U31" s="124"/>
      <c r="V31" s="124"/>
      <c r="W31" s="154"/>
    </row>
    <row r="32" spans="1:23" ht="30" customHeight="1" outlineLevel="1" thickBot="1">
      <c r="A32" s="121"/>
      <c r="B32" s="152"/>
      <c r="C32" s="128"/>
      <c r="D32" s="128"/>
      <c r="E32" s="1292" t="s">
        <v>368</v>
      </c>
      <c r="F32" s="1294"/>
      <c r="G32" s="128"/>
      <c r="H32" s="124"/>
      <c r="I32" s="1292" t="s">
        <v>369</v>
      </c>
      <c r="J32" s="1294"/>
      <c r="K32" s="128"/>
      <c r="L32" s="1292" t="s">
        <v>370</v>
      </c>
      <c r="M32" s="1294"/>
      <c r="N32" s="124"/>
      <c r="O32" s="124"/>
      <c r="P32" s="124"/>
      <c r="Q32" s="124"/>
      <c r="R32" s="124"/>
      <c r="S32" s="124"/>
      <c r="T32" s="124"/>
      <c r="U32" s="124"/>
      <c r="V32" s="124"/>
      <c r="W32" s="154"/>
    </row>
    <row r="33" spans="1:23" ht="30" customHeight="1" outlineLevel="1" thickBot="1">
      <c r="A33" s="121"/>
      <c r="B33" s="152"/>
      <c r="C33" s="403" t="s">
        <v>65</v>
      </c>
      <c r="D33" s="475" t="s">
        <v>353</v>
      </c>
      <c r="E33" s="1307" t="s">
        <v>365</v>
      </c>
      <c r="F33" s="1296"/>
      <c r="G33" s="124"/>
      <c r="H33" s="124"/>
      <c r="I33" s="1307" t="s">
        <v>365</v>
      </c>
      <c r="J33" s="1296"/>
      <c r="K33" s="133"/>
      <c r="L33" s="1307" t="s">
        <v>365</v>
      </c>
      <c r="M33" s="1296"/>
      <c r="N33" s="124"/>
      <c r="O33" s="124"/>
      <c r="P33" s="124"/>
      <c r="Q33" s="124"/>
      <c r="R33" s="124"/>
      <c r="S33" s="124"/>
      <c r="T33" s="124"/>
      <c r="U33" s="124"/>
      <c r="V33" s="124"/>
      <c r="W33" s="154"/>
    </row>
    <row r="34" spans="1:23" ht="30" customHeight="1" outlineLevel="1">
      <c r="A34" s="121"/>
      <c r="B34" s="152"/>
      <c r="C34" s="406" t="s">
        <v>339</v>
      </c>
      <c r="D34" s="481"/>
      <c r="E34" s="433" t="s">
        <v>409</v>
      </c>
      <c r="F34" s="425"/>
      <c r="G34" s="124"/>
      <c r="H34" s="124"/>
      <c r="I34" s="433" t="s">
        <v>409</v>
      </c>
      <c r="J34" s="425"/>
      <c r="K34" s="133"/>
      <c r="L34" s="433" t="s">
        <v>409</v>
      </c>
      <c r="M34" s="425"/>
      <c r="N34" s="124"/>
      <c r="O34" s="124"/>
      <c r="P34" s="124"/>
      <c r="Q34" s="124"/>
      <c r="R34" s="124"/>
      <c r="S34" s="124"/>
      <c r="T34" s="124"/>
      <c r="U34" s="124"/>
      <c r="V34" s="124"/>
      <c r="W34" s="154"/>
    </row>
    <row r="35" spans="1:23" ht="30" customHeight="1" outlineLevel="1">
      <c r="A35" s="121"/>
      <c r="B35" s="152"/>
      <c r="C35" s="429" t="s">
        <v>340</v>
      </c>
      <c r="D35" s="482"/>
      <c r="E35" s="433" t="s">
        <v>409</v>
      </c>
      <c r="F35" s="426"/>
      <c r="G35" s="124"/>
      <c r="H35" s="124"/>
      <c r="I35" s="433" t="s">
        <v>409</v>
      </c>
      <c r="J35" s="426"/>
      <c r="K35" s="133"/>
      <c r="L35" s="433" t="s">
        <v>409</v>
      </c>
      <c r="M35" s="426"/>
      <c r="N35" s="351"/>
      <c r="O35" s="124"/>
      <c r="P35" s="124"/>
      <c r="Q35" s="124"/>
      <c r="R35" s="124"/>
      <c r="S35" s="124"/>
      <c r="T35" s="124"/>
      <c r="U35" s="124"/>
      <c r="V35" s="124"/>
      <c r="W35" s="154"/>
    </row>
    <row r="36" spans="1:23" ht="30" customHeight="1" outlineLevel="1">
      <c r="A36" s="121"/>
      <c r="B36" s="152"/>
      <c r="C36" s="408" t="s">
        <v>12</v>
      </c>
      <c r="D36" s="482"/>
      <c r="E36" s="433" t="s">
        <v>409</v>
      </c>
      <c r="F36" s="426"/>
      <c r="G36" s="124"/>
      <c r="H36" s="124"/>
      <c r="I36" s="433" t="s">
        <v>409</v>
      </c>
      <c r="J36" s="426"/>
      <c r="K36" s="351"/>
      <c r="L36" s="433" t="s">
        <v>409</v>
      </c>
      <c r="M36" s="426"/>
      <c r="N36" s="351"/>
      <c r="O36" s="124"/>
      <c r="P36" s="124"/>
      <c r="Q36" s="124"/>
      <c r="R36" s="124"/>
      <c r="S36" s="124"/>
      <c r="T36" s="124"/>
      <c r="U36" s="124"/>
      <c r="V36" s="124"/>
      <c r="W36" s="154"/>
    </row>
    <row r="37" spans="1:23" ht="15" customHeight="1" outlineLevel="1">
      <c r="A37" s="121"/>
      <c r="B37" s="152"/>
      <c r="C37" s="429" t="s">
        <v>11</v>
      </c>
      <c r="D37" s="482"/>
      <c r="E37" s="433" t="s">
        <v>409</v>
      </c>
      <c r="F37" s="426"/>
      <c r="G37" s="124"/>
      <c r="H37" s="124"/>
      <c r="I37" s="433" t="s">
        <v>409</v>
      </c>
      <c r="J37" s="426"/>
      <c r="K37" s="133"/>
      <c r="L37" s="433" t="s">
        <v>409</v>
      </c>
      <c r="M37" s="426"/>
      <c r="N37" s="351"/>
      <c r="O37" s="124"/>
      <c r="P37" s="124"/>
      <c r="Q37" s="124"/>
      <c r="R37" s="124"/>
      <c r="S37" s="124"/>
      <c r="T37" s="124"/>
      <c r="U37" s="124"/>
      <c r="V37" s="124"/>
      <c r="W37" s="154"/>
    </row>
    <row r="38" spans="1:23" ht="15" customHeight="1" outlineLevel="1">
      <c r="A38" s="121"/>
      <c r="B38" s="152"/>
      <c r="C38" s="429" t="s">
        <v>10</v>
      </c>
      <c r="D38" s="482"/>
      <c r="E38" s="433" t="s">
        <v>409</v>
      </c>
      <c r="F38" s="426"/>
      <c r="G38" s="124"/>
      <c r="H38" s="124"/>
      <c r="I38" s="433" t="s">
        <v>409</v>
      </c>
      <c r="J38" s="426"/>
      <c r="K38" s="133"/>
      <c r="L38" s="433" t="s">
        <v>409</v>
      </c>
      <c r="M38" s="426"/>
      <c r="N38" s="351"/>
      <c r="O38" s="133"/>
      <c r="P38" s="124"/>
      <c r="Q38" s="124"/>
      <c r="R38" s="124"/>
      <c r="S38" s="124"/>
      <c r="T38" s="124"/>
      <c r="U38" s="124"/>
      <c r="V38" s="124"/>
      <c r="W38" s="154"/>
    </row>
    <row r="39" spans="1:23" ht="15" customHeight="1" outlineLevel="1">
      <c r="A39" s="121"/>
      <c r="B39" s="152"/>
      <c r="C39" s="429" t="s">
        <v>348</v>
      </c>
      <c r="D39" s="482"/>
      <c r="E39" s="433" t="s">
        <v>409</v>
      </c>
      <c r="F39" s="426"/>
      <c r="G39" s="124"/>
      <c r="H39" s="124"/>
      <c r="I39" s="433" t="s">
        <v>409</v>
      </c>
      <c r="J39" s="426"/>
      <c r="K39" s="133"/>
      <c r="L39" s="433" t="s">
        <v>409</v>
      </c>
      <c r="M39" s="426"/>
      <c r="N39" s="351"/>
      <c r="O39" s="351"/>
      <c r="P39" s="124"/>
      <c r="Q39" s="124"/>
      <c r="R39" s="124"/>
      <c r="S39" s="124"/>
      <c r="T39" s="124"/>
      <c r="U39" s="124"/>
      <c r="V39" s="124"/>
      <c r="W39" s="154"/>
    </row>
    <row r="40" spans="1:23" ht="30" customHeight="1" outlineLevel="1" thickBot="1">
      <c r="A40" s="121"/>
      <c r="B40" s="152"/>
      <c r="C40" s="411" t="s">
        <v>349</v>
      </c>
      <c r="D40" s="483"/>
      <c r="E40" s="433" t="s">
        <v>409</v>
      </c>
      <c r="F40" s="427"/>
      <c r="G40" s="124"/>
      <c r="H40" s="124"/>
      <c r="I40" s="433" t="s">
        <v>409</v>
      </c>
      <c r="J40" s="427"/>
      <c r="K40" s="133"/>
      <c r="L40" s="433" t="s">
        <v>409</v>
      </c>
      <c r="M40" s="427"/>
      <c r="N40" s="351"/>
      <c r="O40" s="351"/>
      <c r="P40" s="124"/>
      <c r="Q40" s="124"/>
      <c r="R40" s="124"/>
      <c r="S40" s="124"/>
      <c r="T40" s="124"/>
      <c r="U40" s="124"/>
      <c r="V40" s="124"/>
      <c r="W40" s="154"/>
    </row>
    <row r="41" spans="1:23" ht="30" customHeight="1" outlineLevel="1">
      <c r="A41" s="121"/>
      <c r="B41" s="152"/>
      <c r="C41" s="351"/>
      <c r="D41" s="351"/>
      <c r="E41" s="124"/>
      <c r="F41" s="108"/>
      <c r="G41" s="124"/>
      <c r="H41" s="124"/>
      <c r="I41" s="124"/>
      <c r="J41" s="108"/>
      <c r="K41" s="351"/>
      <c r="L41" s="124"/>
      <c r="M41" s="108"/>
      <c r="N41" s="351"/>
      <c r="O41" s="351"/>
      <c r="P41" s="124"/>
      <c r="Q41" s="124"/>
      <c r="R41" s="124"/>
      <c r="S41" s="124"/>
      <c r="T41" s="124"/>
      <c r="U41" s="124"/>
      <c r="V41" s="124"/>
      <c r="W41" s="154"/>
    </row>
    <row r="42" spans="1:23" ht="30" customHeight="1" outlineLevel="1" thickBot="1">
      <c r="A42" s="121"/>
      <c r="B42" s="152"/>
      <c r="C42" s="124"/>
      <c r="D42" s="124"/>
      <c r="E42" s="124"/>
      <c r="F42" s="124"/>
      <c r="G42" s="124"/>
      <c r="H42" s="124"/>
      <c r="I42" s="124"/>
      <c r="J42" s="124"/>
      <c r="K42" s="124"/>
      <c r="L42" s="124"/>
      <c r="M42" s="124"/>
      <c r="N42" s="351"/>
      <c r="O42" s="351"/>
      <c r="P42" s="124"/>
      <c r="Q42" s="124"/>
      <c r="R42" s="124"/>
      <c r="S42" s="124"/>
      <c r="T42" s="124"/>
      <c r="U42" s="124"/>
      <c r="V42" s="124"/>
      <c r="W42" s="154"/>
    </row>
    <row r="43" spans="1:23" ht="30" customHeight="1" outlineLevel="1" thickBot="1">
      <c r="A43" s="121"/>
      <c r="B43" s="152"/>
      <c r="C43" s="128"/>
      <c r="D43" s="128"/>
      <c r="E43" s="1292" t="s">
        <v>366</v>
      </c>
      <c r="F43" s="1294"/>
      <c r="G43" s="124"/>
      <c r="H43" s="124"/>
      <c r="I43" s="1265" t="s">
        <v>367</v>
      </c>
      <c r="J43" s="1266"/>
      <c r="K43" s="124"/>
      <c r="L43" s="124"/>
      <c r="M43" s="124"/>
      <c r="N43" s="351"/>
      <c r="O43" s="351"/>
      <c r="P43" s="124"/>
      <c r="Q43" s="124"/>
      <c r="R43" s="124"/>
      <c r="S43" s="124"/>
      <c r="T43" s="124"/>
      <c r="U43" s="124"/>
      <c r="V43" s="124"/>
      <c r="W43" s="154"/>
    </row>
    <row r="44" spans="1:23" ht="30" customHeight="1" outlineLevel="1" thickBot="1">
      <c r="A44" s="121"/>
      <c r="B44" s="152"/>
      <c r="C44" s="403" t="s">
        <v>65</v>
      </c>
      <c r="D44" s="633" t="s">
        <v>353</v>
      </c>
      <c r="E44" s="1307" t="s">
        <v>365</v>
      </c>
      <c r="F44" s="1296"/>
      <c r="G44" s="124"/>
      <c r="H44" s="124"/>
      <c r="I44" s="1211" t="s">
        <v>365</v>
      </c>
      <c r="J44" s="808"/>
      <c r="K44" s="124"/>
      <c r="L44" s="124"/>
      <c r="M44" s="124"/>
      <c r="N44" s="351"/>
      <c r="O44" s="351"/>
      <c r="P44" s="124"/>
      <c r="Q44" s="124"/>
      <c r="R44" s="124"/>
      <c r="S44" s="124"/>
      <c r="T44" s="124"/>
      <c r="U44" s="124"/>
      <c r="V44" s="124"/>
      <c r="W44" s="154"/>
    </row>
    <row r="45" spans="1:23" ht="30" customHeight="1" outlineLevel="1" thickBot="1">
      <c r="A45" s="121"/>
      <c r="B45" s="152"/>
      <c r="C45" s="406" t="s">
        <v>339</v>
      </c>
      <c r="D45" s="481"/>
      <c r="E45" s="433" t="s">
        <v>409</v>
      </c>
      <c r="F45" s="425"/>
      <c r="G45" s="351"/>
      <c r="H45" s="351"/>
      <c r="I45" s="432" t="str">
        <f>Start!L21</f>
        <v>Référence</v>
      </c>
      <c r="J45" s="494"/>
      <c r="K45" s="351"/>
      <c r="L45" s="351"/>
      <c r="M45" s="351"/>
      <c r="N45" s="351"/>
      <c r="O45" s="351"/>
      <c r="P45" s="351"/>
      <c r="Q45" s="124"/>
      <c r="R45" s="124"/>
      <c r="S45" s="124"/>
      <c r="T45" s="124"/>
      <c r="U45" s="124"/>
      <c r="V45" s="124"/>
      <c r="W45" s="154"/>
    </row>
    <row r="46" spans="1:23" ht="30" customHeight="1" outlineLevel="1" thickBot="1">
      <c r="A46" s="121"/>
      <c r="B46" s="152"/>
      <c r="C46" s="429" t="s">
        <v>340</v>
      </c>
      <c r="D46" s="482"/>
      <c r="E46" s="433" t="s">
        <v>409</v>
      </c>
      <c r="F46" s="426"/>
      <c r="G46" s="351"/>
      <c r="H46" s="351"/>
      <c r="I46" s="351"/>
      <c r="J46" s="351"/>
      <c r="K46" s="351"/>
      <c r="L46" s="351"/>
      <c r="M46" s="351"/>
      <c r="N46" s="351"/>
      <c r="O46" s="351"/>
      <c r="P46" s="124"/>
      <c r="Q46" s="1321"/>
      <c r="R46" s="1322"/>
      <c r="S46" s="1322"/>
      <c r="T46" s="1322"/>
      <c r="U46" s="1322"/>
      <c r="V46" s="1323"/>
      <c r="W46" s="154"/>
    </row>
    <row r="47" spans="1:23" ht="15" customHeight="1" outlineLevel="1" thickBot="1">
      <c r="A47" s="121"/>
      <c r="B47" s="152"/>
      <c r="C47" s="408" t="s">
        <v>12</v>
      </c>
      <c r="D47" s="482"/>
      <c r="E47" s="433" t="s">
        <v>409</v>
      </c>
      <c r="F47" s="426"/>
      <c r="G47" s="351"/>
      <c r="H47" s="351"/>
      <c r="I47" s="351"/>
      <c r="J47" s="351"/>
      <c r="K47" s="351"/>
      <c r="L47" s="351"/>
      <c r="M47" s="351"/>
      <c r="N47" s="351"/>
      <c r="O47" s="351"/>
      <c r="P47" s="124"/>
      <c r="Q47" s="1307"/>
      <c r="R47" s="1316"/>
      <c r="S47" s="379"/>
      <c r="T47" s="379"/>
      <c r="U47" s="380"/>
      <c r="V47" s="380"/>
      <c r="W47" s="154"/>
    </row>
    <row r="48" spans="1:23" ht="15" customHeight="1" outlineLevel="1" thickBot="1">
      <c r="A48" s="121"/>
      <c r="B48" s="152"/>
      <c r="C48" s="429" t="s">
        <v>11</v>
      </c>
      <c r="D48" s="482"/>
      <c r="E48" s="433" t="s">
        <v>409</v>
      </c>
      <c r="F48" s="426"/>
      <c r="G48" s="351"/>
      <c r="H48" s="351"/>
      <c r="I48" s="351"/>
      <c r="J48" s="351"/>
      <c r="K48" s="351"/>
      <c r="L48" s="351"/>
      <c r="M48" s="351"/>
      <c r="N48" s="351"/>
      <c r="O48" s="351"/>
      <c r="P48" s="124"/>
      <c r="Q48" s="1307"/>
      <c r="R48" s="1324"/>
      <c r="S48" s="1324"/>
      <c r="T48" s="1324"/>
      <c r="U48" s="1324"/>
      <c r="V48" s="1296"/>
      <c r="W48" s="154"/>
    </row>
    <row r="49" spans="1:23" ht="15" customHeight="1" outlineLevel="1">
      <c r="A49" s="121"/>
      <c r="B49" s="152"/>
      <c r="C49" s="429" t="s">
        <v>10</v>
      </c>
      <c r="D49" s="482"/>
      <c r="E49" s="433" t="s">
        <v>409</v>
      </c>
      <c r="F49" s="426"/>
      <c r="G49" s="351"/>
      <c r="H49" s="351"/>
      <c r="I49" s="351"/>
      <c r="J49" s="351"/>
      <c r="K49" s="351"/>
      <c r="L49" s="351"/>
      <c r="M49" s="351"/>
      <c r="N49" s="351"/>
      <c r="O49" s="351"/>
      <c r="P49" s="124"/>
      <c r="Q49" s="1325"/>
      <c r="R49" s="268"/>
      <c r="S49" s="265"/>
      <c r="T49" s="260"/>
      <c r="U49" s="260"/>
      <c r="V49" s="261"/>
      <c r="W49" s="154"/>
    </row>
    <row r="50" spans="1:23" ht="30" customHeight="1" outlineLevel="1">
      <c r="A50" s="121"/>
      <c r="B50" s="152"/>
      <c r="C50" s="429" t="s">
        <v>348</v>
      </c>
      <c r="D50" s="482"/>
      <c r="E50" s="433" t="s">
        <v>409</v>
      </c>
      <c r="F50" s="426"/>
      <c r="G50" s="351"/>
      <c r="H50" s="351"/>
      <c r="I50" s="351"/>
      <c r="J50" s="351"/>
      <c r="K50" s="351"/>
      <c r="L50" s="351"/>
      <c r="M50" s="351"/>
      <c r="N50" s="351"/>
      <c r="O50" s="351"/>
      <c r="P50" s="124"/>
      <c r="Q50" s="1326"/>
      <c r="R50" s="269"/>
      <c r="S50" s="266"/>
      <c r="T50" s="262"/>
      <c r="U50" s="262"/>
      <c r="V50" s="263"/>
      <c r="W50" s="154"/>
    </row>
    <row r="51" spans="1:23" ht="30" customHeight="1" outlineLevel="1" thickBot="1">
      <c r="A51" s="121"/>
      <c r="B51" s="152"/>
      <c r="C51" s="411" t="s">
        <v>349</v>
      </c>
      <c r="D51" s="483"/>
      <c r="E51" s="433" t="s">
        <v>409</v>
      </c>
      <c r="F51" s="427"/>
      <c r="G51" s="351"/>
      <c r="H51" s="351"/>
      <c r="I51" s="351"/>
      <c r="J51" s="351"/>
      <c r="K51" s="351"/>
      <c r="L51" s="351"/>
      <c r="M51" s="351"/>
      <c r="N51" s="351"/>
      <c r="O51" s="351"/>
      <c r="P51" s="124"/>
      <c r="Q51" s="1326"/>
      <c r="R51" s="269"/>
      <c r="S51" s="266"/>
      <c r="T51" s="262"/>
      <c r="U51" s="262"/>
      <c r="V51" s="263"/>
      <c r="W51" s="154"/>
    </row>
    <row r="52" spans="1:23" ht="30" customHeight="1" outlineLevel="1">
      <c r="A52" s="121"/>
      <c r="B52" s="152"/>
      <c r="C52" s="351"/>
      <c r="D52" s="351"/>
      <c r="E52" s="351"/>
      <c r="F52" s="351"/>
      <c r="G52" s="351"/>
      <c r="H52" s="351"/>
      <c r="I52" s="351"/>
      <c r="J52" s="351"/>
      <c r="K52" s="351"/>
      <c r="L52" s="351"/>
      <c r="M52" s="351"/>
      <c r="N52" s="351"/>
      <c r="O52" s="351"/>
      <c r="P52" s="124"/>
      <c r="Q52" s="1326"/>
      <c r="R52" s="269"/>
      <c r="S52" s="266"/>
      <c r="T52" s="262"/>
      <c r="U52" s="262"/>
      <c r="V52" s="263"/>
      <c r="W52" s="154"/>
    </row>
    <row r="53" spans="1:23" ht="30" customHeight="1" outlineLevel="1">
      <c r="A53" s="121"/>
      <c r="B53" s="152"/>
      <c r="C53" s="351"/>
      <c r="D53" s="351"/>
      <c r="E53" s="351"/>
      <c r="F53" s="351"/>
      <c r="G53" s="351"/>
      <c r="H53" s="351"/>
      <c r="I53" s="351"/>
      <c r="J53" s="351"/>
      <c r="K53" s="351"/>
      <c r="L53" s="351"/>
      <c r="M53" s="351"/>
      <c r="N53" s="351"/>
      <c r="O53" s="351"/>
      <c r="P53" s="124"/>
      <c r="Q53" s="1326"/>
      <c r="R53" s="269"/>
      <c r="S53" s="266"/>
      <c r="T53" s="262"/>
      <c r="U53" s="262"/>
      <c r="V53" s="263"/>
      <c r="W53" s="154"/>
    </row>
    <row r="54" spans="1:23" ht="30" customHeight="1" outlineLevel="1">
      <c r="A54" s="121"/>
      <c r="B54" s="152"/>
      <c r="C54" s="351"/>
      <c r="D54" s="351"/>
      <c r="E54" s="351"/>
      <c r="F54" s="351"/>
      <c r="G54" s="351"/>
      <c r="H54" s="351"/>
      <c r="I54" s="351"/>
      <c r="J54" s="351"/>
      <c r="K54" s="351"/>
      <c r="L54" s="351"/>
      <c r="M54" s="351"/>
      <c r="N54" s="351"/>
      <c r="O54" s="351"/>
      <c r="P54" s="124"/>
      <c r="Q54" s="1326"/>
      <c r="R54" s="269"/>
      <c r="S54" s="266"/>
      <c r="T54" s="262"/>
      <c r="U54" s="262"/>
      <c r="V54" s="263"/>
      <c r="W54" s="154"/>
    </row>
    <row r="55" spans="1:23" ht="30" customHeight="1" outlineLevel="1" thickBot="1">
      <c r="A55" s="121"/>
      <c r="B55" s="152"/>
      <c r="C55" s="351"/>
      <c r="D55" s="351"/>
      <c r="E55" s="351"/>
      <c r="F55" s="351"/>
      <c r="G55" s="351"/>
      <c r="H55" s="351"/>
      <c r="I55" s="351"/>
      <c r="J55" s="351"/>
      <c r="K55" s="351"/>
      <c r="L55" s="351"/>
      <c r="M55" s="351"/>
      <c r="N55" s="351"/>
      <c r="O55" s="351"/>
      <c r="P55" s="124"/>
      <c r="Q55" s="1327"/>
      <c r="R55" s="270"/>
      <c r="S55" s="267"/>
      <c r="T55" s="148"/>
      <c r="U55" s="148"/>
      <c r="V55" s="149"/>
      <c r="W55" s="154"/>
    </row>
    <row r="56" spans="1:23" ht="30" customHeight="1" outlineLevel="1">
      <c r="A56" s="121"/>
      <c r="B56" s="152"/>
      <c r="C56" s="351"/>
      <c r="D56" s="351"/>
      <c r="E56" s="351"/>
      <c r="F56" s="351"/>
      <c r="G56" s="351"/>
      <c r="H56" s="351"/>
      <c r="I56" s="351"/>
      <c r="J56" s="351"/>
      <c r="K56" s="351"/>
      <c r="L56" s="351"/>
      <c r="M56" s="351"/>
      <c r="N56" s="351"/>
      <c r="O56" s="351"/>
      <c r="P56" s="124"/>
      <c r="Q56" s="1325"/>
      <c r="R56" s="269"/>
      <c r="S56" s="266"/>
      <c r="T56" s="262"/>
      <c r="U56" s="262"/>
      <c r="V56" s="263"/>
      <c r="W56" s="154"/>
    </row>
    <row r="57" spans="1:23" s="136" customFormat="1" ht="15" customHeight="1" outlineLevel="1">
      <c r="A57" s="121"/>
      <c r="B57" s="152"/>
      <c r="C57" s="351"/>
      <c r="D57" s="351"/>
      <c r="E57" s="351"/>
      <c r="F57" s="351"/>
      <c r="G57" s="351"/>
      <c r="H57" s="351"/>
      <c r="I57" s="351"/>
      <c r="J57" s="351"/>
      <c r="K57" s="351"/>
      <c r="L57" s="351"/>
      <c r="M57" s="351"/>
      <c r="N57" s="351"/>
      <c r="O57" s="351"/>
      <c r="P57" s="124"/>
      <c r="Q57" s="1326"/>
      <c r="R57" s="269"/>
      <c r="S57" s="266"/>
      <c r="T57" s="262"/>
      <c r="U57" s="262"/>
      <c r="V57" s="263"/>
      <c r="W57" s="154"/>
    </row>
    <row r="58" spans="1:23" s="136" customFormat="1" ht="15" customHeight="1" outlineLevel="1" thickBot="1">
      <c r="A58" s="121"/>
      <c r="B58" s="152"/>
      <c r="C58" s="351"/>
      <c r="D58" s="351"/>
      <c r="E58" s="351"/>
      <c r="F58" s="351"/>
      <c r="G58" s="351"/>
      <c r="H58" s="351"/>
      <c r="I58" s="351"/>
      <c r="J58" s="351"/>
      <c r="K58" s="351"/>
      <c r="L58" s="351"/>
      <c r="M58" s="351"/>
      <c r="N58" s="351"/>
      <c r="O58" s="351"/>
      <c r="P58" s="124"/>
      <c r="Q58" s="1327"/>
      <c r="R58" s="270"/>
      <c r="S58" s="267"/>
      <c r="T58" s="148"/>
      <c r="U58" s="148"/>
      <c r="V58" s="149"/>
      <c r="W58" s="154"/>
    </row>
    <row r="59" spans="1:23" s="136" customFormat="1" ht="15" customHeight="1" outlineLevel="1" thickBot="1">
      <c r="A59" s="121"/>
      <c r="B59" s="152"/>
      <c r="C59" s="351"/>
      <c r="D59" s="351"/>
      <c r="E59" s="351"/>
      <c r="F59" s="351"/>
      <c r="G59" s="351"/>
      <c r="H59" s="351"/>
      <c r="I59" s="351"/>
      <c r="J59" s="351"/>
      <c r="K59" s="351"/>
      <c r="L59" s="351"/>
      <c r="M59" s="351"/>
      <c r="N59" s="351"/>
      <c r="O59" s="351"/>
      <c r="P59" s="124"/>
      <c r="Q59" s="1307"/>
      <c r="R59" s="1324"/>
      <c r="S59" s="1324"/>
      <c r="T59" s="1324"/>
      <c r="U59" s="1324"/>
      <c r="V59" s="1296"/>
      <c r="W59" s="154"/>
    </row>
    <row r="60" spans="1:23" s="136" customFormat="1" ht="15" customHeight="1" outlineLevel="1">
      <c r="A60" s="121"/>
      <c r="B60" s="152"/>
      <c r="C60" s="124"/>
      <c r="D60" s="124"/>
      <c r="E60" s="124"/>
      <c r="F60" s="124"/>
      <c r="G60" s="124"/>
      <c r="H60" s="124"/>
      <c r="I60" s="124"/>
      <c r="J60" s="124"/>
      <c r="K60" s="124"/>
      <c r="L60" s="124"/>
      <c r="M60" s="124"/>
      <c r="N60" s="124"/>
      <c r="O60" s="124"/>
      <c r="P60" s="124"/>
      <c r="Q60" s="1325"/>
      <c r="R60" s="268"/>
      <c r="S60" s="415"/>
      <c r="T60" s="271"/>
      <c r="U60" s="271"/>
      <c r="V60" s="416"/>
      <c r="W60" s="154"/>
    </row>
    <row r="61" spans="1:23" s="136" customFormat="1" ht="15" customHeight="1">
      <c r="A61" s="121"/>
      <c r="B61" s="152"/>
      <c r="C61" s="124"/>
      <c r="D61" s="124"/>
      <c r="E61" s="124"/>
      <c r="F61" s="124"/>
      <c r="G61" s="124"/>
      <c r="H61" s="124"/>
      <c r="I61" s="124"/>
      <c r="J61" s="124"/>
      <c r="K61" s="124"/>
      <c r="L61" s="124"/>
      <c r="M61" s="124"/>
      <c r="N61" s="124"/>
      <c r="O61" s="124"/>
      <c r="P61" s="124"/>
      <c r="Q61" s="1326"/>
      <c r="R61" s="269"/>
      <c r="S61" s="414"/>
      <c r="T61" s="272"/>
      <c r="U61" s="272"/>
      <c r="V61" s="417"/>
      <c r="W61" s="154"/>
    </row>
    <row r="62" spans="1:23" ht="15" customHeight="1">
      <c r="A62" s="121"/>
      <c r="B62" s="152"/>
      <c r="C62" s="124"/>
      <c r="D62" s="124"/>
      <c r="E62" s="124"/>
      <c r="F62" s="124"/>
      <c r="G62" s="124"/>
      <c r="H62" s="124"/>
      <c r="I62" s="124"/>
      <c r="J62" s="124"/>
      <c r="K62" s="124"/>
      <c r="L62" s="124"/>
      <c r="M62" s="124"/>
      <c r="N62" s="124"/>
      <c r="O62" s="124"/>
      <c r="P62" s="351"/>
      <c r="Q62" s="1326"/>
      <c r="R62" s="269"/>
      <c r="S62" s="414"/>
      <c r="T62" s="272"/>
      <c r="U62" s="272"/>
      <c r="V62" s="417"/>
      <c r="W62" s="154"/>
    </row>
    <row r="63" spans="1:23" ht="15" customHeight="1">
      <c r="A63" s="121"/>
      <c r="B63" s="152"/>
      <c r="C63" s="124"/>
      <c r="D63" s="124"/>
      <c r="E63" s="124"/>
      <c r="F63" s="124"/>
      <c r="G63" s="124"/>
      <c r="H63" s="124"/>
      <c r="I63" s="124"/>
      <c r="J63" s="124"/>
      <c r="K63" s="124"/>
      <c r="L63" s="124"/>
      <c r="M63" s="124"/>
      <c r="N63" s="124"/>
      <c r="O63" s="124"/>
      <c r="P63" s="351"/>
      <c r="Q63" s="1326"/>
      <c r="R63" s="269"/>
      <c r="S63" s="414"/>
      <c r="T63" s="272"/>
      <c r="U63" s="272"/>
      <c r="V63" s="417"/>
      <c r="W63" s="154"/>
    </row>
    <row r="64" spans="1:23" ht="15" customHeight="1">
      <c r="A64" s="121"/>
      <c r="B64" s="152"/>
      <c r="C64" s="124"/>
      <c r="D64" s="124"/>
      <c r="E64" s="124"/>
      <c r="F64" s="124"/>
      <c r="G64" s="124"/>
      <c r="H64" s="124"/>
      <c r="I64" s="124"/>
      <c r="J64" s="124"/>
      <c r="K64" s="124"/>
      <c r="L64" s="124"/>
      <c r="M64" s="124"/>
      <c r="N64" s="124"/>
      <c r="O64" s="124"/>
      <c r="P64" s="351"/>
      <c r="Q64" s="1326"/>
      <c r="R64" s="269"/>
      <c r="S64" s="414"/>
      <c r="T64" s="272"/>
      <c r="U64" s="272"/>
      <c r="V64" s="417"/>
      <c r="W64" s="154"/>
    </row>
    <row r="65" spans="1:24" ht="17.100000000000001" customHeight="1">
      <c r="A65" s="121"/>
      <c r="B65" s="152"/>
      <c r="C65" s="124"/>
      <c r="D65" s="124"/>
      <c r="E65" s="124"/>
      <c r="F65" s="124"/>
      <c r="G65" s="124"/>
      <c r="H65" s="124"/>
      <c r="I65" s="124"/>
      <c r="J65" s="124"/>
      <c r="K65" s="124"/>
      <c r="L65" s="124"/>
      <c r="M65" s="124"/>
      <c r="N65" s="124"/>
      <c r="O65" s="124"/>
      <c r="P65" s="351"/>
      <c r="Q65" s="1326"/>
      <c r="R65" s="269"/>
      <c r="S65" s="414"/>
      <c r="T65" s="272"/>
      <c r="U65" s="272"/>
      <c r="V65" s="417"/>
      <c r="W65" s="154"/>
    </row>
    <row r="66" spans="1:24" ht="17.100000000000001" customHeight="1" thickBot="1">
      <c r="A66" s="121"/>
      <c r="B66" s="152"/>
      <c r="C66" s="124"/>
      <c r="D66" s="124"/>
      <c r="E66" s="124"/>
      <c r="F66" s="124"/>
      <c r="G66" s="124"/>
      <c r="H66" s="124"/>
      <c r="I66" s="124"/>
      <c r="J66" s="124"/>
      <c r="K66" s="124"/>
      <c r="L66" s="124"/>
      <c r="M66" s="124"/>
      <c r="N66" s="124"/>
      <c r="O66" s="124"/>
      <c r="P66" s="351"/>
      <c r="Q66" s="1327"/>
      <c r="R66" s="270"/>
      <c r="S66" s="418"/>
      <c r="T66" s="274"/>
      <c r="U66" s="274"/>
      <c r="V66" s="419"/>
      <c r="W66" s="154"/>
    </row>
    <row r="67" spans="1:24" ht="17.100000000000001" customHeight="1">
      <c r="A67" s="121"/>
      <c r="B67" s="152"/>
      <c r="C67" s="124"/>
      <c r="D67" s="124"/>
      <c r="E67" s="124"/>
      <c r="F67" s="124"/>
      <c r="G67" s="124"/>
      <c r="H67" s="124"/>
      <c r="I67" s="124"/>
      <c r="J67" s="124"/>
      <c r="K67" s="124"/>
      <c r="L67" s="124"/>
      <c r="M67" s="124"/>
      <c r="N67" s="124"/>
      <c r="O67" s="124"/>
      <c r="P67" s="351"/>
      <c r="Q67" s="1325"/>
      <c r="R67" s="269"/>
      <c r="S67" s="276"/>
      <c r="T67" s="272"/>
      <c r="U67" s="272"/>
      <c r="V67" s="273"/>
      <c r="W67" s="154"/>
    </row>
    <row r="68" spans="1:24" ht="17.100000000000001" customHeight="1">
      <c r="A68" s="121"/>
      <c r="B68" s="152"/>
      <c r="C68" s="124"/>
      <c r="D68" s="124"/>
      <c r="E68" s="124"/>
      <c r="F68" s="124"/>
      <c r="G68" s="124"/>
      <c r="H68" s="124"/>
      <c r="I68" s="124"/>
      <c r="J68" s="124"/>
      <c r="K68" s="124"/>
      <c r="L68" s="124"/>
      <c r="M68" s="124"/>
      <c r="N68" s="124"/>
      <c r="O68" s="124"/>
      <c r="P68" s="351"/>
      <c r="Q68" s="1326"/>
      <c r="R68" s="269"/>
      <c r="S68" s="276"/>
      <c r="T68" s="272"/>
      <c r="U68" s="272"/>
      <c r="V68" s="273"/>
      <c r="W68" s="154"/>
    </row>
    <row r="69" spans="1:24" ht="17.100000000000001" customHeight="1" thickBot="1">
      <c r="A69" s="121"/>
      <c r="B69" s="152"/>
      <c r="C69" s="124"/>
      <c r="D69" s="124"/>
      <c r="E69" s="124"/>
      <c r="F69" s="124"/>
      <c r="G69" s="124"/>
      <c r="H69" s="124"/>
      <c r="I69" s="124"/>
      <c r="J69" s="124"/>
      <c r="K69" s="124"/>
      <c r="L69" s="124"/>
      <c r="M69" s="124"/>
      <c r="N69" s="124"/>
      <c r="O69" s="124"/>
      <c r="P69" s="351"/>
      <c r="Q69" s="1327"/>
      <c r="R69" s="270"/>
      <c r="S69" s="277"/>
      <c r="T69" s="274"/>
      <c r="U69" s="274"/>
      <c r="V69" s="275"/>
      <c r="W69" s="154"/>
    </row>
    <row r="70" spans="1:24" ht="17.100000000000001" customHeight="1" thickBot="1">
      <c r="A70" s="121"/>
      <c r="B70" s="152"/>
      <c r="C70" s="124"/>
      <c r="D70" s="124"/>
      <c r="E70" s="124"/>
      <c r="F70" s="124"/>
      <c r="G70" s="124"/>
      <c r="H70" s="124"/>
      <c r="I70" s="124"/>
      <c r="J70" s="124"/>
      <c r="K70" s="124"/>
      <c r="L70" s="124"/>
      <c r="M70" s="124"/>
      <c r="N70" s="124"/>
      <c r="O70" s="124"/>
      <c r="P70" s="351"/>
      <c r="Q70" s="124"/>
      <c r="R70" s="124"/>
      <c r="S70" s="124"/>
      <c r="T70" s="124"/>
      <c r="U70" s="124"/>
      <c r="V70" s="124"/>
      <c r="W70" s="154"/>
    </row>
    <row r="71" spans="1:24" ht="13.5" customHeight="1" thickBot="1">
      <c r="A71" s="121"/>
      <c r="B71" s="152"/>
      <c r="C71" s="124"/>
      <c r="D71" s="124"/>
      <c r="E71" s="124"/>
      <c r="F71" s="124"/>
      <c r="G71" s="124"/>
      <c r="H71" s="124"/>
      <c r="I71" s="124"/>
      <c r="J71" s="124"/>
      <c r="K71" s="124"/>
      <c r="L71" s="124"/>
      <c r="M71" s="124"/>
      <c r="N71" s="124"/>
      <c r="O71" s="124"/>
      <c r="P71" s="351"/>
      <c r="Q71" s="124"/>
      <c r="R71" s="1318"/>
      <c r="S71" s="1319"/>
      <c r="T71" s="1319"/>
      <c r="U71" s="1319"/>
      <c r="V71" s="1320"/>
      <c r="W71" s="154"/>
    </row>
    <row r="72" spans="1:24" ht="17.100000000000001" customHeight="1" thickBot="1">
      <c r="A72" s="121"/>
      <c r="B72" s="152"/>
      <c r="C72" s="124"/>
      <c r="D72" s="124"/>
      <c r="E72" s="124"/>
      <c r="F72" s="124"/>
      <c r="G72" s="124"/>
      <c r="H72" s="124"/>
      <c r="I72" s="124"/>
      <c r="J72" s="124"/>
      <c r="K72" s="124"/>
      <c r="L72" s="124"/>
      <c r="M72" s="124"/>
      <c r="N72" s="124"/>
      <c r="O72" s="124"/>
      <c r="P72" s="124"/>
      <c r="Q72" s="124"/>
      <c r="R72" s="282"/>
      <c r="S72" s="264"/>
      <c r="T72" s="258"/>
      <c r="U72" s="258"/>
      <c r="V72" s="259"/>
      <c r="W72" s="154"/>
    </row>
    <row r="73" spans="1:24" ht="17.100000000000001" customHeight="1">
      <c r="A73" s="121"/>
      <c r="B73" s="152"/>
      <c r="C73" s="124"/>
      <c r="D73" s="124"/>
      <c r="E73" s="124"/>
      <c r="F73" s="124"/>
      <c r="G73" s="124"/>
      <c r="H73" s="124"/>
      <c r="I73" s="124"/>
      <c r="J73" s="124"/>
      <c r="K73" s="124"/>
      <c r="L73" s="124"/>
      <c r="M73" s="124"/>
      <c r="N73" s="124"/>
      <c r="O73" s="124"/>
      <c r="P73" s="124"/>
      <c r="Q73" s="124"/>
      <c r="R73" s="280"/>
      <c r="S73" s="278"/>
      <c r="T73" s="144"/>
      <c r="U73" s="144"/>
      <c r="V73" s="145"/>
      <c r="W73" s="154"/>
    </row>
    <row r="74" spans="1:24" ht="17.100000000000001" customHeight="1" thickBot="1">
      <c r="A74" s="121"/>
      <c r="B74" s="152"/>
      <c r="C74" s="124"/>
      <c r="D74" s="124"/>
      <c r="E74" s="124"/>
      <c r="F74" s="124"/>
      <c r="G74" s="124"/>
      <c r="H74" s="124"/>
      <c r="I74" s="124"/>
      <c r="J74" s="124"/>
      <c r="K74" s="124"/>
      <c r="L74" s="124"/>
      <c r="M74" s="124"/>
      <c r="N74" s="124"/>
      <c r="O74" s="124"/>
      <c r="P74" s="124"/>
      <c r="Q74" s="124"/>
      <c r="R74" s="281"/>
      <c r="S74" s="279"/>
      <c r="T74" s="146"/>
      <c r="U74" s="146"/>
      <c r="V74" s="147"/>
      <c r="W74" s="154"/>
    </row>
    <row r="75" spans="1:24" ht="17.100000000000001" customHeight="1">
      <c r="A75" s="121"/>
      <c r="B75" s="152"/>
      <c r="C75" s="124"/>
      <c r="D75" s="124"/>
      <c r="E75" s="124"/>
      <c r="F75" s="124"/>
      <c r="G75" s="124"/>
      <c r="H75" s="124"/>
      <c r="I75" s="124"/>
      <c r="J75" s="124"/>
      <c r="K75" s="124"/>
      <c r="L75" s="124"/>
      <c r="M75" s="124"/>
      <c r="N75" s="124"/>
      <c r="O75" s="124"/>
      <c r="P75" s="124"/>
      <c r="Q75" s="124"/>
      <c r="R75" s="124"/>
      <c r="S75" s="124"/>
      <c r="T75" s="124"/>
      <c r="U75" s="124"/>
      <c r="V75" s="124"/>
      <c r="W75" s="154"/>
    </row>
    <row r="76" spans="1:24" ht="17.100000000000001" customHeight="1">
      <c r="A76" s="121"/>
      <c r="B76" s="152"/>
      <c r="C76" s="124"/>
      <c r="D76" s="124"/>
      <c r="E76" s="124"/>
      <c r="F76" s="124"/>
      <c r="G76" s="124"/>
      <c r="H76" s="124"/>
      <c r="I76" s="124"/>
      <c r="J76" s="124"/>
      <c r="K76" s="124"/>
      <c r="L76" s="124"/>
      <c r="M76" s="124"/>
      <c r="N76" s="124"/>
      <c r="O76" s="124"/>
      <c r="P76" s="124"/>
      <c r="Q76" s="124"/>
      <c r="R76" s="124"/>
      <c r="S76" s="124"/>
      <c r="T76" s="124"/>
      <c r="U76" s="124"/>
      <c r="V76" s="124"/>
      <c r="W76" s="154"/>
    </row>
    <row r="77" spans="1:24" ht="17.100000000000001" customHeight="1">
      <c r="A77" s="121"/>
      <c r="B77" s="152"/>
      <c r="C77" s="124"/>
      <c r="D77" s="124"/>
      <c r="E77" s="124"/>
      <c r="F77" s="124"/>
      <c r="G77" s="124"/>
      <c r="H77" s="124"/>
      <c r="I77" s="124"/>
      <c r="J77" s="124"/>
      <c r="K77" s="124"/>
      <c r="L77" s="124"/>
      <c r="M77" s="124"/>
      <c r="N77" s="124"/>
      <c r="O77" s="124"/>
      <c r="P77" s="124"/>
      <c r="Q77" s="124"/>
      <c r="R77" s="124"/>
      <c r="S77" s="124"/>
      <c r="T77" s="124"/>
      <c r="U77" s="124"/>
      <c r="V77" s="124"/>
      <c r="W77" s="154"/>
    </row>
    <row r="78" spans="1:24" ht="17.100000000000001" customHeight="1">
      <c r="A78" s="121"/>
      <c r="B78" s="156"/>
      <c r="C78" s="157"/>
      <c r="D78" s="157"/>
      <c r="E78" s="157"/>
      <c r="F78" s="157"/>
      <c r="G78" s="157"/>
      <c r="H78" s="157"/>
      <c r="I78" s="157"/>
      <c r="J78" s="157"/>
      <c r="K78" s="157"/>
      <c r="L78" s="157"/>
      <c r="M78" s="157"/>
      <c r="N78" s="157"/>
      <c r="O78" s="157"/>
      <c r="P78" s="157"/>
      <c r="Q78" s="157"/>
      <c r="R78" s="157"/>
      <c r="S78" s="157"/>
      <c r="T78" s="157"/>
      <c r="U78" s="157"/>
      <c r="V78" s="157"/>
      <c r="W78" s="158"/>
    </row>
    <row r="79" spans="1:24" ht="17.100000000000001" customHeight="1">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row>
    <row r="80" spans="1:24" ht="17.100000000000001" customHeight="1">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row>
    <row r="81" spans="1:24" ht="17.100000000000001" customHeight="1">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row>
    <row r="82" spans="1:24" ht="17.100000000000001" customHeight="1">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row>
    <row r="83" spans="1:24" ht="17.100000000000001" customHeight="1">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row>
    <row r="84" spans="1:24" ht="17.100000000000001" customHeight="1">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row>
    <row r="85" spans="1:24" ht="17.100000000000001" customHeight="1">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row>
    <row r="86" spans="1:24" ht="17.100000000000001" customHeight="1">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row>
    <row r="87" spans="1:24" ht="17.100000000000001" customHeight="1">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row>
    <row r="88" spans="1:24" ht="17.100000000000001" customHeight="1">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row>
    <row r="89" spans="1:24" ht="17.100000000000001" customHeight="1">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row>
    <row r="90" spans="1:24" ht="17.100000000000001" customHeight="1">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row>
    <row r="91" spans="1:24" ht="17.100000000000001" customHeight="1">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row>
    <row r="92" spans="1:24" ht="17.100000000000001" customHeight="1">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row>
    <row r="93" spans="1:24" ht="17.100000000000001" customHeight="1">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row>
    <row r="94" spans="1:24" ht="17.100000000000001" customHeight="1">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row>
    <row r="95" spans="1:24" ht="17.100000000000001" customHeight="1">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row>
    <row r="96" spans="1:24" ht="17.100000000000001" customHeight="1">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row>
    <row r="97" spans="1:24" ht="15" customHeight="1">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row>
    <row r="98" spans="1:24" ht="15" customHeight="1">
      <c r="A98" s="137"/>
      <c r="B98" s="137"/>
      <c r="C98" s="137"/>
      <c r="D98" s="137"/>
      <c r="E98" s="137"/>
      <c r="S98" s="137"/>
      <c r="T98" s="137"/>
      <c r="U98" s="137"/>
      <c r="V98" s="137"/>
      <c r="W98" s="137"/>
    </row>
    <row r="99" spans="1:24" ht="15" customHeight="1">
      <c r="A99" s="137"/>
      <c r="B99" s="137"/>
      <c r="C99" s="137"/>
      <c r="D99" s="137"/>
      <c r="E99" s="137"/>
      <c r="S99" s="137"/>
      <c r="T99" s="137"/>
      <c r="U99" s="137"/>
      <c r="V99" s="137"/>
      <c r="W99" s="137"/>
    </row>
    <row r="100" spans="1:24" ht="15" customHeight="1">
      <c r="A100" s="137"/>
      <c r="B100" s="137"/>
      <c r="C100" s="137"/>
      <c r="D100" s="137"/>
      <c r="E100" s="137"/>
      <c r="S100" s="137"/>
      <c r="T100" s="137"/>
      <c r="U100" s="137"/>
      <c r="V100" s="137"/>
      <c r="W100" s="137"/>
    </row>
    <row r="101" spans="1:24" ht="15" customHeight="1">
      <c r="A101" s="137"/>
      <c r="B101" s="137"/>
      <c r="S101" s="137"/>
      <c r="T101" s="137"/>
      <c r="U101" s="137"/>
      <c r="V101" s="137"/>
      <c r="W101" s="137"/>
    </row>
  </sheetData>
  <mergeCells count="51">
    <mergeCell ref="E43:F43"/>
    <mergeCell ref="E44:F44"/>
    <mergeCell ref="J19:K19"/>
    <mergeCell ref="J20:K20"/>
    <mergeCell ref="J21:K21"/>
    <mergeCell ref="J22:K22"/>
    <mergeCell ref="E32:F32"/>
    <mergeCell ref="I32:J32"/>
    <mergeCell ref="D6:F6"/>
    <mergeCell ref="E7:F7"/>
    <mergeCell ref="L7:M7"/>
    <mergeCell ref="D17:F17"/>
    <mergeCell ref="E18:F18"/>
    <mergeCell ref="J12:K12"/>
    <mergeCell ref="J13:K13"/>
    <mergeCell ref="J14:K14"/>
    <mergeCell ref="C2:C3"/>
    <mergeCell ref="T2:U3"/>
    <mergeCell ref="J8:K8"/>
    <mergeCell ref="D24:F24"/>
    <mergeCell ref="E25:F25"/>
    <mergeCell ref="J6:M6"/>
    <mergeCell ref="J7:K7"/>
    <mergeCell ref="J17:M17"/>
    <mergeCell ref="J18:K18"/>
    <mergeCell ref="L18:M18"/>
    <mergeCell ref="J24:M24"/>
    <mergeCell ref="J25:K25"/>
    <mergeCell ref="L25:M25"/>
    <mergeCell ref="J9:K9"/>
    <mergeCell ref="J10:K10"/>
    <mergeCell ref="J11:K11"/>
    <mergeCell ref="L32:M32"/>
    <mergeCell ref="E33:F33"/>
    <mergeCell ref="L33:M33"/>
    <mergeCell ref="J30:K30"/>
    <mergeCell ref="J26:K26"/>
    <mergeCell ref="J27:K27"/>
    <mergeCell ref="J28:K28"/>
    <mergeCell ref="J29:K29"/>
    <mergeCell ref="R71:V71"/>
    <mergeCell ref="I33:J33"/>
    <mergeCell ref="Q46:V46"/>
    <mergeCell ref="Q47:R47"/>
    <mergeCell ref="Q48:V48"/>
    <mergeCell ref="Q49:Q55"/>
    <mergeCell ref="Q56:Q58"/>
    <mergeCell ref="Q67:Q69"/>
    <mergeCell ref="Q60:Q66"/>
    <mergeCell ref="Q59:V59"/>
    <mergeCell ref="I43:J43"/>
  </mergeCells>
  <conditionalFormatting sqref="S60:V69">
    <cfRule type="cellIs" dxfId="257" priority="7" operator="lessThan">
      <formula>0</formula>
    </cfRule>
    <cfRule type="cellIs" dxfId="256" priority="8" operator="greaterThan">
      <formula>0</formula>
    </cfRule>
  </conditionalFormatting>
  <conditionalFormatting sqref="S74 V74">
    <cfRule type="cellIs" dxfId="255" priority="5" operator="lessThan">
      <formula>$S$73</formula>
    </cfRule>
    <cfRule type="cellIs" dxfId="254" priority="6" operator="greaterThan">
      <formula>$S$73</formula>
    </cfRule>
  </conditionalFormatting>
  <conditionalFormatting sqref="T74">
    <cfRule type="cellIs" dxfId="253" priority="2" operator="greaterThan">
      <formula>$T$73</formula>
    </cfRule>
    <cfRule type="cellIs" dxfId="252" priority="4" operator="lessThan">
      <formula>$T$73</formula>
    </cfRule>
  </conditionalFormatting>
  <conditionalFormatting sqref="U74">
    <cfRule type="cellIs" dxfId="251" priority="1" operator="greaterThan">
      <formula>$U$73</formula>
    </cfRule>
    <cfRule type="cellIs" dxfId="250" priority="3" operator="lessThan">
      <formula>$U$73</formula>
    </cfRule>
  </conditionalFormatting>
  <dataValidations count="1">
    <dataValidation type="whole" allowBlank="1" showInputMessage="1" showErrorMessage="1" sqref="D59" xr:uid="{00000000-0002-0000-0200-000000000000}">
      <formula1>2006</formula1>
      <formula2>2030</formula2>
    </dataValidation>
  </dataValidation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tabColor theme="4"/>
    <pageSetUpPr fitToPage="1"/>
  </sheetPr>
  <dimension ref="A1:AC51"/>
  <sheetViews>
    <sheetView showGridLines="0" zoomScale="70" zoomScaleNormal="70" workbookViewId="0">
      <selection activeCell="E37" sqref="E37"/>
    </sheetView>
  </sheetViews>
  <sheetFormatPr defaultColWidth="11.44140625" defaultRowHeight="15" customHeight="1"/>
  <cols>
    <col min="1" max="2" width="3.6640625" style="137" customWidth="1"/>
    <col min="3" max="3" width="35.33203125" style="137" customWidth="1"/>
    <col min="4" max="4" width="23.33203125" style="137" customWidth="1"/>
    <col min="5" max="5" width="14.109375" style="137" customWidth="1"/>
    <col min="6" max="6" width="51.44140625" style="137" customWidth="1"/>
    <col min="7" max="7" width="6" style="137" customWidth="1"/>
    <col min="8" max="8" width="5.6640625" style="137" customWidth="1"/>
    <col min="9" max="9" width="23.44140625" style="137" customWidth="1"/>
    <col min="10" max="10" width="15.109375" style="137" customWidth="1"/>
    <col min="11" max="11" width="9.88671875" style="137" customWidth="1"/>
    <col min="12" max="12" width="21.44140625" style="137" customWidth="1"/>
    <col min="13" max="13" width="38.6640625" style="137" customWidth="1"/>
    <col min="14" max="14" width="4" style="137" customWidth="1"/>
    <col min="15" max="15" width="1.6640625" style="137" customWidth="1"/>
    <col min="16" max="16" width="5.88671875" style="137" customWidth="1"/>
    <col min="17" max="17" width="16.44140625" style="137" customWidth="1"/>
    <col min="18" max="18" width="15.33203125" style="137" customWidth="1"/>
    <col min="19" max="19" width="7.44140625" style="137" bestFit="1" customWidth="1"/>
    <col min="20" max="20" width="11.6640625" style="137" customWidth="1"/>
    <col min="21" max="21" width="7.44140625" style="137" customWidth="1"/>
    <col min="22" max="26" width="7.44140625" style="137" bestFit="1" customWidth="1"/>
    <col min="27" max="27" width="11.44140625" style="137"/>
    <col min="28" max="28" width="3.5546875" style="137" customWidth="1"/>
    <col min="29" max="16384" width="11.44140625" style="137"/>
  </cols>
  <sheetData>
    <row r="1" spans="1:28" s="122" customFormat="1" ht="17.100000000000001" customHeight="1">
      <c r="A1" s="848" t="s">
        <v>74</v>
      </c>
      <c r="B1" s="848"/>
      <c r="C1" s="848"/>
      <c r="D1" s="848"/>
      <c r="E1" s="848"/>
      <c r="F1" s="848"/>
      <c r="G1" s="848"/>
      <c r="H1" s="848"/>
      <c r="I1" s="848"/>
      <c r="J1" s="848"/>
      <c r="K1" s="848"/>
      <c r="L1" s="848"/>
      <c r="M1" s="848"/>
      <c r="N1" s="848"/>
      <c r="O1" s="848"/>
      <c r="P1" s="848"/>
      <c r="Q1" s="848"/>
      <c r="R1" s="848"/>
      <c r="S1" s="848"/>
      <c r="T1" s="848"/>
      <c r="U1" s="848"/>
      <c r="V1" s="848"/>
      <c r="W1" s="848"/>
      <c r="X1" s="848"/>
      <c r="Y1" s="848"/>
      <c r="Z1" s="848"/>
      <c r="AA1" s="848"/>
      <c r="AB1" s="848"/>
    </row>
    <row r="2" spans="1:28" ht="17.100000000000001" customHeight="1">
      <c r="B2" s="874"/>
      <c r="C2" s="1330" t="s">
        <v>98</v>
      </c>
      <c r="D2" s="875"/>
      <c r="E2" s="875"/>
      <c r="F2" s="875"/>
      <c r="G2" s="875"/>
      <c r="H2" s="875"/>
      <c r="I2" s="875"/>
      <c r="J2" s="875"/>
      <c r="K2" s="875"/>
      <c r="L2" s="875"/>
      <c r="M2" s="875"/>
      <c r="N2" s="875"/>
      <c r="O2" s="875"/>
      <c r="P2" s="875"/>
      <c r="Q2" s="875"/>
      <c r="R2" s="875"/>
      <c r="S2" s="875"/>
      <c r="T2" s="1334" t="str">
        <f>CONCATENATE("Version ",Impressum!$C$17)</f>
        <v>Version 4.1.1</v>
      </c>
      <c r="U2" s="1334"/>
      <c r="V2" s="876"/>
      <c r="W2" s="876"/>
      <c r="X2" s="876"/>
      <c r="Y2" s="876"/>
      <c r="Z2" s="876"/>
      <c r="AA2" s="877"/>
    </row>
    <row r="3" spans="1:28" ht="17.100000000000001" customHeight="1">
      <c r="B3" s="878"/>
      <c r="C3" s="1331"/>
      <c r="D3" s="879"/>
      <c r="E3" s="879"/>
      <c r="F3" s="879"/>
      <c r="G3" s="879"/>
      <c r="H3" s="879"/>
      <c r="I3" s="879"/>
      <c r="J3" s="879"/>
      <c r="K3" s="879"/>
      <c r="L3" s="879"/>
      <c r="M3" s="879"/>
      <c r="N3" s="879"/>
      <c r="O3" s="879"/>
      <c r="P3" s="879"/>
      <c r="Q3" s="879"/>
      <c r="R3" s="879"/>
      <c r="S3" s="879"/>
      <c r="T3" s="1335"/>
      <c r="U3" s="1335"/>
      <c r="V3" s="880"/>
      <c r="W3" s="880"/>
      <c r="X3" s="880"/>
      <c r="Y3" s="880"/>
      <c r="Z3" s="880"/>
      <c r="AA3" s="881"/>
    </row>
    <row r="4" spans="1:28" s="122" customFormat="1" ht="17.100000000000001" customHeight="1" thickBot="1">
      <c r="A4" s="848"/>
      <c r="B4" s="658"/>
      <c r="C4" s="794" t="s">
        <v>338</v>
      </c>
      <c r="D4" s="659"/>
      <c r="E4" s="659"/>
      <c r="F4" s="659"/>
      <c r="G4" s="659"/>
      <c r="H4" s="659"/>
      <c r="I4" s="659"/>
      <c r="J4" s="659"/>
      <c r="K4" s="659"/>
      <c r="L4" s="659"/>
      <c r="M4" s="659"/>
      <c r="N4" s="659"/>
      <c r="O4" s="659"/>
      <c r="P4" s="659"/>
      <c r="Q4" s="659"/>
      <c r="R4" s="659"/>
      <c r="S4" s="659"/>
      <c r="T4" s="659"/>
      <c r="U4" s="659"/>
      <c r="V4" s="659"/>
      <c r="W4" s="659"/>
      <c r="X4" s="659"/>
      <c r="Y4" s="659"/>
      <c r="Z4" s="659"/>
      <c r="AA4" s="660"/>
      <c r="AB4" s="848"/>
    </row>
    <row r="5" spans="1:28" s="122" customFormat="1" ht="27" customHeight="1" thickBot="1">
      <c r="A5" s="848"/>
      <c r="B5" s="661"/>
      <c r="C5" s="662"/>
      <c r="D5" s="663"/>
      <c r="E5" s="663"/>
      <c r="F5" s="663"/>
      <c r="G5" s="663"/>
      <c r="H5" s="663"/>
      <c r="I5" s="663"/>
      <c r="J5" s="663"/>
      <c r="K5" s="663"/>
      <c r="L5" s="663"/>
      <c r="M5" s="663"/>
      <c r="N5" s="663"/>
      <c r="O5" s="663"/>
      <c r="P5" s="663"/>
      <c r="Q5" s="1339" t="s">
        <v>424</v>
      </c>
      <c r="R5" s="1340"/>
      <c r="S5" s="1341"/>
      <c r="T5" s="972" t="str">
        <f>ControlPanel!$T$5</f>
        <v>nominal</v>
      </c>
      <c r="U5" s="1339"/>
      <c r="V5" s="1341"/>
      <c r="W5" s="663"/>
      <c r="X5" s="663"/>
      <c r="Y5" s="663"/>
      <c r="Z5" s="663"/>
      <c r="AA5" s="664"/>
      <c r="AB5" s="848"/>
    </row>
    <row r="6" spans="1:28" s="122" customFormat="1" ht="29.25" customHeight="1" thickBot="1">
      <c r="A6" s="848"/>
      <c r="B6" s="661"/>
      <c r="C6" s="665"/>
      <c r="D6" s="1265" t="s">
        <v>315</v>
      </c>
      <c r="E6" s="1276"/>
      <c r="F6" s="1266"/>
      <c r="G6" s="663"/>
      <c r="H6" s="663"/>
      <c r="I6" s="663"/>
      <c r="J6" s="1265" t="str">
        <f>"Paramètres d'entrée:
Evolution des taux de rémunération (réel, basé sur "&amp;ControlPanel!D60&amp;")"</f>
        <v>Paramètres d'entrée:
Evolution des taux de rémunération (réel, basé sur 2020)</v>
      </c>
      <c r="K6" s="1276"/>
      <c r="L6" s="1276"/>
      <c r="M6" s="1266"/>
      <c r="N6" s="666"/>
      <c r="O6" s="663"/>
      <c r="P6" s="663"/>
      <c r="Q6" s="663"/>
      <c r="R6" s="663"/>
      <c r="S6" s="663"/>
      <c r="T6" s="663"/>
      <c r="U6" s="663"/>
      <c r="V6" s="663"/>
      <c r="W6" s="663"/>
      <c r="X6" s="663"/>
      <c r="Y6" s="663"/>
      <c r="Z6" s="663"/>
      <c r="AA6" s="664"/>
      <c r="AB6" s="848"/>
    </row>
    <row r="7" spans="1:28" s="122" customFormat="1" ht="29.25" customHeight="1" thickBot="1">
      <c r="A7" s="848"/>
      <c r="B7" s="661"/>
      <c r="C7" s="795" t="s">
        <v>65</v>
      </c>
      <c r="D7" s="796" t="s">
        <v>353</v>
      </c>
      <c r="E7" s="1256" t="s">
        <v>365</v>
      </c>
      <c r="F7" s="1257"/>
      <c r="G7" s="663"/>
      <c r="H7" s="663"/>
      <c r="I7" s="795" t="s">
        <v>65</v>
      </c>
      <c r="J7" s="1258" t="s">
        <v>353</v>
      </c>
      <c r="K7" s="1259"/>
      <c r="L7" s="1256" t="s">
        <v>365</v>
      </c>
      <c r="M7" s="1257"/>
      <c r="N7" s="666"/>
      <c r="O7" s="663"/>
      <c r="P7" s="663"/>
      <c r="Q7" s="663"/>
      <c r="R7" s="663"/>
      <c r="S7" s="663"/>
      <c r="T7" s="663"/>
      <c r="U7" s="663"/>
      <c r="V7" s="663"/>
      <c r="W7" s="663"/>
      <c r="X7" s="663"/>
      <c r="Y7" s="663"/>
      <c r="Z7" s="663"/>
      <c r="AA7" s="664"/>
      <c r="AB7" s="848"/>
    </row>
    <row r="8" spans="1:28" s="122" customFormat="1" ht="29.25" customHeight="1">
      <c r="A8" s="848"/>
      <c r="B8" s="661"/>
      <c r="C8" s="1221" t="s">
        <v>339</v>
      </c>
      <c r="D8" s="1232" t="s">
        <v>341</v>
      </c>
      <c r="E8" s="1228" t="s">
        <v>409</v>
      </c>
      <c r="F8" s="682" t="str">
        <f>'D-Bruttozubau'!E10</f>
        <v>1,5 GW jusqu´à 2021, à partir de 2023 2,5 GW/a</v>
      </c>
      <c r="G8" s="663"/>
      <c r="H8" s="663"/>
      <c r="I8" s="667" t="s">
        <v>339</v>
      </c>
      <c r="J8" s="1280" t="s">
        <v>418</v>
      </c>
      <c r="K8" s="1281"/>
      <c r="L8" s="499" t="s">
        <v>409</v>
      </c>
      <c r="M8" s="693" t="str">
        <f>'D-Vergütungssatz Neuanlagen'!E10</f>
        <v>Baisse de 4 ct/kWh in 2035</v>
      </c>
      <c r="N8" s="666"/>
      <c r="O8" s="663"/>
      <c r="P8" s="663"/>
      <c r="Q8" s="663"/>
      <c r="R8" s="663"/>
      <c r="S8" s="663"/>
      <c r="T8" s="663"/>
      <c r="U8" s="663"/>
      <c r="V8" s="663"/>
      <c r="W8" s="663"/>
      <c r="X8" s="663"/>
      <c r="Y8" s="663"/>
      <c r="Z8" s="663"/>
      <c r="AA8" s="664"/>
      <c r="AB8" s="848"/>
    </row>
    <row r="9" spans="1:28" s="122" customFormat="1" ht="29.25" customHeight="1">
      <c r="A9" s="848"/>
      <c r="B9" s="661"/>
      <c r="C9" s="1222" t="s">
        <v>340</v>
      </c>
      <c r="D9" s="1233" t="s">
        <v>341</v>
      </c>
      <c r="E9" s="1229" t="s">
        <v>409</v>
      </c>
      <c r="F9" s="683" t="str">
        <f>'D-Bruttozubau'!E11</f>
        <v>Tendance MFP, puis constante 1,6 GW</v>
      </c>
      <c r="G9" s="663"/>
      <c r="H9" s="663"/>
      <c r="I9" s="668" t="s">
        <v>340</v>
      </c>
      <c r="J9" s="1282" t="s">
        <v>418</v>
      </c>
      <c r="K9" s="1283"/>
      <c r="L9" s="502" t="s">
        <v>409</v>
      </c>
      <c r="M9" s="694" t="str">
        <f>'D-Vergütungssatz Neuanlagen'!E11</f>
        <v>Baisse de 5 ct/kWh in 2035</v>
      </c>
      <c r="N9" s="666"/>
      <c r="O9" s="663"/>
      <c r="P9" s="663"/>
      <c r="Q9" s="663"/>
      <c r="R9" s="663"/>
      <c r="S9" s="663"/>
      <c r="T9" s="663"/>
      <c r="U9" s="663"/>
      <c r="V9" s="663"/>
      <c r="W9" s="663"/>
      <c r="X9" s="663"/>
      <c r="Y9" s="663"/>
      <c r="Z9" s="663"/>
      <c r="AA9" s="664"/>
      <c r="AB9" s="848"/>
    </row>
    <row r="10" spans="1:28" s="122" customFormat="1" ht="29.25" customHeight="1">
      <c r="A10" s="848"/>
      <c r="B10" s="661"/>
      <c r="C10" s="1223" t="s">
        <v>12</v>
      </c>
      <c r="D10" s="1233" t="s">
        <v>341</v>
      </c>
      <c r="E10" s="1229" t="s">
        <v>409</v>
      </c>
      <c r="F10" s="684" t="str">
        <f>'D-Bruttozubau'!E12</f>
        <v>Tendence MFP</v>
      </c>
      <c r="G10" s="663"/>
      <c r="H10" s="663"/>
      <c r="I10" s="705" t="s">
        <v>12</v>
      </c>
      <c r="J10" s="1282" t="s">
        <v>418</v>
      </c>
      <c r="K10" s="1283"/>
      <c r="L10" s="502" t="s">
        <v>409</v>
      </c>
      <c r="M10" s="684" t="str">
        <f>'D-Vergütungssatz Neuanlagen'!E12</f>
        <v>EEG 2017; Proportion d'offres à partir de 2020 50%</v>
      </c>
      <c r="N10" s="666"/>
      <c r="O10" s="663"/>
      <c r="P10" s="663"/>
      <c r="Q10" s="663"/>
      <c r="R10" s="663"/>
      <c r="S10" s="663"/>
      <c r="T10" s="663"/>
      <c r="U10" s="663"/>
      <c r="V10" s="663"/>
      <c r="W10" s="663"/>
      <c r="X10" s="663"/>
      <c r="Y10" s="663"/>
      <c r="Z10" s="663"/>
      <c r="AA10" s="664"/>
      <c r="AB10" s="848"/>
    </row>
    <row r="11" spans="1:28" s="122" customFormat="1" ht="29.25" customHeight="1">
      <c r="A11" s="848"/>
      <c r="B11" s="661"/>
      <c r="C11" s="1224" t="s">
        <v>11</v>
      </c>
      <c r="D11" s="1233" t="s">
        <v>341</v>
      </c>
      <c r="E11" s="1229" t="s">
        <v>409</v>
      </c>
      <c r="F11" s="683" t="str">
        <f>'D-Bruttozubau'!E8</f>
        <v>0,2 GW/a</v>
      </c>
      <c r="G11" s="663"/>
      <c r="H11" s="663"/>
      <c r="I11" s="669" t="s">
        <v>11</v>
      </c>
      <c r="J11" s="1282" t="s">
        <v>418</v>
      </c>
      <c r="K11" s="1283"/>
      <c r="L11" s="502" t="s">
        <v>409</v>
      </c>
      <c r="M11" s="694" t="str">
        <f>'D-Vergütungssatz Neuanlagen'!E8</f>
        <v>EEG 2017</v>
      </c>
      <c r="N11" s="666"/>
      <c r="O11" s="663"/>
      <c r="P11" s="663"/>
      <c r="Q11" s="663"/>
      <c r="R11" s="663"/>
      <c r="S11" s="663"/>
      <c r="T11" s="663"/>
      <c r="U11" s="663"/>
      <c r="V11" s="663"/>
      <c r="W11" s="663"/>
      <c r="X11" s="663"/>
      <c r="Y11" s="663"/>
      <c r="Z11" s="663"/>
      <c r="AA11" s="664"/>
      <c r="AB11" s="848"/>
    </row>
    <row r="12" spans="1:28" s="122" customFormat="1" ht="29.25" customHeight="1">
      <c r="A12" s="848"/>
      <c r="B12" s="661"/>
      <c r="C12" s="1225" t="s">
        <v>10</v>
      </c>
      <c r="D12" s="1233" t="s">
        <v>342</v>
      </c>
      <c r="E12" s="1230" t="s">
        <v>409</v>
      </c>
      <c r="F12" s="683" t="str">
        <f>'D-Bruttozubau'!E9</f>
        <v>0 GW/a</v>
      </c>
      <c r="G12" s="663"/>
      <c r="H12" s="663"/>
      <c r="I12" s="670" t="s">
        <v>10</v>
      </c>
      <c r="J12" s="1282" t="s">
        <v>419</v>
      </c>
      <c r="K12" s="1283"/>
      <c r="L12" s="685" t="s">
        <v>409</v>
      </c>
      <c r="M12" s="694" t="str">
        <f>'D-Vergütungssatz Neuanlagen'!E9</f>
        <v>EEG 2017</v>
      </c>
      <c r="N12" s="666"/>
      <c r="O12" s="663"/>
      <c r="P12" s="663"/>
      <c r="Q12" s="663"/>
      <c r="R12" s="663"/>
      <c r="S12" s="663"/>
      <c r="T12" s="663"/>
      <c r="U12" s="663"/>
      <c r="V12" s="663"/>
      <c r="W12" s="663"/>
      <c r="X12" s="663"/>
      <c r="Y12" s="663"/>
      <c r="Z12" s="663"/>
      <c r="AA12" s="664"/>
      <c r="AB12" s="848"/>
    </row>
    <row r="13" spans="1:28" s="122" customFormat="1" ht="29.25" customHeight="1">
      <c r="A13" s="848"/>
      <c r="B13" s="661"/>
      <c r="C13" s="1226" t="s">
        <v>529</v>
      </c>
      <c r="D13" s="1233" t="s">
        <v>342</v>
      </c>
      <c r="E13" s="1230" t="s">
        <v>409</v>
      </c>
      <c r="F13" s="683" t="str">
        <f>'D-Bruttozubau'!E6</f>
        <v>0 GW/a</v>
      </c>
      <c r="G13" s="663"/>
      <c r="H13" s="663"/>
      <c r="I13" s="671" t="s">
        <v>529</v>
      </c>
      <c r="J13" s="1282" t="s">
        <v>419</v>
      </c>
      <c r="K13" s="1283"/>
      <c r="L13" s="685" t="s">
        <v>409</v>
      </c>
      <c r="M13" s="694" t="str">
        <f>'D-Vergütungssatz Neuanlagen'!E6</f>
        <v>EEG 2017</v>
      </c>
      <c r="N13" s="666"/>
      <c r="O13" s="663"/>
      <c r="P13" s="663"/>
      <c r="Q13" s="663"/>
      <c r="R13" s="663"/>
      <c r="S13" s="663"/>
      <c r="T13" s="663"/>
      <c r="U13" s="663"/>
      <c r="V13" s="663"/>
      <c r="W13" s="663"/>
      <c r="X13" s="663"/>
      <c r="Y13" s="663"/>
      <c r="Z13" s="663"/>
      <c r="AA13" s="664"/>
      <c r="AB13" s="848"/>
    </row>
    <row r="14" spans="1:28" s="122" customFormat="1" ht="29.25" customHeight="1" thickBot="1">
      <c r="A14" s="848"/>
      <c r="B14" s="661"/>
      <c r="C14" s="1227" t="s">
        <v>349</v>
      </c>
      <c r="D14" s="1234" t="s">
        <v>342</v>
      </c>
      <c r="E14" s="1231" t="s">
        <v>409</v>
      </c>
      <c r="F14" s="687" t="str">
        <f>'D-Bruttozubau'!E7</f>
        <v>0 GW/a</v>
      </c>
      <c r="G14" s="663"/>
      <c r="H14" s="663"/>
      <c r="I14" s="672" t="s">
        <v>349</v>
      </c>
      <c r="J14" s="1337" t="s">
        <v>419</v>
      </c>
      <c r="K14" s="1338"/>
      <c r="L14" s="686" t="s">
        <v>409</v>
      </c>
      <c r="M14" s="687" t="str">
        <f>'D-Vergütungssatz Neuanlagen'!E7</f>
        <v>EEG 2017</v>
      </c>
      <c r="N14" s="666"/>
      <c r="O14" s="663"/>
      <c r="P14" s="663"/>
      <c r="Q14" s="663"/>
      <c r="R14" s="663"/>
      <c r="S14" s="663"/>
      <c r="T14" s="663"/>
      <c r="U14" s="663"/>
      <c r="V14" s="663"/>
      <c r="W14" s="663"/>
      <c r="X14" s="663"/>
      <c r="Y14" s="663"/>
      <c r="Z14" s="663"/>
      <c r="AA14" s="664"/>
      <c r="AB14" s="848"/>
    </row>
    <row r="15" spans="1:28" s="122" customFormat="1" ht="13.2">
      <c r="A15" s="848"/>
      <c r="B15" s="661"/>
      <c r="C15" s="663"/>
      <c r="D15" s="663"/>
      <c r="E15" s="663"/>
      <c r="F15" s="666"/>
      <c r="G15" s="663"/>
      <c r="H15" s="663"/>
      <c r="I15" s="663"/>
      <c r="J15" s="663"/>
      <c r="K15" s="663"/>
      <c r="L15" s="663"/>
      <c r="M15" s="673"/>
      <c r="N15" s="663"/>
      <c r="O15" s="663"/>
      <c r="P15" s="663"/>
      <c r="Q15" s="663"/>
      <c r="R15" s="663"/>
      <c r="S15" s="663"/>
      <c r="T15" s="663"/>
      <c r="U15" s="663"/>
      <c r="V15" s="663"/>
      <c r="W15" s="663"/>
      <c r="X15" s="663"/>
      <c r="Y15" s="663"/>
      <c r="Z15" s="663"/>
      <c r="AA15" s="664"/>
      <c r="AB15" s="848"/>
    </row>
    <row r="16" spans="1:28" s="122" customFormat="1" ht="13.8" thickBot="1">
      <c r="A16" s="848"/>
      <c r="B16" s="661"/>
      <c r="C16" s="663"/>
      <c r="D16" s="663"/>
      <c r="E16" s="663"/>
      <c r="F16" s="663"/>
      <c r="G16" s="663"/>
      <c r="H16" s="663"/>
      <c r="I16" s="663"/>
      <c r="J16" s="663"/>
      <c r="K16" s="663"/>
      <c r="L16" s="663"/>
      <c r="M16" s="663"/>
      <c r="N16" s="663"/>
      <c r="O16" s="663"/>
      <c r="P16" s="663"/>
      <c r="Q16" s="663"/>
      <c r="R16" s="663"/>
      <c r="S16" s="663"/>
      <c r="T16" s="663"/>
      <c r="U16" s="663"/>
      <c r="V16" s="663"/>
      <c r="W16" s="663"/>
      <c r="X16" s="663"/>
      <c r="Y16" s="663"/>
      <c r="Z16" s="663"/>
      <c r="AA16" s="664"/>
      <c r="AB16" s="848"/>
    </row>
    <row r="17" spans="1:28" s="122" customFormat="1" ht="28.5" customHeight="1" thickBot="1">
      <c r="A17" s="848"/>
      <c r="B17" s="661"/>
      <c r="C17" s="663"/>
      <c r="D17" s="1265" t="s">
        <v>416</v>
      </c>
      <c r="E17" s="1276"/>
      <c r="F17" s="1266"/>
      <c r="G17" s="663"/>
      <c r="H17" s="663"/>
      <c r="I17" s="663"/>
      <c r="J17" s="1265" t="s">
        <v>417</v>
      </c>
      <c r="K17" s="1276"/>
      <c r="L17" s="1276"/>
      <c r="M17" s="1266"/>
      <c r="N17" s="663"/>
      <c r="O17" s="663"/>
      <c r="P17" s="663"/>
      <c r="Q17" s="663"/>
      <c r="R17" s="663"/>
      <c r="S17" s="663"/>
      <c r="T17" s="663"/>
      <c r="U17" s="663"/>
      <c r="V17" s="663"/>
      <c r="W17" s="663"/>
      <c r="X17" s="663"/>
      <c r="Y17" s="663"/>
      <c r="Z17" s="663"/>
      <c r="AA17" s="664"/>
      <c r="AB17" s="848"/>
    </row>
    <row r="18" spans="1:28" s="122" customFormat="1" ht="13.8" thickBot="1">
      <c r="A18" s="848"/>
      <c r="B18" s="661"/>
      <c r="C18" s="663"/>
      <c r="D18" s="796" t="s">
        <v>353</v>
      </c>
      <c r="E18" s="1332" t="s">
        <v>365</v>
      </c>
      <c r="F18" s="1333"/>
      <c r="G18" s="663"/>
      <c r="H18" s="663"/>
      <c r="I18" s="663"/>
      <c r="J18" s="1288" t="s">
        <v>353</v>
      </c>
      <c r="K18" s="1336"/>
      <c r="L18" s="1332" t="s">
        <v>365</v>
      </c>
      <c r="M18" s="1333"/>
      <c r="N18" s="663"/>
      <c r="O18" s="663"/>
      <c r="P18" s="663"/>
      <c r="Q18" s="663"/>
      <c r="R18" s="663"/>
      <c r="S18" s="663"/>
      <c r="T18" s="663"/>
      <c r="U18" s="663"/>
      <c r="V18" s="663"/>
      <c r="W18" s="663"/>
      <c r="X18" s="663"/>
      <c r="Y18" s="663"/>
      <c r="Z18" s="663"/>
      <c r="AA18" s="664"/>
      <c r="AB18" s="848"/>
    </row>
    <row r="19" spans="1:28" s="122" customFormat="1" ht="28.5" customHeight="1">
      <c r="A19" s="848"/>
      <c r="B19" s="661"/>
      <c r="C19" s="797" t="s">
        <v>374</v>
      </c>
      <c r="D19" s="787" t="s">
        <v>418</v>
      </c>
      <c r="E19" s="499" t="s">
        <v>409</v>
      </c>
      <c r="F19" s="688" t="str">
        <f>'D-Privilegierter Letztverbrauch'!$D$6</f>
        <v>MFP Référence</v>
      </c>
      <c r="G19" s="663"/>
      <c r="H19" s="674"/>
      <c r="I19" s="797" t="s">
        <v>377</v>
      </c>
      <c r="J19" s="1280" t="s">
        <v>418</v>
      </c>
      <c r="K19" s="1281"/>
      <c r="L19" s="499" t="s">
        <v>409</v>
      </c>
      <c r="M19" s="688" t="str">
        <f>'D-Future Strompreis'!$D$6</f>
        <v>5 -&gt; 6 ct/kWh</v>
      </c>
      <c r="N19" s="663"/>
      <c r="O19" s="674"/>
      <c r="P19" s="663"/>
      <c r="Q19" s="663"/>
      <c r="R19" s="663"/>
      <c r="S19" s="663"/>
      <c r="T19" s="663"/>
      <c r="U19" s="663"/>
      <c r="V19" s="663"/>
      <c r="W19" s="663"/>
      <c r="X19" s="663"/>
      <c r="Y19" s="663"/>
      <c r="Z19" s="663"/>
      <c r="AA19" s="664"/>
      <c r="AB19" s="848"/>
    </row>
    <row r="20" spans="1:28" s="122" customFormat="1" ht="52.8">
      <c r="A20" s="848"/>
      <c r="B20" s="661"/>
      <c r="C20" s="798" t="s">
        <v>375</v>
      </c>
      <c r="D20" s="786" t="s">
        <v>418</v>
      </c>
      <c r="E20" s="502" t="s">
        <v>409</v>
      </c>
      <c r="F20" s="689" t="str">
        <f>'D-Umlage priv. Letztverbrauch'!$D$6</f>
        <v>15% (gem. EEG 2014)</v>
      </c>
      <c r="G20" s="663"/>
      <c r="H20" s="674"/>
      <c r="I20" s="1217" t="s">
        <v>425</v>
      </c>
      <c r="J20" s="1329" t="s">
        <v>418</v>
      </c>
      <c r="K20" s="1329"/>
      <c r="L20" s="1216" t="s">
        <v>909</v>
      </c>
      <c r="M20" s="691" t="str">
        <f>'D-Prognosefehler Kontostand'!D6</f>
        <v>pas de déviation</v>
      </c>
      <c r="N20" s="663"/>
      <c r="O20" s="674"/>
      <c r="P20" s="663"/>
      <c r="Q20" s="663"/>
      <c r="R20" s="663"/>
      <c r="S20" s="663"/>
      <c r="T20" s="663"/>
      <c r="U20" s="663"/>
      <c r="V20" s="663"/>
      <c r="W20" s="663"/>
      <c r="X20" s="663"/>
      <c r="Y20" s="663"/>
      <c r="Z20" s="663"/>
      <c r="AA20" s="664"/>
      <c r="AB20" s="848"/>
    </row>
    <row r="21" spans="1:28" s="122" customFormat="1" ht="42" customHeight="1" thickBot="1">
      <c r="A21" s="848"/>
      <c r="B21" s="661"/>
      <c r="C21" s="800" t="s">
        <v>376</v>
      </c>
      <c r="D21" s="785" t="s">
        <v>418</v>
      </c>
      <c r="E21" s="653" t="s">
        <v>409</v>
      </c>
      <c r="F21" s="690" t="str">
        <f>'D-Faktor Zusatzprivilegierung'!$D$6</f>
        <v>Jusqu'en 2021: calculs de la surtaxe GRT, par la suite constante (agit comme une exonération complète de 62% de la BT privée)</v>
      </c>
      <c r="G21" s="663"/>
      <c r="H21" s="663"/>
      <c r="I21" s="1218" t="s">
        <v>426</v>
      </c>
      <c r="J21" s="1328" t="s">
        <v>418</v>
      </c>
      <c r="K21" s="1328"/>
      <c r="L21" s="503" t="s">
        <v>409</v>
      </c>
      <c r="M21" s="692" t="str">
        <f>'D-Zuschuss'!D6</f>
        <v>6,5 ct / kWh en 2021 et 6,0 ct / kWh en 2022 seront atteints</v>
      </c>
      <c r="N21" s="663"/>
      <c r="O21" s="674"/>
      <c r="P21" s="663"/>
      <c r="Q21" s="663"/>
      <c r="R21" s="663"/>
      <c r="S21" s="663"/>
      <c r="T21" s="663"/>
      <c r="U21" s="663"/>
      <c r="V21" s="663"/>
      <c r="W21" s="663"/>
      <c r="X21" s="663"/>
      <c r="Y21" s="663"/>
      <c r="Z21" s="663"/>
      <c r="AA21" s="664"/>
      <c r="AB21" s="848"/>
    </row>
    <row r="22" spans="1:28" s="122" customFormat="1" ht="13.8" thickBot="1">
      <c r="A22" s="848"/>
      <c r="B22" s="661"/>
      <c r="C22" s="663"/>
      <c r="D22" s="663"/>
      <c r="E22" s="663"/>
      <c r="F22" s="663"/>
      <c r="G22" s="663"/>
      <c r="H22" s="663"/>
      <c r="I22" s="663"/>
      <c r="J22" s="663"/>
      <c r="K22" s="663"/>
      <c r="L22" s="663"/>
      <c r="M22" s="663"/>
      <c r="N22" s="663"/>
      <c r="O22" s="674"/>
      <c r="P22" s="663"/>
      <c r="Q22" s="1262" t="s">
        <v>1019</v>
      </c>
      <c r="R22" s="1263"/>
      <c r="S22" s="1263"/>
      <c r="T22" s="1263"/>
      <c r="U22" s="1263"/>
      <c r="V22" s="1263"/>
      <c r="W22" s="1263"/>
      <c r="X22" s="1263"/>
      <c r="Y22" s="1263"/>
      <c r="Z22" s="1269"/>
      <c r="AA22" s="664"/>
      <c r="AB22" s="848"/>
    </row>
    <row r="23" spans="1:28" s="122" customFormat="1" ht="13.8" thickBot="1">
      <c r="A23" s="848"/>
      <c r="B23" s="661"/>
      <c r="C23" s="663"/>
      <c r="D23" s="663"/>
      <c r="E23" s="663"/>
      <c r="F23" s="663"/>
      <c r="G23" s="663"/>
      <c r="H23" s="663"/>
      <c r="I23" s="663"/>
      <c r="J23" s="663"/>
      <c r="K23" s="663"/>
      <c r="L23" s="663"/>
      <c r="M23" s="663"/>
      <c r="N23" s="663"/>
      <c r="O23" s="663"/>
      <c r="P23" s="663"/>
      <c r="Q23" s="1350"/>
      <c r="R23" s="1351"/>
      <c r="S23" s="801">
        <f>ControlPanel!$D$59-1</f>
        <v>2021</v>
      </c>
      <c r="T23" s="801">
        <f>ControlPanel!$D$59</f>
        <v>2022</v>
      </c>
      <c r="U23" s="802">
        <f>ControlPanel!$D$59+1</f>
        <v>2023</v>
      </c>
      <c r="V23" s="802">
        <f>ControlPanel!$D$59+2</f>
        <v>2024</v>
      </c>
      <c r="W23" s="802">
        <f>ControlPanel!$D$59+3</f>
        <v>2025</v>
      </c>
      <c r="X23" s="802">
        <v>2025</v>
      </c>
      <c r="Y23" s="802">
        <v>2030</v>
      </c>
      <c r="Z23" s="802">
        <v>2035</v>
      </c>
      <c r="AA23" s="664"/>
      <c r="AB23" s="848"/>
    </row>
    <row r="24" spans="1:28" s="122" customFormat="1" ht="31.5" customHeight="1" thickBot="1">
      <c r="A24" s="848"/>
      <c r="B24" s="661"/>
      <c r="C24" s="663"/>
      <c r="D24" s="1265" t="s">
        <v>407</v>
      </c>
      <c r="E24" s="1276"/>
      <c r="F24" s="1266"/>
      <c r="G24" s="663"/>
      <c r="H24" s="663"/>
      <c r="I24" s="663"/>
      <c r="J24" s="663"/>
      <c r="K24" s="663"/>
      <c r="L24" s="663"/>
      <c r="M24" s="663"/>
      <c r="N24" s="663"/>
      <c r="O24" s="675"/>
      <c r="P24" s="663"/>
      <c r="Q24" s="1258" t="s">
        <v>413</v>
      </c>
      <c r="R24" s="1284"/>
      <c r="S24" s="1284"/>
      <c r="T24" s="1284"/>
      <c r="U24" s="1284"/>
      <c r="V24" s="1284"/>
      <c r="W24" s="1284"/>
      <c r="X24" s="1284"/>
      <c r="Y24" s="1284"/>
      <c r="Z24" s="1257"/>
      <c r="AA24" s="664"/>
      <c r="AB24" s="848"/>
    </row>
    <row r="25" spans="1:28" s="122" customFormat="1" ht="29.25" customHeight="1" thickBot="1">
      <c r="A25" s="848"/>
      <c r="B25" s="661"/>
      <c r="C25" s="806" t="s">
        <v>420</v>
      </c>
      <c r="D25" s="807" t="s">
        <v>353</v>
      </c>
      <c r="E25" s="1256" t="s">
        <v>365</v>
      </c>
      <c r="F25" s="1257"/>
      <c r="G25" s="663"/>
      <c r="H25" s="663"/>
      <c r="I25" s="663"/>
      <c r="J25" s="663"/>
      <c r="K25" s="663"/>
      <c r="L25" s="663"/>
      <c r="M25" s="663"/>
      <c r="N25" s="663"/>
      <c r="O25" s="675"/>
      <c r="P25" s="663"/>
      <c r="Q25" s="1344" t="s">
        <v>427</v>
      </c>
      <c r="R25" s="1345"/>
      <c r="S25" s="1141">
        <f ca="1">IF(ControlPanel!$T$5="nominal",OFFSET('GrD-Grafikdaten'!$J8,0,S$23-2014),OFFSET('GrD-Grafikdaten'!$J26,0,S$23-2014))</f>
        <v>6.5003634995875341</v>
      </c>
      <c r="T25" s="1142">
        <f ca="1">IF(ControlPanel!$T$5="nominal",OFFSET('GrD-Grafikdaten'!$J8,0,T$23-2014),OFFSET('GrD-Grafikdaten'!$J26,0,T$23-2014))</f>
        <v>5.999829931707656</v>
      </c>
      <c r="U25" s="1142">
        <f ca="1">IF(ControlPanel!$T$5="nominal",OFFSET('GrD-Grafikdaten'!$J8,0,U$23-2014),OFFSET('GrD-Grafikdaten'!$J26,0,U$23-2014))</f>
        <v>5.7540581975897345</v>
      </c>
      <c r="V25" s="1142">
        <f ca="1">IF(ControlPanel!$T$5="nominal",OFFSET('GrD-Grafikdaten'!$J8,0,V$23-2014),OFFSET('GrD-Grafikdaten'!$J26,0,V$23-2014))</f>
        <v>5.6173863183219579</v>
      </c>
      <c r="W25" s="1142">
        <f ca="1">IF(ControlPanel!$T$5="nominal",OFFSET('GrD-Grafikdaten'!$J8,0,W$23-2014),OFFSET('GrD-Grafikdaten'!$J26,0,W$23-2014))</f>
        <v>5.1106041596116398</v>
      </c>
      <c r="X25" s="1142">
        <f ca="1">IF(ControlPanel!$T$5="nominal",OFFSET('GrD-Grafikdaten'!$J8,0,X$23-2014),OFFSET('GrD-Grafikdaten'!$J26,0,X$23-2014))</f>
        <v>5.1106041596116398</v>
      </c>
      <c r="Y25" s="1142">
        <f ca="1">IF(ControlPanel!$T$5="nominal",OFFSET('GrD-Grafikdaten'!$J8,0,Y$23-2014),OFFSET('GrD-Grafikdaten'!$J26,0,Y$23-2014))</f>
        <v>2.5242573906001367</v>
      </c>
      <c r="Z25" s="1143">
        <f ca="1">IF(ControlPanel!$T$5="nominal",OFFSET('GrD-Grafikdaten'!$J8,0,Z$23-2014),OFFSET('GrD-Grafikdaten'!$J26,0,Z$23-2014))</f>
        <v>0.54192582780461751</v>
      </c>
      <c r="AA25" s="664"/>
      <c r="AB25" s="848"/>
    </row>
    <row r="26" spans="1:28" s="122" customFormat="1" ht="34.799999999999997" customHeight="1">
      <c r="A26" s="848"/>
      <c r="B26" s="661"/>
      <c r="C26" s="803" t="s">
        <v>421</v>
      </c>
      <c r="D26" s="804" t="s">
        <v>418</v>
      </c>
      <c r="E26" s="504" t="s">
        <v>409</v>
      </c>
      <c r="F26" s="805" t="str">
        <f>'D-Eigenverbrauch KWK Neue'!$D$6</f>
        <v>2021: calculs de la surtaxe GRT jusqu'en 2025, par la suite constante</v>
      </c>
      <c r="G26" s="663"/>
      <c r="H26" s="663"/>
      <c r="I26" s="663"/>
      <c r="J26" s="663"/>
      <c r="K26" s="663"/>
      <c r="L26" s="663"/>
      <c r="M26" s="663"/>
      <c r="N26" s="663"/>
      <c r="O26" s="674"/>
      <c r="P26" s="663"/>
      <c r="Q26" s="1346" t="s">
        <v>428</v>
      </c>
      <c r="R26" s="1347"/>
      <c r="S26" s="695">
        <f ca="1">IF(ControlPanel!$T$5="nominal",OFFSET('GrD-Grafikdaten'!$J20,0,S$23-2014),OFFSET('GrD-Grafikdaten'!$J38,0,S$23-2014))</f>
        <v>10.574363499587534</v>
      </c>
      <c r="T26" s="696">
        <f ca="1">IF(ControlPanel!$T$5="nominal",OFFSET('GrD-Grafikdaten'!$J20,0,T$23-2014),OFFSET('GrD-Grafikdaten'!$J38,0,T$23-2014))</f>
        <v>10.493671381707655</v>
      </c>
      <c r="U26" s="696">
        <f ca="1">IF(ControlPanel!$T$5="nominal",OFFSET('GrD-Grafikdaten'!$J20,0,U$23-2014),OFFSET('GrD-Grafikdaten'!$J38,0,U$23-2014))</f>
        <v>10.506666411964733</v>
      </c>
      <c r="V26" s="696">
        <f ca="1">IF(ControlPanel!$T$5="nominal",OFFSET('GrD-Grafikdaten'!$J20,0,V$23-2014),OFFSET('GrD-Grafikdaten'!$J38,0,V$23-2014))</f>
        <v>10.569973986425861</v>
      </c>
      <c r="W26" s="696">
        <f ca="1">IF(ControlPanel!$T$5="nominal",OFFSET('GrD-Grafikdaten'!$J20,0,W$23-2014),OFFSET('GrD-Grafikdaten'!$J38,0,W$23-2014))</f>
        <v>10.268101328208083</v>
      </c>
      <c r="X26" s="696">
        <f ca="1">IF(ControlPanel!$T$5="nominal",OFFSET('GrD-Grafikdaten'!$J20,0,X$23-2014),OFFSET('GrD-Grafikdaten'!$J38,0,X$23-2014))</f>
        <v>10.268101328208083</v>
      </c>
      <c r="Y26" s="696">
        <f ca="1">IF(ControlPanel!$T$5="nominal",OFFSET('GrD-Grafikdaten'!$J20,0,Y$23-2014),OFFSET('GrD-Grafikdaten'!$J38,0,Y$23-2014))</f>
        <v>8.7839244655795312</v>
      </c>
      <c r="Z26" s="697">
        <f ca="1">IF(ControlPanel!$T$5="nominal",OFFSET('GrD-Grafikdaten'!$J20,0,Z$23-2014),OFFSET('GrD-Grafikdaten'!$J38,0,Z$23-2014))</f>
        <v>8.0433182277308219</v>
      </c>
      <c r="AA26" s="664"/>
      <c r="AB26" s="848"/>
    </row>
    <row r="27" spans="1:28" s="122" customFormat="1" ht="27" thickBot="1">
      <c r="A27" s="848"/>
      <c r="B27" s="676"/>
      <c r="C27" s="798" t="s">
        <v>381</v>
      </c>
      <c r="D27" s="786" t="s">
        <v>418</v>
      </c>
      <c r="E27" s="502" t="s">
        <v>409</v>
      </c>
      <c r="F27" s="691" t="str">
        <f>'D-Anteil Eigenverbrauch EE neu'!E12</f>
        <v>6%</v>
      </c>
      <c r="G27" s="663"/>
      <c r="H27" s="663"/>
      <c r="I27" s="663"/>
      <c r="J27" s="663"/>
      <c r="K27" s="663"/>
      <c r="L27" s="663"/>
      <c r="M27" s="663"/>
      <c r="N27" s="663"/>
      <c r="O27" s="674"/>
      <c r="P27" s="663"/>
      <c r="Q27" s="1342" t="s">
        <v>429</v>
      </c>
      <c r="R27" s="1343"/>
      <c r="S27" s="698">
        <f ca="1">OFFSET('GrD-Grafikdaten'!$J48,0,S$23-2014)</f>
        <v>0.43632172207942227</v>
      </c>
      <c r="T27" s="699">
        <f ca="1">OFFSET('GrD-Grafikdaten'!$J48,0,T$23-2014)</f>
        <v>0.44585345469727838</v>
      </c>
      <c r="U27" s="699">
        <f ca="1">OFFSET('GrD-Grafikdaten'!$J48,0,U$23-2014)</f>
        <v>0.46501375143170837</v>
      </c>
      <c r="V27" s="699">
        <f ca="1">OFFSET('GrD-Grafikdaten'!$J48,0,V$23-2014)</f>
        <v>0.48493602092876686</v>
      </c>
      <c r="W27" s="699">
        <f ca="1">OFFSET('GrD-Grafikdaten'!$J48,0,W$23-2014)</f>
        <v>0.50114232433943284</v>
      </c>
      <c r="X27" s="699">
        <f ca="1">OFFSET('GrD-Grafikdaten'!$J48,0,X$23-2014)</f>
        <v>0.50114232433943284</v>
      </c>
      <c r="Y27" s="699">
        <f ca="1">OFFSET('GrD-Grafikdaten'!$J48,0,Y$23-2014)</f>
        <v>0.55579821584924383</v>
      </c>
      <c r="Z27" s="700">
        <f ca="1">OFFSET('GrD-Grafikdaten'!$J48,0,Z$23-2014)</f>
        <v>0.59955065091912929</v>
      </c>
      <c r="AA27" s="664"/>
      <c r="AB27" s="848"/>
    </row>
    <row r="28" spans="1:28" s="122" customFormat="1" ht="37.799999999999997" customHeight="1" thickBot="1">
      <c r="A28" s="848"/>
      <c r="B28" s="661"/>
      <c r="C28" s="798" t="s">
        <v>422</v>
      </c>
      <c r="D28" s="786" t="s">
        <v>418</v>
      </c>
      <c r="E28" s="502" t="s">
        <v>409</v>
      </c>
      <c r="F28" s="691" t="str">
        <f>'D-Umlage Eigenverbrauch PV+KWK'!$D$6</f>
        <v>selon EEG 2017, à partir de 2020 constant 38%</v>
      </c>
      <c r="G28" s="663"/>
      <c r="H28" s="663"/>
      <c r="I28" s="663"/>
      <c r="J28" s="663"/>
      <c r="K28" s="663"/>
      <c r="L28" s="663"/>
      <c r="M28" s="663"/>
      <c r="N28" s="663"/>
      <c r="O28" s="674"/>
      <c r="P28" s="663"/>
      <c r="Q28" s="1258" t="s">
        <v>414</v>
      </c>
      <c r="R28" s="1284"/>
      <c r="S28" s="1284"/>
      <c r="T28" s="1284"/>
      <c r="U28" s="1284"/>
      <c r="V28" s="1284"/>
      <c r="W28" s="1284"/>
      <c r="X28" s="1284"/>
      <c r="Y28" s="1284"/>
      <c r="Z28" s="1257"/>
      <c r="AA28" s="664"/>
      <c r="AB28" s="848"/>
    </row>
    <row r="29" spans="1:28" s="122" customFormat="1" ht="49.8" customHeight="1" thickBot="1">
      <c r="A29" s="848"/>
      <c r="B29" s="661"/>
      <c r="C29" s="799" t="s">
        <v>423</v>
      </c>
      <c r="D29" s="785" t="s">
        <v>418</v>
      </c>
      <c r="E29" s="503" t="s">
        <v>409</v>
      </c>
      <c r="F29" s="692" t="str">
        <f>'D-Umlage EV Bestand'!$D$6</f>
        <v>complètement exempté (selon EEG 2014)</v>
      </c>
      <c r="G29" s="663"/>
      <c r="H29" s="663"/>
      <c r="I29" s="663"/>
      <c r="J29" s="663"/>
      <c r="K29" s="663"/>
      <c r="L29" s="663"/>
      <c r="M29" s="663"/>
      <c r="N29" s="663"/>
      <c r="O29" s="674"/>
      <c r="P29" s="663"/>
      <c r="Q29" s="1344" t="s">
        <v>430</v>
      </c>
      <c r="R29" s="1345"/>
      <c r="S29" s="701">
        <f ca="1">OFFSET('GrD-Grafikdaten'!$J132,0,S$23-2014)</f>
        <v>1.7763568394002505E-15</v>
      </c>
      <c r="T29" s="701">
        <f ca="1">OFFSET('GrD-Grafikdaten'!$J132,0,T$23-2014)</f>
        <v>0.34571647324365973</v>
      </c>
      <c r="U29" s="701">
        <f ca="1">OFFSET('GrD-Grafikdaten'!$J132,0,U$23-2014)</f>
        <v>-1.6298742485527207E-2</v>
      </c>
      <c r="V29" s="701">
        <f ca="1">OFFSET('GrD-Grafikdaten'!$J132,0,V$23-2014)</f>
        <v>-1.9518405428886609E-2</v>
      </c>
      <c r="W29" s="701">
        <f ca="1">OFFSET('GrD-Grafikdaten'!$J132,0,W$23-2014)</f>
        <v>-2.1150438095728141E-2</v>
      </c>
      <c r="X29" s="701">
        <f ca="1">OFFSET('GrD-Grafikdaten'!$J132,0,X$23-2014)</f>
        <v>-2.1150438095728141E-2</v>
      </c>
      <c r="Y29" s="701">
        <f ca="1">OFFSET('GrD-Grafikdaten'!$J132,0,Y$23-2014)</f>
        <v>-2.9817343260710949E-2</v>
      </c>
      <c r="Z29" s="702">
        <f ca="1">OFFSET('GrD-Grafikdaten'!$J132,0,Z$23-2014)</f>
        <v>-2.989538195049446E-2</v>
      </c>
      <c r="AA29" s="664"/>
      <c r="AB29" s="848"/>
    </row>
    <row r="30" spans="1:28" s="122" customFormat="1" ht="13.2">
      <c r="A30" s="848"/>
      <c r="B30" s="661"/>
      <c r="C30" s="677"/>
      <c r="D30" s="677"/>
      <c r="E30" s="677"/>
      <c r="F30" s="677"/>
      <c r="G30" s="677"/>
      <c r="H30" s="663"/>
      <c r="I30" s="663"/>
      <c r="J30" s="663"/>
      <c r="K30" s="663"/>
      <c r="L30" s="663"/>
      <c r="M30" s="663"/>
      <c r="N30" s="663"/>
      <c r="O30" s="663"/>
      <c r="P30" s="663"/>
      <c r="Q30" s="1346" t="s">
        <v>428</v>
      </c>
      <c r="R30" s="1347"/>
      <c r="S30" s="703">
        <f ca="1">OFFSET('GrD-Grafikdaten'!$J144,0,S$23-2014)</f>
        <v>1.7763568394002505E-15</v>
      </c>
      <c r="T30" s="703">
        <f ca="1">OFFSET('GrD-Grafikdaten'!$J144,0,T$23-2014)</f>
        <v>0.34571647324366062</v>
      </c>
      <c r="U30" s="703">
        <f ca="1">OFFSET('GrD-Grafikdaten'!$J144,0,U$23-2014)</f>
        <v>-1.6298742485528095E-2</v>
      </c>
      <c r="V30" s="703">
        <f ca="1">OFFSET('GrD-Grafikdaten'!$J144,0,V$23-2014)</f>
        <v>-1.9518405428886609E-2</v>
      </c>
      <c r="W30" s="703">
        <f ca="1">OFFSET('GrD-Grafikdaten'!$J144,0,W$23-2014)</f>
        <v>-2.1150438095729029E-2</v>
      </c>
      <c r="X30" s="703">
        <f ca="1">OFFSET('GrD-Grafikdaten'!$J144,0,X$23-2014)</f>
        <v>-2.1150438095729029E-2</v>
      </c>
      <c r="Y30" s="703">
        <f ca="1">OFFSET('GrD-Grafikdaten'!$J144,0,Y$23-2014)</f>
        <v>-2.9817343260710061E-2</v>
      </c>
      <c r="Z30" s="704">
        <f ca="1">OFFSET('GrD-Grafikdaten'!$J144,0,Z$23-2014)</f>
        <v>-2.9895381950494126E-2</v>
      </c>
      <c r="AA30" s="664"/>
      <c r="AB30" s="848"/>
    </row>
    <row r="31" spans="1:28" s="122" customFormat="1" ht="13.8" thickBot="1">
      <c r="A31" s="848"/>
      <c r="B31" s="661"/>
      <c r="C31" s="663"/>
      <c r="D31" s="663"/>
      <c r="E31" s="663"/>
      <c r="F31" s="663"/>
      <c r="G31" s="663"/>
      <c r="H31" s="663"/>
      <c r="I31" s="663"/>
      <c r="J31" s="663"/>
      <c r="K31" s="663"/>
      <c r="L31" s="663"/>
      <c r="M31" s="663"/>
      <c r="N31" s="663"/>
      <c r="O31" s="663"/>
      <c r="P31" s="663"/>
      <c r="Q31" s="1348" t="s">
        <v>429</v>
      </c>
      <c r="R31" s="1349"/>
      <c r="S31" s="699">
        <f ca="1">OFFSET('GrD-Grafikdaten'!$J92,0,S$23-2014) - OFFSET('GrD-Grafikdaten'!$J48,0,S$23-2014)</f>
        <v>0</v>
      </c>
      <c r="T31" s="699">
        <f ca="1">OFFSET('GrD-Grafikdaten'!$J92,0,T$23-2014) - OFFSET('GrD-Grafikdaten'!$J48,0,T$23-2014)</f>
        <v>-9.093896566936821E-4</v>
      </c>
      <c r="U31" s="699">
        <f ca="1">OFFSET('GrD-Grafikdaten'!$J92,0,U$23-2014) - OFFSET('GrD-Grafikdaten'!$J48,0,U$23-2014)</f>
        <v>-1.2218782338156431E-3</v>
      </c>
      <c r="V31" s="699">
        <f ca="1">OFFSET('GrD-Grafikdaten'!$J92,0,V$23-2014) - OFFSET('GrD-Grafikdaten'!$J48,0,V$23-2014)</f>
        <v>-1.4427492751010185E-3</v>
      </c>
      <c r="W31" s="699">
        <f ca="1">OFFSET('GrD-Grafikdaten'!$J92,0,W$23-2014) - OFFSET('GrD-Grafikdaten'!$J48,0,W$23-2014)</f>
        <v>-1.6594543100552084E-3</v>
      </c>
      <c r="X31" s="699">
        <f ca="1">OFFSET('GrD-Grafikdaten'!$J92,0,X$23-2014) - OFFSET('GrD-Grafikdaten'!$J48,0,X$23-2014)</f>
        <v>-1.6594543100552084E-3</v>
      </c>
      <c r="Y31" s="699">
        <f ca="1">OFFSET('GrD-Grafikdaten'!$J92,0,Y$23-2014) - OFFSET('GrD-Grafikdaten'!$J48,0,Y$23-2014)</f>
        <v>-3.0849729987681984E-3</v>
      </c>
      <c r="Z31" s="700">
        <f ca="1">OFFSET('GrD-Grafikdaten'!$J92,0,Z$23-2014) - OFFSET('GrD-Grafikdaten'!$J48,0,Z$23-2014)</f>
        <v>-4.5307492312058883E-3</v>
      </c>
      <c r="AA31" s="664"/>
      <c r="AB31" s="848"/>
    </row>
    <row r="32" spans="1:28" s="122" customFormat="1" ht="30.75" customHeight="1" thickBot="1">
      <c r="A32" s="848"/>
      <c r="B32" s="661"/>
      <c r="C32" s="663"/>
      <c r="D32" s="1265" t="s">
        <v>415</v>
      </c>
      <c r="E32" s="1276"/>
      <c r="F32" s="1266"/>
      <c r="G32" s="663"/>
      <c r="H32" s="663"/>
      <c r="I32" s="663"/>
      <c r="J32" s="663"/>
      <c r="K32" s="663"/>
      <c r="L32" s="663"/>
      <c r="M32" s="663"/>
      <c r="N32" s="663"/>
      <c r="O32" s="663"/>
      <c r="P32" s="663"/>
      <c r="Q32" s="663"/>
      <c r="R32" s="663"/>
      <c r="S32" s="663"/>
      <c r="T32" s="663"/>
      <c r="U32" s="663"/>
      <c r="V32" s="663"/>
      <c r="W32" s="663"/>
      <c r="X32" s="663"/>
      <c r="Y32" s="663"/>
      <c r="Z32" s="663"/>
      <c r="AA32" s="664"/>
      <c r="AB32" s="848"/>
    </row>
    <row r="33" spans="1:28" s="122" customFormat="1" ht="13.8" thickBot="1">
      <c r="A33" s="848"/>
      <c r="B33" s="661"/>
      <c r="C33" s="663"/>
      <c r="D33" s="807" t="s">
        <v>353</v>
      </c>
      <c r="E33" s="1256" t="s">
        <v>365</v>
      </c>
      <c r="F33" s="1257"/>
      <c r="G33" s="663"/>
      <c r="H33" s="663"/>
      <c r="I33" s="663"/>
      <c r="J33" s="663"/>
      <c r="K33" s="663"/>
      <c r="L33" s="663"/>
      <c r="M33" s="663"/>
      <c r="N33" s="663"/>
      <c r="O33" s="663"/>
      <c r="P33" s="663"/>
      <c r="Q33" s="663"/>
      <c r="R33" s="663"/>
      <c r="S33" s="663"/>
      <c r="T33" s="663"/>
      <c r="U33" s="663"/>
      <c r="V33" s="663"/>
      <c r="W33" s="663"/>
      <c r="X33" s="663"/>
      <c r="Y33" s="663"/>
      <c r="Z33" s="663"/>
      <c r="AA33" s="664"/>
      <c r="AB33" s="848"/>
    </row>
    <row r="34" spans="1:28" s="122" customFormat="1" ht="30" customHeight="1" thickBot="1">
      <c r="A34" s="848"/>
      <c r="B34" s="661"/>
      <c r="C34" s="1059" t="s">
        <v>393</v>
      </c>
      <c r="D34" s="1061" t="s">
        <v>418</v>
      </c>
      <c r="E34" s="499" t="s">
        <v>409</v>
      </c>
      <c r="F34" s="1060" t="str">
        <f>'D-Nettostromverbrauch'!D6</f>
        <v>2021: calcul GRT 2020. Par la suite constante</v>
      </c>
      <c r="G34" s="663"/>
      <c r="H34" s="663"/>
      <c r="I34" s="663"/>
      <c r="J34" s="663"/>
      <c r="K34" s="663"/>
      <c r="L34" s="663"/>
      <c r="M34" s="663"/>
      <c r="N34" s="663"/>
      <c r="O34" s="663"/>
      <c r="P34" s="663"/>
      <c r="Q34" s="663"/>
      <c r="R34" s="663"/>
      <c r="S34" s="663"/>
      <c r="T34" s="663"/>
      <c r="U34" s="663"/>
      <c r="V34" s="663"/>
      <c r="W34" s="663"/>
      <c r="X34" s="663"/>
      <c r="Y34" s="663"/>
      <c r="Z34" s="663"/>
      <c r="AA34" s="664"/>
      <c r="AB34" s="848"/>
    </row>
    <row r="35" spans="1:28" s="122" customFormat="1" ht="13.2">
      <c r="A35" s="848"/>
      <c r="B35" s="661"/>
      <c r="C35" s="663"/>
      <c r="D35" s="663"/>
      <c r="E35" s="663"/>
      <c r="F35" s="663"/>
      <c r="G35" s="663"/>
      <c r="H35" s="663"/>
      <c r="I35" s="663"/>
      <c r="J35" s="663"/>
      <c r="K35" s="663"/>
      <c r="L35" s="663"/>
      <c r="M35" s="663"/>
      <c r="N35" s="678"/>
      <c r="O35" s="663"/>
      <c r="P35" s="663"/>
      <c r="Q35" s="663"/>
      <c r="R35" s="663"/>
      <c r="S35" s="663"/>
      <c r="T35" s="663"/>
      <c r="U35" s="663"/>
      <c r="V35" s="663"/>
      <c r="W35" s="663"/>
      <c r="X35" s="663"/>
      <c r="Y35" s="663"/>
      <c r="Z35" s="663"/>
      <c r="AA35" s="664"/>
      <c r="AB35" s="848"/>
    </row>
    <row r="36" spans="1:28" s="122" customFormat="1" ht="17.100000000000001" customHeight="1">
      <c r="A36" s="848"/>
      <c r="B36" s="661"/>
      <c r="C36" s="663"/>
      <c r="D36" s="663"/>
      <c r="E36" s="663"/>
      <c r="F36" s="663"/>
      <c r="G36" s="663"/>
      <c r="H36" s="663"/>
      <c r="I36" s="663"/>
      <c r="J36" s="663"/>
      <c r="K36" s="663"/>
      <c r="L36" s="663"/>
      <c r="M36" s="663"/>
      <c r="N36" s="678"/>
      <c r="O36" s="663"/>
      <c r="P36" s="663"/>
      <c r="Q36" s="663"/>
      <c r="R36" s="663"/>
      <c r="S36" s="663"/>
      <c r="T36" s="663"/>
      <c r="U36" s="663"/>
      <c r="V36" s="663"/>
      <c r="W36" s="663"/>
      <c r="X36" s="663"/>
      <c r="Y36" s="663"/>
      <c r="Z36" s="663"/>
      <c r="AA36" s="664"/>
      <c r="AB36" s="848"/>
    </row>
    <row r="37" spans="1:28" s="122" customFormat="1" ht="17.100000000000001" customHeight="1">
      <c r="A37" s="848"/>
      <c r="B37" s="661"/>
      <c r="C37" s="663"/>
      <c r="D37" s="663"/>
      <c r="E37" s="663"/>
      <c r="F37" s="663"/>
      <c r="G37" s="663"/>
      <c r="H37" s="663"/>
      <c r="I37" s="663"/>
      <c r="J37" s="663"/>
      <c r="K37" s="663"/>
      <c r="L37" s="663"/>
      <c r="M37" s="663"/>
      <c r="N37" s="678"/>
      <c r="O37" s="663"/>
      <c r="P37" s="663"/>
      <c r="Q37" s="663"/>
      <c r="R37" s="663"/>
      <c r="S37" s="663"/>
      <c r="T37" s="663"/>
      <c r="U37" s="663"/>
      <c r="V37" s="663"/>
      <c r="W37" s="663"/>
      <c r="X37" s="663"/>
      <c r="Y37" s="663"/>
      <c r="Z37" s="663"/>
      <c r="AA37" s="664"/>
      <c r="AB37" s="848"/>
    </row>
    <row r="38" spans="1:28" s="122" customFormat="1" ht="17.100000000000001" customHeight="1">
      <c r="A38" s="848"/>
      <c r="B38" s="661"/>
      <c r="C38" s="663"/>
      <c r="D38" s="663"/>
      <c r="E38" s="663"/>
      <c r="F38" s="663"/>
      <c r="G38" s="663"/>
      <c r="H38" s="663"/>
      <c r="I38" s="663"/>
      <c r="J38" s="663"/>
      <c r="K38" s="663"/>
      <c r="L38" s="663"/>
      <c r="M38" s="663"/>
      <c r="N38" s="678"/>
      <c r="O38" s="675"/>
      <c r="P38" s="663"/>
      <c r="Q38" s="663"/>
      <c r="R38" s="663"/>
      <c r="S38" s="663"/>
      <c r="T38" s="663"/>
      <c r="U38" s="663"/>
      <c r="V38" s="663"/>
      <c r="W38" s="663"/>
      <c r="X38" s="663"/>
      <c r="Y38" s="663"/>
      <c r="Z38" s="663"/>
      <c r="AA38" s="664"/>
      <c r="AB38" s="848"/>
    </row>
    <row r="39" spans="1:28" s="122" customFormat="1" ht="15" customHeight="1">
      <c r="A39" s="848"/>
      <c r="B39" s="661"/>
      <c r="C39" s="663"/>
      <c r="D39" s="663"/>
      <c r="E39" s="663"/>
      <c r="F39" s="663"/>
      <c r="G39" s="663"/>
      <c r="H39" s="663"/>
      <c r="I39" s="663"/>
      <c r="J39" s="663"/>
      <c r="K39" s="663"/>
      <c r="L39" s="663"/>
      <c r="M39" s="663"/>
      <c r="N39" s="678"/>
      <c r="O39" s="678"/>
      <c r="P39" s="663"/>
      <c r="Q39" s="663"/>
      <c r="R39" s="663"/>
      <c r="S39" s="663"/>
      <c r="T39" s="663"/>
      <c r="U39" s="663"/>
      <c r="V39" s="663"/>
      <c r="W39" s="663"/>
      <c r="X39" s="663"/>
      <c r="Y39" s="663"/>
      <c r="Z39" s="663"/>
      <c r="AA39" s="664"/>
      <c r="AB39" s="848"/>
    </row>
    <row r="40" spans="1:28" s="122" customFormat="1" ht="15" customHeight="1">
      <c r="A40" s="848"/>
      <c r="B40" s="661"/>
      <c r="C40" s="663"/>
      <c r="D40" s="663"/>
      <c r="E40" s="663"/>
      <c r="F40" s="663"/>
      <c r="G40" s="663"/>
      <c r="H40" s="663"/>
      <c r="I40" s="663"/>
      <c r="J40" s="663"/>
      <c r="K40" s="663"/>
      <c r="L40" s="663"/>
      <c r="M40" s="663"/>
      <c r="N40" s="678"/>
      <c r="O40" s="678"/>
      <c r="P40" s="663"/>
      <c r="Q40" s="663"/>
      <c r="R40" s="663"/>
      <c r="S40" s="663"/>
      <c r="T40" s="663"/>
      <c r="U40" s="663"/>
      <c r="V40" s="663"/>
      <c r="W40" s="663"/>
      <c r="X40" s="663"/>
      <c r="Y40" s="663"/>
      <c r="Z40" s="663"/>
      <c r="AA40" s="664"/>
      <c r="AB40" s="848"/>
    </row>
    <row r="41" spans="1:28" s="122" customFormat="1" ht="15" customHeight="1">
      <c r="A41" s="848"/>
      <c r="B41" s="661"/>
      <c r="C41" s="663"/>
      <c r="D41" s="663"/>
      <c r="E41" s="663"/>
      <c r="F41" s="663"/>
      <c r="G41" s="663"/>
      <c r="H41" s="663"/>
      <c r="I41" s="663"/>
      <c r="J41" s="663"/>
      <c r="K41" s="663"/>
      <c r="L41" s="663"/>
      <c r="M41" s="663"/>
      <c r="N41" s="678"/>
      <c r="O41" s="678"/>
      <c r="P41" s="663"/>
      <c r="Q41" s="663"/>
      <c r="R41" s="663"/>
      <c r="S41" s="663"/>
      <c r="T41" s="663"/>
      <c r="U41" s="663"/>
      <c r="V41" s="663"/>
      <c r="W41" s="663"/>
      <c r="X41" s="663"/>
      <c r="Y41" s="663"/>
      <c r="Z41" s="663"/>
      <c r="AA41" s="664"/>
      <c r="AB41" s="848"/>
    </row>
    <row r="42" spans="1:28" s="122" customFormat="1" ht="15" customHeight="1">
      <c r="A42" s="848"/>
      <c r="B42" s="661"/>
      <c r="C42" s="663"/>
      <c r="D42" s="663"/>
      <c r="E42" s="663"/>
      <c r="F42" s="663"/>
      <c r="G42" s="663"/>
      <c r="H42" s="663"/>
      <c r="I42" s="663"/>
      <c r="J42" s="663"/>
      <c r="K42" s="663"/>
      <c r="L42" s="663"/>
      <c r="M42" s="663"/>
      <c r="N42" s="678"/>
      <c r="O42" s="678"/>
      <c r="P42" s="663"/>
      <c r="Q42" s="663"/>
      <c r="R42" s="663"/>
      <c r="S42" s="663"/>
      <c r="T42" s="663"/>
      <c r="U42" s="663"/>
      <c r="V42" s="663"/>
      <c r="W42" s="663"/>
      <c r="X42" s="663"/>
      <c r="Y42" s="663"/>
      <c r="Z42" s="663"/>
      <c r="AA42" s="664"/>
      <c r="AB42" s="848"/>
    </row>
    <row r="43" spans="1:28" s="122" customFormat="1" ht="37.5" customHeight="1">
      <c r="A43" s="848"/>
      <c r="B43" s="661"/>
      <c r="C43" s="663"/>
      <c r="D43" s="663"/>
      <c r="E43" s="663"/>
      <c r="F43" s="663"/>
      <c r="G43" s="663"/>
      <c r="H43" s="663"/>
      <c r="I43" s="663"/>
      <c r="J43" s="663"/>
      <c r="K43" s="663"/>
      <c r="L43" s="663"/>
      <c r="M43" s="663"/>
      <c r="N43" s="678"/>
      <c r="O43" s="678"/>
      <c r="P43" s="663"/>
      <c r="Q43" s="663"/>
      <c r="R43" s="663"/>
      <c r="S43" s="663"/>
      <c r="T43" s="663"/>
      <c r="U43" s="663"/>
      <c r="V43" s="663"/>
      <c r="W43" s="663"/>
      <c r="X43" s="663"/>
      <c r="Y43" s="663"/>
      <c r="Z43" s="663"/>
      <c r="AA43" s="664"/>
      <c r="AB43" s="848"/>
    </row>
    <row r="44" spans="1:28" s="122" customFormat="1" ht="15" customHeight="1">
      <c r="A44" s="848"/>
      <c r="B44" s="661"/>
      <c r="C44" s="663"/>
      <c r="D44" s="663"/>
      <c r="E44" s="663"/>
      <c r="F44" s="663"/>
      <c r="G44" s="663"/>
      <c r="H44" s="663"/>
      <c r="I44" s="663"/>
      <c r="J44" s="663"/>
      <c r="K44" s="663"/>
      <c r="L44" s="663"/>
      <c r="M44" s="663"/>
      <c r="N44" s="678"/>
      <c r="O44" s="678"/>
      <c r="P44" s="663"/>
      <c r="Q44" s="663"/>
      <c r="R44" s="663"/>
      <c r="S44" s="663"/>
      <c r="T44" s="663"/>
      <c r="U44" s="663"/>
      <c r="V44" s="663"/>
      <c r="W44" s="663"/>
      <c r="X44" s="663"/>
      <c r="Y44" s="663"/>
      <c r="Z44" s="663"/>
      <c r="AA44" s="664"/>
      <c r="AB44" s="848"/>
    </row>
    <row r="45" spans="1:28" s="122" customFormat="1" ht="15" customHeight="1">
      <c r="A45" s="848"/>
      <c r="B45" s="661"/>
      <c r="C45" s="663"/>
      <c r="D45" s="663"/>
      <c r="E45" s="663"/>
      <c r="F45" s="663"/>
      <c r="G45" s="663"/>
      <c r="H45" s="663"/>
      <c r="I45" s="663"/>
      <c r="J45" s="663"/>
      <c r="K45" s="663"/>
      <c r="L45" s="663"/>
      <c r="M45" s="663"/>
      <c r="N45" s="678"/>
      <c r="O45" s="678"/>
      <c r="P45" s="663"/>
      <c r="Q45" s="663"/>
      <c r="R45" s="663"/>
      <c r="S45" s="663"/>
      <c r="T45" s="663"/>
      <c r="U45" s="663"/>
      <c r="V45" s="663"/>
      <c r="W45" s="663"/>
      <c r="X45" s="663"/>
      <c r="Y45" s="663"/>
      <c r="Z45" s="663"/>
      <c r="AA45" s="664"/>
      <c r="AB45" s="848"/>
    </row>
    <row r="46" spans="1:28" s="122" customFormat="1" ht="15" customHeight="1">
      <c r="A46" s="848"/>
      <c r="B46" s="661"/>
      <c r="C46" s="663"/>
      <c r="D46" s="663"/>
      <c r="E46" s="663"/>
      <c r="F46" s="663"/>
      <c r="G46" s="663"/>
      <c r="H46" s="663"/>
      <c r="I46" s="663"/>
      <c r="J46" s="663"/>
      <c r="K46" s="663"/>
      <c r="L46" s="663"/>
      <c r="M46" s="663"/>
      <c r="N46" s="678"/>
      <c r="O46" s="678"/>
      <c r="P46" s="663"/>
      <c r="Q46" s="663"/>
      <c r="R46" s="663"/>
      <c r="S46" s="663"/>
      <c r="T46" s="663"/>
      <c r="U46" s="663"/>
      <c r="V46" s="663"/>
      <c r="W46" s="663"/>
      <c r="X46" s="663"/>
      <c r="Y46" s="663"/>
      <c r="Z46" s="663"/>
      <c r="AA46" s="664"/>
      <c r="AB46" s="848"/>
    </row>
    <row r="47" spans="1:28" s="122" customFormat="1" ht="15" customHeight="1">
      <c r="A47" s="848"/>
      <c r="B47" s="661"/>
      <c r="C47" s="663"/>
      <c r="D47" s="663"/>
      <c r="E47" s="663"/>
      <c r="F47" s="663"/>
      <c r="G47" s="663"/>
      <c r="H47" s="663"/>
      <c r="I47" s="663"/>
      <c r="J47" s="663"/>
      <c r="K47" s="663"/>
      <c r="L47" s="663"/>
      <c r="M47" s="663"/>
      <c r="N47" s="678"/>
      <c r="O47" s="678"/>
      <c r="P47" s="663"/>
      <c r="Q47" s="663"/>
      <c r="R47" s="663"/>
      <c r="S47" s="663"/>
      <c r="T47" s="663"/>
      <c r="U47" s="663"/>
      <c r="V47" s="663"/>
      <c r="W47" s="663"/>
      <c r="X47" s="663"/>
      <c r="Y47" s="663"/>
      <c r="Z47" s="663"/>
      <c r="AA47" s="664"/>
      <c r="AB47" s="848"/>
    </row>
    <row r="48" spans="1:28" s="122" customFormat="1" ht="15" customHeight="1">
      <c r="A48" s="848"/>
      <c r="B48" s="661"/>
      <c r="C48" s="663"/>
      <c r="D48" s="663"/>
      <c r="E48" s="663"/>
      <c r="F48" s="663"/>
      <c r="G48" s="663"/>
      <c r="H48" s="663"/>
      <c r="I48" s="663"/>
      <c r="J48" s="663"/>
      <c r="K48" s="663"/>
      <c r="L48" s="663"/>
      <c r="M48" s="663"/>
      <c r="N48" s="678"/>
      <c r="O48" s="678"/>
      <c r="P48" s="663"/>
      <c r="Q48" s="663"/>
      <c r="R48" s="663"/>
      <c r="S48" s="663"/>
      <c r="T48" s="663"/>
      <c r="U48" s="663"/>
      <c r="V48" s="663"/>
      <c r="W48" s="663"/>
      <c r="X48" s="663"/>
      <c r="Y48" s="663"/>
      <c r="Z48" s="663"/>
      <c r="AA48" s="664"/>
      <c r="AB48" s="848"/>
    </row>
    <row r="49" spans="1:29" s="122" customFormat="1" ht="15" customHeight="1">
      <c r="A49" s="848"/>
      <c r="B49" s="661"/>
      <c r="C49" s="663"/>
      <c r="D49" s="663"/>
      <c r="E49" s="663"/>
      <c r="F49" s="663"/>
      <c r="G49" s="663"/>
      <c r="H49" s="663"/>
      <c r="I49" s="663"/>
      <c r="J49" s="663"/>
      <c r="K49" s="663"/>
      <c r="L49" s="663"/>
      <c r="M49" s="663"/>
      <c r="N49" s="663"/>
      <c r="O49" s="663"/>
      <c r="P49" s="663"/>
      <c r="Q49" s="663"/>
      <c r="R49" s="663"/>
      <c r="S49" s="663"/>
      <c r="T49" s="663"/>
      <c r="U49" s="663"/>
      <c r="V49" s="663"/>
      <c r="W49" s="663"/>
      <c r="X49" s="663"/>
      <c r="Y49" s="663"/>
      <c r="Z49" s="663"/>
      <c r="AA49" s="664"/>
      <c r="AB49" s="848"/>
    </row>
    <row r="50" spans="1:29" s="122" customFormat="1" ht="15" customHeight="1">
      <c r="A50" s="848"/>
      <c r="B50" s="679"/>
      <c r="C50" s="680"/>
      <c r="D50" s="680"/>
      <c r="E50" s="680"/>
      <c r="F50" s="680"/>
      <c r="G50" s="680"/>
      <c r="H50" s="680"/>
      <c r="I50" s="680"/>
      <c r="J50" s="680"/>
      <c r="K50" s="680"/>
      <c r="L50" s="680"/>
      <c r="M50" s="680"/>
      <c r="N50" s="680"/>
      <c r="O50" s="680"/>
      <c r="P50" s="680"/>
      <c r="Q50" s="680"/>
      <c r="R50" s="680"/>
      <c r="S50" s="680"/>
      <c r="T50" s="680"/>
      <c r="U50" s="680"/>
      <c r="V50" s="680"/>
      <c r="W50" s="680"/>
      <c r="X50" s="680"/>
      <c r="Y50" s="680"/>
      <c r="Z50" s="680"/>
      <c r="AA50" s="681"/>
      <c r="AB50" s="848"/>
    </row>
    <row r="51" spans="1:29" s="122" customFormat="1" ht="15" customHeight="1">
      <c r="A51" s="855"/>
      <c r="B51" s="855"/>
      <c r="C51" s="855"/>
      <c r="D51" s="855"/>
      <c r="E51" s="855"/>
      <c r="F51" s="855"/>
      <c r="G51" s="855"/>
      <c r="H51" s="855"/>
      <c r="I51" s="855"/>
      <c r="J51" s="855"/>
      <c r="K51" s="855"/>
      <c r="L51" s="855"/>
      <c r="M51" s="855"/>
      <c r="N51" s="855"/>
      <c r="O51" s="855"/>
      <c r="P51" s="855"/>
      <c r="Q51" s="855"/>
      <c r="R51" s="855"/>
      <c r="S51" s="855"/>
      <c r="T51" s="855"/>
      <c r="U51" s="855"/>
      <c r="V51" s="855"/>
      <c r="W51" s="855"/>
      <c r="X51" s="855"/>
      <c r="Y51" s="855"/>
      <c r="Z51" s="855"/>
      <c r="AA51" s="855"/>
      <c r="AB51" s="855"/>
      <c r="AC51" s="848"/>
    </row>
  </sheetData>
  <mergeCells count="38">
    <mergeCell ref="D32:F32"/>
    <mergeCell ref="E33:F33"/>
    <mergeCell ref="Q5:S5"/>
    <mergeCell ref="Q27:R27"/>
    <mergeCell ref="Q28:Z28"/>
    <mergeCell ref="Q29:R29"/>
    <mergeCell ref="Q30:R30"/>
    <mergeCell ref="U5:V5"/>
    <mergeCell ref="Q31:R31"/>
    <mergeCell ref="Q22:Z22"/>
    <mergeCell ref="Q23:R23"/>
    <mergeCell ref="Q24:Z24"/>
    <mergeCell ref="Q25:R25"/>
    <mergeCell ref="Q26:R26"/>
    <mergeCell ref="D24:F24"/>
    <mergeCell ref="E25:F25"/>
    <mergeCell ref="T2:U3"/>
    <mergeCell ref="L7:M7"/>
    <mergeCell ref="J17:M17"/>
    <mergeCell ref="J18:K18"/>
    <mergeCell ref="L18:M18"/>
    <mergeCell ref="J14:K14"/>
    <mergeCell ref="J13:K13"/>
    <mergeCell ref="J12:K12"/>
    <mergeCell ref="J11:K11"/>
    <mergeCell ref="J6:M6"/>
    <mergeCell ref="J7:K7"/>
    <mergeCell ref="J10:K10"/>
    <mergeCell ref="C2:C3"/>
    <mergeCell ref="E18:F18"/>
    <mergeCell ref="D6:F6"/>
    <mergeCell ref="E7:F7"/>
    <mergeCell ref="D17:F17"/>
    <mergeCell ref="J21:K21"/>
    <mergeCell ref="J20:K20"/>
    <mergeCell ref="J19:K19"/>
    <mergeCell ref="J9:K9"/>
    <mergeCell ref="J8:K8"/>
  </mergeCells>
  <conditionalFormatting sqref="S29:Z30">
    <cfRule type="cellIs" dxfId="249" priority="3" operator="lessThan">
      <formula>0</formula>
    </cfRule>
    <cfRule type="cellIs" dxfId="248" priority="4" operator="greaterThan">
      <formula>0</formula>
    </cfRule>
  </conditionalFormatting>
  <conditionalFormatting sqref="S31:Z31">
    <cfRule type="cellIs" dxfId="247" priority="1" operator="greaterThan">
      <formula>0</formula>
    </cfRule>
    <cfRule type="cellIs" dxfId="246" priority="2" operator="lessThan">
      <formula>0</formula>
    </cfRule>
  </conditionalFormatting>
  <dataValidations count="18">
    <dataValidation type="list" allowBlank="1" showInputMessage="1" showErrorMessage="1" sqref="L20" xr:uid="{00000000-0002-0000-0300-000000000000}">
      <formula1>INDIRECT("'D-Prognosefehler Kontostand'!$B$7:$B$25")</formula1>
    </dataValidation>
    <dataValidation type="list" allowBlank="1" showInputMessage="1" showErrorMessage="1" sqref="E27" xr:uid="{00000000-0002-0000-0300-000001000000}">
      <formula1>INDIRECT("'D-Anteil Eigenverbrauch EE neu'!$C$13:$C$37")</formula1>
    </dataValidation>
    <dataValidation type="list" allowBlank="1" showInputMessage="1" showErrorMessage="1" sqref="E21" xr:uid="{00000000-0002-0000-0300-000002000000}">
      <formula1>INDIRECT("'D-Faktor Zusatzprivilegierung'!$B$7:$B$25")</formula1>
    </dataValidation>
    <dataValidation type="list" allowBlank="1" showInputMessage="1" showErrorMessage="1" sqref="E29" xr:uid="{00000000-0002-0000-0300-000003000000}">
      <formula1>INDIRECT("'D-Umlage EV Bestand'!$B$7:$B$12")</formula1>
    </dataValidation>
    <dataValidation type="list" allowBlank="1" showInputMessage="1" showErrorMessage="1" sqref="E8" xr:uid="{00000000-0002-0000-0300-000004000000}">
      <formula1>INDIRECT("'D-Bruttozubau'!$C$117:$C$141")</formula1>
    </dataValidation>
    <dataValidation type="list" allowBlank="1" showInputMessage="1" showErrorMessage="1" sqref="E10" xr:uid="{00000000-0002-0000-0300-000005000000}">
      <formula1>INDIRECT("'D-Bruttozubau'!$C$169:$C$193")</formula1>
    </dataValidation>
    <dataValidation type="list" allowBlank="1" showInputMessage="1" showErrorMessage="1" sqref="E9" xr:uid="{00000000-0002-0000-0300-000006000000}">
      <formula1>INDIRECT("'D-Bruttozubau'!$C$143:$C$167")</formula1>
    </dataValidation>
    <dataValidation type="list" allowBlank="1" showInputMessage="1" showErrorMessage="1" sqref="E11" xr:uid="{00000000-0002-0000-0300-000007000000}">
      <formula1>INDIRECT("'D-Bruttozubau'!$C$65:$C$89")</formula1>
    </dataValidation>
    <dataValidation type="list" allowBlank="1" showInputMessage="1" showErrorMessage="1" sqref="E19" xr:uid="{00000000-0002-0000-0300-000008000000}">
      <formula1>INDIRECT("'D-Privilegierter Letztverbrauch'!$B$7:$B$25")</formula1>
    </dataValidation>
    <dataValidation type="list" allowBlank="1" showInputMessage="1" showErrorMessage="1" sqref="E20" xr:uid="{00000000-0002-0000-0300-000009000000}">
      <formula1>INDIRECT("'D-Umlage priv. Letztverbrauch'!$B$7:$B$25")</formula1>
    </dataValidation>
    <dataValidation type="list" allowBlank="1" showInputMessage="1" showErrorMessage="1" sqref="E28" xr:uid="{00000000-0002-0000-0300-00000A000000}">
      <formula1>INDIRECT("'D-Umlage Eigenverbrauch PV+KWK'!$B$7:$B$25")</formula1>
    </dataValidation>
    <dataValidation type="list" allowBlank="1" showInputMessage="1" showErrorMessage="1" sqref="E26" xr:uid="{00000000-0002-0000-0300-00000B000000}">
      <formula1>INDIRECT("'D-Eigenverbrauch KWK Neue'!$B$7:$B$25")</formula1>
    </dataValidation>
    <dataValidation type="list" allowBlank="1" showInputMessage="1" showErrorMessage="1" sqref="E34" xr:uid="{00000000-0002-0000-0300-00000C000000}">
      <formula1>INDIRECT("'D-Nettostromverbrauch'!$B$7:$B$25")</formula1>
    </dataValidation>
    <dataValidation type="list" allowBlank="1" showInputMessage="1" showErrorMessage="1" sqref="L11" xr:uid="{00000000-0002-0000-0300-00000D000000}">
      <formula1>INDIRECT("'D-Vergütungssatz Neuanlagen'!$C$65:$C$83")</formula1>
    </dataValidation>
    <dataValidation type="list" allowBlank="1" showInputMessage="1" showErrorMessage="1" sqref="L8" xr:uid="{00000000-0002-0000-0300-00000E000000}">
      <formula1>INDIRECT("'D-Vergütungssatz Neuanlagen'!$C$117:$C$135")</formula1>
    </dataValidation>
    <dataValidation type="list" allowBlank="1" showInputMessage="1" showErrorMessage="1" sqref="L9" xr:uid="{00000000-0002-0000-0300-00000F000000}">
      <formula1>INDIRECT("'D-Vergütungssatz Neuanlagen'!$C$143:$C$167")</formula1>
    </dataValidation>
    <dataValidation type="list" allowBlank="1" showInputMessage="1" showErrorMessage="1" sqref="L10" xr:uid="{00000000-0002-0000-0300-000010000000}">
      <formula1>INDIRECT("'D-Vergütungssatz Neuanlagen'!$C$169:$C$187")</formula1>
    </dataValidation>
    <dataValidation type="list" allowBlank="1" showInputMessage="1" showErrorMessage="1" sqref="L19" xr:uid="{00000000-0002-0000-0300-000011000000}">
      <formula1>INDIRECT("'D-Future Strompreis'!$B$7:$B$25")</formula1>
    </dataValidation>
  </dataValidations>
  <printOptions verticalCentered="1"/>
  <pageMargins left="0.78740157480314965" right="0.78740157480314965" top="0.98425196850393704" bottom="0.98425196850393704" header="0.59055118110236227" footer="0.59055118110236227"/>
  <pageSetup paperSize="9" scale="29" orientation="landscape" r:id="rId1"/>
  <headerFooter scaleWithDoc="0">
    <oddHeader>&amp;C&amp;"Arial,Fett"&amp;18EEG Calculator</oddHeader>
    <oddFooter>&amp;LEntscheidermodus:
Eingangsparameter &amp;&amp; Ergebnisse&amp;C
&amp;F  &amp;A&amp;R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52" r:id="rId4" name="Button 4">
              <controlPr defaultSize="0" print="0" autoFill="0" autoPict="0" macro="[0]!ChangeToExpertMode">
                <anchor moveWithCells="1" sizeWithCells="1">
                  <from>
                    <xdr:col>4</xdr:col>
                    <xdr:colOff>7620</xdr:colOff>
                    <xdr:row>1</xdr:row>
                    <xdr:rowOff>76200</xdr:rowOff>
                  </from>
                  <to>
                    <xdr:col>5</xdr:col>
                    <xdr:colOff>830580</xdr:colOff>
                    <xdr:row>2</xdr:row>
                    <xdr:rowOff>160020</xdr:rowOff>
                  </to>
                </anchor>
              </controlPr>
            </control>
          </mc:Choice>
        </mc:AlternateContent>
        <mc:AlternateContent xmlns:mc="http://schemas.openxmlformats.org/markup-compatibility/2006">
          <mc:Choice Requires="x14">
            <control shapeId="104459" r:id="rId5" name="Button 11">
              <controlPr defaultSize="0" print="0" autoFill="0" autoPict="0" macro="[0]!revertToReferenceScenarioSimplifiedMode">
                <anchor moveWithCells="1" sizeWithCells="1">
                  <from>
                    <xdr:col>3</xdr:col>
                    <xdr:colOff>0</xdr:colOff>
                    <xdr:row>1</xdr:row>
                    <xdr:rowOff>76200</xdr:rowOff>
                  </from>
                  <to>
                    <xdr:col>3</xdr:col>
                    <xdr:colOff>1257300</xdr:colOff>
                    <xdr:row>2</xdr:row>
                    <xdr:rowOff>160020</xdr:rowOff>
                  </to>
                </anchor>
              </controlPr>
            </control>
          </mc:Choice>
        </mc:AlternateContent>
        <mc:AlternateContent xmlns:mc="http://schemas.openxmlformats.org/markup-compatibility/2006">
          <mc:Choice Requires="x14">
            <control shapeId="104470" r:id="rId6" name="Button 22">
              <controlPr defaultSize="0" print="0" autoFill="0" autoPict="0" macro="[0]!goToManual">
                <anchor moveWithCells="1" sizeWithCells="1">
                  <from>
                    <xdr:col>5</xdr:col>
                    <xdr:colOff>2537460</xdr:colOff>
                    <xdr:row>1</xdr:row>
                    <xdr:rowOff>76200</xdr:rowOff>
                  </from>
                  <to>
                    <xdr:col>5</xdr:col>
                    <xdr:colOff>3322320</xdr:colOff>
                    <xdr:row>2</xdr:row>
                    <xdr:rowOff>160020</xdr:rowOff>
                  </to>
                </anchor>
              </controlPr>
            </control>
          </mc:Choice>
        </mc:AlternateContent>
        <mc:AlternateContent xmlns:mc="http://schemas.openxmlformats.org/markup-compatibility/2006">
          <mc:Choice Requires="x14">
            <control shapeId="104471" r:id="rId7" name="Button 23">
              <controlPr defaultSize="0" print="0" autoFill="0" autoPict="0" macro="[0]!goToResults">
                <anchor moveWithCells="1" sizeWithCells="1">
                  <from>
                    <xdr:col>5</xdr:col>
                    <xdr:colOff>1059180</xdr:colOff>
                    <xdr:row>1</xdr:row>
                    <xdr:rowOff>76200</xdr:rowOff>
                  </from>
                  <to>
                    <xdr:col>5</xdr:col>
                    <xdr:colOff>2286000</xdr:colOff>
                    <xdr:row>2</xdr:row>
                    <xdr:rowOff>160020</xdr:rowOff>
                  </to>
                </anchor>
              </controlPr>
            </control>
          </mc:Choice>
        </mc:AlternateContent>
        <mc:AlternateContent xmlns:mc="http://schemas.openxmlformats.org/markup-compatibility/2006">
          <mc:Choice Requires="x14">
            <control shapeId="104473" r:id="rId8" name="Button 25">
              <controlPr defaultSize="0" print="0" autoFill="0" autoPict="0" macro="[0]!switchNominalReal">
                <anchor moveWithCells="1" sizeWithCells="1">
                  <from>
                    <xdr:col>20</xdr:col>
                    <xdr:colOff>83820</xdr:colOff>
                    <xdr:row>4</xdr:row>
                    <xdr:rowOff>60960</xdr:rowOff>
                  </from>
                  <to>
                    <xdr:col>21</xdr:col>
                    <xdr:colOff>403860</xdr:colOff>
                    <xdr:row>4</xdr:row>
                    <xdr:rowOff>297180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13E48C2-5FE1-45B9-89A5-E25CC04DFEFE}">
          <x14:formula1>
            <xm:f>'D-Zuschuss'!$B$7:$B$25</xm:f>
          </x14:formula1>
          <xm:sqref>I45 L21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theme="4"/>
  </sheetPr>
  <dimension ref="A1:AN210"/>
  <sheetViews>
    <sheetView showGridLines="0" topLeftCell="K13" zoomScaleNormal="100" workbookViewId="0">
      <selection activeCell="P58" sqref="P58"/>
    </sheetView>
  </sheetViews>
  <sheetFormatPr defaultColWidth="11.5546875" defaultRowHeight="13.2"/>
  <cols>
    <col min="1" max="1" width="3.6640625" customWidth="1"/>
    <col min="2" max="2" width="7" customWidth="1"/>
    <col min="3" max="3" width="29" customWidth="1"/>
    <col min="6" max="6" width="12" customWidth="1"/>
    <col min="13" max="13" width="31.33203125" customWidth="1"/>
    <col min="14" max="14" width="12.109375" customWidth="1"/>
    <col min="15" max="15" width="14.88671875" customWidth="1"/>
    <col min="16" max="16" width="13.109375" customWidth="1"/>
    <col min="21" max="21" width="11.44140625" customWidth="1"/>
    <col min="24" max="24" width="3" customWidth="1"/>
  </cols>
  <sheetData>
    <row r="1" spans="1:40">
      <c r="A1" s="848" t="s">
        <v>74</v>
      </c>
      <c r="B1" s="848"/>
      <c r="C1" s="848"/>
      <c r="D1" s="848"/>
      <c r="E1" s="848"/>
      <c r="F1" s="848"/>
      <c r="G1" s="848"/>
      <c r="H1" s="848"/>
      <c r="I1" s="848"/>
      <c r="J1" s="848"/>
      <c r="K1" s="848"/>
      <c r="L1" s="848"/>
      <c r="M1" s="848"/>
      <c r="N1" s="848"/>
      <c r="O1" s="848"/>
      <c r="P1" s="848"/>
      <c r="Q1" s="848"/>
      <c r="R1" s="848"/>
      <c r="S1" s="848"/>
      <c r="T1" s="848"/>
      <c r="U1" s="848"/>
      <c r="V1" s="848"/>
      <c r="W1" s="848"/>
      <c r="X1" s="848"/>
      <c r="Y1" s="849"/>
      <c r="Z1" s="849"/>
      <c r="AA1" s="849"/>
      <c r="AB1" s="849"/>
      <c r="AC1" s="849"/>
      <c r="AD1" s="849"/>
      <c r="AE1" s="849"/>
      <c r="AF1" s="849"/>
      <c r="AG1" s="849"/>
      <c r="AH1" s="849"/>
      <c r="AI1" s="849"/>
      <c r="AJ1" s="849"/>
      <c r="AK1" s="849"/>
      <c r="AL1" s="849"/>
      <c r="AM1" s="849"/>
      <c r="AN1" s="849"/>
    </row>
    <row r="2" spans="1:40" ht="18.75" customHeight="1">
      <c r="A2" s="848"/>
      <c r="B2" s="882"/>
      <c r="C2" s="1355" t="s">
        <v>98</v>
      </c>
      <c r="D2" s="890"/>
      <c r="E2" s="890"/>
      <c r="F2" s="890"/>
      <c r="G2" s="890"/>
      <c r="H2" s="890"/>
      <c r="I2" s="890"/>
      <c r="J2" s="890"/>
      <c r="K2" s="890"/>
      <c r="L2" s="890"/>
      <c r="M2" s="890"/>
      <c r="N2" s="890"/>
      <c r="O2" s="890"/>
      <c r="P2" s="890"/>
      <c r="Q2" s="890"/>
      <c r="R2" s="890"/>
      <c r="S2" s="890"/>
      <c r="T2" s="1267" t="str">
        <f>CONCATENATE("Modellversion ",Impressum!$C$17)</f>
        <v>Modellversion 4.1.1</v>
      </c>
      <c r="U2" s="1267"/>
      <c r="V2" s="891"/>
      <c r="W2" s="892"/>
      <c r="X2" s="848"/>
    </row>
    <row r="3" spans="1:40" ht="14.25" customHeight="1">
      <c r="A3" s="848"/>
      <c r="B3" s="886"/>
      <c r="C3" s="1356"/>
      <c r="D3" s="855"/>
      <c r="E3" s="855"/>
      <c r="F3" s="855"/>
      <c r="G3" s="855"/>
      <c r="H3" s="855"/>
      <c r="I3" s="855"/>
      <c r="J3" s="855"/>
      <c r="K3" s="855"/>
      <c r="L3" s="855"/>
      <c r="M3" s="855"/>
      <c r="N3" s="855"/>
      <c r="O3" s="855"/>
      <c r="P3" s="855"/>
      <c r="Q3" s="855"/>
      <c r="R3" s="855"/>
      <c r="S3" s="855"/>
      <c r="T3" s="1268"/>
      <c r="U3" s="1268"/>
      <c r="V3" s="893"/>
      <c r="W3" s="894"/>
      <c r="X3" s="848"/>
    </row>
    <row r="4" spans="1:40" ht="15" customHeight="1">
      <c r="A4" s="848"/>
      <c r="B4" s="706" t="s">
        <v>451</v>
      </c>
      <c r="C4" s="707"/>
      <c r="D4" s="707"/>
      <c r="E4" s="707"/>
      <c r="F4" s="707"/>
      <c r="G4" s="707"/>
      <c r="H4" s="707"/>
      <c r="I4" s="707"/>
      <c r="J4" s="707"/>
      <c r="K4" s="707"/>
      <c r="L4" s="707"/>
      <c r="M4" s="707"/>
      <c r="N4" s="707"/>
      <c r="O4" s="707"/>
      <c r="P4" s="707"/>
      <c r="Q4" s="707"/>
      <c r="R4" s="707"/>
      <c r="S4" s="707"/>
      <c r="T4" s="707"/>
      <c r="U4" s="707"/>
      <c r="V4" s="707"/>
      <c r="W4" s="708"/>
      <c r="X4" s="848"/>
    </row>
    <row r="5" spans="1:40" ht="14.4" thickBot="1">
      <c r="A5" s="848"/>
      <c r="B5" s="152"/>
      <c r="C5" s="153"/>
      <c r="D5" s="124"/>
      <c r="E5" s="124"/>
      <c r="F5" s="124"/>
      <c r="G5" s="124"/>
      <c r="H5" s="124"/>
      <c r="I5" s="124"/>
      <c r="J5" s="124"/>
      <c r="K5" s="124"/>
      <c r="L5" s="124"/>
      <c r="M5" s="124"/>
      <c r="N5" s="124"/>
      <c r="O5" s="124"/>
      <c r="P5" s="124"/>
      <c r="Q5" s="124"/>
      <c r="R5" s="124"/>
      <c r="S5" s="124"/>
      <c r="T5" s="124"/>
      <c r="U5" s="124"/>
      <c r="V5" s="124"/>
      <c r="W5" s="154"/>
      <c r="X5" s="848"/>
    </row>
    <row r="6" spans="1:40" ht="15" customHeight="1">
      <c r="A6" s="848"/>
      <c r="B6" s="152"/>
      <c r="C6" s="153"/>
      <c r="D6" s="124"/>
      <c r="E6" s="124"/>
      <c r="F6" s="124"/>
      <c r="G6" s="124"/>
      <c r="H6" s="124"/>
      <c r="I6" s="124"/>
      <c r="J6" s="124"/>
      <c r="K6" s="124"/>
      <c r="L6" s="124"/>
      <c r="M6" s="124"/>
      <c r="N6" s="124"/>
      <c r="O6" s="124"/>
      <c r="P6" s="124"/>
      <c r="Q6" s="124"/>
      <c r="R6" s="124"/>
      <c r="S6" s="124"/>
      <c r="T6" s="124"/>
      <c r="U6" s="1357" t="s">
        <v>424</v>
      </c>
      <c r="V6" s="1358"/>
      <c r="W6" s="154"/>
      <c r="X6" s="848"/>
    </row>
    <row r="7" spans="1:40" ht="13.8">
      <c r="A7" s="848"/>
      <c r="B7" s="152"/>
      <c r="C7" s="153"/>
      <c r="D7" s="124"/>
      <c r="E7" s="124"/>
      <c r="F7" s="124"/>
      <c r="G7" s="124"/>
      <c r="H7" s="124"/>
      <c r="I7" s="124"/>
      <c r="J7" s="124"/>
      <c r="K7" s="124"/>
      <c r="L7" s="124"/>
      <c r="M7" s="124"/>
      <c r="N7" s="124"/>
      <c r="O7" s="124"/>
      <c r="P7" s="124"/>
      <c r="Q7" s="124"/>
      <c r="R7" s="124"/>
      <c r="S7" s="124"/>
      <c r="T7" s="124"/>
      <c r="U7" s="1359"/>
      <c r="V7" s="1360"/>
      <c r="W7" s="154"/>
      <c r="X7" s="848"/>
    </row>
    <row r="8" spans="1:40" ht="14.4" thickBot="1">
      <c r="A8" s="848"/>
      <c r="B8" s="152"/>
      <c r="C8" s="153"/>
      <c r="D8" s="124"/>
      <c r="E8" s="124"/>
      <c r="F8" s="124"/>
      <c r="G8" s="124"/>
      <c r="H8" s="124"/>
      <c r="I8" s="124"/>
      <c r="J8" s="124"/>
      <c r="K8" s="124"/>
      <c r="L8" s="124"/>
      <c r="M8" s="124"/>
      <c r="N8" s="124"/>
      <c r="O8" s="124"/>
      <c r="P8" s="124"/>
      <c r="Q8" s="124"/>
      <c r="R8" s="124"/>
      <c r="S8" s="124"/>
      <c r="T8" s="124"/>
      <c r="U8" s="1361"/>
      <c r="V8" s="1362"/>
      <c r="W8" s="154"/>
      <c r="X8" s="848"/>
    </row>
    <row r="9" spans="1:40" ht="14.4" thickBot="1">
      <c r="A9" s="848"/>
      <c r="B9" s="152"/>
      <c r="C9" s="153"/>
      <c r="D9" s="124"/>
      <c r="E9" s="124"/>
      <c r="F9" s="124"/>
      <c r="G9" s="124"/>
      <c r="H9" s="124"/>
      <c r="I9" s="124"/>
      <c r="J9" s="124"/>
      <c r="K9" s="124"/>
      <c r="L9" s="124"/>
      <c r="M9" s="124"/>
      <c r="N9" s="124"/>
      <c r="O9" s="124"/>
      <c r="P9" s="124"/>
      <c r="Q9" s="124"/>
      <c r="R9" s="124"/>
      <c r="S9" s="124"/>
      <c r="T9" s="124"/>
      <c r="U9" s="1363" t="str">
        <f>ControlPanel!$T$5</f>
        <v>nominal</v>
      </c>
      <c r="V9" s="1364"/>
      <c r="W9" s="154"/>
      <c r="X9" s="848"/>
    </row>
    <row r="10" spans="1:40" ht="13.8">
      <c r="A10" s="848"/>
      <c r="B10" s="152"/>
      <c r="C10" s="153"/>
      <c r="D10" s="124"/>
      <c r="E10" s="124"/>
      <c r="F10" s="124"/>
      <c r="G10" s="124"/>
      <c r="H10" s="124"/>
      <c r="I10" s="124"/>
      <c r="J10" s="124"/>
      <c r="K10" s="124"/>
      <c r="L10" s="124"/>
      <c r="M10" s="124"/>
      <c r="N10" s="124"/>
      <c r="O10" s="124"/>
      <c r="P10" s="124"/>
      <c r="Q10" s="124"/>
      <c r="R10" s="124"/>
      <c r="S10" s="124"/>
      <c r="T10" s="124"/>
      <c r="U10" s="1365"/>
      <c r="V10" s="1366"/>
      <c r="W10" s="154"/>
      <c r="X10" s="848"/>
    </row>
    <row r="11" spans="1:40" ht="13.8">
      <c r="A11" s="848"/>
      <c r="B11" s="152"/>
      <c r="C11" s="153"/>
      <c r="D11" s="124"/>
      <c r="E11" s="124"/>
      <c r="F11" s="124"/>
      <c r="G11" s="124"/>
      <c r="H11" s="124"/>
      <c r="I11" s="124"/>
      <c r="J11" s="124"/>
      <c r="K11" s="124"/>
      <c r="L11" s="124"/>
      <c r="M11" s="124"/>
      <c r="N11" s="124"/>
      <c r="O11" s="124"/>
      <c r="P11" s="124"/>
      <c r="Q11" s="124"/>
      <c r="R11" s="124"/>
      <c r="S11" s="124"/>
      <c r="T11" s="124"/>
      <c r="U11" s="639"/>
      <c r="V11" s="640"/>
      <c r="W11" s="154"/>
      <c r="X11" s="848"/>
    </row>
    <row r="12" spans="1:40" ht="14.4" thickBot="1">
      <c r="A12" s="848"/>
      <c r="B12" s="152"/>
      <c r="C12" s="153"/>
      <c r="D12" s="124"/>
      <c r="E12" s="124"/>
      <c r="F12" s="124"/>
      <c r="G12" s="124"/>
      <c r="H12" s="124"/>
      <c r="I12" s="124"/>
      <c r="J12" s="124"/>
      <c r="K12" s="124"/>
      <c r="L12" s="124"/>
      <c r="M12" s="124"/>
      <c r="N12" s="124"/>
      <c r="O12" s="124"/>
      <c r="P12" s="124"/>
      <c r="Q12" s="124"/>
      <c r="R12" s="124"/>
      <c r="S12" s="124"/>
      <c r="T12" s="124"/>
      <c r="U12" s="641"/>
      <c r="V12" s="642"/>
      <c r="W12" s="154"/>
      <c r="X12" s="848"/>
    </row>
    <row r="13" spans="1:40" ht="13.8">
      <c r="A13" s="848"/>
      <c r="B13" s="152"/>
      <c r="C13" s="153"/>
      <c r="D13" s="124"/>
      <c r="E13" s="124"/>
      <c r="F13" s="124"/>
      <c r="G13" s="124"/>
      <c r="H13" s="124"/>
      <c r="I13" s="124"/>
      <c r="J13" s="124"/>
      <c r="K13" s="124"/>
      <c r="L13" s="124"/>
      <c r="M13" s="124"/>
      <c r="N13" s="124"/>
      <c r="O13" s="124"/>
      <c r="P13" s="124"/>
      <c r="Q13" s="124"/>
      <c r="R13" s="124"/>
      <c r="S13" s="124"/>
      <c r="T13" s="124"/>
      <c r="U13" s="124"/>
      <c r="V13" s="124"/>
      <c r="W13" s="154"/>
      <c r="X13" s="848"/>
    </row>
    <row r="14" spans="1:40" ht="13.8">
      <c r="A14" s="848"/>
      <c r="B14" s="152"/>
      <c r="C14" s="153"/>
      <c r="D14" s="124"/>
      <c r="E14" s="124"/>
      <c r="F14" s="124"/>
      <c r="G14" s="124"/>
      <c r="H14" s="124"/>
      <c r="I14" s="124"/>
      <c r="J14" s="124"/>
      <c r="K14" s="124"/>
      <c r="L14" s="124"/>
      <c r="M14" s="124"/>
      <c r="N14" s="124"/>
      <c r="O14" s="124"/>
      <c r="P14" s="124"/>
      <c r="Q14" s="124"/>
      <c r="R14" s="124"/>
      <c r="S14" s="124"/>
      <c r="T14" s="124"/>
      <c r="U14" s="124"/>
      <c r="V14" s="124"/>
      <c r="W14" s="154"/>
      <c r="X14" s="848"/>
    </row>
    <row r="15" spans="1:40" ht="13.8">
      <c r="A15" s="848"/>
      <c r="B15" s="152"/>
      <c r="C15" s="153"/>
      <c r="D15" s="124"/>
      <c r="E15" s="124"/>
      <c r="F15" s="124"/>
      <c r="G15" s="124"/>
      <c r="H15" s="124"/>
      <c r="I15" s="124"/>
      <c r="J15" s="124"/>
      <c r="K15" s="124"/>
      <c r="L15" s="124"/>
      <c r="M15" s="124"/>
      <c r="N15" s="124"/>
      <c r="O15" s="124"/>
      <c r="P15" s="124"/>
      <c r="Q15" s="124"/>
      <c r="R15" s="124"/>
      <c r="S15" s="124"/>
      <c r="T15" s="124"/>
      <c r="U15" s="124"/>
      <c r="V15" s="124"/>
      <c r="W15" s="154"/>
      <c r="X15" s="848"/>
    </row>
    <row r="16" spans="1:40" ht="13.8">
      <c r="A16" s="848"/>
      <c r="B16" s="152"/>
      <c r="C16" s="153"/>
      <c r="D16" s="124"/>
      <c r="E16" s="124"/>
      <c r="F16" s="124"/>
      <c r="G16" s="124"/>
      <c r="H16" s="124"/>
      <c r="I16" s="124"/>
      <c r="J16" s="124"/>
      <c r="K16" s="124"/>
      <c r="L16" s="124"/>
      <c r="M16" s="124"/>
      <c r="N16" s="124"/>
      <c r="O16" s="124"/>
      <c r="P16" s="124"/>
      <c r="Q16" s="124"/>
      <c r="R16" s="124"/>
      <c r="S16" s="124"/>
      <c r="T16" s="124"/>
      <c r="U16" s="124"/>
      <c r="V16" s="124"/>
      <c r="W16" s="154"/>
      <c r="X16" s="848"/>
    </row>
    <row r="17" spans="1:24" ht="13.8">
      <c r="A17" s="848"/>
      <c r="B17" s="152"/>
      <c r="C17" s="153"/>
      <c r="D17" s="124"/>
      <c r="E17" s="124"/>
      <c r="F17" s="124"/>
      <c r="G17" s="124"/>
      <c r="H17" s="124"/>
      <c r="I17" s="124"/>
      <c r="J17" s="124"/>
      <c r="K17" s="124"/>
      <c r="L17" s="124"/>
      <c r="M17" s="124"/>
      <c r="N17" s="124"/>
      <c r="O17" s="124"/>
      <c r="P17" s="124"/>
      <c r="Q17" s="124"/>
      <c r="R17" s="124"/>
      <c r="S17" s="124"/>
      <c r="T17" s="124"/>
      <c r="U17" s="124"/>
      <c r="V17" s="124"/>
      <c r="W17" s="154"/>
      <c r="X17" s="848"/>
    </row>
    <row r="18" spans="1:24" ht="13.8">
      <c r="A18" s="848"/>
      <c r="B18" s="152"/>
      <c r="C18" s="153"/>
      <c r="D18" s="124"/>
      <c r="E18" s="124"/>
      <c r="F18" s="124"/>
      <c r="G18" s="124"/>
      <c r="H18" s="124"/>
      <c r="I18" s="124"/>
      <c r="J18" s="124"/>
      <c r="K18" s="124"/>
      <c r="L18" s="124"/>
      <c r="M18" s="124"/>
      <c r="N18" s="124"/>
      <c r="O18" s="124"/>
      <c r="P18" s="124"/>
      <c r="Q18" s="124"/>
      <c r="R18" s="124"/>
      <c r="S18" s="124"/>
      <c r="T18" s="124"/>
      <c r="U18" s="124"/>
      <c r="V18" s="124"/>
      <c r="W18" s="154"/>
      <c r="X18" s="848"/>
    </row>
    <row r="19" spans="1:24" ht="13.8">
      <c r="A19" s="848"/>
      <c r="B19" s="152"/>
      <c r="C19" s="153"/>
      <c r="D19" s="124"/>
      <c r="E19" s="124"/>
      <c r="F19" s="124"/>
      <c r="G19" s="124"/>
      <c r="H19" s="124"/>
      <c r="I19" s="124"/>
      <c r="J19" s="124"/>
      <c r="K19" s="124"/>
      <c r="L19" s="124"/>
      <c r="M19" s="124"/>
      <c r="N19" s="124"/>
      <c r="O19" s="124"/>
      <c r="P19" s="124"/>
      <c r="Q19" s="124"/>
      <c r="R19" s="124"/>
      <c r="S19" s="124"/>
      <c r="T19" s="124"/>
      <c r="U19" s="124"/>
      <c r="V19" s="124"/>
      <c r="W19" s="154"/>
      <c r="X19" s="848"/>
    </row>
    <row r="20" spans="1:24" ht="13.8">
      <c r="A20" s="848"/>
      <c r="B20" s="152"/>
      <c r="C20" s="153"/>
      <c r="D20" s="124"/>
      <c r="E20" s="124"/>
      <c r="F20" s="124"/>
      <c r="G20" s="124"/>
      <c r="H20" s="124"/>
      <c r="I20" s="124"/>
      <c r="J20" s="124"/>
      <c r="K20" s="124"/>
      <c r="L20" s="124"/>
      <c r="M20" s="124"/>
      <c r="N20" s="124"/>
      <c r="O20" s="124"/>
      <c r="P20" s="124"/>
      <c r="Q20" s="124"/>
      <c r="R20" s="124"/>
      <c r="S20" s="124"/>
      <c r="T20" s="124"/>
      <c r="U20" s="124"/>
      <c r="V20" s="124"/>
      <c r="W20" s="154"/>
      <c r="X20" s="848"/>
    </row>
    <row r="21" spans="1:24" ht="13.8">
      <c r="A21" s="848"/>
      <c r="B21" s="152"/>
      <c r="C21" s="153"/>
      <c r="D21" s="124"/>
      <c r="E21" s="124"/>
      <c r="F21" s="124"/>
      <c r="G21" s="124"/>
      <c r="H21" s="124"/>
      <c r="I21" s="124"/>
      <c r="J21" s="124"/>
      <c r="K21" s="124"/>
      <c r="L21" s="124"/>
      <c r="M21" s="124"/>
      <c r="N21" s="124"/>
      <c r="O21" s="124"/>
      <c r="P21" s="124"/>
      <c r="Q21" s="124"/>
      <c r="R21" s="124"/>
      <c r="S21" s="124"/>
      <c r="T21" s="124"/>
      <c r="U21" s="124"/>
      <c r="V21" s="124"/>
      <c r="W21" s="154"/>
      <c r="X21" s="848"/>
    </row>
    <row r="22" spans="1:24" ht="13.8">
      <c r="A22" s="848"/>
      <c r="B22" s="152"/>
      <c r="C22" s="153"/>
      <c r="D22" s="124"/>
      <c r="E22" s="124"/>
      <c r="F22" s="124"/>
      <c r="G22" s="124"/>
      <c r="H22" s="124"/>
      <c r="I22" s="124"/>
      <c r="J22" s="124"/>
      <c r="K22" s="124"/>
      <c r="L22" s="124"/>
      <c r="M22" s="124"/>
      <c r="N22" s="124"/>
      <c r="O22" s="124"/>
      <c r="P22" s="124"/>
      <c r="Q22" s="124"/>
      <c r="R22" s="124"/>
      <c r="S22" s="124"/>
      <c r="T22" s="124"/>
      <c r="U22" s="124"/>
      <c r="V22" s="124"/>
      <c r="W22" s="154"/>
      <c r="X22" s="848"/>
    </row>
    <row r="23" spans="1:24" ht="13.8">
      <c r="A23" s="848"/>
      <c r="B23" s="152"/>
      <c r="C23" s="153"/>
      <c r="D23" s="124"/>
      <c r="E23" s="124"/>
      <c r="F23" s="124"/>
      <c r="G23" s="124"/>
      <c r="H23" s="124"/>
      <c r="I23" s="124"/>
      <c r="J23" s="124"/>
      <c r="K23" s="124"/>
      <c r="L23" s="124"/>
      <c r="M23" s="124"/>
      <c r="N23" s="124"/>
      <c r="O23" s="124"/>
      <c r="P23" s="124"/>
      <c r="Q23" s="124"/>
      <c r="R23" s="124"/>
      <c r="S23" s="124"/>
      <c r="T23" s="124"/>
      <c r="U23" s="124"/>
      <c r="V23" s="124"/>
      <c r="W23" s="154"/>
      <c r="X23" s="848"/>
    </row>
    <row r="24" spans="1:24" ht="13.8">
      <c r="A24" s="848"/>
      <c r="B24" s="152"/>
      <c r="C24" s="153"/>
      <c r="D24" s="124"/>
      <c r="E24" s="124"/>
      <c r="F24" s="124"/>
      <c r="G24" s="124"/>
      <c r="H24" s="124"/>
      <c r="I24" s="124"/>
      <c r="J24" s="124"/>
      <c r="K24" s="124"/>
      <c r="L24" s="124"/>
      <c r="M24" s="124"/>
      <c r="N24" s="124"/>
      <c r="O24" s="124"/>
      <c r="P24" s="124"/>
      <c r="Q24" s="124"/>
      <c r="R24" s="124"/>
      <c r="S24" s="124"/>
      <c r="T24" s="124"/>
      <c r="U24" s="124"/>
      <c r="V24" s="124"/>
      <c r="W24" s="154"/>
      <c r="X24" s="848"/>
    </row>
    <row r="25" spans="1:24" ht="13.8">
      <c r="A25" s="848"/>
      <c r="B25" s="152"/>
      <c r="C25" s="153"/>
      <c r="D25" s="124"/>
      <c r="E25" s="124"/>
      <c r="F25" s="124"/>
      <c r="G25" s="124"/>
      <c r="H25" s="124"/>
      <c r="I25" s="124"/>
      <c r="J25" s="124"/>
      <c r="K25" s="124"/>
      <c r="L25" s="124"/>
      <c r="M25" s="124"/>
      <c r="N25" s="124"/>
      <c r="O25" s="124"/>
      <c r="P25" s="124"/>
      <c r="Q25" s="124"/>
      <c r="R25" s="124"/>
      <c r="S25" s="124"/>
      <c r="T25" s="124"/>
      <c r="U25" s="124"/>
      <c r="V25" s="124"/>
      <c r="W25" s="154"/>
      <c r="X25" s="848"/>
    </row>
    <row r="26" spans="1:24" ht="13.8">
      <c r="A26" s="848"/>
      <c r="B26" s="152"/>
      <c r="C26" s="153"/>
      <c r="D26" s="124"/>
      <c r="E26" s="124"/>
      <c r="F26" s="124"/>
      <c r="G26" s="124"/>
      <c r="H26" s="124"/>
      <c r="I26" s="124"/>
      <c r="J26" s="124"/>
      <c r="K26" s="124"/>
      <c r="L26" s="124"/>
      <c r="M26" s="124"/>
      <c r="N26" s="124"/>
      <c r="O26" s="124"/>
      <c r="P26" s="124"/>
      <c r="Q26" s="124"/>
      <c r="R26" s="124"/>
      <c r="S26" s="124"/>
      <c r="T26" s="124"/>
      <c r="U26" s="124"/>
      <c r="V26" s="124"/>
      <c r="W26" s="154"/>
      <c r="X26" s="848"/>
    </row>
    <row r="27" spans="1:24" ht="13.8">
      <c r="A27" s="848"/>
      <c r="B27" s="152"/>
      <c r="C27" s="153"/>
      <c r="D27" s="124"/>
      <c r="E27" s="124"/>
      <c r="F27" s="124"/>
      <c r="G27" s="124"/>
      <c r="H27" s="124"/>
      <c r="I27" s="124"/>
      <c r="J27" s="124"/>
      <c r="K27" s="124"/>
      <c r="L27" s="124"/>
      <c r="M27" s="124"/>
      <c r="N27" s="124"/>
      <c r="O27" s="124"/>
      <c r="P27" s="124"/>
      <c r="Q27" s="124"/>
      <c r="R27" s="124"/>
      <c r="S27" s="124"/>
      <c r="T27" s="124"/>
      <c r="U27" s="124"/>
      <c r="V27" s="124"/>
      <c r="W27" s="154"/>
      <c r="X27" s="848"/>
    </row>
    <row r="28" spans="1:24" ht="13.8">
      <c r="A28" s="848"/>
      <c r="B28" s="152"/>
      <c r="C28" s="153"/>
      <c r="D28" s="124"/>
      <c r="E28" s="124"/>
      <c r="F28" s="124"/>
      <c r="G28" s="124"/>
      <c r="H28" s="124"/>
      <c r="I28" s="124"/>
      <c r="J28" s="124"/>
      <c r="K28" s="124"/>
      <c r="L28" s="124"/>
      <c r="M28" s="124"/>
      <c r="N28" s="124"/>
      <c r="O28" s="124"/>
      <c r="P28" s="124"/>
      <c r="Q28" s="124"/>
      <c r="R28" s="124"/>
      <c r="S28" s="124"/>
      <c r="T28" s="124"/>
      <c r="U28" s="124"/>
      <c r="V28" s="124"/>
      <c r="W28" s="154"/>
      <c r="X28" s="848"/>
    </row>
    <row r="29" spans="1:24" ht="13.8">
      <c r="A29" s="848"/>
      <c r="B29" s="152"/>
      <c r="C29" s="153"/>
      <c r="D29" s="124"/>
      <c r="E29" s="124"/>
      <c r="F29" s="124"/>
      <c r="G29" s="124"/>
      <c r="H29" s="124"/>
      <c r="I29" s="124"/>
      <c r="J29" s="124"/>
      <c r="K29" s="124"/>
      <c r="L29" s="124"/>
      <c r="M29" s="124"/>
      <c r="N29" s="124"/>
      <c r="O29" s="124"/>
      <c r="P29" s="124"/>
      <c r="Q29" s="124"/>
      <c r="R29" s="124"/>
      <c r="S29" s="124"/>
      <c r="T29" s="124"/>
      <c r="U29" s="124"/>
      <c r="V29" s="124"/>
      <c r="W29" s="154"/>
      <c r="X29" s="848"/>
    </row>
    <row r="30" spans="1:24" ht="13.8">
      <c r="A30" s="848"/>
      <c r="B30" s="152"/>
      <c r="C30" s="153"/>
      <c r="D30" s="124"/>
      <c r="E30" s="124"/>
      <c r="F30" s="124"/>
      <c r="G30" s="124"/>
      <c r="H30" s="124"/>
      <c r="I30" s="124"/>
      <c r="J30" s="124"/>
      <c r="K30" s="124"/>
      <c r="L30" s="124"/>
      <c r="M30" s="124"/>
      <c r="N30" s="124"/>
      <c r="O30" s="124"/>
      <c r="P30" s="124"/>
      <c r="Q30" s="124"/>
      <c r="R30" s="124"/>
      <c r="S30" s="124"/>
      <c r="T30" s="124"/>
      <c r="U30" s="124"/>
      <c r="V30" s="124"/>
      <c r="W30" s="154"/>
      <c r="X30" s="848"/>
    </row>
    <row r="31" spans="1:24" ht="13.8">
      <c r="A31" s="848"/>
      <c r="B31" s="152"/>
      <c r="C31" s="153"/>
      <c r="D31" s="124"/>
      <c r="E31" s="124"/>
      <c r="F31" s="124"/>
      <c r="G31" s="124"/>
      <c r="H31" s="124"/>
      <c r="I31" s="124"/>
      <c r="J31" s="124"/>
      <c r="K31" s="124"/>
      <c r="L31" s="124"/>
      <c r="M31" s="124"/>
      <c r="N31" s="124"/>
      <c r="O31" s="124"/>
      <c r="P31" s="124"/>
      <c r="Q31" s="124"/>
      <c r="R31" s="124"/>
      <c r="S31" s="124"/>
      <c r="T31" s="124"/>
      <c r="U31" s="124"/>
      <c r="V31" s="124"/>
      <c r="W31" s="154"/>
      <c r="X31" s="848"/>
    </row>
    <row r="32" spans="1:24" ht="13.8">
      <c r="A32" s="848"/>
      <c r="B32" s="152"/>
      <c r="C32" s="153"/>
      <c r="D32" s="124"/>
      <c r="E32" s="124"/>
      <c r="F32" s="124"/>
      <c r="G32" s="124"/>
      <c r="H32" s="124"/>
      <c r="I32" s="124"/>
      <c r="J32" s="124"/>
      <c r="K32" s="124"/>
      <c r="L32" s="124"/>
      <c r="M32" s="124"/>
      <c r="N32" s="124"/>
      <c r="O32" s="124"/>
      <c r="P32" s="124"/>
      <c r="Q32" s="124"/>
      <c r="R32" s="124"/>
      <c r="S32" s="124"/>
      <c r="T32" s="124"/>
      <c r="U32" s="124"/>
      <c r="V32" s="124"/>
      <c r="W32" s="154"/>
      <c r="X32" s="848"/>
    </row>
    <row r="33" spans="1:24" ht="13.8">
      <c r="A33" s="848"/>
      <c r="B33" s="152"/>
      <c r="C33" s="153"/>
      <c r="D33" s="124"/>
      <c r="E33" s="124"/>
      <c r="F33" s="124"/>
      <c r="G33" s="124"/>
      <c r="H33" s="124"/>
      <c r="I33" s="124"/>
      <c r="J33" s="124"/>
      <c r="K33" s="124"/>
      <c r="L33" s="124"/>
      <c r="M33" s="124"/>
      <c r="N33" s="124"/>
      <c r="O33" s="124"/>
      <c r="P33" s="124"/>
      <c r="Q33" s="124"/>
      <c r="R33" s="124"/>
      <c r="S33" s="124"/>
      <c r="T33" s="124"/>
      <c r="U33" s="124"/>
      <c r="V33" s="124"/>
      <c r="W33" s="154"/>
      <c r="X33" s="848"/>
    </row>
    <row r="34" spans="1:24" ht="13.8">
      <c r="A34" s="848"/>
      <c r="B34" s="152"/>
      <c r="C34" s="153"/>
      <c r="D34" s="124"/>
      <c r="E34" s="124"/>
      <c r="F34" s="124"/>
      <c r="G34" s="124"/>
      <c r="H34" s="124"/>
      <c r="I34" s="124"/>
      <c r="J34" s="124"/>
      <c r="K34" s="124"/>
      <c r="L34" s="124"/>
      <c r="M34" s="124"/>
      <c r="N34" s="124"/>
      <c r="O34" s="124"/>
      <c r="P34" s="124"/>
      <c r="Q34" s="124"/>
      <c r="R34" s="124"/>
      <c r="S34" s="124"/>
      <c r="T34" s="124"/>
      <c r="U34" s="124"/>
      <c r="V34" s="124"/>
      <c r="W34" s="154"/>
      <c r="X34" s="848"/>
    </row>
    <row r="35" spans="1:24" ht="13.8">
      <c r="A35" s="848"/>
      <c r="B35" s="152"/>
      <c r="C35" s="153"/>
      <c r="D35" s="124"/>
      <c r="E35" s="124"/>
      <c r="F35" s="124"/>
      <c r="G35" s="124"/>
      <c r="H35" s="124"/>
      <c r="I35" s="124"/>
      <c r="J35" s="124"/>
      <c r="K35" s="124"/>
      <c r="L35" s="124"/>
      <c r="M35" s="124"/>
      <c r="N35" s="124"/>
      <c r="O35" s="124"/>
      <c r="P35" s="124"/>
      <c r="Q35" s="124"/>
      <c r="R35" s="124"/>
      <c r="S35" s="124"/>
      <c r="T35" s="124"/>
      <c r="U35" s="124"/>
      <c r="V35" s="124"/>
      <c r="W35" s="154"/>
      <c r="X35" s="848"/>
    </row>
    <row r="36" spans="1:24" ht="13.8">
      <c r="A36" s="848"/>
      <c r="B36" s="152"/>
      <c r="C36" s="153"/>
      <c r="D36" s="124"/>
      <c r="E36" s="124"/>
      <c r="F36" s="124"/>
      <c r="G36" s="124"/>
      <c r="H36" s="124"/>
      <c r="I36" s="124"/>
      <c r="J36" s="124"/>
      <c r="K36" s="124"/>
      <c r="L36" s="124"/>
      <c r="M36" s="124"/>
      <c r="N36" s="124"/>
      <c r="O36" s="124"/>
      <c r="P36" s="124"/>
      <c r="Q36" s="124"/>
      <c r="R36" s="124"/>
      <c r="S36" s="124"/>
      <c r="T36" s="124"/>
      <c r="U36" s="124"/>
      <c r="V36" s="124"/>
      <c r="W36" s="154"/>
      <c r="X36" s="848"/>
    </row>
    <row r="37" spans="1:24" ht="13.8">
      <c r="A37" s="848"/>
      <c r="B37" s="152"/>
      <c r="C37" s="153"/>
      <c r="D37" s="124"/>
      <c r="E37" s="124"/>
      <c r="F37" s="124"/>
      <c r="G37" s="124"/>
      <c r="H37" s="124"/>
      <c r="I37" s="124"/>
      <c r="J37" s="124"/>
      <c r="K37" s="124"/>
      <c r="L37" s="124"/>
      <c r="M37" s="124"/>
      <c r="N37" s="124"/>
      <c r="O37" s="124"/>
      <c r="P37" s="124"/>
      <c r="Q37" s="124"/>
      <c r="R37" s="124"/>
      <c r="S37" s="124"/>
      <c r="T37" s="124"/>
      <c r="U37" s="124"/>
      <c r="V37" s="124"/>
      <c r="W37" s="154"/>
      <c r="X37" s="848"/>
    </row>
    <row r="38" spans="1:24" ht="13.8">
      <c r="A38" s="848"/>
      <c r="B38" s="152"/>
      <c r="C38" s="153"/>
      <c r="D38" s="124"/>
      <c r="E38" s="124"/>
      <c r="F38" s="124"/>
      <c r="G38" s="124"/>
      <c r="H38" s="124"/>
      <c r="I38" s="124"/>
      <c r="J38" s="124"/>
      <c r="K38" s="124"/>
      <c r="L38" s="124"/>
      <c r="M38" s="124"/>
      <c r="N38" s="124"/>
      <c r="O38" s="124"/>
      <c r="P38" s="124"/>
      <c r="Q38" s="124"/>
      <c r="R38" s="124"/>
      <c r="S38" s="124"/>
      <c r="T38" s="124"/>
      <c r="U38" s="124"/>
      <c r="V38" s="124"/>
      <c r="W38" s="154"/>
      <c r="X38" s="848"/>
    </row>
    <row r="39" spans="1:24" ht="13.8">
      <c r="A39" s="848"/>
      <c r="B39" s="152"/>
      <c r="C39" s="153"/>
      <c r="D39" s="124"/>
      <c r="E39" s="124"/>
      <c r="F39" s="124"/>
      <c r="G39" s="124"/>
      <c r="H39" s="124"/>
      <c r="I39" s="124"/>
      <c r="J39" s="124"/>
      <c r="K39" s="124"/>
      <c r="L39" s="124"/>
      <c r="M39" s="124"/>
      <c r="N39" s="124"/>
      <c r="O39" s="124"/>
      <c r="P39" s="124"/>
      <c r="Q39" s="124"/>
      <c r="R39" s="124"/>
      <c r="S39" s="124"/>
      <c r="T39" s="124"/>
      <c r="U39" s="124"/>
      <c r="V39" s="124"/>
      <c r="W39" s="154"/>
      <c r="X39" s="848"/>
    </row>
    <row r="40" spans="1:24" ht="13.8">
      <c r="A40" s="848"/>
      <c r="B40" s="152"/>
      <c r="C40" s="153"/>
      <c r="D40" s="124"/>
      <c r="E40" s="124"/>
      <c r="F40" s="124"/>
      <c r="G40" s="124"/>
      <c r="H40" s="124"/>
      <c r="I40" s="124"/>
      <c r="J40" s="124"/>
      <c r="K40" s="124"/>
      <c r="L40" s="124"/>
      <c r="M40" s="124"/>
      <c r="N40" s="124"/>
      <c r="O40" s="124"/>
      <c r="P40" s="124"/>
      <c r="Q40" s="124"/>
      <c r="R40" s="124"/>
      <c r="S40" s="124"/>
      <c r="T40" s="124"/>
      <c r="U40" s="124"/>
      <c r="V40" s="124"/>
      <c r="W40" s="154"/>
      <c r="X40" s="848"/>
    </row>
    <row r="41" spans="1:24" ht="13.8">
      <c r="A41" s="848"/>
      <c r="B41" s="152"/>
      <c r="C41" s="153"/>
      <c r="D41" s="124"/>
      <c r="E41" s="124"/>
      <c r="F41" s="124"/>
      <c r="G41" s="124"/>
      <c r="H41" s="124"/>
      <c r="I41" s="124"/>
      <c r="J41" s="124"/>
      <c r="K41" s="124"/>
      <c r="L41" s="124"/>
      <c r="M41" s="124"/>
      <c r="N41" s="124"/>
      <c r="O41" s="124"/>
      <c r="P41" s="124"/>
      <c r="Q41" s="124"/>
      <c r="R41" s="124"/>
      <c r="S41" s="124"/>
      <c r="T41" s="124"/>
      <c r="U41" s="124"/>
      <c r="V41" s="124"/>
      <c r="W41" s="154"/>
      <c r="X41" s="848"/>
    </row>
    <row r="42" spans="1:24" ht="13.8">
      <c r="A42" s="848"/>
      <c r="B42" s="152"/>
      <c r="C42" s="153"/>
      <c r="D42" s="124"/>
      <c r="E42" s="124"/>
      <c r="F42" s="124"/>
      <c r="G42" s="124"/>
      <c r="H42" s="124"/>
      <c r="I42" s="124"/>
      <c r="J42" s="124"/>
      <c r="K42" s="124"/>
      <c r="L42" s="124"/>
      <c r="M42" s="124"/>
      <c r="N42" s="124"/>
      <c r="O42" s="124"/>
      <c r="P42" s="124"/>
      <c r="Q42" s="124"/>
      <c r="R42" s="124"/>
      <c r="S42" s="124"/>
      <c r="T42" s="124"/>
      <c r="U42" s="124"/>
      <c r="V42" s="124"/>
      <c r="W42" s="154"/>
      <c r="X42" s="848"/>
    </row>
    <row r="43" spans="1:24" ht="13.8">
      <c r="A43" s="848"/>
      <c r="B43" s="152"/>
      <c r="C43" s="153"/>
      <c r="D43" s="124"/>
      <c r="E43" s="124"/>
      <c r="F43" s="124"/>
      <c r="G43" s="124"/>
      <c r="H43" s="124"/>
      <c r="I43" s="124"/>
      <c r="J43" s="124"/>
      <c r="K43" s="124"/>
      <c r="L43" s="124"/>
      <c r="M43" s="124"/>
      <c r="N43" s="124"/>
      <c r="O43" s="124"/>
      <c r="P43" s="124"/>
      <c r="Q43" s="124"/>
      <c r="R43" s="124"/>
      <c r="S43" s="124"/>
      <c r="T43" s="124"/>
      <c r="U43" s="124"/>
      <c r="V43" s="124"/>
      <c r="W43" s="154"/>
      <c r="X43" s="848"/>
    </row>
    <row r="44" spans="1:24" ht="13.8">
      <c r="A44" s="848"/>
      <c r="B44" s="152"/>
      <c r="C44" s="153"/>
      <c r="D44" s="124"/>
      <c r="E44" s="124"/>
      <c r="F44" s="124"/>
      <c r="G44" s="124"/>
      <c r="H44" s="124"/>
      <c r="I44" s="124"/>
      <c r="J44" s="124"/>
      <c r="K44" s="124"/>
      <c r="L44" s="124"/>
      <c r="M44" s="124"/>
      <c r="N44" s="124"/>
      <c r="O44" s="124"/>
      <c r="P44" s="124"/>
      <c r="Q44" s="124"/>
      <c r="R44" s="124"/>
      <c r="S44" s="124"/>
      <c r="T44" s="124"/>
      <c r="U44" s="124"/>
      <c r="V44" s="124"/>
      <c r="W44" s="154"/>
      <c r="X44" s="848"/>
    </row>
    <row r="45" spans="1:24" ht="13.8">
      <c r="A45" s="848"/>
      <c r="B45" s="152"/>
      <c r="C45" s="153"/>
      <c r="D45" s="124"/>
      <c r="E45" s="124"/>
      <c r="F45" s="124"/>
      <c r="G45" s="124"/>
      <c r="H45" s="124"/>
      <c r="I45" s="124"/>
      <c r="J45" s="124"/>
      <c r="K45" s="124"/>
      <c r="L45" s="124"/>
      <c r="M45" s="124"/>
      <c r="N45" s="124"/>
      <c r="O45" s="124"/>
      <c r="P45" s="124"/>
      <c r="Q45" s="124"/>
      <c r="R45" s="124"/>
      <c r="S45" s="124"/>
      <c r="T45" s="124"/>
      <c r="U45" s="124"/>
      <c r="V45" s="124"/>
      <c r="W45" s="154"/>
      <c r="X45" s="848"/>
    </row>
    <row r="46" spans="1:24" ht="13.8">
      <c r="A46" s="848"/>
      <c r="B46" s="152"/>
      <c r="C46" s="153"/>
      <c r="D46" s="124"/>
      <c r="E46" s="124"/>
      <c r="F46" s="124"/>
      <c r="G46" s="124"/>
      <c r="H46" s="124"/>
      <c r="I46" s="124"/>
      <c r="J46" s="124"/>
      <c r="K46" s="124"/>
      <c r="L46" s="124"/>
      <c r="M46" s="124"/>
      <c r="N46" s="124"/>
      <c r="O46" s="124"/>
      <c r="P46" s="124"/>
      <c r="Q46" s="124"/>
      <c r="R46" s="124"/>
      <c r="S46" s="124"/>
      <c r="T46" s="124"/>
      <c r="U46" s="124"/>
      <c r="V46" s="124"/>
      <c r="W46" s="154"/>
      <c r="X46" s="848"/>
    </row>
    <row r="47" spans="1:24" ht="13.8">
      <c r="A47" s="848"/>
      <c r="B47" s="152"/>
      <c r="C47" s="153"/>
      <c r="D47" s="124"/>
      <c r="E47" s="124"/>
      <c r="F47" s="124"/>
      <c r="G47" s="124"/>
      <c r="H47" s="124"/>
      <c r="I47" s="124"/>
      <c r="J47" s="124"/>
      <c r="K47" s="124"/>
      <c r="L47" s="124"/>
      <c r="M47" s="124"/>
      <c r="N47" s="124"/>
      <c r="O47" s="124"/>
      <c r="P47" s="124"/>
      <c r="Q47" s="124"/>
      <c r="R47" s="124"/>
      <c r="S47" s="124"/>
      <c r="T47" s="124"/>
      <c r="U47" s="124"/>
      <c r="V47" s="124"/>
      <c r="W47" s="154"/>
      <c r="X47" s="848"/>
    </row>
    <row r="48" spans="1:24" ht="13.8">
      <c r="A48" s="848"/>
      <c r="B48" s="152"/>
      <c r="C48" s="153"/>
      <c r="D48" s="124"/>
      <c r="E48" s="124"/>
      <c r="F48" s="124"/>
      <c r="G48" s="124"/>
      <c r="H48" s="124"/>
      <c r="I48" s="124"/>
      <c r="J48" s="124"/>
      <c r="K48" s="124"/>
      <c r="L48" s="124"/>
      <c r="M48" s="124"/>
      <c r="N48" s="124"/>
      <c r="O48" s="124"/>
      <c r="P48" s="124"/>
      <c r="Q48" s="124"/>
      <c r="R48" s="124"/>
      <c r="S48" s="124"/>
      <c r="T48" s="124"/>
      <c r="U48" s="124"/>
      <c r="V48" s="124"/>
      <c r="W48" s="154"/>
      <c r="X48" s="848"/>
    </row>
    <row r="49" spans="1:24" ht="13.8">
      <c r="A49" s="848"/>
      <c r="B49" s="152"/>
      <c r="C49" s="153"/>
      <c r="D49" s="124"/>
      <c r="E49" s="124"/>
      <c r="F49" s="124"/>
      <c r="G49" s="124"/>
      <c r="H49" s="124"/>
      <c r="I49" s="124"/>
      <c r="J49" s="124"/>
      <c r="K49" s="124"/>
      <c r="L49" s="124"/>
      <c r="M49" s="124"/>
      <c r="N49" s="124"/>
      <c r="O49" s="124"/>
      <c r="P49" s="124"/>
      <c r="Q49" s="124"/>
      <c r="R49" s="124"/>
      <c r="S49" s="124"/>
      <c r="T49" s="124"/>
      <c r="U49" s="124"/>
      <c r="V49" s="124"/>
      <c r="W49" s="154"/>
      <c r="X49" s="848"/>
    </row>
    <row r="50" spans="1:24" ht="13.8">
      <c r="A50" s="848"/>
      <c r="B50" s="152"/>
      <c r="C50" s="153"/>
      <c r="D50" s="124"/>
      <c r="E50" s="124"/>
      <c r="F50" s="124"/>
      <c r="G50" s="124"/>
      <c r="H50" s="124"/>
      <c r="I50" s="124"/>
      <c r="J50" s="124"/>
      <c r="K50" s="124"/>
      <c r="L50" s="124"/>
      <c r="M50" s="124"/>
      <c r="N50" s="124"/>
      <c r="O50" s="124"/>
      <c r="P50" s="124"/>
      <c r="Q50" s="124"/>
      <c r="R50" s="124"/>
      <c r="S50" s="124"/>
      <c r="T50" s="124"/>
      <c r="U50" s="124"/>
      <c r="V50" s="124"/>
      <c r="W50" s="154"/>
      <c r="X50" s="848"/>
    </row>
    <row r="51" spans="1:24" ht="13.8">
      <c r="A51" s="848"/>
      <c r="B51" s="152"/>
      <c r="C51" s="153"/>
      <c r="D51" s="124"/>
      <c r="E51" s="124"/>
      <c r="F51" s="124"/>
      <c r="G51" s="124"/>
      <c r="H51" s="124"/>
      <c r="I51" s="124"/>
      <c r="J51" s="124"/>
      <c r="K51" s="124"/>
      <c r="L51" s="124"/>
      <c r="M51" s="124"/>
      <c r="N51" s="124"/>
      <c r="O51" s="124"/>
      <c r="P51" s="124"/>
      <c r="Q51" s="124"/>
      <c r="R51" s="124"/>
      <c r="S51" s="124"/>
      <c r="T51" s="124"/>
      <c r="U51" s="124"/>
      <c r="V51" s="124"/>
      <c r="W51" s="154"/>
      <c r="X51" s="848"/>
    </row>
    <row r="52" spans="1:24" ht="13.8">
      <c r="A52" s="848"/>
      <c r="B52" s="152"/>
      <c r="C52" s="153"/>
      <c r="D52" s="124"/>
      <c r="E52" s="124"/>
      <c r="F52" s="124"/>
      <c r="G52" s="124"/>
      <c r="H52" s="124"/>
      <c r="I52" s="124"/>
      <c r="J52" s="124"/>
      <c r="K52" s="124"/>
      <c r="L52" s="124"/>
      <c r="M52" s="124"/>
      <c r="N52" s="124"/>
      <c r="O52" s="124"/>
      <c r="P52" s="124"/>
      <c r="Q52" s="124"/>
      <c r="R52" s="124"/>
      <c r="S52" s="124"/>
      <c r="T52" s="124"/>
      <c r="U52" s="124"/>
      <c r="V52" s="124"/>
      <c r="W52" s="154"/>
      <c r="X52" s="848"/>
    </row>
    <row r="53" spans="1:24" ht="13.8">
      <c r="A53" s="848"/>
      <c r="B53" s="152"/>
      <c r="C53" s="153"/>
      <c r="D53" s="124"/>
      <c r="E53" s="124"/>
      <c r="F53" s="124"/>
      <c r="G53" s="124"/>
      <c r="H53" s="124"/>
      <c r="I53" s="124"/>
      <c r="J53" s="124"/>
      <c r="K53" s="124"/>
      <c r="L53" s="124"/>
      <c r="M53" s="124"/>
      <c r="N53" s="124"/>
      <c r="O53" s="124"/>
      <c r="P53" s="124"/>
      <c r="Q53" s="124"/>
      <c r="R53" s="124"/>
      <c r="S53" s="124"/>
      <c r="T53" s="124"/>
      <c r="U53" s="124"/>
      <c r="V53" s="124"/>
      <c r="W53" s="154"/>
      <c r="X53" s="848"/>
    </row>
    <row r="54" spans="1:24" ht="13.8">
      <c r="A54" s="848"/>
      <c r="B54" s="152"/>
      <c r="C54" s="153"/>
      <c r="D54" s="124"/>
      <c r="E54" s="124"/>
      <c r="F54" s="124"/>
      <c r="G54" s="124"/>
      <c r="H54" s="124"/>
      <c r="I54" s="124"/>
      <c r="J54" s="124"/>
      <c r="K54" s="124"/>
      <c r="L54" s="124"/>
      <c r="M54" s="124"/>
      <c r="N54" s="124"/>
      <c r="O54" s="124"/>
      <c r="P54" s="124"/>
      <c r="Q54" s="124"/>
      <c r="R54" s="124"/>
      <c r="S54" s="124"/>
      <c r="T54" s="124"/>
      <c r="U54" s="124"/>
      <c r="V54" s="124"/>
      <c r="W54" s="154"/>
      <c r="X54" s="848"/>
    </row>
    <row r="55" spans="1:24" ht="13.8">
      <c r="A55" s="848"/>
      <c r="B55" s="152"/>
      <c r="C55" s="153"/>
      <c r="D55" s="124"/>
      <c r="E55" s="124"/>
      <c r="F55" s="124"/>
      <c r="G55" s="124"/>
      <c r="H55" s="124"/>
      <c r="I55" s="124"/>
      <c r="J55" s="124"/>
      <c r="K55" s="124"/>
      <c r="L55" s="124"/>
      <c r="M55" s="124"/>
      <c r="N55" s="124"/>
      <c r="O55" s="124"/>
      <c r="P55" s="124"/>
      <c r="Q55" s="124"/>
      <c r="R55" s="124"/>
      <c r="S55" s="124"/>
      <c r="T55" s="124"/>
      <c r="U55" s="124"/>
      <c r="V55" s="124"/>
      <c r="W55" s="154"/>
      <c r="X55" s="848"/>
    </row>
    <row r="56" spans="1:24" ht="14.4" thickBot="1">
      <c r="A56" s="848"/>
      <c r="B56" s="152"/>
      <c r="C56" s="153"/>
      <c r="D56" s="124"/>
      <c r="E56" s="124"/>
      <c r="F56" s="124"/>
      <c r="G56" s="124"/>
      <c r="H56" s="124"/>
      <c r="I56" s="124"/>
      <c r="J56" s="124"/>
      <c r="K56" s="124"/>
      <c r="L56" s="124"/>
      <c r="M56" s="124"/>
      <c r="N56" s="124"/>
      <c r="O56" s="124"/>
      <c r="P56" s="124"/>
      <c r="Q56" s="124"/>
      <c r="R56" s="124"/>
      <c r="S56" s="124"/>
      <c r="T56" s="124"/>
      <c r="U56" s="124"/>
      <c r="V56" s="124"/>
      <c r="W56" s="154"/>
      <c r="X56" s="848"/>
    </row>
    <row r="57" spans="1:24" ht="39.75" customHeight="1" thickBot="1">
      <c r="A57" s="848"/>
      <c r="B57" s="152"/>
      <c r="C57" s="153"/>
      <c r="D57" s="124"/>
      <c r="E57" s="124"/>
      <c r="F57" s="124"/>
      <c r="G57" s="124"/>
      <c r="H57" s="124"/>
      <c r="I57" s="124"/>
      <c r="J57" s="124"/>
      <c r="K57" s="124"/>
      <c r="L57" s="124"/>
      <c r="M57" s="124"/>
      <c r="N57" s="124"/>
      <c r="O57" s="124"/>
      <c r="P57" s="572" t="s">
        <v>1020</v>
      </c>
      <c r="Q57" s="124"/>
      <c r="R57" s="124"/>
      <c r="T57" s="124"/>
      <c r="U57" s="124"/>
      <c r="V57" s="124"/>
      <c r="W57" s="154"/>
      <c r="X57" s="848"/>
    </row>
    <row r="58" spans="1:24" ht="27" customHeight="1" thickBot="1">
      <c r="A58" s="848"/>
      <c r="B58" s="152"/>
      <c r="C58" s="153"/>
      <c r="D58" s="124"/>
      <c r="E58" s="124"/>
      <c r="F58" s="124"/>
      <c r="G58" s="124"/>
      <c r="H58" s="124"/>
      <c r="I58" s="124"/>
      <c r="J58" s="124"/>
      <c r="K58" s="124"/>
      <c r="L58" s="124"/>
      <c r="M58" s="124"/>
      <c r="N58" s="124"/>
      <c r="O58" s="124"/>
      <c r="P58" s="958" t="s">
        <v>530</v>
      </c>
      <c r="Q58" s="124"/>
      <c r="R58" s="124"/>
      <c r="T58" s="124"/>
      <c r="U58" s="124"/>
      <c r="V58" s="124"/>
      <c r="W58" s="154"/>
      <c r="X58" s="848"/>
    </row>
    <row r="59" spans="1:24" ht="13.8">
      <c r="A59" s="848"/>
      <c r="B59" s="152"/>
      <c r="C59" s="153"/>
      <c r="D59" s="124"/>
      <c r="E59" s="124"/>
      <c r="F59" s="124"/>
      <c r="G59" s="124"/>
      <c r="H59" s="124"/>
      <c r="I59" s="124"/>
      <c r="J59" s="124"/>
      <c r="K59" s="124"/>
      <c r="L59" s="124"/>
      <c r="M59" s="124"/>
      <c r="N59" s="124"/>
      <c r="O59" s="124"/>
      <c r="P59" s="124"/>
      <c r="Q59" s="124"/>
      <c r="R59" s="124"/>
      <c r="S59" s="124"/>
      <c r="T59" s="124"/>
      <c r="U59" s="124"/>
      <c r="V59" s="124"/>
      <c r="W59" s="154"/>
      <c r="X59" s="848"/>
    </row>
    <row r="60" spans="1:24" ht="13.8">
      <c r="A60" s="848"/>
      <c r="B60" s="152"/>
      <c r="C60" s="153"/>
      <c r="D60" s="124"/>
      <c r="E60" s="124"/>
      <c r="F60" s="124"/>
      <c r="G60" s="124"/>
      <c r="H60" s="124"/>
      <c r="I60" s="124"/>
      <c r="J60" s="124"/>
      <c r="K60" s="124"/>
      <c r="L60" s="124"/>
      <c r="M60" s="124"/>
      <c r="N60" s="124"/>
      <c r="O60" s="124"/>
      <c r="P60" s="124"/>
      <c r="Q60" s="124"/>
      <c r="R60" s="124"/>
      <c r="S60" s="124"/>
      <c r="T60" s="124"/>
      <c r="U60" s="124"/>
      <c r="V60" s="124"/>
      <c r="W60" s="154"/>
      <c r="X60" s="848"/>
    </row>
    <row r="61" spans="1:24" ht="13.8">
      <c r="A61" s="848"/>
      <c r="B61" s="152"/>
      <c r="C61" s="153"/>
      <c r="D61" s="124"/>
      <c r="E61" s="124"/>
      <c r="F61" s="124"/>
      <c r="G61" s="124"/>
      <c r="H61" s="124"/>
      <c r="I61" s="124"/>
      <c r="J61" s="124"/>
      <c r="K61" s="124"/>
      <c r="L61" s="124"/>
      <c r="M61" s="124"/>
      <c r="N61" s="124"/>
      <c r="O61" s="124"/>
      <c r="P61" s="124"/>
      <c r="Q61" s="124"/>
      <c r="R61" s="124"/>
      <c r="S61" s="124"/>
      <c r="T61" s="124"/>
      <c r="U61" s="124"/>
      <c r="V61" s="124"/>
      <c r="W61" s="154"/>
      <c r="X61" s="848"/>
    </row>
    <row r="62" spans="1:24" ht="13.8">
      <c r="A62" s="848"/>
      <c r="B62" s="152"/>
      <c r="C62" s="153"/>
      <c r="D62" s="124"/>
      <c r="E62" s="124"/>
      <c r="F62" s="124"/>
      <c r="G62" s="124"/>
      <c r="H62" s="124"/>
      <c r="I62" s="124"/>
      <c r="J62" s="124"/>
      <c r="K62" s="124"/>
      <c r="L62" s="124"/>
      <c r="M62" s="124"/>
      <c r="N62" s="124"/>
      <c r="O62" s="124"/>
      <c r="P62" s="124"/>
      <c r="Q62" s="124"/>
      <c r="R62" s="124"/>
      <c r="S62" s="124"/>
      <c r="T62" s="124"/>
      <c r="U62" s="124"/>
      <c r="V62" s="124"/>
      <c r="W62" s="154"/>
      <c r="X62" s="848"/>
    </row>
    <row r="63" spans="1:24" ht="13.8">
      <c r="A63" s="848"/>
      <c r="B63" s="152"/>
      <c r="C63" s="153"/>
      <c r="D63" s="124"/>
      <c r="E63" s="124"/>
      <c r="F63" s="124"/>
      <c r="G63" s="124"/>
      <c r="H63" s="124"/>
      <c r="I63" s="124"/>
      <c r="J63" s="124"/>
      <c r="K63" s="124"/>
      <c r="L63" s="124"/>
      <c r="M63" s="124"/>
      <c r="N63" s="124"/>
      <c r="O63" s="124"/>
      <c r="P63" s="124"/>
      <c r="Q63" s="124"/>
      <c r="R63" s="124"/>
      <c r="S63" s="124"/>
      <c r="T63" s="124"/>
      <c r="U63" s="124"/>
      <c r="V63" s="124"/>
      <c r="W63" s="154"/>
      <c r="X63" s="848"/>
    </row>
    <row r="64" spans="1:24" ht="13.8">
      <c r="A64" s="848"/>
      <c r="B64" s="152"/>
      <c r="C64" s="153"/>
      <c r="D64" s="124"/>
      <c r="E64" s="124"/>
      <c r="F64" s="124"/>
      <c r="G64" s="124"/>
      <c r="H64" s="124"/>
      <c r="I64" s="124"/>
      <c r="J64" s="124"/>
      <c r="K64" s="124"/>
      <c r="L64" s="124"/>
      <c r="M64" s="124"/>
      <c r="N64" s="124"/>
      <c r="O64" s="124"/>
      <c r="P64" s="124"/>
      <c r="Q64" s="124"/>
      <c r="R64" s="124"/>
      <c r="S64" s="124"/>
      <c r="T64" s="124"/>
      <c r="U64" s="124"/>
      <c r="V64" s="124"/>
      <c r="W64" s="154"/>
      <c r="X64" s="848"/>
    </row>
    <row r="65" spans="1:31" ht="13.8">
      <c r="A65" s="848"/>
      <c r="B65" s="152"/>
      <c r="C65" s="153"/>
      <c r="D65" s="124"/>
      <c r="E65" s="124"/>
      <c r="F65" s="124"/>
      <c r="G65" s="124"/>
      <c r="H65" s="124"/>
      <c r="I65" s="124"/>
      <c r="J65" s="124"/>
      <c r="K65" s="124"/>
      <c r="L65" s="124"/>
      <c r="M65" s="124"/>
      <c r="N65" s="124"/>
      <c r="O65" s="124"/>
      <c r="P65" s="124"/>
      <c r="Q65" s="124"/>
      <c r="R65" s="124"/>
      <c r="S65" s="124"/>
      <c r="T65" s="124"/>
      <c r="U65" s="124"/>
      <c r="V65" s="124"/>
      <c r="W65" s="154"/>
      <c r="X65" s="848"/>
    </row>
    <row r="66" spans="1:31" ht="13.8">
      <c r="A66" s="848"/>
      <c r="B66" s="152"/>
      <c r="C66" s="153"/>
      <c r="D66" s="124"/>
      <c r="E66" s="124"/>
      <c r="F66" s="124"/>
      <c r="G66" s="124"/>
      <c r="H66" s="124"/>
      <c r="I66" s="124"/>
      <c r="J66" s="124"/>
      <c r="K66" s="124"/>
      <c r="L66" s="124"/>
      <c r="M66" s="124"/>
      <c r="N66" s="124"/>
      <c r="O66" s="124"/>
      <c r="P66" s="124"/>
      <c r="Q66" s="124"/>
      <c r="R66" s="124"/>
      <c r="S66" s="124"/>
      <c r="T66" s="124"/>
      <c r="U66" s="124"/>
      <c r="V66" s="124"/>
      <c r="W66" s="154"/>
      <c r="X66" s="848"/>
    </row>
    <row r="67" spans="1:31" ht="13.8">
      <c r="A67" s="848"/>
      <c r="B67" s="152"/>
      <c r="C67" s="153"/>
      <c r="D67" s="124"/>
      <c r="E67" s="124"/>
      <c r="F67" s="124"/>
      <c r="G67" s="124"/>
      <c r="H67" s="124"/>
      <c r="I67" s="124"/>
      <c r="J67" s="124"/>
      <c r="K67" s="124"/>
      <c r="L67" s="124"/>
      <c r="M67" s="124"/>
      <c r="N67" s="124"/>
      <c r="O67" s="124"/>
      <c r="P67" s="124"/>
      <c r="Q67" s="124"/>
      <c r="R67" s="124"/>
      <c r="S67" s="124"/>
      <c r="T67" s="124"/>
      <c r="U67" s="124"/>
      <c r="V67" s="124"/>
      <c r="W67" s="154"/>
      <c r="X67" s="848"/>
    </row>
    <row r="68" spans="1:31" ht="13.8">
      <c r="A68" s="848"/>
      <c r="B68" s="152"/>
      <c r="C68" s="153"/>
      <c r="D68" s="124"/>
      <c r="E68" s="124"/>
      <c r="F68" s="124"/>
      <c r="G68" s="124"/>
      <c r="H68" s="124"/>
      <c r="I68" s="124"/>
      <c r="J68" s="124"/>
      <c r="K68" s="124"/>
      <c r="L68" s="124"/>
      <c r="M68" s="124"/>
      <c r="N68" s="124"/>
      <c r="O68" s="124"/>
      <c r="P68" s="124"/>
      <c r="Q68" s="124"/>
      <c r="R68" s="124"/>
      <c r="S68" s="124"/>
      <c r="T68" s="124"/>
      <c r="U68" s="124"/>
      <c r="V68" s="124"/>
      <c r="W68" s="154"/>
      <c r="X68" s="848"/>
    </row>
    <row r="69" spans="1:31" ht="13.8">
      <c r="A69" s="848"/>
      <c r="B69" s="152"/>
      <c r="C69" s="153"/>
      <c r="D69" s="124"/>
      <c r="E69" s="124"/>
      <c r="F69" s="124"/>
      <c r="G69" s="124"/>
      <c r="H69" s="124"/>
      <c r="I69" s="124"/>
      <c r="J69" s="124"/>
      <c r="K69" s="124"/>
      <c r="L69" s="124"/>
      <c r="M69" s="124"/>
      <c r="N69" s="124"/>
      <c r="O69" s="124"/>
      <c r="P69" s="124"/>
      <c r="Q69" s="124"/>
      <c r="R69" s="124"/>
      <c r="S69" s="124"/>
      <c r="T69" s="124"/>
      <c r="U69" s="124"/>
      <c r="V69" s="124"/>
      <c r="W69" s="154"/>
      <c r="X69" s="848"/>
    </row>
    <row r="70" spans="1:31" ht="13.8">
      <c r="A70" s="848"/>
      <c r="B70" s="152"/>
      <c r="C70" s="153"/>
      <c r="D70" s="124"/>
      <c r="E70" s="124"/>
      <c r="F70" s="124"/>
      <c r="G70" s="124"/>
      <c r="H70" s="124"/>
      <c r="I70" s="124"/>
      <c r="J70" s="124"/>
      <c r="K70" s="124"/>
      <c r="L70" s="124"/>
      <c r="M70" s="124"/>
      <c r="N70" s="124"/>
      <c r="O70" s="124"/>
      <c r="P70" s="124"/>
      <c r="Q70" s="124"/>
      <c r="R70" s="124"/>
      <c r="S70" s="124"/>
      <c r="T70" s="124"/>
      <c r="U70" s="124"/>
      <c r="V70" s="124"/>
      <c r="W70" s="154"/>
      <c r="X70" s="848"/>
    </row>
    <row r="71" spans="1:31" ht="13.8">
      <c r="A71" s="848"/>
      <c r="B71" s="152"/>
      <c r="C71" s="153"/>
      <c r="D71" s="124"/>
      <c r="E71" s="124"/>
      <c r="F71" s="124"/>
      <c r="G71" s="124"/>
      <c r="H71" s="124"/>
      <c r="I71" s="124"/>
      <c r="J71" s="124"/>
      <c r="K71" s="124"/>
      <c r="L71" s="124"/>
      <c r="M71" s="124"/>
      <c r="N71" s="124"/>
      <c r="O71" s="124"/>
      <c r="P71" s="124"/>
      <c r="Q71" s="124"/>
      <c r="R71" s="124"/>
      <c r="S71" s="124"/>
      <c r="T71" s="124"/>
      <c r="U71" s="124"/>
      <c r="V71" s="124"/>
      <c r="W71" s="154"/>
      <c r="X71" s="848"/>
    </row>
    <row r="72" spans="1:31" ht="13.8">
      <c r="A72" s="848"/>
      <c r="B72" s="152"/>
      <c r="C72" s="153"/>
      <c r="D72" s="124"/>
      <c r="E72" s="124"/>
      <c r="F72" s="124"/>
      <c r="G72" s="124"/>
      <c r="H72" s="124"/>
      <c r="I72" s="124"/>
      <c r="J72" s="124"/>
      <c r="K72" s="124"/>
      <c r="L72" s="124"/>
      <c r="M72" s="124"/>
      <c r="N72" s="124"/>
      <c r="O72" s="124"/>
      <c r="P72" s="124"/>
      <c r="Q72" s="124"/>
      <c r="R72" s="124"/>
      <c r="S72" s="124"/>
      <c r="T72" s="124"/>
      <c r="U72" s="124"/>
      <c r="V72" s="124"/>
      <c r="W72" s="154"/>
      <c r="X72" s="848"/>
    </row>
    <row r="73" spans="1:31" ht="13.8">
      <c r="A73" s="848"/>
      <c r="B73" s="152"/>
      <c r="C73" s="153"/>
      <c r="D73" s="124"/>
      <c r="E73" s="124"/>
      <c r="F73" s="124"/>
      <c r="G73" s="124"/>
      <c r="H73" s="124"/>
      <c r="I73" s="124"/>
      <c r="J73" s="124"/>
      <c r="K73" s="124"/>
      <c r="L73" s="124"/>
      <c r="M73" s="124"/>
      <c r="N73" s="124"/>
      <c r="O73" s="124"/>
      <c r="P73" s="124"/>
      <c r="Q73" s="124"/>
      <c r="R73" s="124"/>
      <c r="S73" s="124"/>
      <c r="T73" s="124"/>
      <c r="U73" s="124"/>
      <c r="V73" s="124"/>
      <c r="W73" s="154"/>
      <c r="X73" s="848"/>
    </row>
    <row r="74" spans="1:31" ht="13.8">
      <c r="A74" s="848"/>
      <c r="B74" s="152"/>
      <c r="C74" s="153"/>
      <c r="D74" s="124"/>
      <c r="E74" s="124"/>
      <c r="F74" s="124"/>
      <c r="G74" s="124"/>
      <c r="H74" s="124"/>
      <c r="I74" s="124"/>
      <c r="J74" s="124"/>
      <c r="K74" s="124"/>
      <c r="L74" s="124"/>
      <c r="M74" s="124"/>
      <c r="N74" s="124"/>
      <c r="O74" s="124"/>
      <c r="P74" s="124"/>
      <c r="Q74" s="124"/>
      <c r="R74" s="124"/>
      <c r="S74" s="124"/>
      <c r="T74" s="124"/>
      <c r="U74" s="124"/>
      <c r="V74" s="124"/>
      <c r="W74" s="154"/>
      <c r="X74" s="848"/>
      <c r="AE74" s="610" t="s">
        <v>159</v>
      </c>
    </row>
    <row r="75" spans="1:31" ht="13.8">
      <c r="A75" s="848"/>
      <c r="B75" s="152"/>
      <c r="C75" s="153"/>
      <c r="D75" s="124"/>
      <c r="E75" s="124"/>
      <c r="F75" s="124"/>
      <c r="G75" s="124"/>
      <c r="H75" s="124"/>
      <c r="I75" s="124"/>
      <c r="J75" s="124"/>
      <c r="K75" s="124"/>
      <c r="L75" s="124"/>
      <c r="M75" s="124"/>
      <c r="N75" s="124"/>
      <c r="O75" s="124"/>
      <c r="P75" s="124"/>
      <c r="Q75" s="124"/>
      <c r="R75" s="124"/>
      <c r="S75" s="124"/>
      <c r="T75" s="124"/>
      <c r="U75" s="124"/>
      <c r="V75" s="124"/>
      <c r="W75" s="154"/>
      <c r="X75" s="848"/>
    </row>
    <row r="76" spans="1:31" ht="13.8">
      <c r="A76" s="848"/>
      <c r="B76" s="152"/>
      <c r="C76" s="153"/>
      <c r="D76" s="124"/>
      <c r="E76" s="124"/>
      <c r="F76" s="124"/>
      <c r="G76" s="124"/>
      <c r="H76" s="124"/>
      <c r="I76" s="124"/>
      <c r="J76" s="124"/>
      <c r="K76" s="124"/>
      <c r="L76" s="124"/>
      <c r="M76" s="124"/>
      <c r="N76" s="124"/>
      <c r="O76" s="124"/>
      <c r="P76" s="124"/>
      <c r="Q76" s="124"/>
      <c r="R76" s="124"/>
      <c r="S76" s="124"/>
      <c r="T76" s="124"/>
      <c r="U76" s="124"/>
      <c r="V76" s="124"/>
      <c r="W76" s="154"/>
      <c r="X76" s="848"/>
    </row>
    <row r="77" spans="1:31" ht="13.8">
      <c r="A77" s="848"/>
      <c r="B77" s="152"/>
      <c r="C77" s="153"/>
      <c r="D77" s="124"/>
      <c r="E77" s="124"/>
      <c r="F77" s="124"/>
      <c r="G77" s="124"/>
      <c r="H77" s="124"/>
      <c r="I77" s="124"/>
      <c r="J77" s="124"/>
      <c r="K77" s="124"/>
      <c r="L77" s="124"/>
      <c r="M77" s="124"/>
      <c r="N77" s="124"/>
      <c r="O77" s="124"/>
      <c r="P77" s="124"/>
      <c r="Q77" s="124"/>
      <c r="R77" s="124"/>
      <c r="S77" s="124"/>
      <c r="T77" s="124"/>
      <c r="U77" s="124"/>
      <c r="V77" s="124"/>
      <c r="W77" s="154"/>
      <c r="X77" s="848"/>
    </row>
    <row r="78" spans="1:31" ht="13.8">
      <c r="A78" s="848"/>
      <c r="B78" s="152"/>
      <c r="C78" s="153"/>
      <c r="D78" s="124"/>
      <c r="E78" s="124"/>
      <c r="F78" s="124"/>
      <c r="G78" s="124"/>
      <c r="H78" s="124"/>
      <c r="I78" s="124"/>
      <c r="J78" s="124"/>
      <c r="K78" s="124"/>
      <c r="L78" s="124"/>
      <c r="M78" s="124"/>
      <c r="N78" s="124"/>
      <c r="O78" s="124"/>
      <c r="P78" s="124"/>
      <c r="Q78" s="124"/>
      <c r="R78" s="124"/>
      <c r="S78" s="124"/>
      <c r="T78" s="124"/>
      <c r="U78" s="124"/>
      <c r="V78" s="124"/>
      <c r="W78" s="154"/>
      <c r="X78" s="848"/>
    </row>
    <row r="79" spans="1:31" ht="13.8">
      <c r="A79" s="848"/>
      <c r="B79" s="152"/>
      <c r="C79" s="153"/>
      <c r="D79" s="124"/>
      <c r="E79" s="124"/>
      <c r="F79" s="124"/>
      <c r="G79" s="124"/>
      <c r="H79" s="124"/>
      <c r="I79" s="124"/>
      <c r="J79" s="124"/>
      <c r="K79" s="124"/>
      <c r="L79" s="124"/>
      <c r="M79" s="124"/>
      <c r="N79" s="124"/>
      <c r="O79" s="124"/>
      <c r="P79" s="124"/>
      <c r="Q79" s="124"/>
      <c r="R79" s="124"/>
      <c r="S79" s="124"/>
      <c r="T79" s="124"/>
      <c r="U79" s="124"/>
      <c r="V79" s="124"/>
      <c r="W79" s="154"/>
      <c r="X79" s="848"/>
    </row>
    <row r="80" spans="1:31" ht="13.8">
      <c r="A80" s="848"/>
      <c r="B80" s="152"/>
      <c r="C80" s="153"/>
      <c r="D80" s="124"/>
      <c r="E80" s="124"/>
      <c r="F80" s="124"/>
      <c r="G80" s="124"/>
      <c r="H80" s="124"/>
      <c r="I80" s="124"/>
      <c r="J80" s="124"/>
      <c r="K80" s="124"/>
      <c r="L80" s="124"/>
      <c r="M80" s="124"/>
      <c r="N80" s="124"/>
      <c r="O80" s="124"/>
      <c r="P80" s="124"/>
      <c r="Q80" s="124"/>
      <c r="R80" s="124"/>
      <c r="S80" s="124"/>
      <c r="T80" s="124"/>
      <c r="U80" s="124"/>
      <c r="V80" s="124"/>
      <c r="W80" s="154"/>
      <c r="X80" s="848"/>
    </row>
    <row r="81" spans="1:24" ht="13.8">
      <c r="A81" s="848"/>
      <c r="B81" s="152"/>
      <c r="C81" s="153"/>
      <c r="D81" s="124"/>
      <c r="E81" s="124"/>
      <c r="F81" s="124"/>
      <c r="G81" s="124"/>
      <c r="H81" s="124"/>
      <c r="I81" s="124"/>
      <c r="J81" s="124"/>
      <c r="K81" s="124"/>
      <c r="L81" s="124"/>
      <c r="M81" s="124"/>
      <c r="N81" s="124"/>
      <c r="O81" s="124"/>
      <c r="P81" s="124"/>
      <c r="Q81" s="124"/>
      <c r="R81" s="124"/>
      <c r="S81" s="124"/>
      <c r="T81" s="124"/>
      <c r="U81" s="124"/>
      <c r="V81" s="124"/>
      <c r="W81" s="154"/>
      <c r="X81" s="848"/>
    </row>
    <row r="82" spans="1:24" ht="13.8">
      <c r="A82" s="848"/>
      <c r="B82" s="152"/>
      <c r="C82" s="153"/>
      <c r="D82" s="124"/>
      <c r="E82" s="124"/>
      <c r="F82" s="124"/>
      <c r="G82" s="124"/>
      <c r="H82" s="124"/>
      <c r="I82" s="124"/>
      <c r="J82" s="124"/>
      <c r="K82" s="124"/>
      <c r="L82" s="124"/>
      <c r="M82" s="124"/>
      <c r="N82" s="124"/>
      <c r="O82" s="124"/>
      <c r="P82" s="124"/>
      <c r="Q82" s="124"/>
      <c r="R82" s="124"/>
      <c r="S82" s="124"/>
      <c r="T82" s="124"/>
      <c r="U82" s="124"/>
      <c r="V82" s="124"/>
      <c r="W82" s="154"/>
      <c r="X82" s="848"/>
    </row>
    <row r="83" spans="1:24" ht="13.8">
      <c r="A83" s="848"/>
      <c r="B83" s="152"/>
      <c r="C83" s="153"/>
      <c r="D83" s="124"/>
      <c r="E83" s="124"/>
      <c r="F83" s="124"/>
      <c r="G83" s="124"/>
      <c r="H83" s="124"/>
      <c r="I83" s="124"/>
      <c r="J83" s="124"/>
      <c r="K83" s="124"/>
      <c r="L83" s="124"/>
      <c r="M83" s="124"/>
      <c r="N83" s="124"/>
      <c r="O83" s="124"/>
      <c r="P83" s="124"/>
      <c r="Q83" s="124"/>
      <c r="R83" s="124"/>
      <c r="S83" s="124"/>
      <c r="T83" s="124"/>
      <c r="U83" s="124"/>
      <c r="V83" s="124"/>
      <c r="W83" s="154"/>
      <c r="X83" s="848"/>
    </row>
    <row r="84" spans="1:24" ht="13.8">
      <c r="A84" s="848"/>
      <c r="B84" s="152"/>
      <c r="C84" s="153"/>
      <c r="D84" s="124"/>
      <c r="E84" s="124"/>
      <c r="F84" s="124"/>
      <c r="G84" s="124"/>
      <c r="H84" s="124"/>
      <c r="I84" s="124"/>
      <c r="J84" s="124"/>
      <c r="K84" s="124"/>
      <c r="L84" s="124"/>
      <c r="M84" s="124"/>
      <c r="N84" s="124"/>
      <c r="O84" s="124"/>
      <c r="P84" s="124"/>
      <c r="Q84" s="124"/>
      <c r="R84" s="124"/>
      <c r="S84" s="124"/>
      <c r="T84" s="124"/>
      <c r="U84" s="124"/>
      <c r="V84" s="124"/>
      <c r="W84" s="154"/>
      <c r="X84" s="848"/>
    </row>
    <row r="85" spans="1:24" ht="13.8">
      <c r="A85" s="848"/>
      <c r="B85" s="152"/>
      <c r="C85" s="153"/>
      <c r="D85" s="124"/>
      <c r="E85" s="124"/>
      <c r="F85" s="124"/>
      <c r="G85" s="124"/>
      <c r="H85" s="124"/>
      <c r="I85" s="124"/>
      <c r="J85" s="124"/>
      <c r="K85" s="124"/>
      <c r="L85" s="124"/>
      <c r="M85" s="124"/>
      <c r="N85" s="124"/>
      <c r="O85" s="124"/>
      <c r="P85" s="124"/>
      <c r="Q85" s="124"/>
      <c r="R85" s="124"/>
      <c r="S85" s="124"/>
      <c r="T85" s="124"/>
      <c r="U85" s="124"/>
      <c r="V85" s="124"/>
      <c r="W85" s="154"/>
      <c r="X85" s="848"/>
    </row>
    <row r="86" spans="1:24" ht="13.8">
      <c r="A86" s="848"/>
      <c r="B86" s="152"/>
      <c r="C86" s="153"/>
      <c r="D86" s="124"/>
      <c r="E86" s="124"/>
      <c r="F86" s="124"/>
      <c r="G86" s="124"/>
      <c r="H86" s="124"/>
      <c r="I86" s="124"/>
      <c r="J86" s="124"/>
      <c r="K86" s="124"/>
      <c r="L86" s="124"/>
      <c r="M86" s="124"/>
      <c r="N86" s="124"/>
      <c r="O86" s="124"/>
      <c r="P86" s="124"/>
      <c r="Q86" s="124"/>
      <c r="R86" s="124"/>
      <c r="S86" s="124"/>
      <c r="T86" s="124"/>
      <c r="U86" s="124"/>
      <c r="V86" s="124"/>
      <c r="W86" s="154"/>
      <c r="X86" s="848"/>
    </row>
    <row r="87" spans="1:24" ht="13.8">
      <c r="A87" s="848"/>
      <c r="B87" s="152"/>
      <c r="C87" s="153"/>
      <c r="D87" s="124"/>
      <c r="E87" s="124"/>
      <c r="F87" s="124"/>
      <c r="G87" s="124"/>
      <c r="H87" s="124"/>
      <c r="I87" s="124"/>
      <c r="J87" s="124"/>
      <c r="K87" s="124"/>
      <c r="L87" s="124"/>
      <c r="M87" s="124"/>
      <c r="N87" s="124"/>
      <c r="O87" s="124"/>
      <c r="P87" s="124"/>
      <c r="Q87" s="124"/>
      <c r="R87" s="124"/>
      <c r="S87" s="124"/>
      <c r="T87" s="124"/>
      <c r="U87" s="124"/>
      <c r="V87" s="124"/>
      <c r="W87" s="154"/>
      <c r="X87" s="848"/>
    </row>
    <row r="88" spans="1:24" ht="13.8">
      <c r="A88" s="848"/>
      <c r="B88" s="152"/>
      <c r="C88" s="153"/>
      <c r="D88" s="124"/>
      <c r="E88" s="124"/>
      <c r="F88" s="124"/>
      <c r="G88" s="124"/>
      <c r="H88" s="124"/>
      <c r="I88" s="124"/>
      <c r="J88" s="124"/>
      <c r="K88" s="124"/>
      <c r="L88" s="124"/>
      <c r="M88" s="124"/>
      <c r="N88" s="124"/>
      <c r="O88" s="124"/>
      <c r="P88" s="124"/>
      <c r="Q88" s="124"/>
      <c r="R88" s="124"/>
      <c r="S88" s="124"/>
      <c r="T88" s="124"/>
      <c r="U88" s="124"/>
      <c r="V88" s="124"/>
      <c r="W88" s="154"/>
      <c r="X88" s="848"/>
    </row>
    <row r="89" spans="1:24" ht="13.8">
      <c r="A89" s="848"/>
      <c r="B89" s="152"/>
      <c r="C89" s="153"/>
      <c r="D89" s="124"/>
      <c r="E89" s="124"/>
      <c r="F89" s="124"/>
      <c r="G89" s="124"/>
      <c r="H89" s="124"/>
      <c r="I89" s="124"/>
      <c r="J89" s="124"/>
      <c r="K89" s="124"/>
      <c r="L89" s="124"/>
      <c r="M89" s="124"/>
      <c r="N89" s="124"/>
      <c r="O89" s="124"/>
      <c r="P89" s="124"/>
      <c r="Q89" s="124"/>
      <c r="R89" s="124"/>
      <c r="S89" s="124"/>
      <c r="T89" s="124"/>
      <c r="U89" s="124"/>
      <c r="V89" s="124"/>
      <c r="W89" s="154"/>
      <c r="X89" s="848"/>
    </row>
    <row r="90" spans="1:24" ht="13.8">
      <c r="A90" s="848"/>
      <c r="B90" s="152"/>
      <c r="C90" s="153"/>
      <c r="D90" s="124"/>
      <c r="E90" s="124"/>
      <c r="F90" s="124"/>
      <c r="G90" s="124"/>
      <c r="H90" s="124"/>
      <c r="I90" s="124"/>
      <c r="J90" s="124"/>
      <c r="K90" s="124"/>
      <c r="L90" s="124"/>
      <c r="M90" s="124"/>
      <c r="N90" s="124"/>
      <c r="O90" s="124"/>
      <c r="P90" s="124"/>
      <c r="Q90" s="124"/>
      <c r="R90" s="124"/>
      <c r="S90" s="124"/>
      <c r="T90" s="124"/>
      <c r="U90" s="124"/>
      <c r="V90" s="124"/>
      <c r="W90" s="154"/>
      <c r="X90" s="848"/>
    </row>
    <row r="91" spans="1:24" ht="13.8">
      <c r="A91" s="848"/>
      <c r="B91" s="152"/>
      <c r="C91" s="153"/>
      <c r="D91" s="124"/>
      <c r="E91" s="124"/>
      <c r="F91" s="124"/>
      <c r="G91" s="124"/>
      <c r="H91" s="124"/>
      <c r="I91" s="124"/>
      <c r="J91" s="124"/>
      <c r="K91" s="124"/>
      <c r="L91" s="124"/>
      <c r="M91" s="124"/>
      <c r="N91" s="124"/>
      <c r="O91" s="124"/>
      <c r="P91" s="124"/>
      <c r="Q91" s="124"/>
      <c r="R91" s="124"/>
      <c r="S91" s="124"/>
      <c r="T91" s="124"/>
      <c r="U91" s="124"/>
      <c r="V91" s="124"/>
      <c r="W91" s="154"/>
      <c r="X91" s="848"/>
    </row>
    <row r="92" spans="1:24" ht="13.8">
      <c r="A92" s="848"/>
      <c r="B92" s="152"/>
      <c r="C92" s="153"/>
      <c r="D92" s="124"/>
      <c r="E92" s="124"/>
      <c r="F92" s="124"/>
      <c r="G92" s="124"/>
      <c r="H92" s="124"/>
      <c r="I92" s="124"/>
      <c r="J92" s="124"/>
      <c r="K92" s="124"/>
      <c r="L92" s="124"/>
      <c r="M92" s="124"/>
      <c r="N92" s="124"/>
      <c r="O92" s="124"/>
      <c r="P92" s="124"/>
      <c r="Q92" s="124"/>
      <c r="R92" s="124"/>
      <c r="S92" s="124"/>
      <c r="T92" s="124"/>
      <c r="U92" s="124"/>
      <c r="V92" s="124"/>
      <c r="W92" s="154"/>
      <c r="X92" s="848"/>
    </row>
    <row r="93" spans="1:24" ht="13.8">
      <c r="A93" s="848"/>
      <c r="B93" s="152"/>
      <c r="C93" s="153"/>
      <c r="D93" s="124"/>
      <c r="E93" s="124"/>
      <c r="F93" s="124"/>
      <c r="G93" s="124"/>
      <c r="H93" s="124"/>
      <c r="I93" s="124"/>
      <c r="J93" s="124"/>
      <c r="K93" s="124"/>
      <c r="L93" s="124"/>
      <c r="M93" s="124"/>
      <c r="N93" s="124"/>
      <c r="O93" s="124"/>
      <c r="P93" s="124"/>
      <c r="Q93" s="124"/>
      <c r="R93" s="124"/>
      <c r="S93" s="124"/>
      <c r="T93" s="124"/>
      <c r="U93" s="124"/>
      <c r="V93" s="124"/>
      <c r="W93" s="154"/>
      <c r="X93" s="848"/>
    </row>
    <row r="94" spans="1:24" ht="13.8">
      <c r="A94" s="848"/>
      <c r="B94" s="152"/>
      <c r="C94" s="153"/>
      <c r="D94" s="124"/>
      <c r="E94" s="124"/>
      <c r="F94" s="124"/>
      <c r="G94" s="124"/>
      <c r="H94" s="124"/>
      <c r="I94" s="124"/>
      <c r="J94" s="124"/>
      <c r="K94" s="124"/>
      <c r="L94" s="124"/>
      <c r="M94" s="124"/>
      <c r="N94" s="124"/>
      <c r="O94" s="124"/>
      <c r="P94" s="124"/>
      <c r="Q94" s="124"/>
      <c r="R94" s="124"/>
      <c r="S94" s="124"/>
      <c r="T94" s="124"/>
      <c r="U94" s="124"/>
      <c r="V94" s="124"/>
      <c r="W94" s="154"/>
      <c r="X94" s="848"/>
    </row>
    <row r="95" spans="1:24" ht="13.8">
      <c r="A95" s="848"/>
      <c r="B95" s="152"/>
      <c r="C95" s="153"/>
      <c r="D95" s="124"/>
      <c r="E95" s="124"/>
      <c r="F95" s="124"/>
      <c r="G95" s="124"/>
      <c r="H95" s="124"/>
      <c r="I95" s="124"/>
      <c r="J95" s="124"/>
      <c r="K95" s="124"/>
      <c r="L95" s="124"/>
      <c r="M95" s="124"/>
      <c r="N95" s="124"/>
      <c r="O95" s="124"/>
      <c r="P95" s="124"/>
      <c r="Q95" s="124"/>
      <c r="R95" s="124"/>
      <c r="S95" s="124"/>
      <c r="T95" s="124"/>
      <c r="U95" s="124"/>
      <c r="V95" s="124"/>
      <c r="W95" s="154"/>
      <c r="X95" s="848"/>
    </row>
    <row r="96" spans="1:24" ht="13.8">
      <c r="A96" s="848"/>
      <c r="B96" s="152"/>
      <c r="C96" s="153"/>
      <c r="D96" s="124"/>
      <c r="E96" s="124"/>
      <c r="F96" s="124"/>
      <c r="G96" s="124"/>
      <c r="H96" s="124"/>
      <c r="I96" s="124"/>
      <c r="J96" s="124"/>
      <c r="K96" s="124"/>
      <c r="L96" s="124"/>
      <c r="M96" s="124"/>
      <c r="N96" s="124"/>
      <c r="O96" s="124"/>
      <c r="P96" s="124"/>
      <c r="Q96" s="124"/>
      <c r="R96" s="124"/>
      <c r="S96" s="124"/>
      <c r="T96" s="124"/>
      <c r="U96" s="124"/>
      <c r="V96" s="124"/>
      <c r="W96" s="154"/>
      <c r="X96" s="848"/>
    </row>
    <row r="97" spans="1:24" ht="13.8">
      <c r="A97" s="848"/>
      <c r="B97" s="156"/>
      <c r="C97" s="846"/>
      <c r="D97" s="157"/>
      <c r="E97" s="157"/>
      <c r="F97" s="157"/>
      <c r="G97" s="157"/>
      <c r="H97" s="157"/>
      <c r="I97" s="157"/>
      <c r="J97" s="157"/>
      <c r="K97" s="157"/>
      <c r="L97" s="157"/>
      <c r="M97" s="157"/>
      <c r="N97" s="157"/>
      <c r="O97" s="157"/>
      <c r="P97" s="157"/>
      <c r="Q97" s="157"/>
      <c r="R97" s="157"/>
      <c r="S97" s="157"/>
      <c r="T97" s="157"/>
      <c r="U97" s="157"/>
      <c r="V97" s="157"/>
      <c r="W97" s="158"/>
      <c r="X97" s="848"/>
    </row>
    <row r="98" spans="1:24">
      <c r="A98" s="848"/>
      <c r="B98" s="848"/>
      <c r="C98" s="848"/>
      <c r="D98" s="848"/>
      <c r="E98" s="848"/>
      <c r="F98" s="848"/>
      <c r="G98" s="848"/>
      <c r="H98" s="848"/>
      <c r="I98" s="848"/>
      <c r="J98" s="848"/>
      <c r="K98" s="848"/>
      <c r="L98" s="848"/>
      <c r="M98" s="848"/>
      <c r="N98" s="848"/>
      <c r="O98" s="848"/>
      <c r="P98" s="848"/>
      <c r="Q98" s="848"/>
      <c r="R98" s="848"/>
      <c r="S98" s="848"/>
      <c r="T98" s="848"/>
      <c r="U98" s="848"/>
      <c r="V98" s="848"/>
      <c r="W98" s="848"/>
      <c r="X98" s="848"/>
    </row>
    <row r="99" spans="1:24" ht="17.25" customHeight="1">
      <c r="A99" s="848"/>
      <c r="B99" s="706" t="s">
        <v>450</v>
      </c>
      <c r="C99" s="707"/>
      <c r="D99" s="707"/>
      <c r="E99" s="707"/>
      <c r="F99" s="707"/>
      <c r="G99" s="707"/>
      <c r="H99" s="707"/>
      <c r="I99" s="707"/>
      <c r="J99" s="707"/>
      <c r="K99" s="707"/>
      <c r="L99" s="707"/>
      <c r="M99" s="707"/>
      <c r="N99" s="707"/>
      <c r="O99" s="707"/>
      <c r="P99" s="707"/>
      <c r="Q99" s="707"/>
      <c r="R99" s="707"/>
      <c r="S99" s="707"/>
      <c r="T99" s="707"/>
      <c r="U99" s="707"/>
      <c r="V99" s="707"/>
      <c r="W99" s="707"/>
      <c r="X99" s="851"/>
    </row>
    <row r="100" spans="1:24" ht="13.8" thickBot="1">
      <c r="A100" s="848"/>
      <c r="B100" s="709"/>
      <c r="C100" s="710"/>
      <c r="D100" s="710"/>
      <c r="E100" s="710"/>
      <c r="F100" s="710"/>
      <c r="G100" s="710"/>
      <c r="H100" s="710"/>
      <c r="I100" s="710"/>
      <c r="J100" s="710"/>
      <c r="K100" s="710"/>
      <c r="L100" s="710"/>
      <c r="M100" s="710"/>
      <c r="N100" s="710"/>
      <c r="O100" s="710"/>
      <c r="P100" s="710"/>
      <c r="Q100" s="710"/>
      <c r="R100" s="710"/>
      <c r="S100" s="710"/>
      <c r="T100" s="710"/>
      <c r="U100" s="710"/>
      <c r="V100" s="710"/>
      <c r="W100" s="850"/>
      <c r="X100" s="711"/>
    </row>
    <row r="101" spans="1:24" ht="13.8" thickBot="1">
      <c r="A101" s="848"/>
      <c r="B101" s="712"/>
      <c r="C101" s="1262" t="s">
        <v>431</v>
      </c>
      <c r="D101" s="1263"/>
      <c r="E101" s="1263"/>
      <c r="F101" s="1263"/>
      <c r="G101" s="1263"/>
      <c r="H101" s="1263"/>
      <c r="I101" s="1263"/>
      <c r="J101" s="1263"/>
      <c r="K101" s="1263"/>
      <c r="L101" s="1269"/>
      <c r="M101" s="713"/>
      <c r="N101" s="1262" t="s">
        <v>432</v>
      </c>
      <c r="O101" s="1263"/>
      <c r="P101" s="1263"/>
      <c r="Q101" s="1263"/>
      <c r="R101" s="1263"/>
      <c r="S101" s="1263"/>
      <c r="T101" s="1263"/>
      <c r="U101" s="1263"/>
      <c r="V101" s="1263"/>
      <c r="W101" s="1269"/>
      <c r="X101" s="714"/>
    </row>
    <row r="102" spans="1:24" ht="13.8" thickBot="1">
      <c r="A102" s="848"/>
      <c r="B102" s="712"/>
      <c r="C102" s="1258"/>
      <c r="D102" s="1259"/>
      <c r="E102" s="801">
        <f>ControlPanel!$D$59-1</f>
        <v>2021</v>
      </c>
      <c r="F102" s="801">
        <f>ControlPanel!$D$59</f>
        <v>2022</v>
      </c>
      <c r="G102" s="802">
        <f>ControlPanel!$D$59+1</f>
        <v>2023</v>
      </c>
      <c r="H102" s="802">
        <f>ControlPanel!$D$59+2</f>
        <v>2024</v>
      </c>
      <c r="I102" s="802">
        <f>ControlPanel!$D$59+3</f>
        <v>2025</v>
      </c>
      <c r="J102" s="802">
        <v>2025</v>
      </c>
      <c r="K102" s="802">
        <v>2030</v>
      </c>
      <c r="L102" s="802">
        <v>2035</v>
      </c>
      <c r="M102" s="713"/>
      <c r="N102" s="1258"/>
      <c r="O102" s="1259"/>
      <c r="P102" s="801">
        <f>E102</f>
        <v>2021</v>
      </c>
      <c r="Q102" s="801">
        <f t="shared" ref="Q102:W102" si="0">F102</f>
        <v>2022</v>
      </c>
      <c r="R102" s="801">
        <f t="shared" si="0"/>
        <v>2023</v>
      </c>
      <c r="S102" s="801">
        <f t="shared" si="0"/>
        <v>2024</v>
      </c>
      <c r="T102" s="801">
        <f t="shared" si="0"/>
        <v>2025</v>
      </c>
      <c r="U102" s="801">
        <f t="shared" si="0"/>
        <v>2025</v>
      </c>
      <c r="V102" s="801">
        <f t="shared" si="0"/>
        <v>2030</v>
      </c>
      <c r="W102" s="801">
        <f t="shared" si="0"/>
        <v>2035</v>
      </c>
      <c r="X102" s="714"/>
    </row>
    <row r="103" spans="1:24" ht="13.8" thickBot="1">
      <c r="A103" s="848"/>
      <c r="B103" s="712"/>
      <c r="C103" s="1258" t="s">
        <v>413</v>
      </c>
      <c r="D103" s="1284"/>
      <c r="E103" s="1284"/>
      <c r="F103" s="1284"/>
      <c r="G103" s="1284"/>
      <c r="H103" s="1284"/>
      <c r="I103" s="1284"/>
      <c r="J103" s="1284"/>
      <c r="K103" s="1284"/>
      <c r="L103" s="1257"/>
      <c r="M103" s="713"/>
      <c r="N103" s="1258" t="s">
        <v>131</v>
      </c>
      <c r="O103" s="1284"/>
      <c r="P103" s="1284"/>
      <c r="Q103" s="1284"/>
      <c r="R103" s="1284"/>
      <c r="S103" s="1284"/>
      <c r="T103" s="1284"/>
      <c r="U103" s="1284"/>
      <c r="V103" s="1284"/>
      <c r="W103" s="1257"/>
      <c r="X103" s="714"/>
    </row>
    <row r="104" spans="1:24" ht="12.75" customHeight="1">
      <c r="A104" s="848"/>
      <c r="B104" s="712"/>
      <c r="C104" s="1344" t="s">
        <v>427</v>
      </c>
      <c r="D104" s="1345"/>
      <c r="E104" s="722">
        <f ca="1">IF(ControlPanel!$T$5="nominal",OFFSET('GrD-Grafikdaten'!$J8,0,E$102-2014),OFFSET('GrD-Grafikdaten'!$J26,0,E$102-2014))</f>
        <v>6.5003634995875341</v>
      </c>
      <c r="F104" s="723">
        <f ca="1">IF(ControlPanel!$T$5="nominal",OFFSET('GrD-Grafikdaten'!$J8,0,F$102-2014),OFFSET('GrD-Grafikdaten'!$J26,0,F$102-2014))</f>
        <v>5.999829931707656</v>
      </c>
      <c r="G104" s="723">
        <f ca="1">IF(ControlPanel!$T$5="nominal",OFFSET('GrD-Grafikdaten'!$J8,0,G$102-2014),OFFSET('GrD-Grafikdaten'!$J26,0,G$102-2014))</f>
        <v>5.7540581975897345</v>
      </c>
      <c r="H104" s="723">
        <f ca="1">IF(ControlPanel!$T$5="nominal",OFFSET('GrD-Grafikdaten'!$J8,0,H$102-2014),OFFSET('GrD-Grafikdaten'!$J26,0,H$102-2014))</f>
        <v>5.6173863183219579</v>
      </c>
      <c r="I104" s="723">
        <f ca="1">IF(ControlPanel!$T$5="nominal",OFFSET('GrD-Grafikdaten'!$J8,0,I$102-2014),OFFSET('GrD-Grafikdaten'!$J26,0,I$102-2014))</f>
        <v>5.1106041596116398</v>
      </c>
      <c r="J104" s="723">
        <f ca="1">IF(ControlPanel!$T$5="nominal",OFFSET('GrD-Grafikdaten'!$J8,0,J$102-2014),OFFSET('GrD-Grafikdaten'!$J26,0,J$102-2014))</f>
        <v>5.1106041596116398</v>
      </c>
      <c r="K104" s="723">
        <f ca="1">IF(ControlPanel!$T$5="nominal",OFFSET('GrD-Grafikdaten'!$J8,0,K$102-2014),OFFSET('GrD-Grafikdaten'!$J26,0,K$102-2014))</f>
        <v>2.5242573906001367</v>
      </c>
      <c r="L104" s="724">
        <f ca="1">IF(ControlPanel!$T$5="nominal",OFFSET('GrD-Grafikdaten'!$J8,0,L$102-2014),OFFSET('GrD-Grafikdaten'!$J26,0,L$102-2014))</f>
        <v>0.54192582780461751</v>
      </c>
      <c r="M104" s="713"/>
      <c r="N104" s="1352" t="s">
        <v>441</v>
      </c>
      <c r="O104" s="824" t="s">
        <v>339</v>
      </c>
      <c r="P104" s="719">
        <f ca="1">IF(ControlPanel!$T$5="nominal",OFFSET('GrD-Grafikdaten'!$J13,0,E$102-2014),OFFSET('GrD-Grafikdaten'!$J31,0,E$102-2014))</f>
        <v>5.691108289571261</v>
      </c>
      <c r="Q104" s="719">
        <f ca="1">IF(ControlPanel!$T$5="nominal",OFFSET('GrD-Grafikdaten'!$J13,0,F$102-2014),OFFSET('GrD-Grafikdaten'!$J31,0,F$102-2014))</f>
        <v>4.5233914667596693</v>
      </c>
      <c r="R104" s="719">
        <f ca="1">IF(ControlPanel!$T$5="nominal",OFFSET('GrD-Grafikdaten'!$J13,0,G$102-2014),OFFSET('GrD-Grafikdaten'!$J31,0,G$102-2014))</f>
        <v>4.2107028130579121</v>
      </c>
      <c r="S104" s="719">
        <f ca="1">IF(ControlPanel!$T$5="nominal",OFFSET('GrD-Grafikdaten'!$J13,0,H$102-2014),OFFSET('GrD-Grafikdaten'!$J31,0,H$102-2014))</f>
        <v>4.0751240289618806</v>
      </c>
      <c r="T104" s="719">
        <f ca="1">IF(ControlPanel!$T$5="nominal",OFFSET('GrD-Grafikdaten'!$J13,0,I$102-2014),OFFSET('GrD-Grafikdaten'!$J31,0,I$102-2014))</f>
        <v>3.6179142259369437</v>
      </c>
      <c r="U104" s="719">
        <f ca="1">IF(ControlPanel!$T$5="nominal",OFFSET('GrD-Grafikdaten'!$J13,0,J$102-2014),OFFSET('GrD-Grafikdaten'!$J31,0,J$102-2014))</f>
        <v>3.6179142259369437</v>
      </c>
      <c r="V104" s="719">
        <f ca="1">IF(ControlPanel!$T$5="nominal",OFFSET('GrD-Grafikdaten'!$J13,0,K$102-2014),OFFSET('GrD-Grafikdaten'!$J31,0,K$102-2014))</f>
        <v>2.7272793707457419</v>
      </c>
      <c r="W104" s="791">
        <f ca="1">IF(ControlPanel!$T$5="nominal",OFFSET('GrD-Grafikdaten'!$J13,0,L$102-2014),OFFSET('GrD-Grafikdaten'!$J31,0,L$102-2014))</f>
        <v>2.1420472700810036</v>
      </c>
      <c r="X104" s="714"/>
    </row>
    <row r="105" spans="1:24">
      <c r="A105" s="848"/>
      <c r="B105" s="712"/>
      <c r="C105" s="1346" t="s">
        <v>428</v>
      </c>
      <c r="D105" s="1347"/>
      <c r="E105" s="725">
        <f ca="1">IF(ControlPanel!$T$5="nominal",OFFSET('GrD-Grafikdaten'!$J20,0,E$102-2014),OFFSET('GrD-Grafikdaten'!$J38,0,E$102-2014))</f>
        <v>10.574363499587534</v>
      </c>
      <c r="F105" s="726">
        <f ca="1">IF(ControlPanel!$T$5="nominal",OFFSET('GrD-Grafikdaten'!$J20,0,F$102-2014),OFFSET('GrD-Grafikdaten'!$J38,0,F$102-2014))</f>
        <v>10.493671381707655</v>
      </c>
      <c r="G105" s="726">
        <f ca="1">IF(ControlPanel!$T$5="nominal",OFFSET('GrD-Grafikdaten'!$J20,0,G$102-2014),OFFSET('GrD-Grafikdaten'!$J38,0,G$102-2014))</f>
        <v>10.506666411964733</v>
      </c>
      <c r="H105" s="726">
        <f ca="1">IF(ControlPanel!$T$5="nominal",OFFSET('GrD-Grafikdaten'!$J20,0,H$102-2014),OFFSET('GrD-Grafikdaten'!$J38,0,H$102-2014))</f>
        <v>10.569973986425861</v>
      </c>
      <c r="I105" s="726">
        <f ca="1">IF(ControlPanel!$T$5="nominal",OFFSET('GrD-Grafikdaten'!$J20,0,I$102-2014),OFFSET('GrD-Grafikdaten'!$J38,0,I$102-2014))</f>
        <v>10.268101328208083</v>
      </c>
      <c r="J105" s="726">
        <f ca="1">IF(ControlPanel!$T$5="nominal",OFFSET('GrD-Grafikdaten'!$J20,0,J$102-2014),OFFSET('GrD-Grafikdaten'!$J38,0,J$102-2014))</f>
        <v>10.268101328208083</v>
      </c>
      <c r="K105" s="726">
        <f ca="1">IF(ControlPanel!$T$5="nominal",OFFSET('GrD-Grafikdaten'!$J20,0,K$102-2014),OFFSET('GrD-Grafikdaten'!$J38,0,K$102-2014))</f>
        <v>8.7839244655795312</v>
      </c>
      <c r="L105" s="727">
        <f ca="1">IF(ControlPanel!$T$5="nominal",OFFSET('GrD-Grafikdaten'!$J20,0,L$102-2014),OFFSET('GrD-Grafikdaten'!$J38,0,L$102-2014))</f>
        <v>8.0433182277308219</v>
      </c>
      <c r="M105" s="713"/>
      <c r="N105" s="1353"/>
      <c r="O105" s="825" t="s">
        <v>340</v>
      </c>
      <c r="P105" s="720">
        <f ca="1">IF(ControlPanel!$T$5="nominal",OFFSET('GrD-Grafikdaten'!$J14,0,E$102-2014),OFFSET('GrD-Grafikdaten'!$J32,0,E$102-2014))</f>
        <v>4.5754770980000004</v>
      </c>
      <c r="Q105" s="720">
        <f ca="1">IF(ControlPanel!$T$5="nominal",OFFSET('GrD-Grafikdaten'!$J14,0,F$102-2014),OFFSET('GrD-Grafikdaten'!$J32,0,F$102-2014))</f>
        <v>3.5334367861382505</v>
      </c>
      <c r="R105" s="720">
        <f ca="1">IF(ControlPanel!$T$5="nominal",OFFSET('GrD-Grafikdaten'!$J14,0,G$102-2014),OFFSET('GrD-Grafikdaten'!$J32,0,G$102-2014))</f>
        <v>3.4459704409213963</v>
      </c>
      <c r="S105" s="720">
        <f ca="1">IF(ControlPanel!$T$5="nominal",OFFSET('GrD-Grafikdaten'!$J14,0,H$102-2014),OFFSET('GrD-Grafikdaten'!$J32,0,H$102-2014))</f>
        <v>3.1845212571776784</v>
      </c>
      <c r="T105" s="720">
        <f ca="1">IF(ControlPanel!$T$5="nominal",OFFSET('GrD-Grafikdaten'!$J14,0,I$102-2014),OFFSET('GrD-Grafikdaten'!$J32,0,I$102-2014))</f>
        <v>2.8195946186785061</v>
      </c>
      <c r="U105" s="720">
        <f ca="1">IF(ControlPanel!$T$5="nominal",OFFSET('GrD-Grafikdaten'!$J14,0,J$102-2014),OFFSET('GrD-Grafikdaten'!$J32,0,J$102-2014))</f>
        <v>2.8195946186785061</v>
      </c>
      <c r="V105" s="720">
        <f ca="1">IF(ControlPanel!$T$5="nominal",OFFSET('GrD-Grafikdaten'!$J14,0,K$102-2014),OFFSET('GrD-Grafikdaten'!$J32,0,K$102-2014))</f>
        <v>0.50134932140354227</v>
      </c>
      <c r="W105" s="792">
        <f ca="1">IF(ControlPanel!$T$5="nominal",OFFSET('GrD-Grafikdaten'!$J14,0,L$102-2014),OFFSET('GrD-Grafikdaten'!$J32,0,L$102-2014))</f>
        <v>0.36588397396995997</v>
      </c>
      <c r="X105" s="714"/>
    </row>
    <row r="106" spans="1:24" ht="13.8" thickBot="1">
      <c r="A106" s="848"/>
      <c r="B106" s="712"/>
      <c r="C106" s="1342" t="s">
        <v>429</v>
      </c>
      <c r="D106" s="1343"/>
      <c r="E106" s="728">
        <f ca="1">OFFSET('GrD-Grafikdaten'!$J48,0,E$102-2014)</f>
        <v>0.43632172207942227</v>
      </c>
      <c r="F106" s="729">
        <f ca="1">OFFSET('GrD-Grafikdaten'!$J48,0,F$102-2014)</f>
        <v>0.44585345469727838</v>
      </c>
      <c r="G106" s="729">
        <f ca="1">OFFSET('GrD-Grafikdaten'!$J48,0,G$102-2014)</f>
        <v>0.46501375143170837</v>
      </c>
      <c r="H106" s="729">
        <f ca="1">OFFSET('GrD-Grafikdaten'!$J48,0,H$102-2014)</f>
        <v>0.48493602092876686</v>
      </c>
      <c r="I106" s="729">
        <f ca="1">OFFSET('GrD-Grafikdaten'!$J48,0,I$102-2014)</f>
        <v>0.50114232433943284</v>
      </c>
      <c r="J106" s="729">
        <f ca="1">OFFSET('GrD-Grafikdaten'!$J48,0,J$102-2014)</f>
        <v>0.50114232433943284</v>
      </c>
      <c r="K106" s="729">
        <f ca="1">OFFSET('GrD-Grafikdaten'!$J48,0,K$102-2014)</f>
        <v>0.55579821584924383</v>
      </c>
      <c r="L106" s="730">
        <f ca="1">OFFSET('GrD-Grafikdaten'!$J48,0,L$102-2014)</f>
        <v>0.59955065091912929</v>
      </c>
      <c r="M106" s="713"/>
      <c r="N106" s="1353"/>
      <c r="O106" s="825" t="s">
        <v>12</v>
      </c>
      <c r="P106" s="720">
        <f ca="1">IF(ControlPanel!$T$5="nominal",OFFSET('GrD-Grafikdaten'!$J15,0,E$102-2014),OFFSET('GrD-Grafikdaten'!$J33,0,E$102-2014))</f>
        <v>9.5745799636013302</v>
      </c>
      <c r="Q106" s="720">
        <f ca="1">IF(ControlPanel!$T$5="nominal",OFFSET('GrD-Grafikdaten'!$J15,0,F$102-2014),OFFSET('GrD-Grafikdaten'!$J33,0,F$102-2014))</f>
        <v>9.7116613632239943</v>
      </c>
      <c r="R106" s="720">
        <f ca="1">IF(ControlPanel!$T$5="nominal",OFFSET('GrD-Grafikdaten'!$J15,0,G$102-2014),OFFSET('GrD-Grafikdaten'!$J33,0,G$102-2014))</f>
        <v>9.6744183192521049</v>
      </c>
      <c r="S106" s="720">
        <f ca="1">IF(ControlPanel!$T$5="nominal",OFFSET('GrD-Grafikdaten'!$J15,0,H$102-2014),OFFSET('GrD-Grafikdaten'!$J33,0,H$102-2014))</f>
        <v>9.6302883553410776</v>
      </c>
      <c r="T106" s="720">
        <f ca="1">IF(ControlPanel!$T$5="nominal",OFFSET('GrD-Grafikdaten'!$J15,0,I$102-2014),OFFSET('GrD-Grafikdaten'!$J33,0,I$102-2014))</f>
        <v>9.0493399682921254</v>
      </c>
      <c r="U106" s="720">
        <f ca="1">IF(ControlPanel!$T$5="nominal",OFFSET('GrD-Grafikdaten'!$J15,0,J$102-2014),OFFSET('GrD-Grafikdaten'!$J33,0,J$102-2014))</f>
        <v>9.0493399682921254</v>
      </c>
      <c r="V106" s="720">
        <f ca="1">IF(ControlPanel!$T$5="nominal",OFFSET('GrD-Grafikdaten'!$J15,0,K$102-2014),OFFSET('GrD-Grafikdaten'!$J33,0,K$102-2014))</f>
        <v>5.6532991280487508</v>
      </c>
      <c r="W106" s="792">
        <f ca="1">IF(ControlPanel!$T$5="nominal",OFFSET('GrD-Grafikdaten'!$J15,0,L$102-2014),OFFSET('GrD-Grafikdaten'!$J33,0,L$102-2014))</f>
        <v>1.5873977247417472</v>
      </c>
      <c r="X106" s="714"/>
    </row>
    <row r="107" spans="1:24" ht="13.8" thickBot="1">
      <c r="A107" s="848"/>
      <c r="B107" s="712"/>
      <c r="C107" s="1258" t="s">
        <v>414</v>
      </c>
      <c r="D107" s="1284"/>
      <c r="E107" s="1284"/>
      <c r="F107" s="1284"/>
      <c r="G107" s="1284"/>
      <c r="H107" s="1284"/>
      <c r="I107" s="1284"/>
      <c r="J107" s="1284"/>
      <c r="K107" s="1284"/>
      <c r="L107" s="1257"/>
      <c r="M107" s="713"/>
      <c r="N107" s="1353"/>
      <c r="O107" s="825" t="s">
        <v>11</v>
      </c>
      <c r="P107" s="720">
        <f ca="1">IF(ControlPanel!$T$5="nominal",OFFSET('GrD-Grafikdaten'!$J11,0,E$102-2014),OFFSET('GrD-Grafikdaten'!$J29,0,E$102-2014))</f>
        <v>6.4954462491599987</v>
      </c>
      <c r="Q107" s="720">
        <f ca="1">IF(ControlPanel!$T$5="nominal",OFFSET('GrD-Grafikdaten'!$J11,0,F$102-2014),OFFSET('GrD-Grafikdaten'!$J29,0,F$102-2014))</f>
        <v>6.5535882417431974</v>
      </c>
      <c r="R107" s="720">
        <f ca="1">IF(ControlPanel!$T$5="nominal",OFFSET('GrD-Grafikdaten'!$J11,0,G$102-2014),OFFSET('GrD-Grafikdaten'!$J29,0,G$102-2014))</f>
        <v>6.3759686645360967</v>
      </c>
      <c r="S107" s="720">
        <f ca="1">IF(ControlPanel!$T$5="nominal",OFFSET('GrD-Grafikdaten'!$J11,0,H$102-2014),OFFSET('GrD-Grafikdaten'!$J29,0,H$102-2014))</f>
        <v>6.2231981056919619</v>
      </c>
      <c r="T107" s="720">
        <f ca="1">IF(ControlPanel!$T$5="nominal",OFFSET('GrD-Grafikdaten'!$J11,0,I$102-2014),OFFSET('GrD-Grafikdaten'!$J29,0,I$102-2014))</f>
        <v>5.8886911558030466</v>
      </c>
      <c r="U107" s="720">
        <f ca="1">IF(ControlPanel!$T$5="nominal",OFFSET('GrD-Grafikdaten'!$J11,0,J$102-2014),OFFSET('GrD-Grafikdaten'!$J29,0,J$102-2014))</f>
        <v>5.8886911558030466</v>
      </c>
      <c r="V107" s="720">
        <f ca="1">IF(ControlPanel!$T$5="nominal",OFFSET('GrD-Grafikdaten'!$J11,0,K$102-2014),OFFSET('GrD-Grafikdaten'!$J29,0,K$102-2014))</f>
        <v>3.3568634995212023</v>
      </c>
      <c r="W107" s="792">
        <f ca="1">IF(ControlPanel!$T$5="nominal",OFFSET('GrD-Grafikdaten'!$J11,0,L$102-2014),OFFSET('GrD-Grafikdaten'!$J29,0,L$102-2014))</f>
        <v>1.1510167120327033</v>
      </c>
      <c r="X107" s="714"/>
    </row>
    <row r="108" spans="1:24">
      <c r="A108" s="848"/>
      <c r="B108" s="712"/>
      <c r="C108" s="1367" t="s">
        <v>430</v>
      </c>
      <c r="D108" s="1368"/>
      <c r="E108" s="731">
        <f ca="1">OFFSET('GrD-Grafikdaten'!$J132,0,E$102-2014)</f>
        <v>1.7763568394002505E-15</v>
      </c>
      <c r="F108" s="732">
        <f ca="1">OFFSET('GrD-Grafikdaten'!$J132,0,F$102-2014)</f>
        <v>0.34571647324365973</v>
      </c>
      <c r="G108" s="732">
        <f ca="1">OFFSET('GrD-Grafikdaten'!$J132,0,G$102-2014)</f>
        <v>-1.6298742485527207E-2</v>
      </c>
      <c r="H108" s="732">
        <f ca="1">OFFSET('GrD-Grafikdaten'!$J132,0,H$102-2014)</f>
        <v>-1.9518405428886609E-2</v>
      </c>
      <c r="I108" s="732">
        <f ca="1">OFFSET('GrD-Grafikdaten'!$J132,0,I$102-2014)</f>
        <v>-2.1150438095728141E-2</v>
      </c>
      <c r="J108" s="732">
        <f ca="1">OFFSET('GrD-Grafikdaten'!$J132,0,J$102-2014)</f>
        <v>-2.1150438095728141E-2</v>
      </c>
      <c r="K108" s="732">
        <f ca="1">OFFSET('GrD-Grafikdaten'!$J132,0,K$102-2014)</f>
        <v>-2.9817343260710949E-2</v>
      </c>
      <c r="L108" s="733">
        <f ca="1">OFFSET('GrD-Grafikdaten'!$J132,0,L$102-2014)</f>
        <v>-2.989538195049446E-2</v>
      </c>
      <c r="M108" s="713"/>
      <c r="N108" s="1353"/>
      <c r="O108" s="825" t="s">
        <v>10</v>
      </c>
      <c r="P108" s="720">
        <f ca="1">IF(ControlPanel!$T$5="nominal",OFFSET('GrD-Grafikdaten'!$J12,0,E$102-2014),OFFSET('GrD-Grafikdaten'!$J30,0,E$102-2014))</f>
        <v>4.5731817699999996E-2</v>
      </c>
      <c r="Q108" s="720">
        <f ca="1">IF(ControlPanel!$T$5="nominal",OFFSET('GrD-Grafikdaten'!$J12,0,F$102-2014),OFFSET('GrD-Grafikdaten'!$J30,0,F$102-2014))</f>
        <v>7.6261295413400917E-2</v>
      </c>
      <c r="R108" s="720">
        <f ca="1">IF(ControlPanel!$T$5="nominal",OFFSET('GrD-Grafikdaten'!$J12,0,G$102-2014),OFFSET('GrD-Grafikdaten'!$J30,0,G$102-2014))</f>
        <v>9.4027706508566858E-2</v>
      </c>
      <c r="S108" s="720">
        <f ca="1">IF(ControlPanel!$T$5="nominal",OFFSET('GrD-Grafikdaten'!$J12,0,H$102-2014),OFFSET('GrD-Grafikdaten'!$J30,0,H$102-2014))</f>
        <v>0.10195623918435989</v>
      </c>
      <c r="T108" s="720">
        <f ca="1">IF(ControlPanel!$T$5="nominal",OFFSET('GrD-Grafikdaten'!$J12,0,I$102-2014),OFFSET('GrD-Grafikdaten'!$J30,0,I$102-2014))</f>
        <v>0.10567433382917735</v>
      </c>
      <c r="U108" s="720">
        <f ca="1">IF(ControlPanel!$T$5="nominal",OFFSET('GrD-Grafikdaten'!$J12,0,J$102-2014),OFFSET('GrD-Grafikdaten'!$J30,0,J$102-2014))</f>
        <v>0.10567433382917735</v>
      </c>
      <c r="V108" s="720">
        <f ca="1">IF(ControlPanel!$T$5="nominal",OFFSET('GrD-Grafikdaten'!$J12,0,K$102-2014),OFFSET('GrD-Grafikdaten'!$J30,0,K$102-2014))</f>
        <v>0.12565011937063442</v>
      </c>
      <c r="W108" s="792">
        <f ca="1">IF(ControlPanel!$T$5="nominal",OFFSET('GrD-Grafikdaten'!$J12,0,L$102-2014),OFFSET('GrD-Grafikdaten'!$J30,0,L$102-2014))</f>
        <v>0.10533346015596878</v>
      </c>
      <c r="X108" s="714"/>
    </row>
    <row r="109" spans="1:24">
      <c r="A109" s="848"/>
      <c r="B109" s="712"/>
      <c r="C109" s="1367" t="s">
        <v>428</v>
      </c>
      <c r="D109" s="1368"/>
      <c r="E109" s="734">
        <f ca="1">OFFSET('GrD-Grafikdaten'!$J144,0,E$102-2014)</f>
        <v>1.7763568394002505E-15</v>
      </c>
      <c r="F109" s="735">
        <f ca="1">OFFSET('GrD-Grafikdaten'!$J144,0,F$102-2014)</f>
        <v>0.34571647324366062</v>
      </c>
      <c r="G109" s="735">
        <f ca="1">OFFSET('GrD-Grafikdaten'!$J144,0,G$102-2014)</f>
        <v>-1.6298742485528095E-2</v>
      </c>
      <c r="H109" s="735">
        <f ca="1">OFFSET('GrD-Grafikdaten'!$J144,0,H$102-2014)</f>
        <v>-1.9518405428886609E-2</v>
      </c>
      <c r="I109" s="735">
        <f ca="1">OFFSET('GrD-Grafikdaten'!$J144,0,I$102-2014)</f>
        <v>-2.1150438095729029E-2</v>
      </c>
      <c r="J109" s="735">
        <f ca="1">OFFSET('GrD-Grafikdaten'!$J144,0,J$102-2014)</f>
        <v>-2.1150438095729029E-2</v>
      </c>
      <c r="K109" s="735">
        <f ca="1">OFFSET('GrD-Grafikdaten'!$J144,0,K$102-2014)</f>
        <v>-2.9817343260710061E-2</v>
      </c>
      <c r="L109" s="736">
        <f ca="1">OFFSET('GrD-Grafikdaten'!$J144,0,L$102-2014)</f>
        <v>-2.9895381950494126E-2</v>
      </c>
      <c r="M109" s="713"/>
      <c r="N109" s="1353"/>
      <c r="O109" s="825" t="s">
        <v>348</v>
      </c>
      <c r="P109" s="720">
        <f ca="1">IF(ControlPanel!$T$5="nominal",OFFSET('GrD-Grafikdaten'!$J9,0,E$102-2014),OFFSET('GrD-Grafikdaten'!$J27,0,E$102-2014))</f>
        <v>0.33209319147999994</v>
      </c>
      <c r="Q109" s="720">
        <f ca="1">IF(ControlPanel!$T$5="nominal",OFFSET('GrD-Grafikdaten'!$J9,0,F$102-2014),OFFSET('GrD-Grafikdaten'!$J27,0,F$102-2014))</f>
        <v>0.32424518091618909</v>
      </c>
      <c r="R109" s="720">
        <f ca="1">IF(ControlPanel!$T$5="nominal",OFFSET('GrD-Grafikdaten'!$J9,0,G$102-2014),OFFSET('GrD-Grafikdaten'!$J27,0,G$102-2014))</f>
        <v>0.31072956518336564</v>
      </c>
      <c r="S109" s="720">
        <f ca="1">IF(ControlPanel!$T$5="nominal",OFFSET('GrD-Grafikdaten'!$J9,0,H$102-2014),OFFSET('GrD-Grafikdaten'!$J27,0,H$102-2014))</f>
        <v>0.30082191920654222</v>
      </c>
      <c r="T109" s="720">
        <f ca="1">IF(ControlPanel!$T$5="nominal",OFFSET('GrD-Grafikdaten'!$J9,0,I$102-2014),OFFSET('GrD-Grafikdaten'!$J27,0,I$102-2014))</f>
        <v>0.2903648855795693</v>
      </c>
      <c r="U109" s="720">
        <f ca="1">IF(ControlPanel!$T$5="nominal",OFFSET('GrD-Grafikdaten'!$J9,0,J$102-2014),OFFSET('GrD-Grafikdaten'!$J27,0,J$102-2014))</f>
        <v>0.2903648855795693</v>
      </c>
      <c r="V109" s="720">
        <f ca="1">IF(ControlPanel!$T$5="nominal",OFFSET('GrD-Grafikdaten'!$J9,0,K$102-2014),OFFSET('GrD-Grafikdaten'!$J27,0,K$102-2014))</f>
        <v>0.20899047184121244</v>
      </c>
      <c r="W109" s="792">
        <f ca="1">IF(ControlPanel!$T$5="nominal",OFFSET('GrD-Grafikdaten'!$J9,0,L$102-2014),OFFSET('GrD-Grafikdaten'!$J27,0,L$102-2014))</f>
        <v>0.11575150745165136</v>
      </c>
      <c r="X109" s="714"/>
    </row>
    <row r="110" spans="1:24" ht="13.8" thickBot="1">
      <c r="A110" s="848"/>
      <c r="B110" s="712"/>
      <c r="C110" s="1342" t="s">
        <v>429</v>
      </c>
      <c r="D110" s="1343"/>
      <c r="E110" s="737">
        <f ca="1">OFFSET('GrD-Grafikdaten'!$J92,0,E$102-2014) - OFFSET('GrD-Grafikdaten'!$J48,0,E$102-2014)</f>
        <v>0</v>
      </c>
      <c r="F110" s="729">
        <f ca="1">OFFSET('GrD-Grafikdaten'!$J92,0,F$102-2014) - OFFSET('GrD-Grafikdaten'!$J48,0,F$102-2014)</f>
        <v>-9.093896566936821E-4</v>
      </c>
      <c r="G110" s="729">
        <f ca="1">OFFSET('GrD-Grafikdaten'!$J92,0,G$102-2014) - OFFSET('GrD-Grafikdaten'!$J48,0,G$102-2014)</f>
        <v>-1.2218782338156431E-3</v>
      </c>
      <c r="H110" s="729">
        <f ca="1">OFFSET('GrD-Grafikdaten'!$J92,0,H$102-2014) - OFFSET('GrD-Grafikdaten'!$J48,0,H$102-2014)</f>
        <v>-1.4427492751010185E-3</v>
      </c>
      <c r="I110" s="729">
        <f ca="1">OFFSET('GrD-Grafikdaten'!$J92,0,I$102-2014) - OFFSET('GrD-Grafikdaten'!$J48,0,I$102-2014)</f>
        <v>-1.6594543100552084E-3</v>
      </c>
      <c r="J110" s="729">
        <f ca="1">OFFSET('GrD-Grafikdaten'!$J92,0,J$102-2014) - OFFSET('GrD-Grafikdaten'!$J48,0,J$102-2014)</f>
        <v>-1.6594543100552084E-3</v>
      </c>
      <c r="K110" s="729">
        <f ca="1">OFFSET('GrD-Grafikdaten'!$J92,0,K$102-2014) - OFFSET('GrD-Grafikdaten'!$J48,0,K$102-2014)</f>
        <v>-3.0849729987681984E-3</v>
      </c>
      <c r="L110" s="730">
        <f ca="1">OFFSET('GrD-Grafikdaten'!$J92,0,L$102-2014) - OFFSET('GrD-Grafikdaten'!$J48,0,L$102-2014)</f>
        <v>-4.5307492312058883E-3</v>
      </c>
      <c r="M110" s="713"/>
      <c r="N110" s="1354"/>
      <c r="O110" s="826" t="s">
        <v>349</v>
      </c>
      <c r="P110" s="721">
        <f ca="1">IF(ControlPanel!$T$5="nominal",OFFSET('GrD-Grafikdaten'!$J10,0,E$102-2014),OFFSET('GrD-Grafikdaten'!$J28,0,E$102-2014))</f>
        <v>3.0264385259999999E-2</v>
      </c>
      <c r="Q110" s="721">
        <f ca="1">IF(ControlPanel!$T$5="nominal",OFFSET('GrD-Grafikdaten'!$J10,0,F$102-2014),OFFSET('GrD-Grafikdaten'!$J28,0,F$102-2014))</f>
        <v>3.3562747043190282E-2</v>
      </c>
      <c r="R110" s="721">
        <f ca="1">IF(ControlPanel!$T$5="nominal",OFFSET('GrD-Grafikdaten'!$J10,0,G$102-2014),OFFSET('GrD-Grafikdaten'!$J28,0,G$102-2014))</f>
        <v>2.4453382339494401E-2</v>
      </c>
      <c r="S110" s="721">
        <f ca="1">IF(ControlPanel!$T$5="nominal",OFFSET('GrD-Grafikdaten'!$J10,0,H$102-2014),OFFSET('GrD-Grafikdaten'!$J28,0,H$102-2014))</f>
        <v>1.6161795554004522E-2</v>
      </c>
      <c r="T110" s="721">
        <f ca="1">IF(ControlPanel!$T$5="nominal",OFFSET('GrD-Grafikdaten'!$J10,0,I$102-2014),OFFSET('GrD-Grafikdaten'!$J28,0,I$102-2014))</f>
        <v>9.7014344363949984E-3</v>
      </c>
      <c r="U110" s="721">
        <f ca="1">IF(ControlPanel!$T$5="nominal",OFFSET('GrD-Grafikdaten'!$J10,0,J$102-2014),OFFSET('GrD-Grafikdaten'!$J28,0,J$102-2014))</f>
        <v>9.7014344363949984E-3</v>
      </c>
      <c r="V110" s="721">
        <f ca="1">IF(ControlPanel!$T$5="nominal",OFFSET('GrD-Grafikdaten'!$J10,0,K$102-2014),OFFSET('GrD-Grafikdaten'!$J28,0,K$102-2014))</f>
        <v>2.6511292636549888E-3</v>
      </c>
      <c r="W110" s="793">
        <f ca="1">IF(ControlPanel!$T$5="nominal",OFFSET('GrD-Grafikdaten'!$J10,0,L$102-2014),OFFSET('GrD-Grafikdaten'!$J28,0,L$102-2014))</f>
        <v>-1.0104662561580949E-2</v>
      </c>
      <c r="X110" s="714"/>
    </row>
    <row r="111" spans="1:24" ht="17.25" customHeight="1">
      <c r="A111" s="848"/>
      <c r="B111" s="712"/>
      <c r="C111" s="713"/>
      <c r="D111" s="713"/>
      <c r="E111" s="713"/>
      <c r="F111" s="713"/>
      <c r="G111" s="713"/>
      <c r="H111" s="713"/>
      <c r="I111" s="713"/>
      <c r="J111" s="713"/>
      <c r="K111" s="713"/>
      <c r="L111" s="713"/>
      <c r="M111" s="713"/>
      <c r="N111" s="1352" t="s">
        <v>442</v>
      </c>
      <c r="O111" s="825" t="s">
        <v>438</v>
      </c>
      <c r="P111" s="720">
        <f ca="1">IF(ControlPanel!$T$5="nominal",OFFSET('GrD-Grafikdaten'!$J16,0,E$102-2014),OFFSET('GrD-Grafikdaten'!$J34,0,E$102-2014))</f>
        <v>21.567257675944429</v>
      </c>
      <c r="Q111" s="720">
        <f ca="1">IF(ControlPanel!$T$5="nominal",OFFSET('GrD-Grafikdaten'!$J16,0,F$102-2014),OFFSET('GrD-Grafikdaten'!$J34,0,F$102-2014))</f>
        <v>19.787790878600095</v>
      </c>
      <c r="R111" s="720">
        <f ca="1">IF(ControlPanel!$T$5="nominal",OFFSET('GrD-Grafikdaten'!$J16,0,G$102-2014),OFFSET('GrD-Grafikdaten'!$J34,0,G$102-2014))</f>
        <v>18.943124428595578</v>
      </c>
      <c r="S111" s="720">
        <f ca="1">IF(ControlPanel!$T$5="nominal",OFFSET('GrD-Grafikdaten'!$J16,0,H$102-2014),OFFSET('GrD-Grafikdaten'!$J34,0,H$102-2014))</f>
        <v>18.431939163635487</v>
      </c>
      <c r="T111" s="720">
        <f ca="1">IF(ControlPanel!$T$5="nominal",OFFSET('GrD-Grafikdaten'!$J16,0,I$102-2014),OFFSET('GrD-Grafikdaten'!$J34,0,I$102-2014))</f>
        <v>16.747902745627218</v>
      </c>
      <c r="U111" s="720">
        <f ca="1">IF(ControlPanel!$T$5="nominal",OFFSET('GrD-Grafikdaten'!$J16,0,J$102-2014),OFFSET('GrD-Grafikdaten'!$J34,0,J$102-2014))</f>
        <v>16.747902745627218</v>
      </c>
      <c r="V111" s="720">
        <f ca="1">IF(ControlPanel!$T$5="nominal",OFFSET('GrD-Grafikdaten'!$J16,0,K$102-2014),OFFSET('GrD-Grafikdaten'!$J34,0,K$102-2014))</f>
        <v>8.2744466014867992</v>
      </c>
      <c r="W111" s="792">
        <f ca="1">IF(ControlPanel!$T$5="nominal",OFFSET('GrD-Grafikdaten'!$J16,0,L$102-2014),OFFSET('GrD-Grafikdaten'!$J34,0,L$102-2014))</f>
        <v>1.7782173411559379</v>
      </c>
      <c r="X111" s="714"/>
    </row>
    <row r="112" spans="1:24" ht="18.75" customHeight="1" thickBot="1">
      <c r="A112" s="848"/>
      <c r="B112" s="712"/>
      <c r="C112" s="715"/>
      <c r="D112" s="715"/>
      <c r="E112" s="715"/>
      <c r="F112" s="715"/>
      <c r="G112" s="715"/>
      <c r="H112" s="715"/>
      <c r="I112" s="715"/>
      <c r="J112" s="715"/>
      <c r="K112" s="715"/>
      <c r="L112" s="715"/>
      <c r="M112" s="713"/>
      <c r="N112" s="1353"/>
      <c r="O112" s="825" t="s">
        <v>439</v>
      </c>
      <c r="P112" s="720">
        <f ca="1">IF(ControlPanel!$T$5="nominal",OFFSET('GrD-Grafikdaten'!$J17,0,E$102-2014),OFFSET('GrD-Grafikdaten'!$J35,0,E$102-2014))</f>
        <v>0.41969364885136301</v>
      </c>
      <c r="Q112" s="720">
        <f ca="1">IF(ControlPanel!$T$5="nominal",OFFSET('GrD-Grafikdaten'!$J17,0,F$102-2014),OFFSET('GrD-Grafikdaten'!$J35,0,F$102-2014))</f>
        <v>0.38366564710034995</v>
      </c>
      <c r="R112" s="720">
        <f ca="1">IF(ControlPanel!$T$5="nominal",OFFSET('GrD-Grafikdaten'!$J17,0,G$102-2014),OFFSET('GrD-Grafikdaten'!$J35,0,G$102-2014))</f>
        <v>0.36409369876060887</v>
      </c>
      <c r="S112" s="720">
        <f ca="1">IF(ControlPanel!$T$5="nominal",OFFSET('GrD-Grafikdaten'!$J17,0,H$102-2014),OFFSET('GrD-Grafikdaten'!$J35,0,H$102-2014))</f>
        <v>0.35129535331313916</v>
      </c>
      <c r="T112" s="720">
        <f ca="1">IF(ControlPanel!$T$5="nominal",OFFSET('GrD-Grafikdaten'!$J17,0,I$102-2014),OFFSET('GrD-Grafikdaten'!$J35,0,I$102-2014))</f>
        <v>0.31588530858695335</v>
      </c>
      <c r="U112" s="720">
        <f ca="1">IF(ControlPanel!$T$5="nominal",OFFSET('GrD-Grafikdaten'!$J17,0,J$102-2014),OFFSET('GrD-Grafikdaten'!$J35,0,J$102-2014))</f>
        <v>0.31588530858695335</v>
      </c>
      <c r="V112" s="720">
        <f ca="1">IF(ControlPanel!$T$5="nominal",OFFSET('GrD-Grafikdaten'!$J17,0,K$102-2014),OFFSET('GrD-Grafikdaten'!$J35,0,K$102-2014))</f>
        <v>0.15602378894537886</v>
      </c>
      <c r="W112" s="792">
        <f ca="1">IF(ControlPanel!$T$5="nominal",OFFSET('GrD-Grafikdaten'!$J17,0,L$102-2014),OFFSET('GrD-Grafikdaten'!$J35,0,L$102-2014))</f>
        <v>3.3496315112832055E-2</v>
      </c>
      <c r="X112" s="714"/>
    </row>
    <row r="113" spans="1:24" ht="31.5" customHeight="1" thickBot="1">
      <c r="A113" s="848"/>
      <c r="B113" s="712"/>
      <c r="C113" s="1265" t="s">
        <v>433</v>
      </c>
      <c r="D113" s="1276"/>
      <c r="E113" s="1276"/>
      <c r="F113" s="1276"/>
      <c r="G113" s="1276"/>
      <c r="H113" s="1276"/>
      <c r="I113" s="1276"/>
      <c r="J113" s="1276"/>
      <c r="K113" s="1276"/>
      <c r="L113" s="1266"/>
      <c r="M113" s="713"/>
      <c r="N113" s="1354"/>
      <c r="O113" s="826" t="s">
        <v>440</v>
      </c>
      <c r="P113" s="721">
        <f ca="1">IF(ControlPanel!$T$5="nominal",OFFSET('GrD-Grafikdaten'!$J18,0,E$102-2014),OFFSET('GrD-Grafikdaten'!$J36,0,E$102-2014))</f>
        <v>6.2394977054711795E-2</v>
      </c>
      <c r="Q113" s="721">
        <f ca="1">IF(ControlPanel!$T$5="nominal",OFFSET('GrD-Grafikdaten'!$J18,0,F$102-2014),OFFSET('GrD-Grafikdaten'!$J36,0,F$102-2014))</f>
        <v>6.4511325061528763E-2</v>
      </c>
      <c r="R113" s="721">
        <f ca="1">IF(ControlPanel!$T$5="nominal",OFFSET('GrD-Grafikdaten'!$J18,0,G$102-2014),OFFSET('GrD-Grafikdaten'!$J36,0,G$102-2014))</f>
        <v>6.6293793377722898E-2</v>
      </c>
      <c r="S113" s="721">
        <f ca="1">IF(ControlPanel!$T$5="nominal",OFFSET('GrD-Grafikdaten'!$J18,0,H$102-2014),OFFSET('GrD-Grafikdaten'!$J36,0,H$102-2014))</f>
        <v>6.7828935752848513E-2</v>
      </c>
      <c r="T113" s="721">
        <f ca="1">IF(ControlPanel!$T$5="nominal",OFFSET('GrD-Grafikdaten'!$J18,0,I$102-2014),OFFSET('GrD-Grafikdaten'!$J36,0,I$102-2014))</f>
        <v>6.9324135649551921E-2</v>
      </c>
      <c r="U113" s="721">
        <f ca="1">IF(ControlPanel!$T$5="nominal",OFFSET('GrD-Grafikdaten'!$J18,0,J$102-2014),OFFSET('GrD-Grafikdaten'!$J36,0,J$102-2014))</f>
        <v>6.9324135649551921E-2</v>
      </c>
      <c r="V113" s="721">
        <f ca="1">IF(ControlPanel!$T$5="nominal",OFFSET('GrD-Grafikdaten'!$J18,0,K$102-2014),OFFSET('GrD-Grafikdaten'!$J36,0,K$102-2014))</f>
        <v>7.2288380572966618E-2</v>
      </c>
      <c r="W113" s="793">
        <f ca="1">IF(ControlPanel!$T$5="nominal",OFFSET('GrD-Grafikdaten'!$J18,0,L$102-2014),OFFSET('GrD-Grafikdaten'!$J36,0,L$102-2014))</f>
        <v>7.5250539594990312E-2</v>
      </c>
      <c r="X113" s="714"/>
    </row>
    <row r="114" spans="1:24" ht="13.8" thickBot="1">
      <c r="A114" s="848"/>
      <c r="B114" s="712"/>
      <c r="C114" s="1346" t="s">
        <v>434</v>
      </c>
      <c r="D114" s="1347"/>
      <c r="E114" s="821">
        <f>E102</f>
        <v>2021</v>
      </c>
      <c r="F114" s="821">
        <f t="shared" ref="F114:L114" si="1">F102</f>
        <v>2022</v>
      </c>
      <c r="G114" s="821">
        <f t="shared" si="1"/>
        <v>2023</v>
      </c>
      <c r="H114" s="821">
        <f t="shared" si="1"/>
        <v>2024</v>
      </c>
      <c r="I114" s="821">
        <f t="shared" si="1"/>
        <v>2025</v>
      </c>
      <c r="J114" s="821">
        <f t="shared" si="1"/>
        <v>2025</v>
      </c>
      <c r="K114" s="821">
        <f t="shared" si="1"/>
        <v>2030</v>
      </c>
      <c r="L114" s="821">
        <f t="shared" si="1"/>
        <v>2035</v>
      </c>
      <c r="M114" s="713"/>
      <c r="N114" s="1258" t="s">
        <v>132</v>
      </c>
      <c r="O114" s="1284"/>
      <c r="P114" s="1284"/>
      <c r="Q114" s="1284"/>
      <c r="R114" s="1284"/>
      <c r="S114" s="1284"/>
      <c r="T114" s="1284"/>
      <c r="U114" s="1284"/>
      <c r="V114" s="1284"/>
      <c r="W114" s="1257"/>
      <c r="X114" s="714"/>
    </row>
    <row r="115" spans="1:24" ht="13.5" customHeight="1" thickBot="1">
      <c r="A115" s="848"/>
      <c r="B115" s="712"/>
      <c r="C115" s="1346" t="s">
        <v>435</v>
      </c>
      <c r="D115" s="1347"/>
      <c r="E115" s="822" t="str">
        <f t="shared" ref="E115:L115" si="2">CONCATENATE("30.9.",E$102-1)</f>
        <v>30.9.2020</v>
      </c>
      <c r="F115" s="822" t="str">
        <f t="shared" si="2"/>
        <v>30.9.2021</v>
      </c>
      <c r="G115" s="822" t="str">
        <f t="shared" si="2"/>
        <v>30.9.2022</v>
      </c>
      <c r="H115" s="822" t="str">
        <f t="shared" si="2"/>
        <v>30.9.2023</v>
      </c>
      <c r="I115" s="822" t="str">
        <f t="shared" si="2"/>
        <v>30.9.2024</v>
      </c>
      <c r="J115" s="822" t="str">
        <f t="shared" si="2"/>
        <v>30.9.2024</v>
      </c>
      <c r="K115" s="822" t="str">
        <f t="shared" si="2"/>
        <v>30.9.2029</v>
      </c>
      <c r="L115" s="823" t="str">
        <f t="shared" si="2"/>
        <v>30.9.2034</v>
      </c>
      <c r="M115" s="713"/>
      <c r="N115" s="1352" t="s">
        <v>441</v>
      </c>
      <c r="O115" s="824" t="s">
        <v>339</v>
      </c>
      <c r="P115" s="739">
        <f ca="1">OFFSET('GrD-Grafikdaten'!$J137,0,E$102-2014)</f>
        <v>0</v>
      </c>
      <c r="Q115" s="739">
        <f ca="1">OFFSET('GrD-Grafikdaten'!$J137,0,F$102-2014)</f>
        <v>-6.6236341203129712E-3</v>
      </c>
      <c r="R115" s="739">
        <f ca="1">OFFSET('GrD-Grafikdaten'!$J137,0,G$102-2014)</f>
        <v>-5.9623736370504332E-3</v>
      </c>
      <c r="S115" s="739">
        <f ca="1">OFFSET('GrD-Grafikdaten'!$J137,0,H$102-2014)</f>
        <v>-5.7815633948781198E-3</v>
      </c>
      <c r="T115" s="739">
        <f ca="1">OFFSET('GrD-Grafikdaten'!$J137,0,I$102-2014)</f>
        <v>-4.5762082367364343E-3</v>
      </c>
      <c r="U115" s="739">
        <f ca="1">OFFSET('GrD-Grafikdaten'!$J137,0,J$102-2014)</f>
        <v>-4.5762082367364343E-3</v>
      </c>
      <c r="V115" s="739">
        <f ca="1">OFFSET('GrD-Grafikdaten'!$J137,0,K$102-2014)</f>
        <v>-3.6403160080924479E-3</v>
      </c>
      <c r="W115" s="740">
        <f ca="1">OFFSET('GrD-Grafikdaten'!$J137,0,L$102-2014)</f>
        <v>-4.9932338684071098E-3</v>
      </c>
      <c r="X115" s="714"/>
    </row>
    <row r="116" spans="1:24">
      <c r="A116" s="848"/>
      <c r="B116" s="712"/>
      <c r="C116" s="1346" t="s">
        <v>436</v>
      </c>
      <c r="D116" s="1347"/>
      <c r="E116" s="723">
        <f ca="1">IF(ControlPanel!$T$5="nominal",OFFSET('GrD-Grafikdaten'!$J23,0,E$102-2014),OFFSET('GrD-Grafikdaten'!$J41,0,E$102-2014))</f>
        <v>-4.0803942770500008</v>
      </c>
      <c r="F116" s="723">
        <f ca="1">IF(ControlPanel!$T$5="nominal",OFFSET('GrD-Grafikdaten'!$J23,0,F$102-2014),OFFSET('GrD-Grafikdaten'!$J41,0,F$102-2014))</f>
        <v>1.219203752449604</v>
      </c>
      <c r="G116" s="723">
        <f ca="1">IF(ControlPanel!$T$5="nominal",OFFSET('GrD-Grafikdaten'!$J23,0,G$102-2014),OFFSET('GrD-Grafikdaten'!$J41,0,G$102-2014))</f>
        <v>0.54049753340217066</v>
      </c>
      <c r="H116" s="723">
        <f ca="1">IF(ControlPanel!$T$5="nominal",OFFSET('GrD-Grafikdaten'!$J23,0,H$102-2014),OFFSET('GrD-Grafikdaten'!$J41,0,H$102-2014))</f>
        <v>0.42800984111489981</v>
      </c>
      <c r="I116" s="723">
        <f ca="1">IF(ControlPanel!$T$5="nominal",OFFSET('GrD-Grafikdaten'!$J23,0,I$102-2014),OFFSET('GrD-Grafikdaten'!$J41,0,I$102-2014))</f>
        <v>0.33737715960394965</v>
      </c>
      <c r="J116" s="723">
        <f ca="1">IF(ControlPanel!$T$5="nominal",OFFSET('GrD-Grafikdaten'!$J23,0,J$102-2014),OFFSET('GrD-Grafikdaten'!$J41,0,J$102-2014))</f>
        <v>0.33737715960394965</v>
      </c>
      <c r="K116" s="723">
        <f ca="1">IF(ControlPanel!$T$5="nominal",OFFSET('GrD-Grafikdaten'!$J23,0,K$102-2014),OFFSET('GrD-Grafikdaten'!$J41,0,K$102-2014))</f>
        <v>-0.52527747185884799</v>
      </c>
      <c r="L116" s="723">
        <f ca="1">IF(ControlPanel!$T$5="nominal",OFFSET('GrD-Grafikdaten'!$J23,0,L$102-2014),OFFSET('GrD-Grafikdaten'!$J41,0,L$102-2014))</f>
        <v>-1.2186354389422762</v>
      </c>
      <c r="M116" s="713"/>
      <c r="N116" s="1353"/>
      <c r="O116" s="825" t="s">
        <v>340</v>
      </c>
      <c r="P116" s="741">
        <f ca="1">OFFSET('GrD-Grafikdaten'!$J138,0,E$102-2014)</f>
        <v>0</v>
      </c>
      <c r="Q116" s="741">
        <f ca="1">OFFSET('GrD-Grafikdaten'!$J138,0,F$102-2014)</f>
        <v>0</v>
      </c>
      <c r="R116" s="741">
        <f ca="1">OFFSET('GrD-Grafikdaten'!$J138,0,G$102-2014)</f>
        <v>0</v>
      </c>
      <c r="S116" s="741">
        <f ca="1">OFFSET('GrD-Grafikdaten'!$J138,0,H$102-2014)</f>
        <v>0</v>
      </c>
      <c r="T116" s="741">
        <f ca="1">OFFSET('GrD-Grafikdaten'!$J138,0,I$102-2014)</f>
        <v>0</v>
      </c>
      <c r="U116" s="741">
        <f ca="1">OFFSET('GrD-Grafikdaten'!$J138,0,J$102-2014)</f>
        <v>0</v>
      </c>
      <c r="V116" s="741">
        <f ca="1">OFFSET('GrD-Grafikdaten'!$J138,0,K$102-2014)</f>
        <v>0</v>
      </c>
      <c r="W116" s="742">
        <f ca="1">OFFSET('GrD-Grafikdaten'!$J138,0,L$102-2014)</f>
        <v>0</v>
      </c>
      <c r="X116" s="714"/>
    </row>
    <row r="117" spans="1:24" ht="13.8" thickBot="1">
      <c r="A117" s="848"/>
      <c r="B117" s="712"/>
      <c r="C117" s="1346" t="s">
        <v>437</v>
      </c>
      <c r="D117" s="1347"/>
      <c r="E117" s="738">
        <f ca="1">IF(ControlPanel!$T$5="nominal",OFFSET('GrD-Grafikdaten'!$J67,0,E$102-2014),OFFSET('GrD-Grafikdaten'!$J85,0,E$102-2014))</f>
        <v>-4.0803942770500008</v>
      </c>
      <c r="F117" s="738">
        <f ca="1">IF(ControlPanel!$T$5="nominal",OFFSET('GrD-Grafikdaten'!$J67,0,F$102-2014),OFFSET('GrD-Grafikdaten'!$J85,0,F$102-2014))</f>
        <v>0</v>
      </c>
      <c r="G117" s="738">
        <f ca="1">IF(ControlPanel!$T$5="nominal",OFFSET('GrD-Grafikdaten'!$J67,0,G$102-2014),OFFSET('GrD-Grafikdaten'!$J85,0,G$102-2014))</f>
        <v>0.54074480976367045</v>
      </c>
      <c r="H117" s="738">
        <f ca="1">IF(ControlPanel!$T$5="nominal",OFFSET('GrD-Grafikdaten'!$J67,0,H$102-2014),OFFSET('GrD-Grafikdaten'!$J85,0,H$102-2014))</f>
        <v>0.42803441180090207</v>
      </c>
      <c r="I117" s="738">
        <f ca="1">IF(ControlPanel!$T$5="nominal",OFFSET('GrD-Grafikdaten'!$J67,0,I$102-2014),OFFSET('GrD-Grafikdaten'!$J85,0,I$102-2014))</f>
        <v>0.3374844847159375</v>
      </c>
      <c r="J117" s="738">
        <f ca="1">IF(ControlPanel!$T$5="nominal",OFFSET('GrD-Grafikdaten'!$J67,0,J$102-2014),OFFSET('GrD-Grafikdaten'!$J85,0,J$102-2014))</f>
        <v>0.3374844847159375</v>
      </c>
      <c r="K117" s="738">
        <f ca="1">IF(ControlPanel!$T$5="nominal",OFFSET('GrD-Grafikdaten'!$J67,0,K$102-2014),OFFSET('GrD-Grafikdaten'!$J85,0,K$102-2014))</f>
        <v>-0.52138351476887568</v>
      </c>
      <c r="L117" s="738">
        <f ca="1">IF(ControlPanel!$T$5="nominal",OFFSET('GrD-Grafikdaten'!$J67,0,L$102-2014),OFFSET('GrD-Grafikdaten'!$J85,0,L$102-2014))</f>
        <v>-1.2070325729068694</v>
      </c>
      <c r="M117" s="713"/>
      <c r="N117" s="1353"/>
      <c r="O117" s="825" t="s">
        <v>12</v>
      </c>
      <c r="P117" s="741">
        <f ca="1">OFFSET('GrD-Grafikdaten'!$J139,0,E$102-2014)</f>
        <v>0</v>
      </c>
      <c r="Q117" s="741">
        <f ca="1">OFFSET('GrD-Grafikdaten'!$J139,0,F$102-2014)</f>
        <v>0</v>
      </c>
      <c r="R117" s="741">
        <f ca="1">OFFSET('GrD-Grafikdaten'!$J139,0,G$102-2014)</f>
        <v>0</v>
      </c>
      <c r="S117" s="741">
        <f ca="1">OFFSET('GrD-Grafikdaten'!$J139,0,H$102-2014)</f>
        <v>0</v>
      </c>
      <c r="T117" s="741">
        <f ca="1">OFFSET('GrD-Grafikdaten'!$J139,0,I$102-2014)</f>
        <v>0</v>
      </c>
      <c r="U117" s="741">
        <f ca="1">OFFSET('GrD-Grafikdaten'!$J139,0,J$102-2014)</f>
        <v>0</v>
      </c>
      <c r="V117" s="741">
        <f ca="1">OFFSET('GrD-Grafikdaten'!$J139,0,K$102-2014)</f>
        <v>0</v>
      </c>
      <c r="W117" s="742">
        <f ca="1">OFFSET('GrD-Grafikdaten'!$J139,0,L$102-2014)</f>
        <v>0</v>
      </c>
      <c r="X117" s="714"/>
    </row>
    <row r="118" spans="1:24">
      <c r="A118" s="848"/>
      <c r="B118" s="712"/>
      <c r="C118" s="713"/>
      <c r="D118" s="713"/>
      <c r="E118" s="713"/>
      <c r="F118" s="713"/>
      <c r="G118" s="713"/>
      <c r="H118" s="713"/>
      <c r="I118" s="713"/>
      <c r="J118" s="713"/>
      <c r="K118" s="713"/>
      <c r="L118" s="713"/>
      <c r="M118" s="713"/>
      <c r="N118" s="1353"/>
      <c r="O118" s="825" t="s">
        <v>11</v>
      </c>
      <c r="P118" s="741">
        <f ca="1">OFFSET('GrD-Grafikdaten'!$J135,0,E$102-2014)</f>
        <v>0</v>
      </c>
      <c r="Q118" s="741">
        <f ca="1">OFFSET('GrD-Grafikdaten'!$J135,0,F$102-2014)</f>
        <v>0</v>
      </c>
      <c r="R118" s="741">
        <f ca="1">OFFSET('GrD-Grafikdaten'!$J135,0,G$102-2014)</f>
        <v>0</v>
      </c>
      <c r="S118" s="741">
        <f ca="1">OFFSET('GrD-Grafikdaten'!$J135,0,H$102-2014)</f>
        <v>0</v>
      </c>
      <c r="T118" s="741">
        <f ca="1">OFFSET('GrD-Grafikdaten'!$J135,0,I$102-2014)</f>
        <v>0</v>
      </c>
      <c r="U118" s="741">
        <f ca="1">OFFSET('GrD-Grafikdaten'!$J135,0,J$102-2014)</f>
        <v>0</v>
      </c>
      <c r="V118" s="741">
        <f ca="1">OFFSET('GrD-Grafikdaten'!$J135,0,K$102-2014)</f>
        <v>0</v>
      </c>
      <c r="W118" s="742">
        <f ca="1">OFFSET('GrD-Grafikdaten'!$J135,0,L$102-2014)</f>
        <v>0</v>
      </c>
      <c r="X118" s="852"/>
    </row>
    <row r="119" spans="1:24">
      <c r="A119" s="848"/>
      <c r="B119" s="712"/>
      <c r="C119" s="713"/>
      <c r="D119" s="713"/>
      <c r="E119" s="713"/>
      <c r="F119" s="713"/>
      <c r="G119" s="713"/>
      <c r="H119" s="713"/>
      <c r="I119" s="713"/>
      <c r="J119" s="713"/>
      <c r="K119" s="713"/>
      <c r="L119" s="713"/>
      <c r="M119" s="713"/>
      <c r="N119" s="1353"/>
      <c r="O119" s="825" t="s">
        <v>10</v>
      </c>
      <c r="P119" s="741">
        <f ca="1">OFFSET('GrD-Grafikdaten'!$J136,0,E$102-2014)</f>
        <v>0</v>
      </c>
      <c r="Q119" s="741">
        <f ca="1">OFFSET('GrD-Grafikdaten'!$J136,0,F$102-2014)</f>
        <v>-2.2130094999539836E-2</v>
      </c>
      <c r="R119" s="741">
        <f ca="1">OFFSET('GrD-Grafikdaten'!$J136,0,G$102-2014)</f>
        <v>-4.0596083483109599E-2</v>
      </c>
      <c r="S119" s="741">
        <f ca="1">OFFSET('GrD-Grafikdaten'!$J136,0,H$102-2014)</f>
        <v>-4.9066316862766191E-2</v>
      </c>
      <c r="T119" s="741">
        <f ca="1">OFFSET('GrD-Grafikdaten'!$J136,0,I$102-2014)</f>
        <v>-5.3339273649673363E-2</v>
      </c>
      <c r="U119" s="741">
        <f ca="1">OFFSET('GrD-Grafikdaten'!$J136,0,J$102-2014)</f>
        <v>-5.3339273649673363E-2</v>
      </c>
      <c r="V119" s="741">
        <f ca="1">OFFSET('GrD-Grafikdaten'!$J136,0,K$102-2014)</f>
        <v>-7.7863940715049484E-2</v>
      </c>
      <c r="W119" s="742">
        <f ca="1">OFFSET('GrD-Grafikdaten'!$J136,0,L$102-2014)</f>
        <v>-8.55182493294043E-2</v>
      </c>
      <c r="X119" s="852"/>
    </row>
    <row r="120" spans="1:24">
      <c r="A120" s="848"/>
      <c r="B120" s="712"/>
      <c r="C120" s="713"/>
      <c r="D120" s="713"/>
      <c r="E120" s="713"/>
      <c r="F120" s="713"/>
      <c r="G120" s="713"/>
      <c r="H120" s="713"/>
      <c r="I120" s="713"/>
      <c r="J120" s="713"/>
      <c r="K120" s="713"/>
      <c r="L120" s="713"/>
      <c r="M120" s="713"/>
      <c r="N120" s="1353"/>
      <c r="O120" s="825" t="s">
        <v>348</v>
      </c>
      <c r="P120" s="741">
        <f ca="1">OFFSET('GrD-Grafikdaten'!$J133,0,E$102-2014)</f>
        <v>0</v>
      </c>
      <c r="Q120" s="741">
        <f ca="1">OFFSET('GrD-Grafikdaten'!$J133,0,F$102-2014)</f>
        <v>-5.2860702320426389E-3</v>
      </c>
      <c r="R120" s="741">
        <f ca="1">OFFSET('GrD-Grafikdaten'!$J133,0,G$102-2014)</f>
        <v>-8.4614475358585906E-3</v>
      </c>
      <c r="S120" s="741">
        <f ca="1">OFFSET('GrD-Grafikdaten'!$J133,0,H$102-2014)</f>
        <v>-1.1471246358683407E-2</v>
      </c>
      <c r="T120" s="741">
        <f ca="1">OFFSET('GrD-Grafikdaten'!$J133,0,I$102-2014)</f>
        <v>-1.4246751140879643E-2</v>
      </c>
      <c r="U120" s="741">
        <f ca="1">OFFSET('GrD-Grafikdaten'!$J133,0,J$102-2014)</f>
        <v>-1.4246751140879643E-2</v>
      </c>
      <c r="V120" s="741">
        <f ca="1">OFFSET('GrD-Grafikdaten'!$J133,0,K$102-2014)</f>
        <v>-2.4200589584532473E-2</v>
      </c>
      <c r="W120" s="742">
        <f ca="1">OFFSET('GrD-Grafikdaten'!$J133,0,L$102-2014)</f>
        <v>-2.6624487527486029E-2</v>
      </c>
      <c r="X120" s="852"/>
    </row>
    <row r="121" spans="1:24" ht="13.8" thickBot="1">
      <c r="A121" s="848"/>
      <c r="B121" s="712"/>
      <c r="C121" s="713"/>
      <c r="D121" s="713"/>
      <c r="E121" s="713"/>
      <c r="F121" s="713"/>
      <c r="G121" s="713"/>
      <c r="H121" s="713"/>
      <c r="I121" s="713"/>
      <c r="J121" s="713"/>
      <c r="K121" s="713"/>
      <c r="L121" s="713"/>
      <c r="M121" s="713"/>
      <c r="N121" s="1354"/>
      <c r="O121" s="826" t="s">
        <v>349</v>
      </c>
      <c r="P121" s="743">
        <f ca="1">OFFSET('GrD-Grafikdaten'!$J134,0,E$102-2014)</f>
        <v>0</v>
      </c>
      <c r="Q121" s="743">
        <f ca="1">OFFSET('GrD-Grafikdaten'!$J134,0,F$102-2014)</f>
        <v>-2.2917878895373917E-4</v>
      </c>
      <c r="R121" s="743">
        <f ca="1">OFFSET('GrD-Grafikdaten'!$J134,0,G$102-2014)</f>
        <v>-3.4373495649033664E-4</v>
      </c>
      <c r="S121" s="743">
        <f ca="1">OFFSET('GrD-Grafikdaten'!$J134,0,H$102-2014)</f>
        <v>-4.523321183771134E-4</v>
      </c>
      <c r="T121" s="743">
        <f ca="1">OFFSET('GrD-Grafikdaten'!$J134,0,I$102-2014)</f>
        <v>-7.1955464874633168E-4</v>
      </c>
      <c r="U121" s="743">
        <f ca="1">OFFSET('GrD-Grafikdaten'!$J134,0,J$102-2014)</f>
        <v>-7.1955464874633168E-4</v>
      </c>
      <c r="V121" s="743">
        <f ca="1">OFFSET('GrD-Grafikdaten'!$J134,0,K$102-2014)</f>
        <v>1.2441923224537823E-3</v>
      </c>
      <c r="W121" s="744">
        <f ca="1">OFFSET('GrD-Grafikdaten'!$J134,0,L$102-2014)</f>
        <v>1.1159869068862955E-2</v>
      </c>
      <c r="X121" s="852"/>
    </row>
    <row r="122" spans="1:24" ht="18.75" customHeight="1">
      <c r="A122" s="848"/>
      <c r="B122" s="712"/>
      <c r="C122" s="713"/>
      <c r="D122" s="713"/>
      <c r="E122" s="713"/>
      <c r="F122" s="713"/>
      <c r="G122" s="713"/>
      <c r="H122" s="713"/>
      <c r="I122" s="713"/>
      <c r="J122" s="713"/>
      <c r="K122" s="713"/>
      <c r="L122" s="713"/>
      <c r="M122" s="713"/>
      <c r="N122" s="1352" t="s">
        <v>442</v>
      </c>
      <c r="O122" s="825" t="s">
        <v>438</v>
      </c>
      <c r="P122" s="745">
        <f ca="1">OFFSET('GrD-Grafikdaten'!$J140,0,E$102-2014)</f>
        <v>3.5527136788005009E-15</v>
      </c>
      <c r="Q122" s="745">
        <f ca="1">OFFSET('GrD-Grafikdaten'!$J140,0,F$102-2014)</f>
        <v>1.140193197757128</v>
      </c>
      <c r="R122" s="745">
        <f ca="1">OFFSET('GrD-Grafikdaten'!$J140,0,G$102-2014)</f>
        <v>-5.3657626727222407E-2</v>
      </c>
      <c r="S122" s="745">
        <f ca="1">OFFSET('GrD-Grafikdaten'!$J140,0,H$102-2014)</f>
        <v>-6.4044386668403064E-2</v>
      </c>
      <c r="T122" s="745">
        <f ca="1">OFFSET('GrD-Grafikdaten'!$J140,0,I$102-2014)</f>
        <v>-6.9311860044660278E-2</v>
      </c>
      <c r="U122" s="745">
        <f ca="1">OFFSET('GrD-Grafikdaten'!$J140,0,J$102-2014)</f>
        <v>-6.9311860044660278E-2</v>
      </c>
      <c r="V122" s="745">
        <f ca="1">OFFSET('GrD-Grafikdaten'!$J140,0,K$102-2014)</f>
        <v>-9.7740434682968669E-2</v>
      </c>
      <c r="W122" s="740">
        <f ca="1">OFFSET('GrD-Grafikdaten'!$J140,0,L$102-2014)</f>
        <v>-9.8095502884973484E-2</v>
      </c>
      <c r="X122" s="852"/>
    </row>
    <row r="123" spans="1:24" ht="18.75" customHeight="1">
      <c r="A123" s="848"/>
      <c r="B123" s="712"/>
      <c r="C123" s="713"/>
      <c r="D123" s="713"/>
      <c r="E123" s="713"/>
      <c r="F123" s="713"/>
      <c r="G123" s="713"/>
      <c r="H123" s="713"/>
      <c r="I123" s="713"/>
      <c r="J123" s="713"/>
      <c r="K123" s="713"/>
      <c r="L123" s="713"/>
      <c r="M123" s="713"/>
      <c r="N123" s="1353"/>
      <c r="O123" s="825" t="s">
        <v>439</v>
      </c>
      <c r="P123" s="745">
        <f ca="1">OFFSET('GrD-Grafikdaten'!$J141,0,E$102-2014)</f>
        <v>1.6653345369377348E-16</v>
      </c>
      <c r="Q123" s="745">
        <f ca="1">OFFSET('GrD-Grafikdaten'!$J141,0,F$102-2014)</f>
        <v>2.21072156927834E-2</v>
      </c>
      <c r="R123" s="745">
        <f ca="1">OFFSET('GrD-Grafikdaten'!$J141,0,G$102-2014)</f>
        <v>-1.0313189809564305E-3</v>
      </c>
      <c r="S123" s="745">
        <f ca="1">OFFSET('GrD-Grafikdaten'!$J141,0,H$102-2014)</f>
        <v>-1.2206255263030874E-3</v>
      </c>
      <c r="T123" s="745">
        <f ca="1">OFFSET('GrD-Grafikdaten'!$J141,0,I$102-2014)</f>
        <v>-1.3073038834465756E-3</v>
      </c>
      <c r="U123" s="745">
        <f ca="1">OFFSET('GrD-Grafikdaten'!$J141,0,J$102-2014)</f>
        <v>-1.3073038834465756E-3</v>
      </c>
      <c r="V123" s="745">
        <f ca="1">OFFSET('GrD-Grafikdaten'!$J141,0,K$102-2014)</f>
        <v>-1.8430033677013513E-3</v>
      </c>
      <c r="W123" s="742">
        <f ca="1">OFFSET('GrD-Grafikdaten'!$J141,0,L$102-2014)</f>
        <v>-1.8478269217928195E-3</v>
      </c>
      <c r="X123" s="852"/>
    </row>
    <row r="124" spans="1:24" ht="18.75" customHeight="1" thickBot="1">
      <c r="A124" s="848"/>
      <c r="B124" s="712"/>
      <c r="C124" s="713"/>
      <c r="D124" s="713"/>
      <c r="E124" s="713"/>
      <c r="F124" s="713"/>
      <c r="G124" s="713"/>
      <c r="H124" s="713"/>
      <c r="I124" s="713"/>
      <c r="J124" s="713"/>
      <c r="K124" s="713"/>
      <c r="L124" s="713"/>
      <c r="M124" s="713"/>
      <c r="N124" s="1354"/>
      <c r="O124" s="826" t="s">
        <v>440</v>
      </c>
      <c r="P124" s="746">
        <f ca="1">OFFSET('GrD-Grafikdaten'!$J142,0,E$102-2014)</f>
        <v>0</v>
      </c>
      <c r="Q124" s="746">
        <f ca="1">OFFSET('GrD-Grafikdaten'!$J142,0,F$102-2014)</f>
        <v>0</v>
      </c>
      <c r="R124" s="746">
        <f ca="1">OFFSET('GrD-Grafikdaten'!$J142,0,G$102-2014)</f>
        <v>0</v>
      </c>
      <c r="S124" s="746">
        <f ca="1">OFFSET('GrD-Grafikdaten'!$J142,0,H$102-2014)</f>
        <v>0</v>
      </c>
      <c r="T124" s="746">
        <f ca="1">OFFSET('GrD-Grafikdaten'!$J142,0,I$102-2014)</f>
        <v>0</v>
      </c>
      <c r="U124" s="746">
        <f ca="1">OFFSET('GrD-Grafikdaten'!$J142,0,J$102-2014)</f>
        <v>0</v>
      </c>
      <c r="V124" s="746">
        <f ca="1">OFFSET('GrD-Grafikdaten'!$J142,0,K$102-2014)</f>
        <v>0</v>
      </c>
      <c r="W124" s="744">
        <f ca="1">OFFSET('GrD-Grafikdaten'!$J142,0,L$102-2014)</f>
        <v>0</v>
      </c>
      <c r="X124" s="852"/>
    </row>
    <row r="125" spans="1:24">
      <c r="A125" s="848"/>
      <c r="B125" s="716"/>
      <c r="C125" s="717"/>
      <c r="D125" s="717"/>
      <c r="E125" s="717"/>
      <c r="F125" s="717"/>
      <c r="G125" s="717"/>
      <c r="H125" s="717"/>
      <c r="I125" s="717"/>
      <c r="J125" s="717"/>
      <c r="K125" s="717"/>
      <c r="L125" s="717"/>
      <c r="M125" s="717"/>
      <c r="N125" s="717"/>
      <c r="O125" s="717"/>
      <c r="P125" s="717"/>
      <c r="Q125" s="717"/>
      <c r="R125" s="717"/>
      <c r="S125" s="717"/>
      <c r="T125" s="717"/>
      <c r="U125" s="717"/>
      <c r="V125" s="717"/>
      <c r="W125" s="854"/>
      <c r="X125" s="853"/>
    </row>
    <row r="126" spans="1:24">
      <c r="A126" s="848"/>
      <c r="B126" s="848"/>
      <c r="C126" s="848"/>
      <c r="D126" s="848"/>
      <c r="E126" s="848"/>
      <c r="F126" s="848"/>
      <c r="G126" s="848"/>
      <c r="H126" s="848"/>
      <c r="I126" s="848"/>
      <c r="J126" s="848"/>
      <c r="K126" s="848"/>
      <c r="L126" s="848"/>
      <c r="M126" s="848"/>
      <c r="N126" s="848"/>
      <c r="O126" s="848"/>
      <c r="P126" s="848"/>
      <c r="Q126" s="848"/>
      <c r="R126" s="848"/>
      <c r="S126" s="848"/>
      <c r="T126" s="848"/>
      <c r="U126" s="848"/>
      <c r="V126" s="848"/>
      <c r="W126" s="848"/>
      <c r="X126" s="848"/>
    </row>
    <row r="127" spans="1:24" ht="16.5" customHeight="1">
      <c r="A127" s="848"/>
      <c r="B127" s="706" t="s">
        <v>449</v>
      </c>
      <c r="C127" s="707"/>
      <c r="D127" s="707"/>
      <c r="E127" s="707"/>
      <c r="F127" s="707"/>
      <c r="G127" s="707"/>
      <c r="H127" s="707"/>
      <c r="I127" s="707"/>
      <c r="J127" s="707"/>
      <c r="K127" s="707"/>
      <c r="L127" s="707"/>
      <c r="M127" s="707"/>
      <c r="N127" s="707"/>
      <c r="O127" s="707"/>
      <c r="P127" s="707"/>
      <c r="Q127" s="707"/>
      <c r="R127" s="707"/>
      <c r="S127" s="707"/>
      <c r="T127" s="707"/>
      <c r="U127" s="707"/>
      <c r="V127" s="707"/>
      <c r="W127" s="707"/>
      <c r="X127" s="708"/>
    </row>
    <row r="128" spans="1:24" ht="13.8" thickBot="1">
      <c r="A128" s="848"/>
      <c r="B128" s="709"/>
      <c r="C128" s="710"/>
      <c r="D128" s="710"/>
      <c r="E128" s="710"/>
      <c r="F128" s="710"/>
      <c r="G128" s="710"/>
      <c r="H128" s="710"/>
      <c r="I128" s="710"/>
      <c r="J128" s="710"/>
      <c r="K128" s="710"/>
      <c r="L128" s="710"/>
      <c r="M128" s="710"/>
      <c r="N128" s="710"/>
      <c r="O128" s="710"/>
      <c r="P128" s="710"/>
      <c r="Q128" s="710"/>
      <c r="R128" s="710"/>
      <c r="S128" s="710"/>
      <c r="T128" s="710"/>
      <c r="U128" s="710"/>
      <c r="V128" s="710"/>
      <c r="W128" s="710"/>
      <c r="X128" s="711"/>
    </row>
    <row r="129" spans="1:24" ht="33" customHeight="1" thickBot="1">
      <c r="A129" s="848"/>
      <c r="B129" s="712"/>
      <c r="C129" s="1369" t="s">
        <v>444</v>
      </c>
      <c r="D129" s="1370"/>
      <c r="E129" s="1370"/>
      <c r="F129" s="1371"/>
      <c r="G129" s="759"/>
      <c r="H129" s="759"/>
      <c r="I129" s="1369" t="str">
        <f>"Paramètres d'entrée:
Evolution des taux de rémunération (réels, basés sur  "&amp;ControlPanel!D60&amp;")"</f>
        <v>Paramètres d'entrée:
Evolution des taux de rémunération (réels, basés sur  2020)</v>
      </c>
      <c r="J129" s="1370"/>
      <c r="K129" s="1370"/>
      <c r="L129" s="1370"/>
      <c r="M129" s="1371"/>
      <c r="N129" s="713"/>
      <c r="O129" s="764"/>
      <c r="P129" s="764"/>
      <c r="Q129" s="764"/>
      <c r="R129" s="764"/>
      <c r="S129" s="764"/>
      <c r="T129" s="764"/>
      <c r="U129" s="764"/>
      <c r="V129" s="764"/>
      <c r="W129" s="764"/>
      <c r="X129" s="714"/>
    </row>
    <row r="130" spans="1:24" ht="14.25" customHeight="1" thickBot="1">
      <c r="A130" s="848"/>
      <c r="B130" s="712"/>
      <c r="C130" s="965" t="str">
        <f>'Start-Experte'!C7</f>
        <v>Technologie</v>
      </c>
      <c r="D130" s="1389" t="s">
        <v>63</v>
      </c>
      <c r="E130" s="1389"/>
      <c r="F130" s="1390"/>
      <c r="G130" s="759"/>
      <c r="H130" s="759"/>
      <c r="I130" s="1378" t="s">
        <v>65</v>
      </c>
      <c r="J130" s="1379"/>
      <c r="K130" s="1380"/>
      <c r="L130" s="1381" t="str">
        <f>'Start-Experte'!L7</f>
        <v>Scénario choisi</v>
      </c>
      <c r="M130" s="1382"/>
      <c r="N130" s="713"/>
      <c r="O130" s="764"/>
      <c r="P130" s="764"/>
      <c r="Q130" s="764"/>
      <c r="R130" s="764"/>
      <c r="S130" s="764"/>
      <c r="T130" s="764"/>
      <c r="U130" s="764"/>
      <c r="V130" s="764"/>
      <c r="W130" s="764"/>
      <c r="X130" s="714"/>
    </row>
    <row r="131" spans="1:24">
      <c r="A131" s="848"/>
      <c r="B131" s="712"/>
      <c r="C131" s="827" t="str">
        <f>'Start-Experte'!C8</f>
        <v>Eolien Onshore</v>
      </c>
      <c r="D131" s="959" t="str">
        <f>'Start-Experte'!E8</f>
        <v>Référence</v>
      </c>
      <c r="E131" s="1387" t="str">
        <f>'Start-Experte'!F8</f>
        <v>1,5 GW jusqu´à 2021, à partir de 2023 2,5 GW/a</v>
      </c>
      <c r="F131" s="1388"/>
      <c r="G131" s="759"/>
      <c r="H131" s="759"/>
      <c r="I131" s="1372" t="str">
        <f>'Start-Experte'!I8</f>
        <v>Eolien Onshore</v>
      </c>
      <c r="J131" s="1373"/>
      <c r="K131" s="1374"/>
      <c r="L131" s="959" t="str">
        <f>'Start-Experte'!L8</f>
        <v>Référence</v>
      </c>
      <c r="M131" s="747" t="str">
        <f>'Start-Experte'!M8</f>
        <v>Baisse de 4 ct/kWh in 2035</v>
      </c>
      <c r="N131" s="713"/>
      <c r="O131" s="764"/>
      <c r="P131" s="764"/>
      <c r="Q131" s="764"/>
      <c r="R131" s="764"/>
      <c r="S131" s="764"/>
      <c r="T131" s="764"/>
      <c r="U131" s="764"/>
      <c r="V131" s="764"/>
      <c r="W131" s="764"/>
      <c r="X131" s="714"/>
    </row>
    <row r="132" spans="1:24">
      <c r="A132" s="848"/>
      <c r="B132" s="712"/>
      <c r="C132" s="828" t="str">
        <f>'Start-Experte'!C9</f>
        <v>Eolien Offshore</v>
      </c>
      <c r="D132" s="960" t="str">
        <f>'Start-Experte'!E9</f>
        <v>Référence</v>
      </c>
      <c r="E132" s="1383" t="str">
        <f>'Start-Experte'!F9</f>
        <v>Tendance MFP, puis constante 1,6 GW</v>
      </c>
      <c r="F132" s="1384"/>
      <c r="G132" s="759"/>
      <c r="H132" s="759"/>
      <c r="I132" s="1375" t="str">
        <f>'Start-Experte'!I9</f>
        <v>Eolien Offshore</v>
      </c>
      <c r="J132" s="1376"/>
      <c r="K132" s="1377"/>
      <c r="L132" s="960" t="str">
        <f>'Start-Experte'!L9</f>
        <v>Référence</v>
      </c>
      <c r="M132" s="748" t="str">
        <f>'Start-Experte'!M9</f>
        <v>Baisse de 5 ct/kWh in 2035</v>
      </c>
      <c r="N132" s="713"/>
      <c r="O132" s="764"/>
      <c r="P132" s="764"/>
      <c r="Q132" s="764"/>
      <c r="R132" s="764"/>
      <c r="S132" s="764"/>
      <c r="T132" s="764"/>
      <c r="U132" s="764"/>
      <c r="V132" s="764"/>
      <c r="W132" s="764"/>
      <c r="X132" s="714"/>
    </row>
    <row r="133" spans="1:24" ht="26.4">
      <c r="A133" s="848"/>
      <c r="B133" s="712"/>
      <c r="C133" s="828" t="str">
        <f>'Start-Experte'!C10</f>
        <v>PV</v>
      </c>
      <c r="D133" s="960" t="str">
        <f>'Start-Experte'!E10</f>
        <v>Référence</v>
      </c>
      <c r="E133" s="1383" t="str">
        <f>'Start-Experte'!F10</f>
        <v>Tendence MFP</v>
      </c>
      <c r="F133" s="1384"/>
      <c r="G133" s="759"/>
      <c r="H133" s="759"/>
      <c r="I133" s="1375" t="str">
        <f>'Start-Experte'!I10</f>
        <v>PV</v>
      </c>
      <c r="J133" s="1376"/>
      <c r="K133" s="1377"/>
      <c r="L133" s="960" t="str">
        <f>'Start-Experte'!L10</f>
        <v>Référence</v>
      </c>
      <c r="M133" s="749" t="str">
        <f>'Start-Experte'!M10</f>
        <v>EEG 2017; Proportion d'offres à partir de 2020 50%</v>
      </c>
      <c r="N133" s="713"/>
      <c r="O133" s="764"/>
      <c r="P133" s="764"/>
      <c r="Q133" s="764"/>
      <c r="R133" s="764"/>
      <c r="S133" s="764"/>
      <c r="T133" s="764"/>
      <c r="U133" s="764"/>
      <c r="V133" s="764"/>
      <c r="W133" s="764"/>
      <c r="X133" s="714"/>
    </row>
    <row r="134" spans="1:24">
      <c r="A134" s="848"/>
      <c r="B134" s="712"/>
      <c r="C134" s="828" t="str">
        <f>'Start-Experte'!C11</f>
        <v>Biomasse</v>
      </c>
      <c r="D134" s="960" t="str">
        <f>'Start-Experte'!E11</f>
        <v>Référence</v>
      </c>
      <c r="E134" s="1383" t="str">
        <f>'Start-Experte'!F11</f>
        <v>0,2 GW/a</v>
      </c>
      <c r="F134" s="1384"/>
      <c r="G134" s="759"/>
      <c r="H134" s="759"/>
      <c r="I134" s="1375" t="str">
        <f>'Start-Experte'!I11</f>
        <v>Biomasse</v>
      </c>
      <c r="J134" s="1376"/>
      <c r="K134" s="1377"/>
      <c r="L134" s="960" t="str">
        <f>'Start-Experte'!L11</f>
        <v>Référence</v>
      </c>
      <c r="M134" s="748" t="str">
        <f>'Start-Experte'!M11</f>
        <v>EEG 2017</v>
      </c>
      <c r="N134" s="713"/>
      <c r="O134" s="764"/>
      <c r="P134" s="764"/>
      <c r="Q134" s="764"/>
      <c r="R134" s="764"/>
      <c r="S134" s="764"/>
      <c r="T134" s="764"/>
      <c r="U134" s="764"/>
      <c r="V134" s="764"/>
      <c r="W134" s="764"/>
      <c r="X134" s="714"/>
    </row>
    <row r="135" spans="1:24" ht="26.4">
      <c r="A135" s="848"/>
      <c r="B135" s="712"/>
      <c r="C135" s="828" t="str">
        <f>'Start-Experte'!C12</f>
        <v>Geothermie</v>
      </c>
      <c r="D135" s="960" t="str">
        <f>'Start-Experte'!E12</f>
        <v>Pas d'extension</v>
      </c>
      <c r="E135" s="1385" t="str">
        <f>'Start-Experte'!F12</f>
        <v>0 GW/a</v>
      </c>
      <c r="F135" s="1386"/>
      <c r="G135" s="759"/>
      <c r="H135" s="759"/>
      <c r="I135" s="1375" t="str">
        <f>'Start-Experte'!I12</f>
        <v>Geothermie</v>
      </c>
      <c r="J135" s="1376"/>
      <c r="K135" s="1377"/>
      <c r="L135" s="960" t="str">
        <f>'Start-Experte'!L12</f>
        <v>Référence</v>
      </c>
      <c r="M135" s="748" t="str">
        <f>'Start-Experte'!M12</f>
        <v>EEG 2017</v>
      </c>
      <c r="N135" s="713"/>
      <c r="O135" s="764"/>
      <c r="P135" s="764"/>
      <c r="Q135" s="764"/>
      <c r="R135" s="764"/>
      <c r="S135" s="764"/>
      <c r="T135" s="764"/>
      <c r="U135" s="764"/>
      <c r="V135" s="764"/>
      <c r="W135" s="764"/>
      <c r="X135" s="714"/>
    </row>
    <row r="136" spans="1:24" ht="26.4">
      <c r="A136" s="848"/>
      <c r="B136" s="712"/>
      <c r="C136" s="828" t="s">
        <v>529</v>
      </c>
      <c r="D136" s="960" t="str">
        <f>'Start-Experte'!E13</f>
        <v>Pas d'extension</v>
      </c>
      <c r="E136" s="1385" t="str">
        <f>'Start-Experte'!F13</f>
        <v>0 GW/a</v>
      </c>
      <c r="F136" s="1386"/>
      <c r="G136" s="759"/>
      <c r="H136" s="759"/>
      <c r="I136" s="1375" t="s">
        <v>529</v>
      </c>
      <c r="J136" s="1376"/>
      <c r="K136" s="1377"/>
      <c r="L136" s="960" t="str">
        <f>'Start-Experte'!L13</f>
        <v>Référence</v>
      </c>
      <c r="M136" s="748" t="str">
        <f>'Start-Experte'!M13</f>
        <v>EEG 2017</v>
      </c>
      <c r="N136" s="713"/>
      <c r="O136" s="764"/>
      <c r="P136" s="764"/>
      <c r="Q136" s="764"/>
      <c r="R136" s="764"/>
      <c r="S136" s="764"/>
      <c r="T136" s="764"/>
      <c r="U136" s="764"/>
      <c r="V136" s="764"/>
      <c r="W136" s="764"/>
      <c r="X136" s="714"/>
    </row>
    <row r="137" spans="1:24" ht="27" thickBot="1">
      <c r="A137" s="848"/>
      <c r="B137" s="712"/>
      <c r="C137" s="829" t="str">
        <f>'Start-Experte'!C14</f>
        <v>Gaz</v>
      </c>
      <c r="D137" s="963" t="str">
        <f>'Start-Experte'!E14</f>
        <v>Pas d'extension</v>
      </c>
      <c r="E137" s="1397" t="str">
        <f>'Start-Experte'!F14</f>
        <v>0 GW/a</v>
      </c>
      <c r="F137" s="1398"/>
      <c r="G137" s="759"/>
      <c r="H137" s="759"/>
      <c r="I137" s="1407" t="str">
        <f>'Start-Experte'!I14</f>
        <v>Gaz</v>
      </c>
      <c r="J137" s="1408"/>
      <c r="K137" s="1409"/>
      <c r="L137" s="963" t="str">
        <f>'Start-Experte'!L14</f>
        <v>Référence</v>
      </c>
      <c r="M137" s="750" t="str">
        <f>'Start-Experte'!M14</f>
        <v>EEG 2017</v>
      </c>
      <c r="N137" s="713"/>
      <c r="O137" s="764"/>
      <c r="P137" s="764"/>
      <c r="Q137" s="764"/>
      <c r="R137" s="764"/>
      <c r="S137" s="764"/>
      <c r="T137" s="764"/>
      <c r="U137" s="764"/>
      <c r="V137" s="764"/>
      <c r="W137" s="764"/>
      <c r="X137" s="714"/>
    </row>
    <row r="138" spans="1:24">
      <c r="A138" s="848"/>
      <c r="B138" s="712"/>
      <c r="C138" s="759"/>
      <c r="D138" s="759"/>
      <c r="E138" s="759"/>
      <c r="F138" s="762"/>
      <c r="G138" s="759"/>
      <c r="H138" s="759"/>
      <c r="I138" s="759"/>
      <c r="J138" s="759"/>
      <c r="K138" s="759"/>
      <c r="L138" s="759"/>
      <c r="M138" s="763"/>
      <c r="N138" s="713"/>
      <c r="O138" s="764"/>
      <c r="P138" s="764"/>
      <c r="Q138" s="764"/>
      <c r="R138" s="764"/>
      <c r="S138" s="764"/>
      <c r="T138" s="764"/>
      <c r="U138" s="764"/>
      <c r="V138" s="764"/>
      <c r="W138" s="764"/>
      <c r="X138" s="714"/>
    </row>
    <row r="139" spans="1:24" ht="13.8" thickBot="1">
      <c r="A139" s="848"/>
      <c r="B139" s="712"/>
      <c r="C139" s="759"/>
      <c r="D139" s="759"/>
      <c r="E139" s="759"/>
      <c r="F139" s="759"/>
      <c r="G139" s="759"/>
      <c r="H139" s="759"/>
      <c r="I139" s="759"/>
      <c r="J139" s="759"/>
      <c r="K139" s="759"/>
      <c r="L139" s="759"/>
      <c r="M139" s="759"/>
      <c r="N139" s="713"/>
      <c r="O139" s="764"/>
      <c r="P139" s="764"/>
      <c r="Q139" s="764"/>
      <c r="R139" s="764"/>
      <c r="S139" s="764"/>
      <c r="T139" s="764"/>
      <c r="U139" s="764"/>
      <c r="V139" s="764"/>
      <c r="W139" s="764"/>
      <c r="X139" s="714"/>
    </row>
    <row r="140" spans="1:24" ht="28.5" customHeight="1" thickBot="1">
      <c r="A140" s="848"/>
      <c r="B140" s="712"/>
      <c r="C140" s="1369" t="s">
        <v>446</v>
      </c>
      <c r="D140" s="1370"/>
      <c r="E140" s="1370"/>
      <c r="F140" s="1371"/>
      <c r="G140" s="759"/>
      <c r="H140" s="759"/>
      <c r="I140" s="1369" t="s">
        <v>445</v>
      </c>
      <c r="J140" s="1370"/>
      <c r="K140" s="1370"/>
      <c r="L140" s="1370"/>
      <c r="M140" s="1371"/>
      <c r="N140" s="713"/>
      <c r="O140" s="764"/>
      <c r="P140" s="764"/>
      <c r="Q140" s="764"/>
      <c r="R140" s="764"/>
      <c r="S140" s="764"/>
      <c r="T140" s="764"/>
      <c r="U140" s="764"/>
      <c r="V140" s="764"/>
      <c r="W140" s="764"/>
      <c r="X140" s="714"/>
    </row>
    <row r="141" spans="1:24" ht="13.8" thickBot="1">
      <c r="A141" s="848"/>
      <c r="B141" s="712"/>
      <c r="C141" s="965" t="s">
        <v>443</v>
      </c>
      <c r="D141" s="1389" t="str">
        <f>'Start-Experte'!E18</f>
        <v>Scénario choisi</v>
      </c>
      <c r="E141" s="1389"/>
      <c r="F141" s="1390"/>
      <c r="G141" s="759"/>
      <c r="H141" s="759"/>
      <c r="I141" s="1378" t="s">
        <v>443</v>
      </c>
      <c r="J141" s="1379"/>
      <c r="K141" s="1380"/>
      <c r="L141" s="1381" t="str">
        <f>'Start-Experte'!L18</f>
        <v>Scénario choisi</v>
      </c>
      <c r="M141" s="1382">
        <f>'Start-Experte'!M18</f>
        <v>0</v>
      </c>
      <c r="N141" s="713"/>
      <c r="O141" s="764"/>
      <c r="P141" s="764"/>
      <c r="Q141" s="764"/>
      <c r="R141" s="764"/>
      <c r="S141" s="764"/>
      <c r="T141" s="764"/>
      <c r="U141" s="764"/>
      <c r="V141" s="764"/>
      <c r="W141" s="764"/>
      <c r="X141" s="714"/>
    </row>
    <row r="142" spans="1:24">
      <c r="A142" s="848"/>
      <c r="B142" s="712"/>
      <c r="C142" s="827" t="str">
        <f>'Start-Experte'!C19</f>
        <v xml:space="preserve">Utilisation finale privilégiée </v>
      </c>
      <c r="D142" s="959" t="str">
        <f>'Start-Experte'!E19</f>
        <v>Référence</v>
      </c>
      <c r="E142" s="1399" t="str">
        <f>'Start-Experte'!F19</f>
        <v>MFP Référence</v>
      </c>
      <c r="F142" s="1400"/>
      <c r="G142" s="759"/>
      <c r="H142" s="760"/>
      <c r="I142" s="1372" t="str">
        <f>'Start-Experte'!I19</f>
        <v>Prix ​​de gros de l'électricité (futur)</v>
      </c>
      <c r="J142" s="1373"/>
      <c r="K142" s="1374"/>
      <c r="L142" s="959" t="str">
        <f>'Start-Experte'!L19</f>
        <v>Référence</v>
      </c>
      <c r="M142" s="900" t="str">
        <f>'Start-Experte'!M19</f>
        <v>5 -&gt; 6 ct/kWh</v>
      </c>
      <c r="N142" s="713"/>
      <c r="O142" s="764"/>
      <c r="P142" s="764"/>
      <c r="Q142" s="764"/>
      <c r="R142" s="764"/>
      <c r="S142" s="764"/>
      <c r="T142" s="764"/>
      <c r="U142" s="764"/>
      <c r="V142" s="764"/>
      <c r="W142" s="764"/>
      <c r="X142" s="714"/>
    </row>
    <row r="143" spans="1:24" ht="26.4">
      <c r="A143" s="848"/>
      <c r="B143" s="712"/>
      <c r="C143" s="828" t="str">
        <f>'Start-Experte'!C20</f>
        <v xml:space="preserve">Part de la redevance pour les consommateurs finaux privilégiés </v>
      </c>
      <c r="D143" s="960" t="str">
        <f>'Start-Experte'!E20</f>
        <v>Référence</v>
      </c>
      <c r="E143" s="1410" t="str">
        <f>'Start-Experte'!F20</f>
        <v>15% (gem. EEG 2014)</v>
      </c>
      <c r="F143" s="1411"/>
      <c r="G143" s="759"/>
      <c r="H143" s="760"/>
      <c r="I143" s="1375" t="str">
        <f>'Start-Experte'!I20</f>
        <v>Reserve de liquidité</v>
      </c>
      <c r="J143" s="1376"/>
      <c r="K143" s="1377"/>
      <c r="L143" s="964" t="str">
        <f>'Start-Experte'!L20</f>
        <v>Référence</v>
      </c>
      <c r="M143" s="752" t="str">
        <f>'Start-Experte'!M20</f>
        <v>Calcul des prélèvements GRT, puis 6%</v>
      </c>
      <c r="N143" s="713"/>
      <c r="O143" s="764"/>
      <c r="P143" s="764"/>
      <c r="Q143" s="764"/>
      <c r="R143" s="764"/>
      <c r="S143" s="764"/>
      <c r="T143" s="764"/>
      <c r="U143" s="764"/>
      <c r="V143" s="764"/>
      <c r="W143" s="764"/>
      <c r="X143" s="714"/>
    </row>
    <row r="144" spans="1:24" ht="26.25" customHeight="1" thickBot="1">
      <c r="A144" s="848"/>
      <c r="B144" s="712"/>
      <c r="C144" s="829" t="str">
        <f>'Start-Experte'!C21</f>
        <v>Facteur d'enregistrement de privilèges supplémentaires</v>
      </c>
      <c r="D144" s="961" t="str">
        <f>'Start-Experte'!E21</f>
        <v>Référence</v>
      </c>
      <c r="E144" s="1401" t="str">
        <f>'Start-Experte'!F21</f>
        <v>Jusqu'en 2021: calculs de la surtaxe GRT, par la suite constante (agit comme une exonération complète de 62% de la BT privée)</v>
      </c>
      <c r="F144" s="1402"/>
      <c r="G144" s="759"/>
      <c r="H144" s="760"/>
      <c r="I144" s="1375" t="str">
        <f>'Start-Experte'!I21</f>
        <v>Solde au 30.9.2021</v>
      </c>
      <c r="J144" s="1376"/>
      <c r="K144" s="1377"/>
      <c r="L144" s="964" t="str">
        <f>'Start-Experte'!L21</f>
        <v>Endogène</v>
      </c>
      <c r="M144" s="752" t="str">
        <f>'Start-Experte'!M21</f>
        <v xml:space="preserve">Est calculé de manière endogène </v>
      </c>
      <c r="N144" s="713"/>
      <c r="O144" s="764"/>
      <c r="P144" s="764"/>
      <c r="Q144" s="764"/>
      <c r="R144" s="764"/>
      <c r="S144" s="764"/>
      <c r="T144" s="764"/>
      <c r="U144" s="764"/>
      <c r="V144" s="764"/>
      <c r="W144" s="764"/>
      <c r="X144" s="714"/>
    </row>
    <row r="145" spans="1:24" ht="26.25" customHeight="1">
      <c r="A145" s="848"/>
      <c r="B145" s="712"/>
      <c r="C145" s="759"/>
      <c r="D145" s="759"/>
      <c r="E145" s="759"/>
      <c r="F145" s="759"/>
      <c r="G145" s="759"/>
      <c r="H145" s="759"/>
      <c r="I145" s="1375" t="str">
        <f>'Start-Experte'!I22</f>
        <v>Alternativement: Écart par rapport aux prévisions de solde de compte pour le 30/9.2021</v>
      </c>
      <c r="J145" s="1376"/>
      <c r="K145" s="1377"/>
      <c r="L145" s="960" t="str">
        <f>'Start-Experte'!L22</f>
        <v>pas de déviation</v>
      </c>
      <c r="M145" s="1212" t="str">
        <f>'Start-Experte'!M22</f>
        <v>pas de déviation</v>
      </c>
      <c r="N145" s="713"/>
      <c r="O145" s="764"/>
      <c r="P145" s="764"/>
      <c r="Q145" s="764"/>
      <c r="R145" s="764"/>
      <c r="S145" s="764"/>
      <c r="T145" s="764"/>
      <c r="U145" s="764"/>
      <c r="V145" s="764"/>
      <c r="W145" s="764"/>
      <c r="X145" s="714"/>
    </row>
    <row r="146" spans="1:24" ht="22.5" customHeight="1" thickBot="1">
      <c r="A146" s="848"/>
      <c r="B146" s="712"/>
      <c r="C146" s="759"/>
      <c r="D146" s="759"/>
      <c r="E146" s="759"/>
      <c r="F146" s="759"/>
      <c r="G146" s="759"/>
      <c r="H146" s="759"/>
      <c r="I146" s="1407" t="s">
        <v>426</v>
      </c>
      <c r="J146" s="1408"/>
      <c r="K146" s="1409"/>
      <c r="L146" s="963" t="str">
        <f>'Start-Experte'!L45</f>
        <v>Référence</v>
      </c>
      <c r="M146" s="754" t="str">
        <f>'Start-Experte'!J45</f>
        <v>sélectionnable -&gt;</v>
      </c>
      <c r="N146" s="713"/>
      <c r="O146" s="764"/>
      <c r="P146" s="764"/>
      <c r="Q146" s="764"/>
      <c r="R146" s="764"/>
      <c r="S146" s="764"/>
      <c r="T146" s="764"/>
      <c r="U146" s="764"/>
      <c r="V146" s="764"/>
      <c r="W146" s="764"/>
      <c r="X146" s="714"/>
    </row>
    <row r="147" spans="1:24" ht="27.75" customHeight="1" thickBot="1">
      <c r="A147" s="848"/>
      <c r="B147" s="712"/>
      <c r="C147" s="1369" t="s">
        <v>447</v>
      </c>
      <c r="D147" s="1370"/>
      <c r="E147" s="1370"/>
      <c r="F147" s="1371"/>
      <c r="G147" s="759"/>
      <c r="H147" s="759"/>
      <c r="I147" s="949"/>
      <c r="J147" s="949"/>
      <c r="K147" s="949"/>
      <c r="L147" s="949"/>
      <c r="M147" s="949"/>
      <c r="N147" s="713"/>
      <c r="O147" s="764"/>
      <c r="P147" s="764"/>
      <c r="Q147" s="764"/>
      <c r="R147" s="764"/>
      <c r="S147" s="764"/>
      <c r="T147" s="764"/>
      <c r="U147" s="764"/>
      <c r="V147" s="764"/>
      <c r="W147" s="764"/>
      <c r="X147" s="714"/>
    </row>
    <row r="148" spans="1:24" ht="27" thickBot="1">
      <c r="A148" s="848"/>
      <c r="B148" s="712"/>
      <c r="C148" s="965" t="str">
        <f>'Start-Experte'!C25</f>
        <v>Catégories autoconsommation
et participation respective</v>
      </c>
      <c r="D148" s="1381" t="str">
        <f>'Start-Experte'!E25</f>
        <v>Scénario choisi</v>
      </c>
      <c r="E148" s="1381"/>
      <c r="F148" s="1382"/>
      <c r="G148" s="759"/>
      <c r="H148" s="759"/>
      <c r="I148" s="949"/>
      <c r="J148" s="949"/>
      <c r="K148" s="949"/>
      <c r="L148" s="949"/>
      <c r="M148" s="949"/>
      <c r="N148" s="713"/>
      <c r="O148" s="764"/>
      <c r="P148" s="764"/>
      <c r="Q148" s="764"/>
      <c r="R148" s="764"/>
      <c r="S148" s="764"/>
      <c r="T148" s="764"/>
      <c r="U148" s="764"/>
      <c r="V148" s="764"/>
      <c r="W148" s="764"/>
      <c r="X148" s="714"/>
    </row>
    <row r="149" spans="1:24" ht="39.6">
      <c r="A149" s="848"/>
      <c r="B149" s="712"/>
      <c r="C149" s="827" t="str">
        <f>'Start-Experte'!C26</f>
        <v xml:space="preserve">Auto-consommation
(Nouveaux systèmes de cogénération) </v>
      </c>
      <c r="D149" s="959" t="str">
        <f>'Start-Experte'!E26</f>
        <v>Référence</v>
      </c>
      <c r="E149" s="1399" t="str">
        <f>'Start-Experte'!F26</f>
        <v>2021: calculs de la surtaxe GRT jusqu'en 2025, par la suite constante</v>
      </c>
      <c r="F149" s="1400"/>
      <c r="G149" s="759"/>
      <c r="H149" s="760"/>
      <c r="I149" s="949"/>
      <c r="J149" s="949"/>
      <c r="K149" s="949"/>
      <c r="L149" s="949"/>
      <c r="M149" s="949"/>
      <c r="N149" s="713"/>
      <c r="O149" s="764"/>
      <c r="P149" s="764"/>
      <c r="Q149" s="764"/>
      <c r="R149" s="764"/>
      <c r="S149" s="764"/>
      <c r="T149" s="764"/>
      <c r="U149" s="764"/>
      <c r="V149" s="764"/>
      <c r="W149" s="764"/>
      <c r="X149" s="714"/>
    </row>
    <row r="150" spans="1:24" ht="26.4">
      <c r="A150" s="848"/>
      <c r="B150" s="712"/>
      <c r="C150" s="828" t="str">
        <f>'Start-Experte'!C27</f>
        <v>Part d'autoconsommation dans les nouveaux systèmes PV</v>
      </c>
      <c r="D150" s="960" t="str">
        <f>'Start-Experte'!E27</f>
        <v>Référence</v>
      </c>
      <c r="E150" s="1385" t="str">
        <f>'Start-Experte'!F27</f>
        <v>6%</v>
      </c>
      <c r="F150" s="1386"/>
      <c r="G150" s="759"/>
      <c r="H150" s="760"/>
      <c r="I150" s="949"/>
      <c r="J150" s="949"/>
      <c r="K150" s="949"/>
      <c r="L150" s="949"/>
      <c r="M150" s="949"/>
      <c r="N150" s="713"/>
      <c r="O150" s="764"/>
      <c r="P150" s="764"/>
      <c r="Q150" s="764"/>
      <c r="R150" s="764"/>
      <c r="S150" s="764"/>
      <c r="T150" s="764"/>
      <c r="U150" s="764"/>
      <c r="V150" s="764"/>
      <c r="W150" s="764"/>
      <c r="X150" s="714"/>
    </row>
    <row r="151" spans="1:24" ht="26.4">
      <c r="A151" s="848"/>
      <c r="B151" s="712"/>
      <c r="C151" s="828" t="str">
        <f>'Start-Experte'!C28</f>
        <v>Part de la taxe pour la nouvelle autoconsommation (PV et CHP)</v>
      </c>
      <c r="D151" s="960" t="str">
        <f>'Start-Experte'!E28</f>
        <v>Référence</v>
      </c>
      <c r="E151" s="1385" t="str">
        <f>'Start-Experte'!F28</f>
        <v>selon EEG 2017, à partir de 2020 constant 38%</v>
      </c>
      <c r="F151" s="1386"/>
      <c r="G151" s="759"/>
      <c r="H151" s="760"/>
      <c r="I151" s="949"/>
      <c r="J151" s="949"/>
      <c r="K151" s="949"/>
      <c r="L151" s="949"/>
      <c r="M151" s="949"/>
      <c r="N151" s="713"/>
      <c r="O151" s="764"/>
      <c r="P151" s="764"/>
      <c r="Q151" s="764"/>
      <c r="R151" s="764"/>
      <c r="S151" s="764"/>
      <c r="T151" s="764"/>
      <c r="U151" s="764"/>
      <c r="V151" s="764"/>
      <c r="W151" s="764"/>
      <c r="X151" s="714"/>
    </row>
    <row r="152" spans="1:24" ht="40.200000000000003" thickBot="1">
      <c r="A152" s="848"/>
      <c r="B152" s="712"/>
      <c r="C152" s="829" t="str">
        <f>'Start-Experte'!C29</f>
        <v xml:space="preserve">Part de la redevance pour l'autoconsommation
(Systèmes existants) </v>
      </c>
      <c r="D152" s="963" t="str">
        <f>'Start-Experte'!E29</f>
        <v>Référence</v>
      </c>
      <c r="E152" s="1397" t="str">
        <f>'Start-Experte'!F29</f>
        <v>complètement exempté (selon EEG 2014)</v>
      </c>
      <c r="F152" s="1398"/>
      <c r="G152" s="759"/>
      <c r="H152" s="760"/>
      <c r="I152" s="949"/>
      <c r="J152" s="949"/>
      <c r="K152" s="949"/>
      <c r="L152" s="949"/>
      <c r="M152" s="949"/>
      <c r="N152" s="713"/>
      <c r="O152" s="764"/>
      <c r="P152" s="764"/>
      <c r="Q152" s="764"/>
      <c r="R152" s="764"/>
      <c r="S152" s="764"/>
      <c r="T152" s="764"/>
      <c r="U152" s="764"/>
      <c r="V152" s="764"/>
      <c r="W152" s="764"/>
      <c r="X152" s="714"/>
    </row>
    <row r="153" spans="1:24" s="136" customFormat="1">
      <c r="A153" s="848"/>
      <c r="B153" s="966"/>
      <c r="C153" s="967"/>
      <c r="D153" s="967"/>
      <c r="E153" s="967"/>
      <c r="F153" s="967"/>
      <c r="G153" s="967"/>
      <c r="H153" s="765"/>
      <c r="I153" s="968"/>
      <c r="J153" s="968"/>
      <c r="K153" s="968"/>
      <c r="L153" s="968"/>
      <c r="M153" s="968"/>
      <c r="N153" s="969"/>
      <c r="O153" s="968"/>
      <c r="P153" s="968"/>
      <c r="Q153" s="968"/>
      <c r="R153" s="968"/>
      <c r="S153" s="968"/>
      <c r="T153" s="968"/>
      <c r="U153" s="968"/>
      <c r="V153" s="968"/>
      <c r="W153" s="968"/>
      <c r="X153" s="970"/>
    </row>
    <row r="154" spans="1:24" s="136" customFormat="1">
      <c r="A154" s="848"/>
      <c r="B154" s="848"/>
      <c r="C154" s="848"/>
      <c r="D154" s="848"/>
      <c r="E154" s="848"/>
      <c r="F154" s="848"/>
      <c r="G154" s="848"/>
      <c r="H154" s="848"/>
      <c r="I154" s="848"/>
      <c r="J154" s="848"/>
      <c r="K154" s="848"/>
      <c r="L154" s="848"/>
      <c r="M154" s="848"/>
      <c r="N154" s="848"/>
      <c r="O154" s="848"/>
      <c r="P154" s="848"/>
      <c r="Q154" s="848"/>
      <c r="R154" s="848"/>
      <c r="S154" s="848"/>
      <c r="T154" s="848"/>
      <c r="U154" s="848"/>
      <c r="V154" s="848"/>
      <c r="W154" s="848"/>
      <c r="X154" s="848"/>
    </row>
    <row r="155" spans="1:24" s="136" customFormat="1">
      <c r="A155" s="848"/>
      <c r="B155" s="706" t="s">
        <v>448</v>
      </c>
      <c r="C155" s="707"/>
      <c r="D155" s="707"/>
      <c r="E155" s="707"/>
      <c r="F155" s="707"/>
      <c r="G155" s="707"/>
      <c r="H155" s="707"/>
      <c r="I155" s="707"/>
      <c r="J155" s="707"/>
      <c r="K155" s="707"/>
      <c r="L155" s="707"/>
      <c r="M155" s="707"/>
      <c r="N155" s="707"/>
      <c r="O155" s="707"/>
      <c r="P155" s="707"/>
      <c r="Q155" s="707"/>
      <c r="R155" s="707"/>
      <c r="S155" s="707"/>
      <c r="T155" s="707"/>
      <c r="U155" s="707"/>
      <c r="V155" s="707"/>
      <c r="W155" s="707"/>
      <c r="X155" s="708"/>
    </row>
    <row r="156" spans="1:24" s="136" customFormat="1" ht="13.8" thickBot="1">
      <c r="A156" s="848"/>
      <c r="B156" s="948"/>
      <c r="C156" s="761"/>
      <c r="D156" s="761"/>
      <c r="E156" s="761"/>
      <c r="F156" s="761"/>
      <c r="G156" s="761"/>
      <c r="H156" s="759"/>
      <c r="I156" s="761"/>
      <c r="J156" s="761"/>
      <c r="K156" s="761"/>
      <c r="L156" s="759"/>
      <c r="M156" s="761"/>
      <c r="N156" s="950"/>
      <c r="O156" s="949"/>
      <c r="P156" s="949"/>
      <c r="Q156" s="949"/>
      <c r="R156" s="949"/>
      <c r="S156" s="949"/>
      <c r="T156" s="949"/>
      <c r="U156" s="949"/>
      <c r="V156" s="949"/>
      <c r="W156" s="949"/>
      <c r="X156" s="951"/>
    </row>
    <row r="157" spans="1:24" s="136" customFormat="1" ht="29.25" customHeight="1" thickBot="1">
      <c r="A157" s="848"/>
      <c r="B157" s="948"/>
      <c r="C157" s="1369" t="s">
        <v>390</v>
      </c>
      <c r="D157" s="1370"/>
      <c r="E157" s="1370"/>
      <c r="F157" s="1371"/>
      <c r="G157" s="761"/>
      <c r="H157" s="759"/>
      <c r="I157" s="1369" t="s">
        <v>452</v>
      </c>
      <c r="J157" s="1370"/>
      <c r="K157" s="1370"/>
      <c r="L157" s="1370"/>
      <c r="M157" s="1371"/>
      <c r="N157" s="950"/>
      <c r="O157" s="949"/>
      <c r="P157" s="949"/>
      <c r="Q157" s="949"/>
      <c r="R157" s="949"/>
      <c r="S157" s="949"/>
      <c r="T157" s="949"/>
      <c r="U157" s="949"/>
      <c r="V157" s="949"/>
      <c r="W157" s="949"/>
      <c r="X157" s="951"/>
    </row>
    <row r="158" spans="1:24" s="136" customFormat="1" ht="13.8" thickBot="1">
      <c r="A158" s="848"/>
      <c r="B158" s="948"/>
      <c r="C158" s="830" t="str">
        <f>'Start-Experte'!C33</f>
        <v>Technologie</v>
      </c>
      <c r="D158" s="1381" t="str">
        <f>'Start-Experte'!E33</f>
        <v>Scénario choisi</v>
      </c>
      <c r="E158" s="1381"/>
      <c r="F158" s="1382"/>
      <c r="G158" s="759"/>
      <c r="H158" s="759"/>
      <c r="I158" s="1404" t="s">
        <v>443</v>
      </c>
      <c r="J158" s="1405"/>
      <c r="K158" s="1406"/>
      <c r="L158" s="1412" t="str">
        <f>'Start-Experte'!L25</f>
        <v>Scénario choisi</v>
      </c>
      <c r="M158" s="1413"/>
      <c r="N158" s="950"/>
      <c r="O158" s="949"/>
      <c r="P158" s="949"/>
      <c r="Q158" s="949"/>
      <c r="R158" s="949"/>
      <c r="S158" s="949"/>
      <c r="T158" s="949"/>
      <c r="U158" s="949"/>
      <c r="V158" s="949"/>
      <c r="W158" s="949"/>
      <c r="X158" s="951"/>
    </row>
    <row r="159" spans="1:24" s="136" customFormat="1" ht="26.4">
      <c r="A159" s="848"/>
      <c r="B159" s="948"/>
      <c r="C159" s="843" t="str">
        <f>'Start-Experte'!C34</f>
        <v>Eolien Onshore</v>
      </c>
      <c r="D159" s="899" t="str">
        <f>'Start-Experte'!E34</f>
        <v>Référence</v>
      </c>
      <c r="E159" s="1399" t="str">
        <f>'Start-Experte'!F34</f>
        <v>Augmentation à 2600h en 2035</v>
      </c>
      <c r="F159" s="1400"/>
      <c r="G159" s="759"/>
      <c r="H159" s="759"/>
      <c r="I159" s="1391" t="str">
        <f>'Start-Experte'!I26</f>
        <v>Consommation nette d'électricité</v>
      </c>
      <c r="J159" s="1392"/>
      <c r="K159" s="1393"/>
      <c r="L159" s="959" t="str">
        <f>'Start-Experte'!L26</f>
        <v>Référence</v>
      </c>
      <c r="M159" s="900" t="str">
        <f>'Start-Experte'!M26</f>
        <v>2021: calcul GRT 2020. Par la suite constante</v>
      </c>
      <c r="N159" s="950"/>
      <c r="O159" s="949"/>
      <c r="P159" s="949"/>
      <c r="Q159" s="949"/>
      <c r="R159" s="949"/>
      <c r="S159" s="949"/>
      <c r="T159" s="949"/>
      <c r="U159" s="949"/>
      <c r="V159" s="949"/>
      <c r="W159" s="949"/>
      <c r="X159" s="951"/>
    </row>
    <row r="160" spans="1:24" s="136" customFormat="1">
      <c r="A160" s="848"/>
      <c r="B160" s="948"/>
      <c r="C160" s="844" t="str">
        <f>'Start-Experte'!C35</f>
        <v>Eolien Offshore</v>
      </c>
      <c r="D160" s="897" t="str">
        <f>'Start-Experte'!E35</f>
        <v>Référence</v>
      </c>
      <c r="E160" s="1385" t="str">
        <f>'Start-Experte'!F35</f>
        <v>Augmentation à 4700 h en 2035</v>
      </c>
      <c r="F160" s="1386"/>
      <c r="G160" s="759"/>
      <c r="H160" s="759"/>
      <c r="I160" s="1394" t="str">
        <f>'Start-Experte'!I27</f>
        <v>Facteur de mise à l'échelle du spot
(Ratio du prix au comptant au prix futur)</v>
      </c>
      <c r="J160" s="1395"/>
      <c r="K160" s="1396"/>
      <c r="L160" s="962" t="str">
        <f>'Start-Experte'!L27</f>
        <v>Référence</v>
      </c>
      <c r="M160" s="898" t="str">
        <f>'Start-Experte'!M27</f>
        <v>90%</v>
      </c>
      <c r="N160" s="950"/>
      <c r="O160" s="949"/>
      <c r="P160" s="949"/>
      <c r="Q160" s="949"/>
      <c r="R160" s="949"/>
      <c r="S160" s="949"/>
      <c r="T160" s="949"/>
      <c r="U160" s="949"/>
      <c r="V160" s="949"/>
      <c r="W160" s="949"/>
      <c r="X160" s="951"/>
    </row>
    <row r="161" spans="1:24" s="136" customFormat="1">
      <c r="A161" s="848"/>
      <c r="B161" s="948"/>
      <c r="C161" s="844" t="str">
        <f>'Start-Experte'!C36</f>
        <v>PV</v>
      </c>
      <c r="D161" s="897" t="str">
        <f>'Start-Experte'!E36</f>
        <v>Référence</v>
      </c>
      <c r="E161" s="1385" t="str">
        <f>'Start-Experte'!F36</f>
        <v>Augmentation à 950h en 2035</v>
      </c>
      <c r="F161" s="1386"/>
      <c r="G161" s="759"/>
      <c r="H161" s="759"/>
      <c r="I161" s="1394" t="str">
        <f>'Start-Experte'!I28</f>
        <v>Frais de réseau évités (pour une production non fluctuante)</v>
      </c>
      <c r="J161" s="1395"/>
      <c r="K161" s="1396"/>
      <c r="L161" s="960" t="str">
        <f>'Start-Experte'!L28</f>
        <v>Référence</v>
      </c>
      <c r="M161" s="898" t="str">
        <f>'Start-Experte'!M28</f>
        <v>7.17€/MWh</v>
      </c>
      <c r="N161" s="950"/>
      <c r="O161" s="949"/>
      <c r="P161" s="949"/>
      <c r="Q161" s="949"/>
      <c r="R161" s="949"/>
      <c r="S161" s="949"/>
      <c r="T161" s="949"/>
      <c r="U161" s="949"/>
      <c r="V161" s="949"/>
      <c r="W161" s="949"/>
      <c r="X161" s="951"/>
    </row>
    <row r="162" spans="1:24" s="136" customFormat="1">
      <c r="A162" s="848"/>
      <c r="B162" s="948"/>
      <c r="C162" s="844" t="str">
        <f>'Start-Experte'!C37</f>
        <v>Biomasse</v>
      </c>
      <c r="D162" s="897" t="str">
        <f>'Start-Experte'!E37</f>
        <v>Référence</v>
      </c>
      <c r="E162" s="1385" t="str">
        <f>'Start-Experte'!F37</f>
        <v>Tendance MFP</v>
      </c>
      <c r="F162" s="1386"/>
      <c r="G162" s="759"/>
      <c r="H162" s="759"/>
      <c r="I162" s="1394" t="str">
        <f>'Start-Experte'!I29</f>
        <v>Autres coûts</v>
      </c>
      <c r="J162" s="1395"/>
      <c r="K162" s="1396"/>
      <c r="L162" s="960" t="str">
        <f>'Start-Experte'!L29</f>
        <v>Référence</v>
      </c>
      <c r="M162" s="898" t="str">
        <f>'Start-Experte'!M29</f>
        <v>0,06Mrd. €</v>
      </c>
      <c r="N162" s="950"/>
      <c r="O162" s="949"/>
      <c r="P162" s="949"/>
      <c r="Q162" s="949"/>
      <c r="R162" s="949"/>
      <c r="S162" s="949"/>
      <c r="T162" s="949"/>
      <c r="U162" s="949"/>
      <c r="V162" s="949"/>
      <c r="W162" s="949"/>
      <c r="X162" s="951"/>
    </row>
    <row r="163" spans="1:24" s="136" customFormat="1" ht="13.8" thickBot="1">
      <c r="A163" s="848"/>
      <c r="B163" s="948"/>
      <c r="C163" s="844" t="str">
        <f>'Start-Experte'!C38</f>
        <v>Geothermie</v>
      </c>
      <c r="D163" s="897" t="str">
        <f>'Start-Experte'!E38</f>
        <v>Référence</v>
      </c>
      <c r="E163" s="1385" t="str">
        <f>'Start-Experte'!F38</f>
        <v>Tendance MFP</v>
      </c>
      <c r="F163" s="1386"/>
      <c r="G163" s="759"/>
      <c r="H163" s="759"/>
      <c r="I163" s="1414" t="str">
        <f>'Start-Experte'!I30</f>
        <v>Inflation</v>
      </c>
      <c r="J163" s="1415"/>
      <c r="K163" s="1416"/>
      <c r="L163" s="963" t="str">
        <f>'Start-Experte'!L30</f>
        <v>Référence</v>
      </c>
      <c r="M163" s="902" t="str">
        <f>'Start-Experte'!M30</f>
        <v>1,5% par année</v>
      </c>
      <c r="N163" s="950"/>
      <c r="O163" s="949"/>
      <c r="P163" s="949"/>
      <c r="Q163" s="949"/>
      <c r="R163" s="949"/>
      <c r="S163" s="949"/>
      <c r="T163" s="949"/>
      <c r="U163" s="949"/>
      <c r="V163" s="949"/>
      <c r="W163" s="949"/>
      <c r="X163" s="951"/>
    </row>
    <row r="164" spans="1:24" s="136" customFormat="1">
      <c r="A164" s="848"/>
      <c r="B164" s="948"/>
      <c r="C164" s="844" t="str">
        <f>'Start-Experte'!C39</f>
        <v>Hydro</v>
      </c>
      <c r="D164" s="897" t="str">
        <f>'Start-Experte'!E39</f>
        <v>Référence</v>
      </c>
      <c r="E164" s="1385" t="str">
        <f>'Start-Experte'!F39</f>
        <v>Tendance MFP</v>
      </c>
      <c r="F164" s="1386"/>
      <c r="G164" s="759"/>
      <c r="H164" s="759"/>
      <c r="I164" s="949"/>
      <c r="J164" s="949"/>
      <c r="K164" s="949"/>
      <c r="L164" s="949"/>
      <c r="M164" s="949"/>
      <c r="N164" s="950"/>
      <c r="O164" s="949"/>
      <c r="P164" s="949"/>
      <c r="Q164" s="949"/>
      <c r="R164" s="949"/>
      <c r="S164" s="949"/>
      <c r="T164" s="949"/>
      <c r="U164" s="949"/>
      <c r="V164" s="949"/>
      <c r="W164" s="949"/>
      <c r="X164" s="951"/>
    </row>
    <row r="165" spans="1:24" s="136" customFormat="1" ht="13.8" thickBot="1">
      <c r="A165" s="848"/>
      <c r="B165" s="948"/>
      <c r="C165" s="845" t="str">
        <f>'Start-Experte'!C40</f>
        <v>Gaz</v>
      </c>
      <c r="D165" s="901" t="str">
        <f>'Start-Experte'!E40</f>
        <v>Référence</v>
      </c>
      <c r="E165" s="1397" t="str">
        <f>'Start-Experte'!F40</f>
        <v>Tendance MFP</v>
      </c>
      <c r="F165" s="1398"/>
      <c r="G165" s="759"/>
      <c r="H165" s="759"/>
      <c r="I165" s="949"/>
      <c r="J165" s="949"/>
      <c r="K165" s="949"/>
      <c r="L165" s="949"/>
      <c r="M165" s="949"/>
      <c r="N165" s="950"/>
      <c r="O165" s="949"/>
      <c r="P165" s="949"/>
      <c r="Q165" s="949"/>
      <c r="R165" s="949"/>
      <c r="S165" s="949"/>
      <c r="T165" s="949"/>
      <c r="U165" s="949"/>
      <c r="V165" s="949"/>
      <c r="W165" s="949"/>
      <c r="X165" s="951"/>
    </row>
    <row r="166" spans="1:24" s="136" customFormat="1">
      <c r="A166" s="848"/>
      <c r="B166" s="948"/>
      <c r="C166" s="766"/>
      <c r="D166" s="766"/>
      <c r="E166" s="759"/>
      <c r="F166" s="762"/>
      <c r="G166" s="759"/>
      <c r="H166" s="759"/>
      <c r="I166" s="759"/>
      <c r="J166" s="762"/>
      <c r="K166" s="766"/>
      <c r="L166" s="759"/>
      <c r="M166" s="762"/>
      <c r="N166" s="950"/>
      <c r="O166" s="949"/>
      <c r="P166" s="949"/>
      <c r="Q166" s="949"/>
      <c r="R166" s="949"/>
      <c r="S166" s="949"/>
      <c r="T166" s="949"/>
      <c r="U166" s="949"/>
      <c r="V166" s="949"/>
      <c r="W166" s="949"/>
      <c r="X166" s="951"/>
    </row>
    <row r="167" spans="1:24" s="136" customFormat="1" ht="13.8" thickBot="1">
      <c r="A167" s="848"/>
      <c r="B167" s="948"/>
      <c r="C167" s="759"/>
      <c r="D167" s="759"/>
      <c r="E167" s="759"/>
      <c r="F167" s="759"/>
      <c r="G167" s="759"/>
      <c r="H167" s="759"/>
      <c r="I167" s="759"/>
      <c r="J167" s="759"/>
      <c r="K167" s="759"/>
      <c r="L167" s="759"/>
      <c r="M167" s="759"/>
      <c r="N167" s="950"/>
      <c r="O167" s="949"/>
      <c r="P167" s="949"/>
      <c r="Q167" s="949"/>
      <c r="R167" s="949"/>
      <c r="S167" s="949"/>
      <c r="T167" s="949"/>
      <c r="U167" s="949"/>
      <c r="V167" s="949"/>
      <c r="W167" s="949"/>
      <c r="X167" s="951"/>
    </row>
    <row r="168" spans="1:24" s="136" customFormat="1" ht="33.75" customHeight="1" thickBot="1">
      <c r="A168" s="848"/>
      <c r="B168" s="948"/>
      <c r="C168" s="1369" t="s">
        <v>406</v>
      </c>
      <c r="D168" s="1370"/>
      <c r="E168" s="1370"/>
      <c r="F168" s="1371"/>
      <c r="G168" s="759"/>
      <c r="H168" s="1265" t="s">
        <v>391</v>
      </c>
      <c r="I168" s="1266"/>
      <c r="J168" s="761"/>
      <c r="K168" s="1265" t="s">
        <v>453</v>
      </c>
      <c r="L168" s="1266"/>
      <c r="M168" s="949"/>
      <c r="N168" s="950"/>
      <c r="O168" s="949"/>
      <c r="P168" s="949"/>
      <c r="Q168" s="949"/>
      <c r="R168" s="949"/>
      <c r="S168" s="949"/>
      <c r="T168" s="949"/>
      <c r="U168" s="949"/>
      <c r="V168" s="949"/>
      <c r="W168" s="949"/>
      <c r="X168" s="951"/>
    </row>
    <row r="169" spans="1:24" s="136" customFormat="1" ht="13.8" thickBot="1">
      <c r="A169" s="848"/>
      <c r="B169" s="948"/>
      <c r="C169" s="965" t="str">
        <f>'Start-Experte'!C44</f>
        <v>Technologie</v>
      </c>
      <c r="D169" s="1381" t="str">
        <f>'Start-Experte'!E44</f>
        <v>Scénario choisi</v>
      </c>
      <c r="E169" s="1381"/>
      <c r="F169" s="1382"/>
      <c r="G169" s="759"/>
      <c r="H169" s="1403" t="str">
        <f>'Start-Experte'!I33</f>
        <v>Scénario choisi</v>
      </c>
      <c r="I169" s="1382"/>
      <c r="J169" s="767"/>
      <c r="K169" s="1403" t="str">
        <f>'Start-Experte'!L33</f>
        <v>Scénario choisi</v>
      </c>
      <c r="L169" s="1382"/>
      <c r="M169" s="949"/>
      <c r="N169" s="950"/>
      <c r="O169" s="949"/>
      <c r="P169" s="949"/>
      <c r="Q169" s="949"/>
      <c r="R169" s="949"/>
      <c r="S169" s="949"/>
      <c r="T169" s="949"/>
      <c r="U169" s="949"/>
      <c r="V169" s="949"/>
      <c r="W169" s="949"/>
      <c r="X169" s="951"/>
    </row>
    <row r="170" spans="1:24" s="136" customFormat="1" ht="26.4">
      <c r="A170" s="848"/>
      <c r="B170" s="948"/>
      <c r="C170" s="827" t="str">
        <f>'Start-Experte'!C45</f>
        <v>Eolien Onshore</v>
      </c>
      <c r="D170" s="959" t="str">
        <f>'Start-Experte'!E45</f>
        <v>Référence</v>
      </c>
      <c r="E170" s="1399" t="str">
        <f>'Start-Experte'!F45</f>
        <v>5 Années</v>
      </c>
      <c r="F170" s="1400"/>
      <c r="G170" s="759"/>
      <c r="H170" s="952" t="str">
        <f>'Start-Experte'!I34</f>
        <v>Référence</v>
      </c>
      <c r="I170" s="756" t="str">
        <f>'Start-Experte'!J34</f>
        <v>100%</v>
      </c>
      <c r="J170" s="767"/>
      <c r="K170" s="953" t="str">
        <f>'Start-Experte'!L34</f>
        <v>Référence</v>
      </c>
      <c r="L170" s="900" t="str">
        <f>'Start-Experte'!M34</f>
        <v>propre calcul</v>
      </c>
      <c r="M170" s="949"/>
      <c r="N170" s="950"/>
      <c r="O170" s="949"/>
      <c r="P170" s="949"/>
      <c r="Q170" s="949"/>
      <c r="R170" s="949"/>
      <c r="S170" s="949"/>
      <c r="T170" s="949"/>
      <c r="U170" s="949"/>
      <c r="V170" s="949"/>
      <c r="W170" s="949"/>
      <c r="X170" s="951"/>
    </row>
    <row r="171" spans="1:24" s="136" customFormat="1" ht="26.4">
      <c r="A171" s="848"/>
      <c r="B171" s="948"/>
      <c r="C171" s="828" t="str">
        <f>'Start-Experte'!C46</f>
        <v>Eolien Offshore</v>
      </c>
      <c r="D171" s="960" t="str">
        <f>'Start-Experte'!E46</f>
        <v>Référence</v>
      </c>
      <c r="E171" s="1385" t="str">
        <f>'Start-Experte'!F46</f>
        <v>Rien</v>
      </c>
      <c r="F171" s="1386"/>
      <c r="G171" s="759"/>
      <c r="H171" s="954" t="str">
        <f>'Start-Experte'!I35</f>
        <v>Référence</v>
      </c>
      <c r="I171" s="757" t="str">
        <f>'Start-Experte'!J35</f>
        <v>100%</v>
      </c>
      <c r="J171" s="767"/>
      <c r="K171" s="955" t="str">
        <f>'Start-Experte'!L35</f>
        <v>Référence</v>
      </c>
      <c r="L171" s="898" t="str">
        <f>'Start-Experte'!M35</f>
        <v>propre calcul</v>
      </c>
      <c r="M171" s="949"/>
      <c r="N171" s="950"/>
      <c r="O171" s="949"/>
      <c r="P171" s="949"/>
      <c r="Q171" s="949"/>
      <c r="R171" s="949"/>
      <c r="S171" s="949"/>
      <c r="T171" s="949"/>
      <c r="U171" s="949"/>
      <c r="V171" s="949"/>
      <c r="W171" s="949"/>
      <c r="X171" s="951"/>
    </row>
    <row r="172" spans="1:24" s="136" customFormat="1" ht="26.4">
      <c r="A172" s="848"/>
      <c r="B172" s="948"/>
      <c r="C172" s="828" t="str">
        <f>'Start-Experte'!C47</f>
        <v>PV</v>
      </c>
      <c r="D172" s="960" t="str">
        <f>'Start-Experte'!E47</f>
        <v>Référence</v>
      </c>
      <c r="E172" s="1385" t="str">
        <f>'Start-Experte'!F47</f>
        <v>5 Années</v>
      </c>
      <c r="F172" s="1386"/>
      <c r="G172" s="759"/>
      <c r="H172" s="954" t="str">
        <f>'Start-Experte'!I36</f>
        <v>Référence</v>
      </c>
      <c r="I172" s="757" t="str">
        <f>'Start-Experte'!J36</f>
        <v>100%</v>
      </c>
      <c r="J172" s="766"/>
      <c r="K172" s="955" t="str">
        <f>'Start-Experte'!L36</f>
        <v>Référence</v>
      </c>
      <c r="L172" s="898" t="str">
        <f>'Start-Experte'!M36</f>
        <v>propre calcul</v>
      </c>
      <c r="M172" s="949"/>
      <c r="N172" s="950"/>
      <c r="O172" s="949"/>
      <c r="P172" s="949"/>
      <c r="Q172" s="949"/>
      <c r="R172" s="949"/>
      <c r="S172" s="949"/>
      <c r="T172" s="949"/>
      <c r="U172" s="949"/>
      <c r="V172" s="949"/>
      <c r="W172" s="949"/>
      <c r="X172" s="951"/>
    </row>
    <row r="173" spans="1:24" s="136" customFormat="1">
      <c r="A173" s="848"/>
      <c r="B173" s="948"/>
      <c r="C173" s="828" t="str">
        <f>'Start-Experte'!C48</f>
        <v>Biomasse</v>
      </c>
      <c r="D173" s="960" t="str">
        <f>'Start-Experte'!E48</f>
        <v>Référence</v>
      </c>
      <c r="E173" s="1385" t="str">
        <f>'Start-Experte'!F48</f>
        <v>Rien</v>
      </c>
      <c r="F173" s="1386"/>
      <c r="G173" s="759"/>
      <c r="H173" s="954" t="str">
        <f>'Start-Experte'!I37</f>
        <v>Référence</v>
      </c>
      <c r="I173" s="757" t="str">
        <f>'Start-Experte'!J37</f>
        <v>100%</v>
      </c>
      <c r="J173" s="767"/>
      <c r="K173" s="955" t="str">
        <f>'Start-Experte'!L37</f>
        <v>Référence</v>
      </c>
      <c r="L173" s="898" t="str">
        <f>'Start-Experte'!M37</f>
        <v>100%</v>
      </c>
      <c r="M173" s="949"/>
      <c r="N173" s="950"/>
      <c r="O173" s="949"/>
      <c r="P173" s="949"/>
      <c r="Q173" s="949"/>
      <c r="R173" s="949"/>
      <c r="S173" s="949"/>
      <c r="T173" s="949"/>
      <c r="U173" s="949"/>
      <c r="V173" s="949"/>
      <c r="W173" s="949"/>
      <c r="X173" s="951"/>
    </row>
    <row r="174" spans="1:24" s="136" customFormat="1">
      <c r="A174" s="848"/>
      <c r="B174" s="948"/>
      <c r="C174" s="828" t="str">
        <f>'Start-Experte'!C49</f>
        <v>Geothermie</v>
      </c>
      <c r="D174" s="960" t="str">
        <f>'Start-Experte'!E49</f>
        <v>Référence</v>
      </c>
      <c r="E174" s="1385" t="str">
        <f>'Start-Experte'!F49</f>
        <v>Rien</v>
      </c>
      <c r="F174" s="1386"/>
      <c r="G174" s="759"/>
      <c r="H174" s="954" t="str">
        <f>'Start-Experte'!I38</f>
        <v>Référence</v>
      </c>
      <c r="I174" s="757" t="str">
        <f>'Start-Experte'!J38</f>
        <v>100%</v>
      </c>
      <c r="J174" s="767"/>
      <c r="K174" s="955" t="str">
        <f>'Start-Experte'!L38</f>
        <v>Référence</v>
      </c>
      <c r="L174" s="898" t="str">
        <f>'Start-Experte'!M38</f>
        <v>100%</v>
      </c>
      <c r="M174" s="949"/>
      <c r="N174" s="950"/>
      <c r="O174" s="949"/>
      <c r="P174" s="949"/>
      <c r="Q174" s="949"/>
      <c r="R174" s="949"/>
      <c r="S174" s="949"/>
      <c r="T174" s="949"/>
      <c r="U174" s="949"/>
      <c r="V174" s="949"/>
      <c r="W174" s="949"/>
      <c r="X174" s="951"/>
    </row>
    <row r="175" spans="1:24" s="136" customFormat="1">
      <c r="A175" s="848"/>
      <c r="B175" s="948"/>
      <c r="C175" s="828" t="str">
        <f>'Start-Experte'!C50</f>
        <v>Hydro</v>
      </c>
      <c r="D175" s="960" t="str">
        <f>'Start-Experte'!E50</f>
        <v>Référence</v>
      </c>
      <c r="E175" s="1385" t="str">
        <f>'Start-Experte'!F50</f>
        <v>Rien</v>
      </c>
      <c r="F175" s="1386"/>
      <c r="G175" s="759"/>
      <c r="H175" s="954" t="str">
        <f>'Start-Experte'!I39</f>
        <v>Référence</v>
      </c>
      <c r="I175" s="757" t="str">
        <f>'Start-Experte'!J39</f>
        <v>100%</v>
      </c>
      <c r="J175" s="767"/>
      <c r="K175" s="955" t="str">
        <f>'Start-Experte'!L39</f>
        <v>Référence</v>
      </c>
      <c r="L175" s="898" t="str">
        <f>'Start-Experte'!M39</f>
        <v>100%</v>
      </c>
      <c r="M175" s="949"/>
      <c r="N175" s="950"/>
      <c r="O175" s="949"/>
      <c r="P175" s="949"/>
      <c r="Q175" s="949"/>
      <c r="R175" s="949"/>
      <c r="S175" s="949"/>
      <c r="T175" s="949"/>
      <c r="U175" s="949"/>
      <c r="V175" s="949"/>
      <c r="W175" s="949"/>
      <c r="X175" s="951"/>
    </row>
    <row r="176" spans="1:24" s="136" customFormat="1" ht="13.8" thickBot="1">
      <c r="A176" s="848"/>
      <c r="B176" s="948"/>
      <c r="C176" s="829" t="str">
        <f>'Start-Experte'!C51</f>
        <v>Gaz</v>
      </c>
      <c r="D176" s="963" t="str">
        <f>'Start-Experte'!E51</f>
        <v>Référence</v>
      </c>
      <c r="E176" s="1397" t="str">
        <f>'Start-Experte'!F51</f>
        <v>Rien</v>
      </c>
      <c r="F176" s="1398"/>
      <c r="G176" s="759"/>
      <c r="H176" s="956" t="str">
        <f>'Start-Experte'!I40</f>
        <v>Référence</v>
      </c>
      <c r="I176" s="758" t="str">
        <f>'Start-Experte'!J40</f>
        <v>100%</v>
      </c>
      <c r="J176" s="767"/>
      <c r="K176" s="957" t="str">
        <f>'Start-Experte'!L40</f>
        <v>Référence</v>
      </c>
      <c r="L176" s="902" t="str">
        <f>'Start-Experte'!M40</f>
        <v>100%</v>
      </c>
      <c r="M176" s="949"/>
      <c r="N176" s="950"/>
      <c r="O176" s="949"/>
      <c r="P176" s="949"/>
      <c r="Q176" s="949"/>
      <c r="R176" s="949"/>
      <c r="S176" s="949"/>
      <c r="T176" s="949"/>
      <c r="U176" s="949"/>
      <c r="V176" s="949"/>
      <c r="W176" s="949"/>
      <c r="X176" s="951"/>
    </row>
    <row r="177" spans="1:24">
      <c r="A177" s="848"/>
      <c r="B177" s="716"/>
      <c r="C177" s="765"/>
      <c r="D177" s="765"/>
      <c r="E177" s="765"/>
      <c r="F177" s="768"/>
      <c r="G177" s="765"/>
      <c r="H177" s="765"/>
      <c r="I177" s="765"/>
      <c r="J177" s="765"/>
      <c r="K177" s="765"/>
      <c r="L177" s="765"/>
      <c r="M177" s="765"/>
      <c r="N177" s="765"/>
      <c r="O177" s="765"/>
      <c r="P177" s="765"/>
      <c r="Q177" s="765"/>
      <c r="R177" s="765"/>
      <c r="S177" s="765"/>
      <c r="T177" s="765"/>
      <c r="U177" s="765"/>
      <c r="V177" s="765"/>
      <c r="W177" s="765"/>
      <c r="X177" s="718"/>
    </row>
    <row r="178" spans="1:24">
      <c r="A178" s="848"/>
      <c r="B178" s="848"/>
      <c r="C178" s="848"/>
      <c r="D178" s="848"/>
      <c r="E178" s="848"/>
      <c r="F178" s="848"/>
      <c r="G178" s="848"/>
      <c r="H178" s="848"/>
      <c r="I178" s="848"/>
      <c r="J178" s="848"/>
      <c r="K178" s="848"/>
      <c r="L178" s="848"/>
      <c r="M178" s="848"/>
      <c r="N178" s="848"/>
      <c r="O178" s="848"/>
      <c r="P178" s="848"/>
      <c r="Q178" s="848"/>
      <c r="R178" s="848"/>
      <c r="S178" s="848"/>
      <c r="T178" s="848"/>
      <c r="U178" s="848"/>
      <c r="V178" s="848"/>
      <c r="W178" s="848"/>
      <c r="X178" s="848"/>
    </row>
    <row r="179" spans="1:24">
      <c r="A179" s="849"/>
      <c r="X179" s="849"/>
    </row>
    <row r="180" spans="1:24">
      <c r="A180" s="849"/>
      <c r="X180" s="849"/>
    </row>
    <row r="181" spans="1:24">
      <c r="A181" s="849"/>
      <c r="X181" s="849"/>
    </row>
    <row r="182" spans="1:24">
      <c r="A182" s="849"/>
      <c r="X182" s="849"/>
    </row>
    <row r="183" spans="1:24">
      <c r="A183" s="849"/>
      <c r="X183" s="849"/>
    </row>
    <row r="184" spans="1:24">
      <c r="A184" s="849"/>
      <c r="X184" s="849"/>
    </row>
    <row r="185" spans="1:24">
      <c r="A185" s="849"/>
      <c r="X185" s="849"/>
    </row>
    <row r="186" spans="1:24">
      <c r="A186" s="849"/>
      <c r="X186" s="849"/>
    </row>
    <row r="187" spans="1:24">
      <c r="A187" s="849"/>
      <c r="X187" s="849"/>
    </row>
    <row r="188" spans="1:24">
      <c r="A188" s="849"/>
      <c r="X188" s="849"/>
    </row>
    <row r="189" spans="1:24">
      <c r="A189" s="849"/>
      <c r="X189" s="849"/>
    </row>
    <row r="190" spans="1:24">
      <c r="A190" s="849"/>
    </row>
    <row r="191" spans="1:24">
      <c r="A191" s="849"/>
    </row>
    <row r="192" spans="1:24">
      <c r="A192" s="849"/>
    </row>
    <row r="193" spans="1:1">
      <c r="A193" s="849"/>
    </row>
    <row r="194" spans="1:1">
      <c r="A194" s="849"/>
    </row>
    <row r="195" spans="1:1">
      <c r="A195" s="849"/>
    </row>
    <row r="196" spans="1:1">
      <c r="A196" s="849"/>
    </row>
    <row r="197" spans="1:1">
      <c r="A197" s="849"/>
    </row>
    <row r="198" spans="1:1">
      <c r="A198" s="849"/>
    </row>
    <row r="199" spans="1:1">
      <c r="A199" s="849"/>
    </row>
    <row r="200" spans="1:1">
      <c r="A200" s="849"/>
    </row>
    <row r="201" spans="1:1">
      <c r="A201" s="849"/>
    </row>
    <row r="202" spans="1:1">
      <c r="A202" s="849"/>
    </row>
    <row r="203" spans="1:1">
      <c r="A203" s="849"/>
    </row>
    <row r="204" spans="1:1">
      <c r="A204" s="849"/>
    </row>
    <row r="205" spans="1:1">
      <c r="A205" s="849"/>
    </row>
    <row r="206" spans="1:1">
      <c r="A206" s="849"/>
    </row>
    <row r="207" spans="1:1">
      <c r="A207" s="849"/>
    </row>
    <row r="208" spans="1:1">
      <c r="A208" s="849"/>
    </row>
    <row r="209" spans="1:1">
      <c r="A209" s="849"/>
    </row>
    <row r="210" spans="1:1">
      <c r="A210" s="849"/>
    </row>
  </sheetData>
  <mergeCells count="96">
    <mergeCell ref="T2:U3"/>
    <mergeCell ref="E171:F171"/>
    <mergeCell ref="H168:I168"/>
    <mergeCell ref="K168:L168"/>
    <mergeCell ref="L158:M158"/>
    <mergeCell ref="E159:F159"/>
    <mergeCell ref="E160:F160"/>
    <mergeCell ref="E161:F161"/>
    <mergeCell ref="E162:F162"/>
    <mergeCell ref="E163:F163"/>
    <mergeCell ref="E164:F164"/>
    <mergeCell ref="E165:F165"/>
    <mergeCell ref="I161:K161"/>
    <mergeCell ref="I162:K162"/>
    <mergeCell ref="I163:K163"/>
    <mergeCell ref="D158:F158"/>
    <mergeCell ref="D169:F169"/>
    <mergeCell ref="E175:F175"/>
    <mergeCell ref="E176:F176"/>
    <mergeCell ref="E172:F172"/>
    <mergeCell ref="E173:F173"/>
    <mergeCell ref="E174:F174"/>
    <mergeCell ref="E170:F170"/>
    <mergeCell ref="E151:F151"/>
    <mergeCell ref="I134:K134"/>
    <mergeCell ref="I135:K135"/>
    <mergeCell ref="I137:K137"/>
    <mergeCell ref="I136:K136"/>
    <mergeCell ref="I142:K142"/>
    <mergeCell ref="I140:M140"/>
    <mergeCell ref="I143:K143"/>
    <mergeCell ref="E142:F142"/>
    <mergeCell ref="E143:F143"/>
    <mergeCell ref="L141:M141"/>
    <mergeCell ref="H169:I169"/>
    <mergeCell ref="K169:L169"/>
    <mergeCell ref="I145:K145"/>
    <mergeCell ref="I158:K158"/>
    <mergeCell ref="I157:M157"/>
    <mergeCell ref="I146:K146"/>
    <mergeCell ref="C168:F168"/>
    <mergeCell ref="I159:K159"/>
    <mergeCell ref="I160:K160"/>
    <mergeCell ref="C157:F157"/>
    <mergeCell ref="E136:F136"/>
    <mergeCell ref="E137:F137"/>
    <mergeCell ref="D141:F141"/>
    <mergeCell ref="C140:F140"/>
    <mergeCell ref="E152:F152"/>
    <mergeCell ref="E149:F149"/>
    <mergeCell ref="E150:F150"/>
    <mergeCell ref="D148:F148"/>
    <mergeCell ref="E144:F144"/>
    <mergeCell ref="C147:F147"/>
    <mergeCell ref="I144:K144"/>
    <mergeCell ref="I141:K141"/>
    <mergeCell ref="C129:F129"/>
    <mergeCell ref="E134:F134"/>
    <mergeCell ref="E135:F135"/>
    <mergeCell ref="E131:F131"/>
    <mergeCell ref="E132:F132"/>
    <mergeCell ref="E133:F133"/>
    <mergeCell ref="D130:F130"/>
    <mergeCell ref="I129:M129"/>
    <mergeCell ref="I131:K131"/>
    <mergeCell ref="I132:K132"/>
    <mergeCell ref="I133:K133"/>
    <mergeCell ref="I130:K130"/>
    <mergeCell ref="L130:M130"/>
    <mergeCell ref="C2:C3"/>
    <mergeCell ref="U6:V8"/>
    <mergeCell ref="U9:V9"/>
    <mergeCell ref="U10:V10"/>
    <mergeCell ref="N122:N124"/>
    <mergeCell ref="C102:D102"/>
    <mergeCell ref="C101:L101"/>
    <mergeCell ref="C106:D106"/>
    <mergeCell ref="C113:L113"/>
    <mergeCell ref="C115:D115"/>
    <mergeCell ref="C103:L103"/>
    <mergeCell ref="C116:D116"/>
    <mergeCell ref="C117:D117"/>
    <mergeCell ref="C108:D108"/>
    <mergeCell ref="C109:D109"/>
    <mergeCell ref="C114:D114"/>
    <mergeCell ref="N115:N121"/>
    <mergeCell ref="N101:W101"/>
    <mergeCell ref="N103:W103"/>
    <mergeCell ref="C107:L107"/>
    <mergeCell ref="C105:D105"/>
    <mergeCell ref="C110:D110"/>
    <mergeCell ref="N104:N110"/>
    <mergeCell ref="N102:O102"/>
    <mergeCell ref="C104:D104"/>
    <mergeCell ref="N114:W114"/>
    <mergeCell ref="N111:N113"/>
  </mergeCells>
  <conditionalFormatting sqref="E108:L109">
    <cfRule type="cellIs" dxfId="245" priority="11" operator="lessThan">
      <formula>0</formula>
    </cfRule>
    <cfRule type="cellIs" dxfId="244" priority="12" operator="greaterThan">
      <formula>0</formula>
    </cfRule>
  </conditionalFormatting>
  <conditionalFormatting sqref="P115:W124">
    <cfRule type="cellIs" dxfId="243" priority="9" operator="lessThan">
      <formula>0</formula>
    </cfRule>
    <cfRule type="cellIs" dxfId="242" priority="10" operator="greaterThan">
      <formula>0</formula>
    </cfRule>
  </conditionalFormatting>
  <conditionalFormatting sqref="E117:L117">
    <cfRule type="cellIs" dxfId="241" priority="7" operator="lessThan">
      <formula>$S$97</formula>
    </cfRule>
    <cfRule type="cellIs" dxfId="240" priority="8" operator="greaterThan">
      <formula>$S$97</formula>
    </cfRule>
  </conditionalFormatting>
  <conditionalFormatting sqref="E110:L110">
    <cfRule type="cellIs" dxfId="239" priority="1" operator="greaterThan">
      <formula>0</formula>
    </cfRule>
    <cfRule type="cellIs" dxfId="238" priority="2" operator="lessThan">
      <formula>0</formula>
    </cfRule>
  </conditionalFormatting>
  <dataValidations count="1">
    <dataValidation type="list" allowBlank="1" showInputMessage="1" showErrorMessage="1" sqref="P58" xr:uid="{00000000-0002-0000-0400-000000000000}">
      <formula1>INDIRECT("'GrD-Grafikdaten (2)'!$F$155:$F$159")</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7697" r:id="rId3" name="Button 1">
              <controlPr defaultSize="0" print="0" autoFill="0" autoPict="0" macro="[0]!returnToStartSheet">
                <anchor moveWithCells="1" sizeWithCells="1">
                  <from>
                    <xdr:col>3</xdr:col>
                    <xdr:colOff>632460</xdr:colOff>
                    <xdr:row>1</xdr:row>
                    <xdr:rowOff>45720</xdr:rowOff>
                  </from>
                  <to>
                    <xdr:col>6</xdr:col>
                    <xdr:colOff>30480</xdr:colOff>
                    <xdr:row>2</xdr:row>
                    <xdr:rowOff>121920</xdr:rowOff>
                  </to>
                </anchor>
              </controlPr>
            </control>
          </mc:Choice>
        </mc:AlternateContent>
        <mc:AlternateContent xmlns:mc="http://schemas.openxmlformats.org/markup-compatibility/2006">
          <mc:Choice Requires="x14">
            <control shapeId="157702" r:id="rId4" name="Button 6">
              <controlPr defaultSize="0" print="0" autoFill="0" autoPict="0" macro="[0]!switchNominalReal">
                <anchor moveWithCells="1" sizeWithCells="1">
                  <from>
                    <xdr:col>20</xdr:col>
                    <xdr:colOff>152400</xdr:colOff>
                    <xdr:row>9</xdr:row>
                    <xdr:rowOff>121920</xdr:rowOff>
                  </from>
                  <to>
                    <xdr:col>21</xdr:col>
                    <xdr:colOff>563880</xdr:colOff>
                    <xdr:row>11</xdr:row>
                    <xdr:rowOff>68580</xdr:rowOff>
                  </to>
                </anchor>
              </controlPr>
            </control>
          </mc:Choice>
        </mc:AlternateContent>
        <mc:AlternateContent xmlns:mc="http://schemas.openxmlformats.org/markup-compatibility/2006">
          <mc:Choice Requires="x14">
            <control shapeId="157707" r:id="rId5" name="Button 11">
              <controlPr defaultSize="0" print="0" autoFill="0" autoPict="0" macro="[0]!goToManual">
                <anchor moveWithCells="1" sizeWithCells="1">
                  <from>
                    <xdr:col>6</xdr:col>
                    <xdr:colOff>335280</xdr:colOff>
                    <xdr:row>1</xdr:row>
                    <xdr:rowOff>76200</xdr:rowOff>
                  </from>
                  <to>
                    <xdr:col>7</xdr:col>
                    <xdr:colOff>556260</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9">
    <tabColor theme="5"/>
    <pageSetUpPr fitToPage="1"/>
  </sheetPr>
  <dimension ref="B1:K30"/>
  <sheetViews>
    <sheetView showGridLines="0" topLeftCell="A24" workbookViewId="0">
      <selection activeCell="C27" sqref="C27"/>
    </sheetView>
  </sheetViews>
  <sheetFormatPr defaultColWidth="11.44140625" defaultRowHeight="13.2"/>
  <cols>
    <col min="1" max="1" width="4.33203125" style="831" customWidth="1"/>
    <col min="2" max="2" width="3.33203125" style="831" customWidth="1"/>
    <col min="3" max="3" width="137.109375" style="831" customWidth="1"/>
    <col min="4" max="4" width="2.6640625" style="831" customWidth="1"/>
    <col min="5" max="16384" width="11.44140625" style="831"/>
  </cols>
  <sheetData>
    <row r="1" spans="2:11" s="841" customFormat="1">
      <c r="B1" s="841" t="s">
        <v>74</v>
      </c>
      <c r="E1" s="831"/>
      <c r="F1" s="831"/>
      <c r="G1" s="831"/>
      <c r="H1" s="831"/>
      <c r="I1" s="831"/>
      <c r="J1" s="831"/>
      <c r="K1" s="831"/>
    </row>
    <row r="2" spans="2:11" ht="27" customHeight="1">
      <c r="C2" s="833" t="s">
        <v>316</v>
      </c>
      <c r="D2" s="842"/>
    </row>
    <row r="3" spans="2:11">
      <c r="C3" s="1102"/>
      <c r="D3" s="1101"/>
    </row>
    <row r="4" spans="2:11" ht="20.25" customHeight="1">
      <c r="C4" s="1110" t="s">
        <v>317</v>
      </c>
      <c r="D4" s="1111"/>
    </row>
    <row r="5" spans="2:11" ht="18" customHeight="1">
      <c r="C5" s="1112" t="s">
        <v>318</v>
      </c>
      <c r="D5" s="1113"/>
    </row>
    <row r="6" spans="2:11" ht="28.5" customHeight="1">
      <c r="C6" s="1114" t="s">
        <v>319</v>
      </c>
      <c r="D6" s="1113"/>
    </row>
    <row r="7" spans="2:11" ht="46.5" customHeight="1">
      <c r="C7" s="1115" t="s">
        <v>320</v>
      </c>
      <c r="D7" s="1116"/>
    </row>
    <row r="8" spans="2:11">
      <c r="C8" s="1102"/>
      <c r="D8" s="1101"/>
    </row>
    <row r="9" spans="2:11" s="832" customFormat="1" ht="60" customHeight="1">
      <c r="C9" s="836" t="s">
        <v>321</v>
      </c>
      <c r="D9" s="835"/>
    </row>
    <row r="10" spans="2:11" ht="81" customHeight="1">
      <c r="C10" s="836" t="s">
        <v>322</v>
      </c>
      <c r="D10" s="834"/>
    </row>
    <row r="11" spans="2:11" ht="27" customHeight="1">
      <c r="C11" s="837" t="s">
        <v>323</v>
      </c>
      <c r="D11" s="834"/>
    </row>
    <row r="12" spans="2:11" ht="15.75" customHeight="1">
      <c r="C12" s="838" t="s">
        <v>324</v>
      </c>
      <c r="D12" s="834"/>
    </row>
    <row r="13" spans="2:11" ht="30" customHeight="1">
      <c r="C13" s="836" t="s">
        <v>325</v>
      </c>
      <c r="D13" s="834"/>
    </row>
    <row r="14" spans="2:11" ht="57.75" customHeight="1">
      <c r="C14" s="836" t="s">
        <v>326</v>
      </c>
      <c r="D14" s="834"/>
    </row>
    <row r="15" spans="2:11" ht="33.75" customHeight="1">
      <c r="C15" s="836" t="s">
        <v>327</v>
      </c>
      <c r="D15" s="834"/>
    </row>
    <row r="16" spans="2:11" ht="15" customHeight="1">
      <c r="C16" s="836"/>
      <c r="D16" s="834"/>
    </row>
    <row r="17" spans="3:4" ht="29.25" customHeight="1">
      <c r="C17" s="839" t="s">
        <v>328</v>
      </c>
      <c r="D17" s="834"/>
    </row>
    <row r="18" spans="3:4" ht="54.75" customHeight="1">
      <c r="C18" s="836" t="s">
        <v>329</v>
      </c>
      <c r="D18" s="834"/>
    </row>
    <row r="19" spans="3:4" ht="47.25" customHeight="1">
      <c r="C19" s="836" t="s">
        <v>330</v>
      </c>
      <c r="D19" s="834"/>
    </row>
    <row r="20" spans="3:4" ht="44.25" customHeight="1">
      <c r="C20" s="836" t="s">
        <v>331</v>
      </c>
      <c r="D20" s="834"/>
    </row>
    <row r="21" spans="3:4" ht="28.5" customHeight="1">
      <c r="C21" s="836" t="s">
        <v>332</v>
      </c>
      <c r="D21" s="834"/>
    </row>
    <row r="22" spans="3:4" ht="28.5" customHeight="1">
      <c r="C22" s="836" t="s">
        <v>333</v>
      </c>
      <c r="D22" s="834"/>
    </row>
    <row r="23" spans="3:4" ht="29.25" customHeight="1">
      <c r="C23" s="839" t="s">
        <v>334</v>
      </c>
      <c r="D23" s="834"/>
    </row>
    <row r="24" spans="3:4" ht="99" customHeight="1">
      <c r="C24" s="836" t="s">
        <v>335</v>
      </c>
      <c r="D24" s="834"/>
    </row>
    <row r="25" spans="3:4" ht="46.5" customHeight="1">
      <c r="C25" s="836" t="s">
        <v>535</v>
      </c>
      <c r="D25" s="834"/>
    </row>
    <row r="26" spans="3:4" ht="26.25" customHeight="1">
      <c r="C26" s="836" t="s">
        <v>336</v>
      </c>
      <c r="D26" s="834"/>
    </row>
    <row r="27" spans="3:4" ht="15" customHeight="1">
      <c r="C27" s="835"/>
      <c r="D27" s="834"/>
    </row>
    <row r="28" spans="3:4" ht="30" customHeight="1">
      <c r="C28" s="836" t="s">
        <v>337</v>
      </c>
      <c r="D28" s="834"/>
    </row>
    <row r="29" spans="3:4" ht="20.25" customHeight="1">
      <c r="C29" s="840" t="s">
        <v>191</v>
      </c>
      <c r="D29" s="834"/>
    </row>
    <row r="30" spans="3:4">
      <c r="C30" s="835"/>
      <c r="D30" s="834"/>
    </row>
  </sheetData>
  <hyperlinks>
    <hyperlink ref="C29" r:id="rId1" xr:uid="{00000000-0004-0000-0500-000000000000}"/>
  </hyperlinks>
  <pageMargins left="0.7" right="0.7" top="0.78740157499999996" bottom="0.78740157499999996" header="0.3" footer="0.3"/>
  <pageSetup paperSize="9" scale="6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4690" r:id="rId5" name="Button 2">
              <controlPr defaultSize="0" print="0" autoFill="0" autoPict="0" macro="[0]!returnToStartSheet">
                <anchor moveWithCells="1" sizeWithCells="1">
                  <from>
                    <xdr:col>2</xdr:col>
                    <xdr:colOff>7848600</xdr:colOff>
                    <xdr:row>1</xdr:row>
                    <xdr:rowOff>38100</xdr:rowOff>
                  </from>
                  <to>
                    <xdr:col>3</xdr:col>
                    <xdr:colOff>137160</xdr:colOff>
                    <xdr:row>1</xdr:row>
                    <xdr:rowOff>297180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tabColor theme="5"/>
    <pageSetUpPr fitToPage="1"/>
  </sheetPr>
  <dimension ref="A1:AE125"/>
  <sheetViews>
    <sheetView workbookViewId="0">
      <selection activeCell="C19" sqref="C19"/>
    </sheetView>
  </sheetViews>
  <sheetFormatPr defaultColWidth="11.44140625" defaultRowHeight="13.2"/>
  <cols>
    <col min="1" max="1" width="3.33203125" style="135" customWidth="1"/>
    <col min="2" max="2" width="21.109375" style="135" customWidth="1"/>
    <col min="3" max="8" width="11.44140625" style="135"/>
    <col min="9" max="9" width="4.109375" style="135" customWidth="1"/>
    <col min="10" max="10" width="64.33203125" style="135" bestFit="1" customWidth="1"/>
    <col min="11" max="16384" width="11.44140625" style="135"/>
  </cols>
  <sheetData>
    <row r="1" spans="1:31" ht="16.5" customHeight="1">
      <c r="A1" s="847" t="s">
        <v>74</v>
      </c>
      <c r="B1" s="847"/>
      <c r="C1" s="847"/>
      <c r="D1" s="847"/>
      <c r="E1" s="847"/>
      <c r="F1" s="847"/>
      <c r="G1" s="847"/>
      <c r="H1" s="847"/>
      <c r="I1" s="847"/>
      <c r="J1" s="847"/>
      <c r="K1" s="847"/>
      <c r="L1" s="847"/>
      <c r="M1" s="847"/>
      <c r="N1" s="847"/>
      <c r="O1" s="847"/>
      <c r="P1" s="847"/>
      <c r="Q1" s="847"/>
      <c r="R1" s="847"/>
      <c r="S1" s="847"/>
      <c r="T1" s="847"/>
      <c r="U1" s="847"/>
      <c r="V1" s="847"/>
      <c r="W1" s="847"/>
      <c r="X1" s="847"/>
      <c r="Y1" s="847"/>
      <c r="Z1" s="847"/>
      <c r="AA1" s="847"/>
      <c r="AB1" s="847"/>
      <c r="AC1" s="847"/>
      <c r="AD1" s="847"/>
      <c r="AE1" s="847"/>
    </row>
    <row r="2" spans="1:31" ht="94.5" customHeight="1">
      <c r="A2" s="847"/>
      <c r="B2" s="447"/>
      <c r="C2" s="448"/>
      <c r="D2" s="448"/>
      <c r="E2" s="448"/>
      <c r="F2" s="448"/>
      <c r="G2" s="448"/>
      <c r="H2" s="448"/>
      <c r="I2" s="448"/>
      <c r="J2" s="448"/>
      <c r="K2" s="448"/>
      <c r="L2" s="448"/>
      <c r="M2" s="448"/>
      <c r="N2" s="448"/>
      <c r="O2" s="449"/>
      <c r="P2" s="847"/>
      <c r="Q2" s="847"/>
      <c r="R2" s="847"/>
      <c r="S2" s="847"/>
      <c r="T2" s="847"/>
      <c r="U2" s="847"/>
      <c r="V2" s="847"/>
      <c r="W2" s="847"/>
      <c r="X2" s="847"/>
      <c r="Y2" s="847"/>
      <c r="Z2" s="847"/>
      <c r="AA2" s="847"/>
      <c r="AB2" s="847"/>
      <c r="AC2" s="847"/>
      <c r="AD2" s="847"/>
      <c r="AE2" s="847"/>
    </row>
    <row r="3" spans="1:31">
      <c r="A3" s="847"/>
      <c r="B3" s="450"/>
      <c r="C3" s="451"/>
      <c r="D3" s="451"/>
      <c r="E3" s="451"/>
      <c r="F3" s="451"/>
      <c r="G3" s="451"/>
      <c r="H3" s="451"/>
      <c r="I3" s="451"/>
      <c r="J3" s="451"/>
      <c r="K3" s="451"/>
      <c r="L3" s="451"/>
      <c r="M3" s="451"/>
      <c r="N3" s="451"/>
      <c r="O3" s="452"/>
      <c r="P3" s="847"/>
      <c r="Q3" s="847"/>
      <c r="R3" s="847"/>
      <c r="S3" s="847"/>
      <c r="T3" s="847"/>
      <c r="U3" s="847"/>
      <c r="V3" s="847"/>
      <c r="W3" s="847"/>
      <c r="X3" s="847"/>
      <c r="Y3" s="847"/>
      <c r="Z3" s="847"/>
      <c r="AA3" s="847"/>
      <c r="AB3" s="847"/>
      <c r="AC3" s="847"/>
      <c r="AD3" s="847"/>
      <c r="AE3" s="847"/>
    </row>
    <row r="4" spans="1:31" ht="15.6">
      <c r="A4" s="847"/>
      <c r="B4" s="453" t="s">
        <v>99</v>
      </c>
      <c r="C4" s="451"/>
      <c r="D4" s="451"/>
      <c r="E4" s="451"/>
      <c r="F4" s="451"/>
      <c r="G4" s="451"/>
      <c r="H4" s="451"/>
      <c r="I4" s="451"/>
      <c r="J4" s="451"/>
      <c r="K4" s="451"/>
      <c r="L4" s="451"/>
      <c r="M4" s="451"/>
      <c r="N4" s="451"/>
      <c r="O4" s="452"/>
      <c r="P4" s="847"/>
      <c r="Q4" s="847"/>
      <c r="R4" s="847"/>
      <c r="S4" s="847"/>
      <c r="T4" s="847"/>
      <c r="U4" s="847"/>
      <c r="V4" s="847"/>
      <c r="W4" s="847"/>
      <c r="X4" s="847"/>
      <c r="Y4" s="847"/>
      <c r="Z4" s="847"/>
      <c r="AA4" s="847"/>
      <c r="AB4" s="847"/>
      <c r="AC4" s="847"/>
      <c r="AD4" s="847"/>
      <c r="AE4" s="847"/>
    </row>
    <row r="5" spans="1:31">
      <c r="A5" s="847"/>
      <c r="B5" s="450"/>
      <c r="C5" s="451"/>
      <c r="D5" s="451"/>
      <c r="E5" s="451"/>
      <c r="F5" s="451"/>
      <c r="G5" s="451"/>
      <c r="H5" s="451"/>
      <c r="I5" s="451"/>
      <c r="J5" s="451"/>
      <c r="K5" s="451"/>
      <c r="L5" s="451"/>
      <c r="M5" s="451"/>
      <c r="N5" s="451"/>
      <c r="O5" s="452"/>
      <c r="P5" s="847"/>
      <c r="Q5" s="847"/>
      <c r="R5" s="847"/>
      <c r="S5" s="847"/>
      <c r="T5" s="847"/>
      <c r="U5" s="847"/>
      <c r="V5" s="847"/>
      <c r="W5" s="847"/>
      <c r="X5" s="847"/>
      <c r="Y5" s="847"/>
      <c r="Z5" s="847"/>
      <c r="AA5" s="847"/>
      <c r="AB5" s="847"/>
      <c r="AC5" s="847"/>
      <c r="AD5" s="847"/>
      <c r="AE5" s="847"/>
    </row>
    <row r="6" spans="1:31">
      <c r="A6" s="847"/>
      <c r="B6" s="454" t="s">
        <v>82</v>
      </c>
      <c r="C6" s="455" t="s">
        <v>77</v>
      </c>
      <c r="D6" s="451"/>
      <c r="E6" s="451"/>
      <c r="F6" s="451"/>
      <c r="G6" s="451"/>
      <c r="H6" s="455" t="s">
        <v>84</v>
      </c>
      <c r="I6" s="451"/>
      <c r="J6" s="455" t="s">
        <v>80</v>
      </c>
      <c r="K6" s="451"/>
      <c r="L6" s="451"/>
      <c r="M6" s="451"/>
      <c r="N6" s="451"/>
      <c r="O6" s="452"/>
      <c r="P6" s="847"/>
      <c r="Q6" s="847"/>
      <c r="R6" s="847"/>
      <c r="S6" s="847"/>
      <c r="T6" s="847"/>
      <c r="U6" s="847"/>
      <c r="V6" s="847"/>
      <c r="W6" s="847"/>
      <c r="X6" s="847"/>
      <c r="Y6" s="847"/>
      <c r="Z6" s="847"/>
      <c r="AA6" s="847"/>
      <c r="AB6" s="847"/>
      <c r="AC6" s="847"/>
      <c r="AD6" s="847"/>
      <c r="AE6" s="847"/>
    </row>
    <row r="7" spans="1:31">
      <c r="A7" s="847"/>
      <c r="B7" s="454"/>
      <c r="C7" s="456" t="s">
        <v>87</v>
      </c>
      <c r="D7" s="451"/>
      <c r="E7" s="451"/>
      <c r="F7" s="451"/>
      <c r="G7" s="451"/>
      <c r="H7" s="451"/>
      <c r="I7" s="451"/>
      <c r="J7" s="1134" t="s">
        <v>294</v>
      </c>
      <c r="K7" s="451"/>
      <c r="L7" s="451"/>
      <c r="M7" s="451"/>
      <c r="N7" s="451"/>
      <c r="O7" s="452"/>
      <c r="P7" s="847"/>
      <c r="Q7" s="847"/>
      <c r="R7" s="847"/>
      <c r="S7" s="847"/>
      <c r="T7" s="847"/>
      <c r="U7" s="847"/>
      <c r="V7" s="847"/>
      <c r="W7" s="847"/>
      <c r="X7" s="847"/>
      <c r="Y7" s="847"/>
      <c r="Z7" s="847"/>
      <c r="AA7" s="847"/>
      <c r="AB7" s="847"/>
      <c r="AC7" s="847"/>
      <c r="AD7" s="847"/>
      <c r="AE7" s="847"/>
    </row>
    <row r="8" spans="1:31">
      <c r="A8" s="847"/>
      <c r="B8" s="450"/>
      <c r="C8" s="455" t="s">
        <v>88</v>
      </c>
      <c r="D8" s="451"/>
      <c r="E8" s="451"/>
      <c r="F8" s="451"/>
      <c r="G8" s="451"/>
      <c r="H8" s="451"/>
      <c r="I8" s="451"/>
      <c r="J8" s="451" t="s">
        <v>85</v>
      </c>
      <c r="K8" s="451"/>
      <c r="L8" s="451"/>
      <c r="M8" s="451"/>
      <c r="N8" s="451"/>
      <c r="O8" s="452"/>
      <c r="P8" s="847"/>
      <c r="Q8" s="847"/>
      <c r="R8" s="847"/>
      <c r="S8" s="847"/>
      <c r="T8" s="847"/>
      <c r="U8" s="847"/>
      <c r="V8" s="847"/>
      <c r="W8" s="847"/>
      <c r="X8" s="847"/>
      <c r="Y8" s="847"/>
      <c r="Z8" s="847"/>
      <c r="AA8" s="847"/>
      <c r="AB8" s="847"/>
      <c r="AC8" s="847"/>
      <c r="AD8" s="847"/>
      <c r="AE8" s="847"/>
    </row>
    <row r="9" spans="1:31">
      <c r="A9" s="847"/>
      <c r="B9" s="454"/>
      <c r="C9" s="120" t="s">
        <v>89</v>
      </c>
      <c r="F9" s="451"/>
      <c r="G9" s="451"/>
      <c r="H9" s="451"/>
      <c r="I9" s="451"/>
      <c r="J9" s="120" t="s">
        <v>86</v>
      </c>
      <c r="K9" s="451"/>
      <c r="L9" s="451"/>
      <c r="M9" s="451"/>
      <c r="N9" s="451"/>
      <c r="O9" s="452"/>
      <c r="P9" s="847"/>
      <c r="Q9" s="847"/>
      <c r="R9" s="847"/>
      <c r="S9" s="847"/>
      <c r="T9" s="847"/>
      <c r="U9" s="847"/>
      <c r="V9" s="847"/>
      <c r="W9" s="847"/>
      <c r="X9" s="847"/>
      <c r="Y9" s="847"/>
      <c r="Z9" s="847"/>
      <c r="AA9" s="847"/>
      <c r="AB9" s="847"/>
      <c r="AC9" s="847"/>
      <c r="AD9" s="847"/>
      <c r="AE9" s="847"/>
    </row>
    <row r="10" spans="1:31">
      <c r="A10" s="847"/>
      <c r="B10" s="450"/>
      <c r="C10" s="455"/>
      <c r="F10" s="451"/>
      <c r="G10" s="451"/>
      <c r="H10" s="451"/>
      <c r="I10" s="451"/>
      <c r="J10" s="451"/>
      <c r="K10" s="451"/>
      <c r="L10" s="451"/>
      <c r="M10" s="451"/>
      <c r="N10" s="451"/>
      <c r="O10" s="452"/>
      <c r="P10" s="847"/>
      <c r="Q10" s="847"/>
      <c r="R10" s="847"/>
      <c r="S10" s="847"/>
      <c r="T10" s="847"/>
      <c r="U10" s="847"/>
      <c r="V10" s="847"/>
      <c r="W10" s="847"/>
      <c r="X10" s="847"/>
      <c r="Y10" s="847"/>
      <c r="Z10" s="847"/>
      <c r="AA10" s="847"/>
      <c r="AB10" s="847"/>
      <c r="AC10" s="847"/>
      <c r="AD10" s="847"/>
      <c r="AE10" s="847"/>
    </row>
    <row r="11" spans="1:31">
      <c r="A11" s="847"/>
      <c r="B11" s="454" t="s">
        <v>78</v>
      </c>
      <c r="C11" s="455" t="s">
        <v>16</v>
      </c>
      <c r="D11" s="451"/>
      <c r="F11" s="451"/>
      <c r="G11" s="451"/>
      <c r="H11" s="455"/>
      <c r="I11" s="451"/>
      <c r="J11" s="455"/>
      <c r="K11" s="451"/>
      <c r="L11" s="451"/>
      <c r="M11" s="451"/>
      <c r="N11" s="451"/>
      <c r="O11" s="452"/>
      <c r="P11" s="847"/>
      <c r="Q11" s="847"/>
      <c r="R11" s="847"/>
      <c r="S11" s="847"/>
      <c r="T11" s="847"/>
      <c r="U11" s="847"/>
      <c r="V11" s="847"/>
      <c r="W11" s="847"/>
      <c r="X11" s="847"/>
      <c r="Y11" s="847"/>
      <c r="Z11" s="847"/>
      <c r="AA11" s="847"/>
      <c r="AB11" s="847"/>
      <c r="AC11" s="847"/>
      <c r="AD11" s="847"/>
      <c r="AE11" s="847"/>
    </row>
    <row r="12" spans="1:31">
      <c r="A12" s="847"/>
      <c r="B12" s="450"/>
      <c r="C12" s="455" t="s">
        <v>135</v>
      </c>
      <c r="D12" s="451"/>
      <c r="F12" s="451"/>
      <c r="G12" s="451"/>
      <c r="H12" s="455"/>
      <c r="I12" s="451"/>
      <c r="J12" s="455"/>
      <c r="K12" s="451"/>
      <c r="L12" s="451"/>
      <c r="M12" s="451"/>
      <c r="N12" s="451"/>
      <c r="O12" s="452"/>
      <c r="P12" s="847"/>
      <c r="Q12" s="847"/>
      <c r="R12" s="847"/>
      <c r="S12" s="847"/>
      <c r="T12" s="847"/>
      <c r="U12" s="847"/>
      <c r="V12" s="847"/>
      <c r="W12" s="847"/>
      <c r="X12" s="847"/>
      <c r="Y12" s="847"/>
      <c r="Z12" s="847"/>
      <c r="AA12" s="847"/>
      <c r="AB12" s="847"/>
      <c r="AC12" s="847"/>
      <c r="AD12" s="847"/>
      <c r="AE12" s="847"/>
    </row>
    <row r="13" spans="1:31">
      <c r="A13" s="847"/>
      <c r="B13" s="450"/>
      <c r="C13" s="455" t="s">
        <v>79</v>
      </c>
      <c r="D13" s="451"/>
      <c r="F13" s="451"/>
      <c r="G13" s="451"/>
      <c r="H13" s="455"/>
      <c r="I13" s="451"/>
      <c r="J13" s="455"/>
      <c r="K13" s="451"/>
      <c r="L13" s="451"/>
      <c r="M13" s="451"/>
      <c r="N13" s="451"/>
      <c r="O13" s="452"/>
      <c r="P13" s="847"/>
      <c r="Q13" s="847"/>
      <c r="R13" s="847"/>
      <c r="S13" s="847"/>
      <c r="T13" s="847"/>
      <c r="U13" s="847"/>
      <c r="V13" s="847"/>
      <c r="W13" s="847"/>
      <c r="X13" s="847"/>
      <c r="Y13" s="847"/>
      <c r="Z13" s="847"/>
      <c r="AA13" s="847"/>
      <c r="AB13" s="847"/>
      <c r="AC13" s="847"/>
      <c r="AD13" s="847"/>
      <c r="AE13" s="847"/>
    </row>
    <row r="14" spans="1:31">
      <c r="A14" s="847"/>
      <c r="B14" s="450"/>
      <c r="C14" s="455" t="s">
        <v>4</v>
      </c>
      <c r="D14" s="451"/>
      <c r="F14" s="451"/>
      <c r="G14" s="451"/>
      <c r="H14" s="455" t="s">
        <v>94</v>
      </c>
      <c r="I14" s="451"/>
      <c r="J14" s="455"/>
      <c r="K14" s="451"/>
      <c r="L14" s="451"/>
      <c r="M14" s="451"/>
      <c r="N14" s="451"/>
      <c r="O14" s="452"/>
      <c r="P14" s="847"/>
      <c r="Q14" s="847"/>
      <c r="R14" s="847"/>
      <c r="S14" s="847"/>
      <c r="T14" s="847"/>
      <c r="U14" s="847"/>
      <c r="V14" s="847"/>
      <c r="W14" s="847"/>
      <c r="X14" s="847"/>
      <c r="Y14" s="847"/>
      <c r="Z14" s="847"/>
      <c r="AA14" s="847"/>
      <c r="AB14" s="847"/>
      <c r="AC14" s="847"/>
      <c r="AD14" s="847"/>
      <c r="AE14" s="847"/>
    </row>
    <row r="15" spans="1:31">
      <c r="A15" s="847"/>
      <c r="B15" s="450"/>
      <c r="C15" s="456"/>
      <c r="D15" s="451"/>
      <c r="F15" s="451"/>
      <c r="G15" s="451"/>
      <c r="H15" s="455" t="s">
        <v>95</v>
      </c>
      <c r="I15" s="451"/>
      <c r="J15" s="455"/>
      <c r="K15" s="451"/>
      <c r="L15" s="451"/>
      <c r="M15" s="451"/>
      <c r="N15" s="451"/>
      <c r="O15" s="452"/>
      <c r="P15" s="847"/>
      <c r="Q15" s="847"/>
      <c r="R15" s="847"/>
      <c r="S15" s="847"/>
      <c r="T15" s="847"/>
      <c r="U15" s="847"/>
      <c r="V15" s="847"/>
      <c r="W15" s="847"/>
      <c r="X15" s="847"/>
      <c r="Y15" s="847"/>
      <c r="Z15" s="847"/>
      <c r="AA15" s="847"/>
      <c r="AB15" s="847"/>
      <c r="AC15" s="847"/>
      <c r="AD15" s="847"/>
      <c r="AE15" s="847"/>
    </row>
    <row r="16" spans="1:31">
      <c r="A16" s="847"/>
      <c r="B16" s="454" t="s">
        <v>245</v>
      </c>
      <c r="C16" s="1210">
        <v>44119</v>
      </c>
      <c r="D16" s="451"/>
      <c r="F16" s="451"/>
      <c r="G16" s="451"/>
      <c r="H16" s="455"/>
      <c r="I16" s="451"/>
      <c r="J16" s="455"/>
      <c r="K16" s="451"/>
      <c r="L16" s="451"/>
      <c r="M16" s="451"/>
      <c r="N16" s="451"/>
      <c r="O16" s="452"/>
      <c r="P16" s="847"/>
      <c r="Q16" s="847"/>
      <c r="R16" s="847"/>
      <c r="S16" s="847"/>
      <c r="T16" s="847"/>
      <c r="U16" s="847"/>
      <c r="V16" s="847"/>
      <c r="W16" s="847"/>
      <c r="X16" s="847"/>
      <c r="Y16" s="847"/>
      <c r="Z16" s="847"/>
      <c r="AA16" s="847"/>
      <c r="AB16" s="847"/>
      <c r="AC16" s="847"/>
      <c r="AD16" s="847"/>
      <c r="AE16" s="847"/>
    </row>
    <row r="17" spans="1:31">
      <c r="A17" s="847"/>
      <c r="B17" s="454" t="s">
        <v>81</v>
      </c>
      <c r="C17" s="457" t="s">
        <v>314</v>
      </c>
      <c r="D17" s="451"/>
      <c r="F17" s="451"/>
      <c r="G17" s="451"/>
      <c r="H17" s="455" t="s">
        <v>92</v>
      </c>
      <c r="I17" s="451"/>
      <c r="J17" s="455" t="s">
        <v>310</v>
      </c>
      <c r="K17" s="451"/>
      <c r="L17" s="451"/>
      <c r="M17" s="451"/>
      <c r="N17" s="451"/>
      <c r="O17" s="452"/>
      <c r="P17" s="847"/>
      <c r="Q17" s="847"/>
      <c r="R17" s="847"/>
      <c r="S17" s="847"/>
      <c r="T17" s="847"/>
      <c r="U17" s="847"/>
      <c r="V17" s="847"/>
      <c r="W17" s="847"/>
      <c r="X17" s="847"/>
      <c r="Y17" s="847"/>
      <c r="Z17" s="847"/>
      <c r="AA17" s="847"/>
      <c r="AB17" s="847"/>
      <c r="AC17" s="847"/>
      <c r="AD17" s="847"/>
      <c r="AE17" s="847"/>
    </row>
    <row r="18" spans="1:31">
      <c r="A18" s="847"/>
      <c r="B18" s="450"/>
      <c r="C18" s="451"/>
      <c r="D18" s="451"/>
      <c r="F18" s="451"/>
      <c r="G18" s="451"/>
      <c r="H18" s="451"/>
      <c r="I18" s="451"/>
      <c r="J18" s="455" t="s">
        <v>93</v>
      </c>
      <c r="K18" s="451"/>
      <c r="L18" s="451"/>
      <c r="M18" s="451"/>
      <c r="N18" s="451"/>
      <c r="O18" s="452"/>
      <c r="P18" s="847"/>
      <c r="Q18" s="847"/>
      <c r="R18" s="847"/>
      <c r="S18" s="847"/>
      <c r="T18" s="847"/>
      <c r="U18" s="847"/>
      <c r="V18" s="847"/>
      <c r="W18" s="847"/>
      <c r="X18" s="847"/>
      <c r="Y18" s="847"/>
      <c r="Z18" s="847"/>
      <c r="AA18" s="847"/>
      <c r="AB18" s="847"/>
      <c r="AC18" s="847"/>
      <c r="AD18" s="847"/>
      <c r="AE18" s="847"/>
    </row>
    <row r="19" spans="1:31">
      <c r="A19" s="847"/>
      <c r="B19" s="454" t="s">
        <v>83</v>
      </c>
      <c r="C19" s="120" t="s">
        <v>90</v>
      </c>
      <c r="D19" s="451"/>
      <c r="F19" s="451"/>
      <c r="G19" s="451"/>
      <c r="H19" s="451"/>
      <c r="I19" s="451"/>
      <c r="J19" s="455" t="e">
        <f>CONCATENATE("Modellversion ",C17,", Berlin, ",TEXT(C16,"TT.MM.JJJJ"))</f>
        <v>#VALUE!</v>
      </c>
      <c r="K19" s="451"/>
      <c r="L19" s="451"/>
      <c r="M19" s="451"/>
      <c r="N19" s="451"/>
      <c r="O19" s="452"/>
      <c r="P19" s="847"/>
      <c r="Q19" s="847"/>
      <c r="R19" s="847"/>
      <c r="S19" s="847"/>
      <c r="T19" s="847"/>
      <c r="U19" s="847"/>
      <c r="V19" s="847"/>
      <c r="W19" s="847"/>
      <c r="X19" s="847"/>
      <c r="Y19" s="847"/>
      <c r="Z19" s="847"/>
      <c r="AA19" s="847"/>
      <c r="AB19" s="847"/>
      <c r="AC19" s="847"/>
      <c r="AD19" s="847"/>
      <c r="AE19" s="847"/>
    </row>
    <row r="20" spans="1:31">
      <c r="A20" s="847"/>
      <c r="B20" s="458"/>
      <c r="C20" s="459"/>
      <c r="D20" s="459"/>
      <c r="E20" s="459"/>
      <c r="F20" s="459"/>
      <c r="G20" s="459"/>
      <c r="H20" s="459"/>
      <c r="I20" s="459"/>
      <c r="J20" s="459"/>
      <c r="K20" s="459"/>
      <c r="L20" s="459"/>
      <c r="M20" s="459"/>
      <c r="N20" s="459"/>
      <c r="O20" s="460"/>
      <c r="P20" s="847"/>
      <c r="Q20" s="847"/>
      <c r="R20" s="847"/>
      <c r="S20" s="847"/>
      <c r="T20" s="847"/>
      <c r="U20" s="847"/>
      <c r="V20" s="847"/>
      <c r="W20" s="847"/>
      <c r="X20" s="847"/>
      <c r="Y20" s="847"/>
      <c r="Z20" s="847"/>
      <c r="AA20" s="847"/>
      <c r="AB20" s="847"/>
      <c r="AC20" s="847"/>
      <c r="AD20" s="847"/>
      <c r="AE20" s="847"/>
    </row>
    <row r="21" spans="1:31">
      <c r="A21" s="847"/>
      <c r="B21" s="847"/>
      <c r="C21" s="847"/>
      <c r="D21" s="847"/>
      <c r="E21" s="847"/>
      <c r="F21" s="847"/>
      <c r="G21" s="847"/>
      <c r="H21" s="847"/>
      <c r="I21" s="847"/>
      <c r="J21" s="847"/>
      <c r="K21" s="847"/>
      <c r="L21" s="847"/>
      <c r="M21" s="847"/>
      <c r="N21" s="847"/>
      <c r="O21" s="847"/>
      <c r="P21" s="847"/>
      <c r="Q21" s="847"/>
      <c r="R21" s="847"/>
      <c r="S21" s="847"/>
      <c r="T21" s="847"/>
      <c r="U21" s="847"/>
      <c r="V21" s="847"/>
      <c r="W21" s="847"/>
      <c r="X21" s="847"/>
      <c r="Y21" s="847"/>
      <c r="Z21" s="847"/>
      <c r="AA21" s="847"/>
      <c r="AB21" s="847"/>
      <c r="AC21" s="847"/>
      <c r="AD21" s="847"/>
      <c r="AE21" s="847"/>
    </row>
    <row r="22" spans="1:31">
      <c r="A22" s="847"/>
      <c r="B22" s="847"/>
      <c r="C22" s="847"/>
      <c r="D22" s="847"/>
      <c r="E22" s="847"/>
      <c r="F22" s="847"/>
      <c r="G22" s="847"/>
      <c r="H22" s="847"/>
      <c r="I22" s="847"/>
      <c r="J22" s="847"/>
      <c r="K22" s="847"/>
      <c r="L22" s="847"/>
      <c r="M22" s="847"/>
      <c r="N22" s="847"/>
      <c r="O22" s="847"/>
      <c r="P22" s="847"/>
      <c r="Q22" s="847"/>
      <c r="R22" s="847"/>
      <c r="S22" s="847"/>
      <c r="T22" s="847"/>
      <c r="U22" s="847"/>
      <c r="V22" s="847"/>
      <c r="W22" s="847"/>
      <c r="X22" s="847"/>
      <c r="Y22" s="847"/>
      <c r="Z22" s="847"/>
      <c r="AA22" s="847"/>
      <c r="AB22" s="847"/>
      <c r="AC22" s="847"/>
      <c r="AD22" s="847"/>
      <c r="AE22" s="847"/>
    </row>
    <row r="23" spans="1:31">
      <c r="A23" s="847"/>
      <c r="B23" s="847"/>
      <c r="C23" s="847"/>
      <c r="D23" s="847"/>
      <c r="E23" s="847"/>
      <c r="F23" s="847"/>
      <c r="G23" s="847"/>
      <c r="H23" s="847"/>
      <c r="I23" s="847"/>
      <c r="J23" s="847"/>
      <c r="K23" s="847"/>
      <c r="L23" s="847"/>
      <c r="M23" s="847"/>
      <c r="N23" s="847"/>
      <c r="O23" s="847"/>
      <c r="P23" s="847"/>
      <c r="Q23" s="847"/>
      <c r="R23" s="847"/>
      <c r="S23" s="847"/>
      <c r="T23" s="847"/>
      <c r="U23" s="847"/>
      <c r="V23" s="847"/>
      <c r="W23" s="847"/>
      <c r="X23" s="847"/>
      <c r="Y23" s="847"/>
      <c r="Z23" s="847"/>
      <c r="AA23" s="847"/>
      <c r="AB23" s="847"/>
      <c r="AC23" s="847"/>
      <c r="AD23" s="847"/>
      <c r="AE23" s="847"/>
    </row>
    <row r="24" spans="1:31">
      <c r="A24" s="847"/>
      <c r="B24" s="847"/>
      <c r="C24" s="847"/>
      <c r="D24" s="847"/>
      <c r="E24" s="847"/>
      <c r="F24" s="847"/>
      <c r="G24" s="847"/>
      <c r="H24" s="847"/>
      <c r="I24" s="847"/>
      <c r="J24" s="847"/>
      <c r="K24" s="847"/>
      <c r="L24" s="847"/>
      <c r="M24" s="847"/>
      <c r="N24" s="847"/>
      <c r="O24" s="847"/>
      <c r="P24" s="847"/>
      <c r="Q24" s="847"/>
      <c r="R24" s="847"/>
      <c r="S24" s="847"/>
      <c r="T24" s="847"/>
      <c r="U24" s="847"/>
      <c r="V24" s="847"/>
      <c r="W24" s="847"/>
      <c r="X24" s="847"/>
      <c r="Y24" s="847"/>
      <c r="Z24" s="847"/>
      <c r="AA24" s="847"/>
      <c r="AB24" s="847"/>
      <c r="AC24" s="847"/>
      <c r="AD24" s="847"/>
      <c r="AE24" s="847"/>
    </row>
    <row r="25" spans="1:31">
      <c r="A25" s="847"/>
      <c r="B25" s="847"/>
      <c r="C25" s="847"/>
      <c r="D25" s="847"/>
      <c r="E25" s="847"/>
      <c r="F25" s="847"/>
      <c r="G25" s="847"/>
      <c r="H25" s="847"/>
      <c r="I25" s="847"/>
      <c r="J25" s="847"/>
      <c r="K25" s="847"/>
      <c r="L25" s="847"/>
      <c r="M25" s="847"/>
      <c r="N25" s="847"/>
      <c r="O25" s="847"/>
      <c r="P25" s="847"/>
      <c r="Q25" s="847"/>
      <c r="R25" s="847"/>
      <c r="S25" s="847"/>
      <c r="T25" s="847"/>
      <c r="U25" s="847"/>
      <c r="V25" s="847"/>
      <c r="W25" s="847"/>
      <c r="X25" s="847"/>
      <c r="Y25" s="847"/>
      <c r="Z25" s="847"/>
      <c r="AA25" s="847"/>
      <c r="AB25" s="847"/>
      <c r="AC25" s="847"/>
      <c r="AD25" s="847"/>
      <c r="AE25" s="847"/>
    </row>
    <row r="26" spans="1:31">
      <c r="A26" s="847"/>
      <c r="B26" s="847"/>
      <c r="C26" s="847"/>
      <c r="D26" s="847"/>
      <c r="E26" s="847"/>
      <c r="F26" s="847"/>
      <c r="G26" s="847"/>
      <c r="H26" s="847"/>
      <c r="I26" s="847"/>
      <c r="J26" s="847"/>
      <c r="K26" s="847"/>
      <c r="L26" s="847"/>
      <c r="M26" s="847"/>
      <c r="N26" s="847"/>
      <c r="O26" s="847"/>
      <c r="P26" s="847"/>
      <c r="Q26" s="847"/>
      <c r="R26" s="847"/>
      <c r="S26" s="847"/>
      <c r="T26" s="847"/>
      <c r="U26" s="847"/>
      <c r="V26" s="847"/>
      <c r="W26" s="847"/>
      <c r="X26" s="847"/>
      <c r="Y26" s="847"/>
      <c r="Z26" s="847"/>
      <c r="AA26" s="847"/>
      <c r="AB26" s="847"/>
      <c r="AC26" s="847"/>
      <c r="AD26" s="847"/>
      <c r="AE26" s="847"/>
    </row>
    <row r="27" spans="1:31">
      <c r="A27" s="847"/>
      <c r="B27" s="847"/>
      <c r="C27" s="847"/>
      <c r="D27" s="847"/>
      <c r="E27" s="847"/>
      <c r="F27" s="847"/>
      <c r="G27" s="847"/>
      <c r="H27" s="847"/>
      <c r="I27" s="847"/>
      <c r="J27" s="847"/>
      <c r="K27" s="847"/>
      <c r="L27" s="847"/>
      <c r="M27" s="847"/>
      <c r="N27" s="847"/>
      <c r="O27" s="847"/>
      <c r="P27" s="847"/>
      <c r="Q27" s="847"/>
      <c r="R27" s="847"/>
      <c r="S27" s="847"/>
      <c r="T27" s="847"/>
      <c r="U27" s="847"/>
      <c r="V27" s="847"/>
      <c r="W27" s="847"/>
      <c r="X27" s="847"/>
      <c r="Y27" s="847"/>
      <c r="Z27" s="847"/>
      <c r="AA27" s="847"/>
      <c r="AB27" s="847"/>
      <c r="AC27" s="847"/>
      <c r="AD27" s="847"/>
      <c r="AE27" s="847"/>
    </row>
    <row r="28" spans="1:31">
      <c r="A28" s="847"/>
      <c r="B28" s="847"/>
      <c r="C28" s="847"/>
      <c r="D28" s="847"/>
      <c r="E28" s="847"/>
      <c r="F28" s="847"/>
      <c r="G28" s="847"/>
      <c r="H28" s="847"/>
      <c r="I28" s="847"/>
      <c r="J28" s="847"/>
      <c r="K28" s="847"/>
      <c r="L28" s="847"/>
      <c r="M28" s="847"/>
      <c r="N28" s="847"/>
      <c r="O28" s="847"/>
      <c r="P28" s="847"/>
      <c r="Q28" s="847"/>
      <c r="R28" s="847"/>
      <c r="S28" s="847"/>
      <c r="T28" s="847"/>
      <c r="U28" s="847"/>
      <c r="V28" s="847"/>
      <c r="W28" s="847"/>
      <c r="X28" s="847"/>
      <c r="Y28" s="847"/>
      <c r="Z28" s="847"/>
      <c r="AA28" s="847"/>
      <c r="AB28" s="847"/>
      <c r="AC28" s="847"/>
      <c r="AD28" s="847"/>
      <c r="AE28" s="847"/>
    </row>
    <row r="29" spans="1:31">
      <c r="A29" s="847"/>
      <c r="B29" s="847"/>
      <c r="C29" s="847"/>
      <c r="D29" s="847"/>
      <c r="E29" s="847"/>
      <c r="F29" s="847"/>
      <c r="G29" s="847"/>
      <c r="H29" s="847"/>
      <c r="I29" s="847"/>
      <c r="J29" s="847"/>
      <c r="K29" s="847"/>
      <c r="L29" s="847"/>
      <c r="M29" s="847"/>
      <c r="N29" s="847"/>
      <c r="O29" s="847"/>
      <c r="P29" s="847"/>
      <c r="Q29" s="847"/>
      <c r="R29" s="847"/>
      <c r="S29" s="847"/>
      <c r="T29" s="847"/>
      <c r="U29" s="847"/>
      <c r="V29" s="847"/>
      <c r="W29" s="847"/>
      <c r="X29" s="847"/>
      <c r="Y29" s="847"/>
      <c r="Z29" s="847"/>
      <c r="AA29" s="847"/>
      <c r="AB29" s="847"/>
      <c r="AC29" s="847"/>
      <c r="AD29" s="847"/>
      <c r="AE29" s="847"/>
    </row>
    <row r="30" spans="1:31">
      <c r="A30" s="847"/>
      <c r="B30" s="847"/>
      <c r="C30" s="847"/>
      <c r="D30" s="847"/>
      <c r="E30" s="847"/>
      <c r="F30" s="847"/>
      <c r="G30" s="847"/>
      <c r="H30" s="847"/>
      <c r="I30" s="847"/>
      <c r="J30" s="847"/>
      <c r="K30" s="847"/>
      <c r="L30" s="847"/>
      <c r="M30" s="847"/>
      <c r="N30" s="847"/>
      <c r="O30" s="847"/>
      <c r="P30" s="847"/>
      <c r="Q30" s="847"/>
      <c r="R30" s="847"/>
      <c r="S30" s="847"/>
      <c r="T30" s="847"/>
      <c r="U30" s="847"/>
      <c r="V30" s="847"/>
      <c r="W30" s="847"/>
      <c r="X30" s="847"/>
      <c r="Y30" s="847"/>
      <c r="Z30" s="847"/>
      <c r="AA30" s="847"/>
      <c r="AB30" s="847"/>
      <c r="AC30" s="847"/>
      <c r="AD30" s="847"/>
      <c r="AE30" s="847"/>
    </row>
    <row r="31" spans="1:31">
      <c r="A31" s="847"/>
      <c r="B31" s="847"/>
      <c r="C31" s="847"/>
      <c r="D31" s="847"/>
      <c r="E31" s="847"/>
      <c r="F31" s="847"/>
      <c r="G31" s="847"/>
      <c r="H31" s="847"/>
      <c r="I31" s="847"/>
      <c r="J31" s="847"/>
      <c r="K31" s="847"/>
      <c r="L31" s="847"/>
      <c r="M31" s="847"/>
      <c r="N31" s="847"/>
      <c r="O31" s="847"/>
      <c r="P31" s="847"/>
      <c r="Q31" s="847"/>
      <c r="R31" s="847"/>
      <c r="S31" s="847"/>
      <c r="T31" s="847"/>
      <c r="U31" s="847"/>
      <c r="V31" s="847"/>
      <c r="W31" s="847"/>
      <c r="X31" s="847"/>
      <c r="Y31" s="847"/>
      <c r="Z31" s="847"/>
      <c r="AA31" s="847"/>
      <c r="AB31" s="847"/>
      <c r="AC31" s="847"/>
      <c r="AD31" s="847"/>
      <c r="AE31" s="847"/>
    </row>
    <row r="32" spans="1:31">
      <c r="A32" s="847"/>
      <c r="B32" s="847"/>
      <c r="C32" s="847"/>
      <c r="D32" s="847"/>
      <c r="E32" s="847"/>
      <c r="F32" s="847"/>
      <c r="G32" s="847"/>
      <c r="H32" s="847"/>
      <c r="I32" s="847"/>
      <c r="J32" s="847"/>
      <c r="K32" s="847"/>
      <c r="L32" s="847"/>
      <c r="M32" s="847"/>
      <c r="N32" s="847"/>
      <c r="O32" s="847"/>
      <c r="P32" s="847"/>
      <c r="Q32" s="847"/>
      <c r="R32" s="847"/>
      <c r="S32" s="847"/>
      <c r="T32" s="847"/>
      <c r="U32" s="847"/>
      <c r="V32" s="847"/>
      <c r="W32" s="847"/>
      <c r="X32" s="847"/>
      <c r="Y32" s="847"/>
      <c r="Z32" s="847"/>
      <c r="AA32" s="847"/>
      <c r="AB32" s="847"/>
      <c r="AC32" s="847"/>
      <c r="AD32" s="847"/>
      <c r="AE32" s="847"/>
    </row>
    <row r="33" spans="1:31">
      <c r="A33" s="847"/>
      <c r="B33" s="847"/>
      <c r="C33" s="847"/>
      <c r="D33" s="847"/>
      <c r="E33" s="847"/>
      <c r="F33" s="847"/>
      <c r="G33" s="847"/>
      <c r="H33" s="847"/>
      <c r="I33" s="847"/>
      <c r="J33" s="847"/>
      <c r="K33" s="847"/>
      <c r="L33" s="847"/>
      <c r="M33" s="847"/>
      <c r="N33" s="847"/>
      <c r="O33" s="847"/>
      <c r="P33" s="847"/>
      <c r="Q33" s="847"/>
      <c r="R33" s="847"/>
      <c r="S33" s="847"/>
      <c r="T33" s="847"/>
      <c r="U33" s="847"/>
      <c r="V33" s="847"/>
      <c r="W33" s="847"/>
      <c r="X33" s="847"/>
      <c r="Y33" s="847"/>
      <c r="Z33" s="847"/>
      <c r="AA33" s="847"/>
      <c r="AB33" s="847"/>
      <c r="AC33" s="847"/>
      <c r="AD33" s="847"/>
      <c r="AE33" s="847"/>
    </row>
    <row r="34" spans="1:31">
      <c r="A34" s="847"/>
      <c r="B34" s="847"/>
      <c r="C34" s="847"/>
      <c r="D34" s="847"/>
      <c r="E34" s="847"/>
      <c r="F34" s="847"/>
      <c r="G34" s="847"/>
      <c r="H34" s="847"/>
      <c r="I34" s="847"/>
      <c r="J34" s="847"/>
      <c r="K34" s="847"/>
      <c r="L34" s="847"/>
      <c r="M34" s="847"/>
      <c r="N34" s="847"/>
      <c r="O34" s="847"/>
      <c r="P34" s="847"/>
      <c r="Q34" s="847"/>
      <c r="R34" s="847"/>
      <c r="S34" s="847"/>
      <c r="T34" s="847"/>
      <c r="U34" s="847"/>
      <c r="V34" s="847"/>
      <c r="W34" s="847"/>
      <c r="X34" s="847"/>
      <c r="Y34" s="847"/>
      <c r="Z34" s="847"/>
      <c r="AA34" s="847"/>
      <c r="AB34" s="847"/>
      <c r="AC34" s="847"/>
      <c r="AD34" s="847"/>
      <c r="AE34" s="847"/>
    </row>
    <row r="35" spans="1:31">
      <c r="A35" s="847"/>
      <c r="B35" s="847"/>
      <c r="C35" s="847"/>
      <c r="D35" s="847"/>
      <c r="E35" s="847"/>
      <c r="F35" s="847"/>
      <c r="G35" s="847"/>
      <c r="H35" s="847"/>
      <c r="I35" s="847"/>
      <c r="J35" s="847"/>
      <c r="K35" s="847"/>
      <c r="L35" s="847"/>
      <c r="M35" s="847"/>
      <c r="N35" s="847"/>
      <c r="O35" s="847"/>
      <c r="P35" s="847"/>
      <c r="Q35" s="847"/>
      <c r="R35" s="847"/>
      <c r="S35" s="847"/>
      <c r="T35" s="847"/>
      <c r="U35" s="847"/>
      <c r="V35" s="847"/>
      <c r="W35" s="847"/>
      <c r="X35" s="847"/>
      <c r="Y35" s="847"/>
      <c r="Z35" s="847"/>
      <c r="AA35" s="847"/>
      <c r="AB35" s="847"/>
      <c r="AC35" s="847"/>
      <c r="AD35" s="847"/>
      <c r="AE35" s="847"/>
    </row>
    <row r="36" spans="1:31">
      <c r="A36" s="847"/>
      <c r="B36" s="847"/>
      <c r="C36" s="847"/>
      <c r="D36" s="847"/>
      <c r="E36" s="847"/>
      <c r="F36" s="847"/>
      <c r="G36" s="847"/>
      <c r="H36" s="847"/>
      <c r="I36" s="847"/>
      <c r="J36" s="847"/>
      <c r="K36" s="847"/>
      <c r="L36" s="847"/>
      <c r="M36" s="847"/>
      <c r="N36" s="847"/>
      <c r="O36" s="847"/>
      <c r="P36" s="847"/>
      <c r="Q36" s="847"/>
      <c r="R36" s="847"/>
      <c r="S36" s="847"/>
      <c r="T36" s="847"/>
      <c r="U36" s="847"/>
      <c r="V36" s="847"/>
      <c r="W36" s="847"/>
      <c r="X36" s="847"/>
      <c r="Y36" s="847"/>
      <c r="Z36" s="847"/>
      <c r="AA36" s="847"/>
      <c r="AB36" s="847"/>
      <c r="AC36" s="847"/>
      <c r="AD36" s="847"/>
      <c r="AE36" s="847"/>
    </row>
    <row r="37" spans="1:31">
      <c r="A37" s="847"/>
      <c r="B37" s="847"/>
      <c r="C37" s="847"/>
      <c r="D37" s="847"/>
      <c r="E37" s="847"/>
      <c r="F37" s="847"/>
      <c r="G37" s="847"/>
      <c r="H37" s="847"/>
      <c r="I37" s="847"/>
      <c r="J37" s="847"/>
      <c r="K37" s="847"/>
      <c r="L37" s="847"/>
      <c r="M37" s="847"/>
      <c r="N37" s="847"/>
      <c r="O37" s="847"/>
      <c r="P37" s="847"/>
      <c r="Q37" s="847"/>
      <c r="R37" s="847"/>
      <c r="S37" s="847"/>
      <c r="T37" s="847"/>
      <c r="U37" s="847"/>
      <c r="V37" s="847"/>
      <c r="W37" s="847"/>
      <c r="X37" s="847"/>
      <c r="Y37" s="847"/>
      <c r="Z37" s="847"/>
      <c r="AA37" s="847"/>
      <c r="AB37" s="847"/>
      <c r="AC37" s="847"/>
      <c r="AD37" s="847"/>
      <c r="AE37" s="847"/>
    </row>
    <row r="38" spans="1:31">
      <c r="A38" s="847"/>
      <c r="B38" s="847"/>
      <c r="C38" s="847"/>
      <c r="D38" s="847"/>
      <c r="E38" s="847"/>
      <c r="F38" s="847"/>
      <c r="G38" s="847"/>
      <c r="H38" s="847"/>
      <c r="I38" s="847"/>
      <c r="J38" s="847"/>
      <c r="K38" s="847"/>
      <c r="L38" s="847"/>
      <c r="M38" s="847"/>
      <c r="N38" s="847"/>
      <c r="O38" s="847"/>
      <c r="P38" s="847"/>
      <c r="Q38" s="847"/>
      <c r="R38" s="847"/>
      <c r="S38" s="847"/>
      <c r="T38" s="847"/>
      <c r="U38" s="847"/>
      <c r="V38" s="847"/>
      <c r="W38" s="847"/>
      <c r="X38" s="847"/>
      <c r="Y38" s="847"/>
      <c r="Z38" s="847"/>
      <c r="AA38" s="847"/>
      <c r="AB38" s="847"/>
      <c r="AC38" s="847"/>
      <c r="AD38" s="847"/>
      <c r="AE38" s="847"/>
    </row>
    <row r="39" spans="1:31">
      <c r="A39" s="847"/>
      <c r="B39" s="847"/>
      <c r="C39" s="847"/>
      <c r="D39" s="847"/>
      <c r="E39" s="847"/>
      <c r="F39" s="847"/>
      <c r="G39" s="847"/>
      <c r="H39" s="847"/>
      <c r="I39" s="847"/>
      <c r="J39" s="847"/>
      <c r="K39" s="847"/>
      <c r="L39" s="847"/>
      <c r="M39" s="847"/>
      <c r="N39" s="847"/>
      <c r="O39" s="847"/>
      <c r="P39" s="847"/>
      <c r="Q39" s="847"/>
      <c r="R39" s="847"/>
      <c r="S39" s="847"/>
      <c r="T39" s="847"/>
      <c r="U39" s="847"/>
      <c r="V39" s="847"/>
      <c r="W39" s="847"/>
      <c r="X39" s="847"/>
      <c r="Y39" s="847"/>
      <c r="Z39" s="847"/>
      <c r="AA39" s="847"/>
      <c r="AB39" s="847"/>
      <c r="AC39" s="847"/>
      <c r="AD39" s="847"/>
      <c r="AE39" s="847"/>
    </row>
    <row r="40" spans="1:31">
      <c r="A40" s="847"/>
      <c r="B40" s="847"/>
      <c r="C40" s="847"/>
      <c r="D40" s="847"/>
      <c r="E40" s="847"/>
      <c r="F40" s="847"/>
      <c r="G40" s="847"/>
      <c r="H40" s="847"/>
      <c r="I40" s="847"/>
      <c r="J40" s="847"/>
      <c r="K40" s="847"/>
      <c r="L40" s="847"/>
      <c r="M40" s="847"/>
      <c r="N40" s="847"/>
      <c r="O40" s="847"/>
      <c r="P40" s="847"/>
      <c r="Q40" s="847"/>
      <c r="R40" s="847"/>
      <c r="S40" s="847"/>
      <c r="T40" s="847"/>
      <c r="U40" s="847"/>
      <c r="V40" s="847"/>
      <c r="W40" s="847"/>
      <c r="X40" s="847"/>
      <c r="Y40" s="847"/>
      <c r="Z40" s="847"/>
      <c r="AA40" s="847"/>
      <c r="AB40" s="847"/>
      <c r="AC40" s="847"/>
      <c r="AD40" s="847"/>
      <c r="AE40" s="847"/>
    </row>
    <row r="41" spans="1:31">
      <c r="A41" s="847"/>
      <c r="B41" s="847"/>
      <c r="C41" s="847"/>
      <c r="D41" s="847"/>
      <c r="E41" s="847"/>
      <c r="F41" s="847"/>
      <c r="G41" s="847"/>
      <c r="H41" s="847"/>
      <c r="I41" s="847"/>
      <c r="J41" s="847"/>
      <c r="K41" s="847"/>
      <c r="L41" s="847"/>
      <c r="M41" s="847"/>
      <c r="N41" s="847"/>
      <c r="O41" s="847"/>
      <c r="P41" s="847"/>
      <c r="Q41" s="847"/>
      <c r="R41" s="847"/>
      <c r="S41" s="847"/>
      <c r="T41" s="847"/>
      <c r="U41" s="847"/>
      <c r="V41" s="847"/>
      <c r="W41" s="847"/>
      <c r="X41" s="847"/>
      <c r="Y41" s="847"/>
      <c r="Z41" s="847"/>
      <c r="AA41" s="847"/>
      <c r="AB41" s="847"/>
      <c r="AC41" s="847"/>
      <c r="AD41" s="847"/>
      <c r="AE41" s="847"/>
    </row>
    <row r="42" spans="1:31">
      <c r="A42" s="847"/>
      <c r="B42" s="847"/>
      <c r="C42" s="847"/>
      <c r="D42" s="847"/>
      <c r="E42" s="847"/>
      <c r="F42" s="847"/>
      <c r="G42" s="847"/>
      <c r="H42" s="847"/>
      <c r="I42" s="847"/>
      <c r="J42" s="847"/>
      <c r="K42" s="847"/>
      <c r="L42" s="847"/>
      <c r="M42" s="847"/>
      <c r="N42" s="847"/>
      <c r="O42" s="847"/>
      <c r="P42" s="847"/>
      <c r="Q42" s="847"/>
      <c r="R42" s="847"/>
      <c r="S42" s="847"/>
      <c r="T42" s="847"/>
      <c r="U42" s="847"/>
      <c r="V42" s="847"/>
      <c r="W42" s="847"/>
      <c r="X42" s="847"/>
      <c r="Y42" s="847"/>
      <c r="Z42" s="847"/>
      <c r="AA42" s="847"/>
      <c r="AB42" s="847"/>
      <c r="AC42" s="847"/>
      <c r="AD42" s="847"/>
      <c r="AE42" s="847"/>
    </row>
    <row r="43" spans="1:31">
      <c r="A43" s="847"/>
      <c r="B43" s="847"/>
      <c r="C43" s="847"/>
      <c r="D43" s="847"/>
      <c r="E43" s="847"/>
      <c r="F43" s="847"/>
      <c r="G43" s="847"/>
      <c r="H43" s="847"/>
      <c r="I43" s="847"/>
      <c r="J43" s="847"/>
      <c r="K43" s="847"/>
      <c r="L43" s="847"/>
      <c r="M43" s="847"/>
      <c r="N43" s="847"/>
      <c r="O43" s="847"/>
      <c r="P43" s="847"/>
      <c r="Q43" s="847"/>
      <c r="R43" s="847"/>
      <c r="S43" s="847"/>
      <c r="T43" s="847"/>
      <c r="U43" s="847"/>
      <c r="V43" s="847"/>
      <c r="W43" s="847"/>
      <c r="X43" s="847"/>
      <c r="Y43" s="847"/>
      <c r="Z43" s="847"/>
      <c r="AA43" s="847"/>
      <c r="AB43" s="847"/>
      <c r="AC43" s="847"/>
      <c r="AD43" s="847"/>
      <c r="AE43" s="847"/>
    </row>
    <row r="44" spans="1:31">
      <c r="A44" s="847"/>
      <c r="B44" s="847"/>
      <c r="C44" s="847"/>
      <c r="D44" s="847"/>
      <c r="E44" s="847"/>
      <c r="F44" s="847"/>
      <c r="G44" s="847"/>
      <c r="H44" s="847"/>
      <c r="I44" s="847"/>
      <c r="J44" s="847"/>
      <c r="K44" s="847"/>
      <c r="L44" s="847"/>
      <c r="M44" s="847"/>
      <c r="N44" s="847"/>
      <c r="O44" s="847"/>
      <c r="P44" s="847"/>
      <c r="Q44" s="847"/>
      <c r="R44" s="847"/>
      <c r="S44" s="847"/>
      <c r="T44" s="847"/>
      <c r="U44" s="847"/>
      <c r="V44" s="847"/>
      <c r="W44" s="847"/>
      <c r="X44" s="847"/>
      <c r="Y44" s="847"/>
      <c r="Z44" s="847"/>
      <c r="AA44" s="847"/>
      <c r="AB44" s="847"/>
      <c r="AC44" s="847"/>
      <c r="AD44" s="847"/>
      <c r="AE44" s="847"/>
    </row>
    <row r="45" spans="1:31">
      <c r="A45" s="847"/>
      <c r="B45" s="847"/>
      <c r="C45" s="847"/>
      <c r="D45" s="847"/>
      <c r="E45" s="847"/>
      <c r="F45" s="847"/>
      <c r="G45" s="847"/>
      <c r="H45" s="847"/>
      <c r="I45" s="847"/>
      <c r="J45" s="847"/>
      <c r="K45" s="847"/>
      <c r="L45" s="847"/>
      <c r="M45" s="847"/>
      <c r="N45" s="847"/>
      <c r="O45" s="847"/>
      <c r="P45" s="847"/>
      <c r="Q45" s="847"/>
      <c r="R45" s="847"/>
      <c r="S45" s="847"/>
      <c r="T45" s="847"/>
      <c r="U45" s="847"/>
      <c r="V45" s="847"/>
      <c r="W45" s="847"/>
      <c r="X45" s="847"/>
      <c r="Y45" s="847"/>
      <c r="Z45" s="847"/>
      <c r="AA45" s="847"/>
      <c r="AB45" s="847"/>
      <c r="AC45" s="847"/>
      <c r="AD45" s="847"/>
      <c r="AE45" s="847"/>
    </row>
    <row r="46" spans="1:31">
      <c r="A46" s="847"/>
      <c r="B46" s="847"/>
      <c r="C46" s="847"/>
      <c r="D46" s="847"/>
      <c r="E46" s="847"/>
      <c r="F46" s="847"/>
      <c r="G46" s="847"/>
      <c r="H46" s="847"/>
      <c r="I46" s="847"/>
      <c r="J46" s="847"/>
      <c r="K46" s="847"/>
      <c r="L46" s="847"/>
      <c r="M46" s="847"/>
      <c r="N46" s="847"/>
      <c r="O46" s="847"/>
      <c r="P46" s="847"/>
      <c r="Q46" s="847"/>
      <c r="R46" s="847"/>
      <c r="S46" s="847"/>
      <c r="T46" s="847"/>
      <c r="U46" s="847"/>
      <c r="V46" s="847"/>
      <c r="W46" s="847"/>
      <c r="X46" s="847"/>
      <c r="Y46" s="847"/>
      <c r="Z46" s="847"/>
      <c r="AA46" s="847"/>
      <c r="AB46" s="847"/>
      <c r="AC46" s="847"/>
      <c r="AD46" s="847"/>
      <c r="AE46" s="847"/>
    </row>
    <row r="47" spans="1:31">
      <c r="A47" s="847"/>
      <c r="B47" s="847"/>
      <c r="C47" s="847"/>
      <c r="D47" s="847"/>
      <c r="E47" s="847"/>
      <c r="F47" s="847"/>
      <c r="G47" s="847"/>
      <c r="H47" s="847"/>
      <c r="I47" s="847"/>
      <c r="J47" s="847"/>
      <c r="K47" s="847"/>
      <c r="L47" s="847"/>
      <c r="M47" s="847"/>
      <c r="N47" s="847"/>
      <c r="O47" s="847"/>
      <c r="P47" s="847"/>
      <c r="Q47" s="847"/>
      <c r="R47" s="847"/>
      <c r="S47" s="847"/>
      <c r="T47" s="847"/>
      <c r="U47" s="847"/>
      <c r="V47" s="847"/>
      <c r="W47" s="847"/>
      <c r="X47" s="847"/>
      <c r="Y47" s="847"/>
      <c r="Z47" s="847"/>
      <c r="AA47" s="847"/>
      <c r="AB47" s="847"/>
      <c r="AC47" s="847"/>
      <c r="AD47" s="847"/>
      <c r="AE47" s="847"/>
    </row>
    <row r="48" spans="1:31">
      <c r="A48" s="847"/>
      <c r="B48" s="847"/>
      <c r="C48" s="847"/>
      <c r="D48" s="847"/>
      <c r="E48" s="847"/>
      <c r="F48" s="847"/>
      <c r="G48" s="847"/>
      <c r="H48" s="847"/>
      <c r="I48" s="847"/>
      <c r="J48" s="847"/>
      <c r="K48" s="847"/>
      <c r="L48" s="847"/>
      <c r="M48" s="847"/>
      <c r="N48" s="847"/>
      <c r="O48" s="847"/>
      <c r="P48" s="847"/>
      <c r="Q48" s="847"/>
      <c r="R48" s="847"/>
      <c r="S48" s="847"/>
      <c r="T48" s="847"/>
      <c r="U48" s="847"/>
      <c r="V48" s="847"/>
      <c r="W48" s="847"/>
      <c r="X48" s="847"/>
      <c r="Y48" s="847"/>
      <c r="Z48" s="847"/>
      <c r="AA48" s="847"/>
      <c r="AB48" s="847"/>
      <c r="AC48" s="847"/>
      <c r="AD48" s="847"/>
      <c r="AE48" s="847"/>
    </row>
    <row r="49" spans="1:31">
      <c r="A49" s="847"/>
      <c r="B49" s="847"/>
      <c r="C49" s="847"/>
      <c r="D49" s="847"/>
      <c r="E49" s="847"/>
      <c r="F49" s="847"/>
      <c r="G49" s="847"/>
      <c r="H49" s="847"/>
      <c r="I49" s="847"/>
      <c r="J49" s="847"/>
      <c r="K49" s="847"/>
      <c r="L49" s="847"/>
      <c r="M49" s="847"/>
      <c r="N49" s="847"/>
      <c r="O49" s="847"/>
      <c r="P49" s="847"/>
      <c r="Q49" s="847"/>
      <c r="R49" s="847"/>
      <c r="S49" s="847"/>
      <c r="T49" s="847"/>
      <c r="U49" s="847"/>
      <c r="V49" s="847"/>
      <c r="W49" s="847"/>
      <c r="X49" s="847"/>
      <c r="Y49" s="847"/>
      <c r="Z49" s="847"/>
      <c r="AA49" s="847"/>
      <c r="AB49" s="847"/>
      <c r="AC49" s="847"/>
      <c r="AD49" s="847"/>
      <c r="AE49" s="847"/>
    </row>
    <row r="50" spans="1:31">
      <c r="A50" s="847"/>
      <c r="B50" s="847"/>
      <c r="C50" s="847"/>
      <c r="D50" s="847"/>
      <c r="E50" s="847"/>
      <c r="F50" s="847"/>
      <c r="G50" s="847"/>
      <c r="H50" s="847"/>
      <c r="I50" s="847"/>
      <c r="J50" s="847"/>
      <c r="K50" s="847"/>
      <c r="L50" s="847"/>
      <c r="M50" s="847"/>
      <c r="N50" s="847"/>
      <c r="O50" s="847"/>
      <c r="P50" s="847"/>
      <c r="Q50" s="847"/>
      <c r="R50" s="847"/>
      <c r="S50" s="847"/>
      <c r="T50" s="847"/>
      <c r="U50" s="847"/>
      <c r="V50" s="847"/>
      <c r="W50" s="847"/>
      <c r="X50" s="847"/>
      <c r="Y50" s="847"/>
      <c r="Z50" s="847"/>
      <c r="AA50" s="847"/>
      <c r="AB50" s="847"/>
      <c r="AC50" s="847"/>
      <c r="AD50" s="847"/>
      <c r="AE50" s="847"/>
    </row>
    <row r="51" spans="1:31">
      <c r="A51" s="847"/>
      <c r="B51" s="847"/>
      <c r="C51" s="847"/>
      <c r="D51" s="847"/>
      <c r="E51" s="847"/>
      <c r="F51" s="847"/>
      <c r="G51" s="847"/>
      <c r="H51" s="847"/>
      <c r="I51" s="847"/>
      <c r="J51" s="847"/>
      <c r="K51" s="847"/>
      <c r="L51" s="847"/>
      <c r="M51" s="847"/>
      <c r="N51" s="847"/>
      <c r="O51" s="847"/>
      <c r="P51" s="847"/>
      <c r="Q51" s="847"/>
      <c r="R51" s="847"/>
      <c r="S51" s="847"/>
      <c r="T51" s="847"/>
      <c r="U51" s="847"/>
      <c r="V51" s="847"/>
      <c r="W51" s="847"/>
      <c r="X51" s="847"/>
      <c r="Y51" s="847"/>
      <c r="Z51" s="847"/>
      <c r="AA51" s="847"/>
      <c r="AB51" s="847"/>
      <c r="AC51" s="847"/>
      <c r="AD51" s="847"/>
      <c r="AE51" s="847"/>
    </row>
    <row r="52" spans="1:31">
      <c r="A52" s="847"/>
      <c r="B52" s="847"/>
      <c r="C52" s="847"/>
      <c r="D52" s="847"/>
      <c r="E52" s="847"/>
      <c r="F52" s="847"/>
      <c r="G52" s="847"/>
      <c r="H52" s="847"/>
      <c r="I52" s="847"/>
      <c r="J52" s="847"/>
      <c r="K52" s="847"/>
      <c r="L52" s="847"/>
      <c r="M52" s="847"/>
      <c r="N52" s="847"/>
      <c r="O52" s="847"/>
      <c r="P52" s="847"/>
      <c r="Q52" s="847"/>
      <c r="R52" s="847"/>
      <c r="S52" s="847"/>
      <c r="T52" s="847"/>
      <c r="U52" s="847"/>
      <c r="V52" s="847"/>
      <c r="W52" s="847"/>
      <c r="X52" s="847"/>
      <c r="Y52" s="847"/>
      <c r="Z52" s="847"/>
      <c r="AA52" s="847"/>
      <c r="AB52" s="847"/>
      <c r="AC52" s="847"/>
      <c r="AD52" s="847"/>
      <c r="AE52" s="847"/>
    </row>
    <row r="53" spans="1:31">
      <c r="A53" s="847"/>
      <c r="B53" s="847"/>
      <c r="C53" s="847"/>
      <c r="D53" s="847"/>
      <c r="E53" s="847"/>
      <c r="F53" s="847"/>
      <c r="G53" s="847"/>
      <c r="H53" s="847"/>
      <c r="I53" s="847"/>
      <c r="J53" s="847"/>
      <c r="K53" s="847"/>
      <c r="L53" s="847"/>
      <c r="M53" s="847"/>
      <c r="N53" s="847"/>
      <c r="O53" s="847"/>
      <c r="P53" s="847"/>
      <c r="Q53" s="847"/>
      <c r="R53" s="847"/>
      <c r="S53" s="847"/>
      <c r="T53" s="847"/>
      <c r="U53" s="847"/>
      <c r="V53" s="847"/>
      <c r="W53" s="847"/>
      <c r="X53" s="847"/>
      <c r="Y53" s="847"/>
      <c r="Z53" s="847"/>
      <c r="AA53" s="847"/>
      <c r="AB53" s="847"/>
      <c r="AC53" s="847"/>
      <c r="AD53" s="847"/>
      <c r="AE53" s="847"/>
    </row>
    <row r="54" spans="1:31">
      <c r="A54" s="847"/>
      <c r="B54" s="847"/>
      <c r="C54" s="847"/>
      <c r="D54" s="847"/>
      <c r="E54" s="847"/>
      <c r="F54" s="847"/>
      <c r="G54" s="847"/>
      <c r="H54" s="847"/>
      <c r="I54" s="847"/>
      <c r="J54" s="847"/>
      <c r="K54" s="847"/>
      <c r="L54" s="847"/>
      <c r="M54" s="847"/>
      <c r="N54" s="847"/>
      <c r="O54" s="847"/>
      <c r="P54" s="847"/>
      <c r="Q54" s="847"/>
      <c r="R54" s="847"/>
      <c r="S54" s="847"/>
      <c r="T54" s="847"/>
      <c r="U54" s="847"/>
      <c r="V54" s="847"/>
      <c r="W54" s="847"/>
      <c r="X54" s="847"/>
      <c r="Y54" s="847"/>
      <c r="Z54" s="847"/>
      <c r="AA54" s="847"/>
      <c r="AB54" s="847"/>
      <c r="AC54" s="847"/>
      <c r="AD54" s="847"/>
      <c r="AE54" s="847"/>
    </row>
    <row r="55" spans="1:31">
      <c r="A55" s="847"/>
      <c r="B55" s="847"/>
      <c r="C55" s="847"/>
      <c r="D55" s="847"/>
      <c r="E55" s="847"/>
      <c r="F55" s="847"/>
      <c r="G55" s="847"/>
      <c r="H55" s="847"/>
      <c r="I55" s="847"/>
      <c r="J55" s="847"/>
      <c r="K55" s="847"/>
      <c r="L55" s="847"/>
      <c r="M55" s="847"/>
      <c r="N55" s="847"/>
      <c r="O55" s="847"/>
      <c r="P55" s="847"/>
      <c r="Q55" s="847"/>
      <c r="R55" s="847"/>
      <c r="S55" s="847"/>
      <c r="T55" s="847"/>
      <c r="U55" s="847"/>
      <c r="V55" s="847"/>
      <c r="W55" s="847"/>
      <c r="X55" s="847"/>
      <c r="Y55" s="847"/>
      <c r="Z55" s="847"/>
      <c r="AA55" s="847"/>
      <c r="AB55" s="847"/>
      <c r="AC55" s="847"/>
      <c r="AD55" s="847"/>
      <c r="AE55" s="847"/>
    </row>
    <row r="56" spans="1:31">
      <c r="A56" s="847"/>
      <c r="B56" s="847"/>
      <c r="C56" s="847"/>
      <c r="D56" s="847"/>
      <c r="E56" s="847"/>
      <c r="F56" s="847"/>
      <c r="G56" s="847"/>
      <c r="H56" s="847"/>
      <c r="I56" s="847"/>
      <c r="J56" s="847"/>
      <c r="K56" s="847"/>
      <c r="L56" s="847"/>
      <c r="M56" s="847"/>
      <c r="N56" s="847"/>
      <c r="O56" s="847"/>
      <c r="P56" s="847"/>
      <c r="Q56" s="847"/>
      <c r="R56" s="847"/>
      <c r="S56" s="847"/>
      <c r="T56" s="847"/>
      <c r="U56" s="847"/>
      <c r="V56" s="847"/>
      <c r="W56" s="847"/>
      <c r="X56" s="847"/>
      <c r="Y56" s="847"/>
      <c r="Z56" s="847"/>
      <c r="AA56" s="847"/>
      <c r="AB56" s="847"/>
      <c r="AC56" s="847"/>
      <c r="AD56" s="847"/>
      <c r="AE56" s="847"/>
    </row>
    <row r="57" spans="1:31">
      <c r="A57" s="847"/>
      <c r="B57" s="847"/>
      <c r="C57" s="847"/>
      <c r="D57" s="847"/>
      <c r="E57" s="847"/>
      <c r="F57" s="847"/>
      <c r="G57" s="847"/>
      <c r="H57" s="847"/>
      <c r="I57" s="847"/>
      <c r="J57" s="847"/>
      <c r="K57" s="847"/>
      <c r="L57" s="847"/>
      <c r="M57" s="847"/>
      <c r="N57" s="847"/>
      <c r="O57" s="847"/>
      <c r="P57" s="847"/>
      <c r="Q57" s="847"/>
      <c r="R57" s="847"/>
      <c r="S57" s="847"/>
      <c r="T57" s="847"/>
      <c r="U57" s="847"/>
      <c r="V57" s="847"/>
      <c r="W57" s="847"/>
      <c r="X57" s="847"/>
      <c r="Y57" s="847"/>
      <c r="Z57" s="847"/>
      <c r="AA57" s="847"/>
      <c r="AB57" s="847"/>
      <c r="AC57" s="847"/>
      <c r="AD57" s="847"/>
      <c r="AE57" s="847"/>
    </row>
    <row r="58" spans="1:31">
      <c r="A58" s="847"/>
      <c r="B58" s="847"/>
      <c r="C58" s="847"/>
      <c r="D58" s="847"/>
      <c r="E58" s="847"/>
      <c r="F58" s="847"/>
      <c r="G58" s="847"/>
      <c r="H58" s="847"/>
      <c r="I58" s="847"/>
      <c r="J58" s="847"/>
      <c r="K58" s="847"/>
      <c r="L58" s="847"/>
      <c r="M58" s="847"/>
      <c r="N58" s="847"/>
      <c r="O58" s="847"/>
      <c r="P58" s="847"/>
      <c r="Q58" s="847"/>
      <c r="R58" s="847"/>
      <c r="S58" s="847"/>
      <c r="T58" s="847"/>
      <c r="U58" s="847"/>
      <c r="V58" s="847"/>
      <c r="W58" s="847"/>
      <c r="X58" s="847"/>
      <c r="Y58" s="847"/>
      <c r="Z58" s="847"/>
      <c r="AA58" s="847"/>
      <c r="AB58" s="847"/>
      <c r="AC58" s="847"/>
      <c r="AD58" s="847"/>
      <c r="AE58" s="847"/>
    </row>
    <row r="59" spans="1:31">
      <c r="A59" s="847"/>
      <c r="B59" s="847"/>
      <c r="C59" s="847"/>
      <c r="D59" s="847"/>
      <c r="E59" s="847"/>
      <c r="F59" s="847"/>
      <c r="G59" s="847"/>
      <c r="H59" s="847"/>
      <c r="I59" s="847"/>
      <c r="J59" s="847"/>
      <c r="K59" s="847"/>
      <c r="L59" s="847"/>
      <c r="M59" s="847"/>
      <c r="N59" s="847"/>
      <c r="O59" s="847"/>
      <c r="P59" s="847"/>
      <c r="Q59" s="847"/>
      <c r="R59" s="847"/>
      <c r="S59" s="847"/>
      <c r="T59" s="847"/>
      <c r="U59" s="847"/>
      <c r="V59" s="847"/>
      <c r="W59" s="847"/>
      <c r="X59" s="847"/>
      <c r="Y59" s="847"/>
      <c r="Z59" s="847"/>
      <c r="AA59" s="847"/>
      <c r="AB59" s="847"/>
      <c r="AC59" s="847"/>
      <c r="AD59" s="847"/>
      <c r="AE59" s="847"/>
    </row>
    <row r="60" spans="1:31">
      <c r="A60" s="847"/>
      <c r="B60" s="847"/>
      <c r="C60" s="847"/>
      <c r="D60" s="847"/>
      <c r="E60" s="847"/>
      <c r="F60" s="847"/>
      <c r="G60" s="847"/>
      <c r="H60" s="847"/>
      <c r="I60" s="847"/>
      <c r="J60" s="847"/>
      <c r="K60" s="847"/>
      <c r="L60" s="847"/>
      <c r="M60" s="847"/>
      <c r="N60" s="847"/>
      <c r="O60" s="847"/>
      <c r="P60" s="847"/>
      <c r="Q60" s="847"/>
      <c r="R60" s="847"/>
      <c r="S60" s="847"/>
      <c r="T60" s="847"/>
      <c r="U60" s="847"/>
      <c r="V60" s="847"/>
      <c r="W60" s="847"/>
      <c r="X60" s="847"/>
      <c r="Y60" s="847"/>
      <c r="Z60" s="847"/>
      <c r="AA60" s="847"/>
      <c r="AB60" s="847"/>
      <c r="AC60" s="847"/>
      <c r="AD60" s="847"/>
      <c r="AE60" s="847"/>
    </row>
    <row r="61" spans="1:31">
      <c r="A61" s="847"/>
      <c r="B61" s="847"/>
      <c r="C61" s="847"/>
      <c r="D61" s="847"/>
      <c r="E61" s="847"/>
      <c r="F61" s="847"/>
      <c r="G61" s="847"/>
      <c r="H61" s="847"/>
      <c r="I61" s="847"/>
      <c r="J61" s="847"/>
      <c r="K61" s="847"/>
      <c r="L61" s="847"/>
      <c r="M61" s="847"/>
      <c r="N61" s="847"/>
      <c r="O61" s="847"/>
      <c r="P61" s="847"/>
      <c r="Q61" s="847"/>
      <c r="R61" s="847"/>
      <c r="S61" s="847"/>
      <c r="T61" s="847"/>
      <c r="U61" s="847"/>
      <c r="V61" s="847"/>
      <c r="W61" s="847"/>
      <c r="X61" s="847"/>
      <c r="Y61" s="847"/>
      <c r="Z61" s="847"/>
      <c r="AA61" s="847"/>
      <c r="AB61" s="847"/>
      <c r="AC61" s="847"/>
      <c r="AD61" s="847"/>
      <c r="AE61" s="847"/>
    </row>
    <row r="62" spans="1:31">
      <c r="A62" s="847"/>
      <c r="B62" s="847"/>
      <c r="C62" s="847"/>
      <c r="D62" s="847"/>
      <c r="E62" s="847"/>
      <c r="F62" s="847"/>
      <c r="G62" s="847"/>
      <c r="H62" s="847"/>
      <c r="I62" s="847"/>
      <c r="J62" s="847"/>
      <c r="K62" s="847"/>
      <c r="L62" s="847"/>
      <c r="M62" s="847"/>
      <c r="N62" s="847"/>
      <c r="O62" s="847"/>
      <c r="P62" s="847"/>
      <c r="Q62" s="847"/>
      <c r="R62" s="847"/>
      <c r="S62" s="847"/>
      <c r="T62" s="847"/>
      <c r="U62" s="847"/>
      <c r="V62" s="847"/>
      <c r="W62" s="847"/>
      <c r="X62" s="847"/>
      <c r="Y62" s="847"/>
      <c r="Z62" s="847"/>
      <c r="AA62" s="847"/>
      <c r="AB62" s="847"/>
      <c r="AC62" s="847"/>
      <c r="AD62" s="847"/>
      <c r="AE62" s="847"/>
    </row>
    <row r="63" spans="1:31">
      <c r="A63" s="847"/>
      <c r="B63" s="847"/>
      <c r="C63" s="847"/>
      <c r="D63" s="847"/>
      <c r="E63" s="847"/>
      <c r="F63" s="847"/>
      <c r="G63" s="847"/>
      <c r="H63" s="847"/>
      <c r="I63" s="847"/>
      <c r="J63" s="847"/>
      <c r="K63" s="847"/>
      <c r="L63" s="847"/>
      <c r="M63" s="847"/>
      <c r="N63" s="847"/>
      <c r="O63" s="847"/>
      <c r="P63" s="847"/>
      <c r="Q63" s="847"/>
      <c r="R63" s="847"/>
      <c r="S63" s="847"/>
      <c r="T63" s="847"/>
      <c r="U63" s="847"/>
      <c r="V63" s="847"/>
      <c r="W63" s="847"/>
      <c r="X63" s="847"/>
      <c r="Y63" s="847"/>
      <c r="Z63" s="847"/>
      <c r="AA63" s="847"/>
      <c r="AB63" s="847"/>
      <c r="AC63" s="847"/>
      <c r="AD63" s="847"/>
      <c r="AE63" s="847"/>
    </row>
    <row r="64" spans="1:31">
      <c r="A64" s="847"/>
      <c r="B64" s="847"/>
      <c r="C64" s="847"/>
      <c r="D64" s="847"/>
      <c r="E64" s="847"/>
      <c r="F64" s="847"/>
      <c r="G64" s="847"/>
      <c r="H64" s="847"/>
      <c r="I64" s="847"/>
      <c r="J64" s="847"/>
      <c r="K64" s="847"/>
      <c r="L64" s="847"/>
      <c r="M64" s="847"/>
      <c r="N64" s="847"/>
      <c r="O64" s="847"/>
      <c r="P64" s="847"/>
      <c r="Q64" s="847"/>
      <c r="R64" s="847"/>
      <c r="S64" s="847"/>
      <c r="T64" s="847"/>
      <c r="U64" s="847"/>
      <c r="V64" s="847"/>
      <c r="W64" s="847"/>
      <c r="X64" s="847"/>
      <c r="Y64" s="847"/>
      <c r="Z64" s="847"/>
      <c r="AA64" s="847"/>
      <c r="AB64" s="847"/>
      <c r="AC64" s="847"/>
      <c r="AD64" s="847"/>
      <c r="AE64" s="847"/>
    </row>
    <row r="65" spans="1:31">
      <c r="A65" s="847"/>
      <c r="B65" s="847"/>
      <c r="C65" s="847"/>
      <c r="D65" s="847"/>
      <c r="E65" s="847"/>
      <c r="F65" s="847"/>
      <c r="G65" s="847"/>
      <c r="H65" s="847"/>
      <c r="I65" s="847"/>
      <c r="J65" s="847"/>
      <c r="K65" s="847"/>
      <c r="L65" s="847"/>
      <c r="M65" s="847"/>
      <c r="N65" s="847"/>
      <c r="O65" s="847"/>
      <c r="P65" s="847"/>
      <c r="Q65" s="847"/>
      <c r="R65" s="847"/>
      <c r="S65" s="847"/>
      <c r="T65" s="847"/>
      <c r="U65" s="847"/>
      <c r="V65" s="847"/>
      <c r="W65" s="847"/>
      <c r="X65" s="847"/>
      <c r="Y65" s="847"/>
      <c r="Z65" s="847"/>
      <c r="AA65" s="847"/>
      <c r="AB65" s="847"/>
      <c r="AC65" s="847"/>
      <c r="AD65" s="847"/>
      <c r="AE65" s="847"/>
    </row>
    <row r="66" spans="1:31">
      <c r="A66" s="847"/>
      <c r="B66" s="847"/>
      <c r="C66" s="847"/>
      <c r="D66" s="847"/>
      <c r="E66" s="847"/>
      <c r="F66" s="847"/>
      <c r="G66" s="847"/>
      <c r="H66" s="847"/>
      <c r="I66" s="847"/>
      <c r="J66" s="847"/>
      <c r="K66" s="847"/>
      <c r="L66" s="847"/>
      <c r="M66" s="847"/>
      <c r="N66" s="847"/>
      <c r="O66" s="847"/>
      <c r="P66" s="847"/>
      <c r="Q66" s="847"/>
      <c r="R66" s="847"/>
      <c r="S66" s="847"/>
      <c r="T66" s="847"/>
      <c r="U66" s="847"/>
      <c r="V66" s="847"/>
      <c r="W66" s="847"/>
      <c r="X66" s="847"/>
      <c r="Y66" s="847"/>
      <c r="Z66" s="847"/>
      <c r="AA66" s="847"/>
      <c r="AB66" s="847"/>
      <c r="AC66" s="847"/>
      <c r="AD66" s="847"/>
      <c r="AE66" s="847"/>
    </row>
    <row r="67" spans="1:31">
      <c r="A67" s="847"/>
      <c r="B67" s="847"/>
      <c r="C67" s="847"/>
      <c r="D67" s="847"/>
      <c r="E67" s="847"/>
      <c r="F67" s="847"/>
      <c r="G67" s="847"/>
      <c r="H67" s="847"/>
      <c r="I67" s="847"/>
      <c r="J67" s="847"/>
      <c r="K67" s="847"/>
      <c r="L67" s="847"/>
      <c r="M67" s="847"/>
      <c r="N67" s="847"/>
      <c r="O67" s="847"/>
      <c r="P67" s="847"/>
      <c r="Q67" s="847"/>
      <c r="R67" s="847"/>
      <c r="S67" s="847"/>
      <c r="T67" s="847"/>
      <c r="U67" s="847"/>
      <c r="V67" s="847"/>
      <c r="W67" s="847"/>
      <c r="X67" s="847"/>
      <c r="Y67" s="847"/>
      <c r="Z67" s="847"/>
      <c r="AA67" s="847"/>
      <c r="AB67" s="847"/>
      <c r="AC67" s="847"/>
      <c r="AD67" s="847"/>
      <c r="AE67" s="847"/>
    </row>
    <row r="68" spans="1:31">
      <c r="A68" s="847"/>
      <c r="B68" s="847"/>
      <c r="C68" s="847"/>
      <c r="D68" s="847"/>
      <c r="E68" s="847"/>
      <c r="F68" s="847"/>
      <c r="G68" s="847"/>
      <c r="H68" s="847"/>
      <c r="I68" s="847"/>
      <c r="J68" s="847"/>
      <c r="K68" s="847"/>
      <c r="L68" s="847"/>
      <c r="M68" s="847"/>
      <c r="N68" s="847"/>
      <c r="O68" s="847"/>
      <c r="P68" s="847"/>
      <c r="Q68" s="847"/>
      <c r="R68" s="847"/>
      <c r="S68" s="847"/>
      <c r="T68" s="847"/>
      <c r="U68" s="847"/>
      <c r="V68" s="847"/>
      <c r="W68" s="847"/>
      <c r="X68" s="847"/>
      <c r="Y68" s="847"/>
      <c r="Z68" s="847"/>
      <c r="AA68" s="847"/>
      <c r="AB68" s="847"/>
      <c r="AC68" s="847"/>
      <c r="AD68" s="847"/>
      <c r="AE68" s="847"/>
    </row>
    <row r="69" spans="1:31">
      <c r="A69" s="847"/>
      <c r="B69" s="847"/>
      <c r="C69" s="847"/>
      <c r="D69" s="847"/>
      <c r="E69" s="847"/>
      <c r="F69" s="847"/>
      <c r="G69" s="847"/>
      <c r="H69" s="847"/>
      <c r="I69" s="847"/>
      <c r="J69" s="847"/>
      <c r="K69" s="847"/>
      <c r="L69" s="847"/>
      <c r="M69" s="847"/>
      <c r="N69" s="847"/>
      <c r="O69" s="847"/>
      <c r="P69" s="847"/>
      <c r="Q69" s="847"/>
      <c r="R69" s="847"/>
      <c r="S69" s="847"/>
      <c r="T69" s="847"/>
      <c r="U69" s="847"/>
      <c r="V69" s="847"/>
      <c r="W69" s="847"/>
      <c r="X69" s="847"/>
      <c r="Y69" s="847"/>
      <c r="Z69" s="847"/>
      <c r="AA69" s="847"/>
      <c r="AB69" s="847"/>
      <c r="AC69" s="847"/>
      <c r="AD69" s="847"/>
      <c r="AE69" s="847"/>
    </row>
    <row r="70" spans="1:31">
      <c r="A70" s="847"/>
      <c r="B70" s="847"/>
      <c r="C70" s="847"/>
      <c r="D70" s="847"/>
      <c r="E70" s="847"/>
      <c r="F70" s="847"/>
      <c r="G70" s="847"/>
      <c r="H70" s="847"/>
      <c r="I70" s="847"/>
      <c r="J70" s="847"/>
      <c r="K70" s="847"/>
      <c r="L70" s="847"/>
      <c r="M70" s="847"/>
      <c r="N70" s="847"/>
      <c r="O70" s="847"/>
      <c r="P70" s="847"/>
      <c r="Q70" s="847"/>
      <c r="R70" s="847"/>
      <c r="S70" s="847"/>
      <c r="T70" s="847"/>
      <c r="U70" s="847"/>
      <c r="V70" s="847"/>
      <c r="W70" s="847"/>
      <c r="X70" s="847"/>
      <c r="Y70" s="847"/>
      <c r="Z70" s="847"/>
      <c r="AA70" s="847"/>
      <c r="AB70" s="847"/>
      <c r="AC70" s="847"/>
      <c r="AD70" s="847"/>
      <c r="AE70" s="847"/>
    </row>
    <row r="71" spans="1:31">
      <c r="A71" s="847"/>
      <c r="B71" s="847"/>
      <c r="C71" s="847"/>
      <c r="D71" s="847"/>
      <c r="E71" s="847"/>
      <c r="F71" s="847"/>
      <c r="G71" s="847"/>
      <c r="H71" s="847"/>
      <c r="I71" s="847"/>
      <c r="J71" s="847"/>
      <c r="K71" s="847"/>
      <c r="L71" s="847"/>
      <c r="M71" s="847"/>
      <c r="N71" s="847"/>
      <c r="O71" s="847"/>
      <c r="P71" s="847"/>
      <c r="Q71" s="847"/>
      <c r="R71" s="847"/>
      <c r="S71" s="847"/>
      <c r="T71" s="847"/>
      <c r="U71" s="847"/>
      <c r="V71" s="847"/>
      <c r="W71" s="847"/>
      <c r="X71" s="847"/>
      <c r="Y71" s="847"/>
      <c r="Z71" s="847"/>
      <c r="AA71" s="847"/>
      <c r="AB71" s="847"/>
      <c r="AC71" s="847"/>
      <c r="AD71" s="847"/>
      <c r="AE71" s="847"/>
    </row>
    <row r="72" spans="1:31">
      <c r="A72" s="847"/>
      <c r="B72" s="847"/>
      <c r="C72" s="847"/>
      <c r="D72" s="847"/>
      <c r="E72" s="847"/>
      <c r="F72" s="847"/>
      <c r="G72" s="847"/>
      <c r="H72" s="847"/>
      <c r="I72" s="847"/>
      <c r="J72" s="847"/>
      <c r="K72" s="847"/>
      <c r="L72" s="847"/>
      <c r="M72" s="847"/>
      <c r="N72" s="847"/>
      <c r="O72" s="847"/>
      <c r="P72" s="847"/>
      <c r="Q72" s="847"/>
      <c r="R72" s="847"/>
      <c r="S72" s="847"/>
      <c r="T72" s="847"/>
      <c r="U72" s="847"/>
      <c r="V72" s="847"/>
      <c r="W72" s="847"/>
      <c r="X72" s="847"/>
      <c r="Y72" s="847"/>
      <c r="Z72" s="847"/>
      <c r="AA72" s="847"/>
      <c r="AB72" s="847"/>
      <c r="AC72" s="847"/>
      <c r="AD72" s="847"/>
      <c r="AE72" s="847"/>
    </row>
    <row r="73" spans="1:31">
      <c r="A73" s="847"/>
      <c r="B73" s="847"/>
      <c r="C73" s="847"/>
      <c r="D73" s="847"/>
      <c r="E73" s="847"/>
      <c r="F73" s="847"/>
      <c r="G73" s="847"/>
      <c r="H73" s="847"/>
      <c r="I73" s="847"/>
      <c r="J73" s="847"/>
      <c r="K73" s="847"/>
      <c r="L73" s="847"/>
      <c r="M73" s="847"/>
      <c r="N73" s="847"/>
      <c r="O73" s="847"/>
      <c r="P73" s="847"/>
      <c r="Q73" s="847"/>
      <c r="R73" s="847"/>
      <c r="S73" s="847"/>
      <c r="T73" s="847"/>
      <c r="U73" s="847"/>
      <c r="V73" s="847"/>
      <c r="W73" s="847"/>
      <c r="X73" s="847"/>
      <c r="Y73" s="847"/>
      <c r="Z73" s="847"/>
      <c r="AA73" s="847"/>
      <c r="AB73" s="847"/>
      <c r="AC73" s="847"/>
      <c r="AD73" s="847"/>
      <c r="AE73" s="847"/>
    </row>
    <row r="74" spans="1:31">
      <c r="A74" s="847"/>
      <c r="B74" s="847"/>
      <c r="C74" s="847"/>
      <c r="D74" s="847"/>
      <c r="E74" s="847"/>
      <c r="F74" s="847"/>
      <c r="G74" s="847"/>
      <c r="H74" s="847"/>
      <c r="I74" s="847"/>
      <c r="J74" s="847"/>
      <c r="K74" s="847"/>
      <c r="L74" s="847"/>
      <c r="M74" s="847"/>
      <c r="N74" s="847"/>
      <c r="O74" s="847"/>
      <c r="P74" s="847"/>
      <c r="Q74" s="847"/>
      <c r="R74" s="847"/>
      <c r="S74" s="847"/>
      <c r="T74" s="847"/>
      <c r="U74" s="847"/>
      <c r="V74" s="847"/>
      <c r="W74" s="847"/>
      <c r="X74" s="847"/>
      <c r="Y74" s="847"/>
      <c r="Z74" s="847"/>
      <c r="AA74" s="847"/>
      <c r="AB74" s="847"/>
      <c r="AC74" s="847"/>
      <c r="AD74" s="847"/>
      <c r="AE74" s="847"/>
    </row>
    <row r="75" spans="1:31">
      <c r="A75" s="847"/>
      <c r="B75" s="847"/>
      <c r="C75" s="847"/>
      <c r="D75" s="847"/>
      <c r="E75" s="847"/>
      <c r="F75" s="847"/>
      <c r="G75" s="847"/>
      <c r="H75" s="847"/>
      <c r="I75" s="847"/>
      <c r="J75" s="847"/>
      <c r="K75" s="847"/>
      <c r="L75" s="847"/>
      <c r="M75" s="847"/>
      <c r="N75" s="847"/>
      <c r="O75" s="847"/>
      <c r="P75" s="847"/>
      <c r="Q75" s="847"/>
      <c r="R75" s="847"/>
      <c r="S75" s="847"/>
      <c r="T75" s="847"/>
      <c r="U75" s="847"/>
      <c r="V75" s="847"/>
      <c r="W75" s="847"/>
      <c r="X75" s="847"/>
      <c r="Y75" s="847"/>
      <c r="Z75" s="847"/>
      <c r="AA75" s="847"/>
      <c r="AB75" s="847"/>
      <c r="AC75" s="847"/>
      <c r="AD75" s="847"/>
      <c r="AE75" s="847"/>
    </row>
    <row r="76" spans="1:31">
      <c r="A76" s="847"/>
      <c r="B76" s="847"/>
      <c r="C76" s="847"/>
      <c r="D76" s="847"/>
      <c r="E76" s="847"/>
      <c r="F76" s="847"/>
      <c r="G76" s="847"/>
      <c r="H76" s="847"/>
      <c r="I76" s="847"/>
      <c r="J76" s="847"/>
      <c r="K76" s="847"/>
      <c r="L76" s="847"/>
      <c r="M76" s="847"/>
      <c r="N76" s="847"/>
      <c r="O76" s="847"/>
      <c r="P76" s="847"/>
      <c r="Q76" s="847"/>
      <c r="R76" s="847"/>
      <c r="S76" s="847"/>
      <c r="T76" s="847"/>
      <c r="U76" s="847"/>
      <c r="V76" s="847"/>
      <c r="W76" s="847"/>
      <c r="X76" s="847"/>
      <c r="Y76" s="847"/>
      <c r="Z76" s="847"/>
      <c r="AA76" s="847"/>
      <c r="AB76" s="847"/>
      <c r="AC76" s="847"/>
      <c r="AD76" s="847"/>
      <c r="AE76" s="847"/>
    </row>
    <row r="77" spans="1:31">
      <c r="A77" s="847"/>
      <c r="B77" s="847"/>
      <c r="C77" s="847"/>
      <c r="D77" s="847"/>
      <c r="E77" s="847"/>
      <c r="F77" s="847"/>
      <c r="G77" s="847"/>
      <c r="H77" s="847"/>
      <c r="I77" s="847"/>
      <c r="J77" s="847"/>
      <c r="K77" s="847"/>
      <c r="L77" s="847"/>
      <c r="M77" s="847"/>
      <c r="N77" s="847"/>
      <c r="O77" s="847"/>
      <c r="P77" s="847"/>
      <c r="Q77" s="847"/>
      <c r="R77" s="847"/>
      <c r="S77" s="847"/>
      <c r="T77" s="847"/>
      <c r="U77" s="847"/>
      <c r="V77" s="847"/>
      <c r="W77" s="847"/>
      <c r="X77" s="847"/>
      <c r="Y77" s="847"/>
      <c r="Z77" s="847"/>
      <c r="AA77" s="847"/>
      <c r="AB77" s="847"/>
      <c r="AC77" s="847"/>
      <c r="AD77" s="847"/>
      <c r="AE77" s="847"/>
    </row>
    <row r="78" spans="1:31">
      <c r="A78" s="847"/>
      <c r="B78" s="847"/>
      <c r="C78" s="847"/>
      <c r="D78" s="847"/>
      <c r="E78" s="847"/>
      <c r="F78" s="847"/>
      <c r="G78" s="847"/>
      <c r="H78" s="847"/>
      <c r="I78" s="847"/>
      <c r="J78" s="847"/>
      <c r="K78" s="847"/>
      <c r="L78" s="847"/>
      <c r="M78" s="847"/>
      <c r="N78" s="847"/>
      <c r="O78" s="847"/>
      <c r="P78" s="847"/>
      <c r="Q78" s="847"/>
      <c r="R78" s="847"/>
      <c r="S78" s="847"/>
      <c r="T78" s="847"/>
      <c r="U78" s="847"/>
      <c r="V78" s="847"/>
      <c r="W78" s="847"/>
      <c r="X78" s="847"/>
      <c r="Y78" s="847"/>
      <c r="Z78" s="847"/>
      <c r="AA78" s="847"/>
      <c r="AB78" s="847"/>
      <c r="AC78" s="847"/>
      <c r="AD78" s="847"/>
      <c r="AE78" s="847"/>
    </row>
    <row r="79" spans="1:31">
      <c r="A79" s="847"/>
      <c r="B79" s="847"/>
      <c r="C79" s="847"/>
      <c r="D79" s="847"/>
      <c r="E79" s="847"/>
      <c r="F79" s="847"/>
      <c r="G79" s="847"/>
      <c r="H79" s="847"/>
      <c r="I79" s="847"/>
      <c r="J79" s="847"/>
      <c r="K79" s="847"/>
      <c r="L79" s="847"/>
      <c r="M79" s="847"/>
      <c r="N79" s="847"/>
      <c r="O79" s="847"/>
      <c r="P79" s="847"/>
      <c r="Q79" s="847"/>
      <c r="R79" s="847"/>
      <c r="S79" s="847"/>
      <c r="T79" s="847"/>
      <c r="U79" s="847"/>
      <c r="V79" s="847"/>
      <c r="W79" s="847"/>
      <c r="X79" s="847"/>
      <c r="Y79" s="847"/>
      <c r="Z79" s="847"/>
      <c r="AA79" s="847"/>
      <c r="AB79" s="847"/>
      <c r="AC79" s="847"/>
      <c r="AD79" s="847"/>
      <c r="AE79" s="847"/>
    </row>
    <row r="80" spans="1:31">
      <c r="A80" s="847"/>
      <c r="B80" s="847"/>
      <c r="C80" s="847"/>
      <c r="D80" s="847"/>
      <c r="E80" s="847"/>
      <c r="F80" s="847"/>
      <c r="G80" s="847"/>
      <c r="H80" s="847"/>
      <c r="I80" s="847"/>
      <c r="J80" s="847"/>
      <c r="K80" s="847"/>
      <c r="L80" s="847"/>
      <c r="M80" s="847"/>
      <c r="N80" s="847"/>
      <c r="O80" s="847"/>
      <c r="P80" s="847"/>
      <c r="Q80" s="847"/>
      <c r="R80" s="847"/>
      <c r="S80" s="847"/>
      <c r="T80" s="847"/>
      <c r="U80" s="847"/>
      <c r="V80" s="847"/>
      <c r="W80" s="847"/>
      <c r="X80" s="847"/>
      <c r="Y80" s="847"/>
      <c r="Z80" s="847"/>
      <c r="AA80" s="847"/>
      <c r="AB80" s="847"/>
      <c r="AC80" s="847"/>
      <c r="AD80" s="847"/>
      <c r="AE80" s="847"/>
    </row>
    <row r="81" spans="1:31">
      <c r="A81" s="847"/>
      <c r="B81" s="847"/>
      <c r="C81" s="847"/>
      <c r="D81" s="847"/>
      <c r="E81" s="847"/>
      <c r="F81" s="847"/>
      <c r="G81" s="847"/>
      <c r="H81" s="847"/>
      <c r="I81" s="847"/>
      <c r="J81" s="847"/>
      <c r="K81" s="847"/>
      <c r="L81" s="847"/>
      <c r="M81" s="847"/>
      <c r="N81" s="847"/>
      <c r="O81" s="847"/>
      <c r="P81" s="847"/>
      <c r="Q81" s="847"/>
      <c r="R81" s="847"/>
      <c r="S81" s="847"/>
      <c r="T81" s="847"/>
      <c r="U81" s="847"/>
      <c r="V81" s="847"/>
      <c r="W81" s="847"/>
      <c r="X81" s="847"/>
      <c r="Y81" s="847"/>
      <c r="Z81" s="847"/>
      <c r="AA81" s="847"/>
      <c r="AB81" s="847"/>
      <c r="AC81" s="847"/>
      <c r="AD81" s="847"/>
      <c r="AE81" s="847"/>
    </row>
    <row r="82" spans="1:31">
      <c r="A82" s="847"/>
      <c r="B82" s="847"/>
      <c r="C82" s="847"/>
      <c r="D82" s="847"/>
      <c r="E82" s="847"/>
      <c r="F82" s="847"/>
      <c r="G82" s="847"/>
      <c r="H82" s="847"/>
      <c r="I82" s="847"/>
      <c r="J82" s="847"/>
      <c r="K82" s="847"/>
      <c r="L82" s="847"/>
      <c r="M82" s="847"/>
      <c r="N82" s="847"/>
      <c r="O82" s="847"/>
      <c r="P82" s="847"/>
      <c r="Q82" s="847"/>
      <c r="R82" s="847"/>
      <c r="S82" s="847"/>
      <c r="T82" s="847"/>
      <c r="U82" s="847"/>
      <c r="V82" s="847"/>
      <c r="W82" s="847"/>
      <c r="X82" s="847"/>
      <c r="Y82" s="847"/>
      <c r="Z82" s="847"/>
      <c r="AA82" s="847"/>
      <c r="AB82" s="847"/>
      <c r="AC82" s="847"/>
      <c r="AD82" s="847"/>
      <c r="AE82" s="847"/>
    </row>
    <row r="83" spans="1:31">
      <c r="A83" s="847"/>
      <c r="B83" s="847"/>
      <c r="C83" s="847"/>
      <c r="D83" s="847"/>
      <c r="E83" s="847"/>
      <c r="F83" s="847"/>
      <c r="G83" s="847"/>
      <c r="H83" s="847"/>
      <c r="I83" s="847"/>
      <c r="J83" s="847"/>
      <c r="K83" s="847"/>
      <c r="L83" s="847"/>
      <c r="M83" s="847"/>
      <c r="N83" s="847"/>
      <c r="O83" s="847"/>
      <c r="P83" s="847"/>
      <c r="Q83" s="847"/>
      <c r="R83" s="847"/>
      <c r="S83" s="847"/>
      <c r="T83" s="847"/>
      <c r="U83" s="847"/>
      <c r="V83" s="847"/>
      <c r="W83" s="847"/>
      <c r="X83" s="847"/>
      <c r="Y83" s="847"/>
      <c r="Z83" s="847"/>
      <c r="AA83" s="847"/>
      <c r="AB83" s="847"/>
      <c r="AC83" s="847"/>
      <c r="AD83" s="847"/>
      <c r="AE83" s="847"/>
    </row>
    <row r="84" spans="1:31">
      <c r="A84" s="847"/>
      <c r="B84" s="847"/>
      <c r="C84" s="847"/>
      <c r="D84" s="847"/>
      <c r="E84" s="847"/>
      <c r="F84" s="847"/>
      <c r="G84" s="847"/>
      <c r="H84" s="847"/>
      <c r="I84" s="847"/>
      <c r="J84" s="847"/>
      <c r="K84" s="847"/>
      <c r="L84" s="847"/>
      <c r="M84" s="847"/>
      <c r="N84" s="847"/>
      <c r="O84" s="847"/>
      <c r="P84" s="847"/>
      <c r="Q84" s="847"/>
      <c r="R84" s="847"/>
      <c r="S84" s="847"/>
      <c r="T84" s="847"/>
      <c r="U84" s="847"/>
      <c r="V84" s="847"/>
      <c r="W84" s="847"/>
      <c r="X84" s="847"/>
      <c r="Y84" s="847"/>
      <c r="Z84" s="847"/>
      <c r="AA84" s="847"/>
      <c r="AB84" s="847"/>
      <c r="AC84" s="847"/>
      <c r="AD84" s="847"/>
      <c r="AE84" s="847"/>
    </row>
    <row r="85" spans="1:31">
      <c r="A85" s="847"/>
      <c r="B85" s="847"/>
      <c r="C85" s="847"/>
      <c r="D85" s="847"/>
      <c r="E85" s="847"/>
      <c r="F85" s="847"/>
      <c r="G85" s="847"/>
      <c r="H85" s="847"/>
      <c r="I85" s="847"/>
      <c r="J85" s="847"/>
      <c r="K85" s="847"/>
      <c r="L85" s="847"/>
      <c r="M85" s="847"/>
      <c r="N85" s="847"/>
      <c r="O85" s="847"/>
      <c r="P85" s="847"/>
      <c r="Q85" s="847"/>
      <c r="R85" s="847"/>
      <c r="S85" s="847"/>
      <c r="T85" s="847"/>
      <c r="U85" s="847"/>
      <c r="V85" s="847"/>
      <c r="W85" s="847"/>
      <c r="X85" s="847"/>
      <c r="Y85" s="847"/>
      <c r="Z85" s="847"/>
      <c r="AA85" s="847"/>
      <c r="AB85" s="847"/>
      <c r="AC85" s="847"/>
      <c r="AD85" s="847"/>
      <c r="AE85" s="847"/>
    </row>
    <row r="86" spans="1:31">
      <c r="A86" s="847"/>
      <c r="B86" s="847"/>
      <c r="C86" s="847"/>
      <c r="D86" s="847"/>
      <c r="E86" s="847"/>
      <c r="F86" s="847"/>
      <c r="G86" s="847"/>
      <c r="H86" s="847"/>
      <c r="I86" s="847"/>
      <c r="J86" s="847"/>
      <c r="K86" s="847"/>
      <c r="L86" s="847"/>
      <c r="M86" s="847"/>
      <c r="N86" s="847"/>
      <c r="O86" s="847"/>
      <c r="P86" s="847"/>
      <c r="Q86" s="847"/>
      <c r="R86" s="847"/>
      <c r="S86" s="847"/>
      <c r="T86" s="847"/>
      <c r="U86" s="847"/>
      <c r="V86" s="847"/>
      <c r="W86" s="847"/>
      <c r="X86" s="847"/>
      <c r="Y86" s="847"/>
      <c r="Z86" s="847"/>
      <c r="AA86" s="847"/>
      <c r="AB86" s="847"/>
      <c r="AC86" s="847"/>
      <c r="AD86" s="847"/>
      <c r="AE86" s="847"/>
    </row>
    <row r="87" spans="1:31">
      <c r="A87" s="847"/>
      <c r="B87" s="847"/>
      <c r="C87" s="847"/>
      <c r="D87" s="847"/>
      <c r="E87" s="847"/>
      <c r="F87" s="847"/>
      <c r="G87" s="847"/>
      <c r="H87" s="847"/>
      <c r="I87" s="847"/>
      <c r="J87" s="847"/>
      <c r="K87" s="847"/>
      <c r="L87" s="847"/>
      <c r="M87" s="847"/>
      <c r="N87" s="847"/>
      <c r="O87" s="847"/>
      <c r="P87" s="847"/>
      <c r="Q87" s="847"/>
      <c r="R87" s="847"/>
      <c r="S87" s="847"/>
      <c r="T87" s="847"/>
      <c r="U87" s="847"/>
      <c r="V87" s="847"/>
      <c r="W87" s="847"/>
      <c r="X87" s="847"/>
      <c r="Y87" s="847"/>
      <c r="Z87" s="847"/>
      <c r="AA87" s="847"/>
      <c r="AB87" s="847"/>
      <c r="AC87" s="847"/>
      <c r="AD87" s="847"/>
      <c r="AE87" s="847"/>
    </row>
    <row r="88" spans="1:31">
      <c r="A88" s="847"/>
      <c r="B88" s="847"/>
      <c r="C88" s="847"/>
      <c r="D88" s="847"/>
      <c r="E88" s="847"/>
      <c r="F88" s="847"/>
      <c r="G88" s="847"/>
      <c r="H88" s="847"/>
      <c r="I88" s="847"/>
      <c r="J88" s="847"/>
      <c r="K88" s="847"/>
      <c r="L88" s="847"/>
      <c r="M88" s="847"/>
      <c r="N88" s="847"/>
      <c r="O88" s="847"/>
      <c r="P88" s="847"/>
      <c r="Q88" s="847"/>
      <c r="R88" s="847"/>
      <c r="S88" s="847"/>
      <c r="T88" s="847"/>
      <c r="U88" s="847"/>
      <c r="V88" s="847"/>
      <c r="W88" s="847"/>
      <c r="X88" s="847"/>
      <c r="Y88" s="847"/>
      <c r="Z88" s="847"/>
      <c r="AA88" s="847"/>
      <c r="AB88" s="847"/>
      <c r="AC88" s="847"/>
      <c r="AD88" s="847"/>
      <c r="AE88" s="847"/>
    </row>
    <row r="89" spans="1:31">
      <c r="A89" s="847"/>
      <c r="B89" s="847"/>
      <c r="C89" s="847"/>
      <c r="D89" s="847"/>
      <c r="E89" s="847"/>
      <c r="F89" s="847"/>
      <c r="G89" s="847"/>
      <c r="H89" s="847"/>
      <c r="I89" s="847"/>
      <c r="J89" s="847"/>
      <c r="K89" s="847"/>
      <c r="L89" s="847"/>
      <c r="M89" s="847"/>
      <c r="N89" s="847"/>
      <c r="O89" s="847"/>
      <c r="P89" s="847"/>
      <c r="Q89" s="847"/>
      <c r="R89" s="847"/>
      <c r="S89" s="847"/>
      <c r="T89" s="847"/>
      <c r="U89" s="847"/>
      <c r="V89" s="847"/>
      <c r="W89" s="847"/>
      <c r="X89" s="847"/>
      <c r="Y89" s="847"/>
      <c r="Z89" s="847"/>
      <c r="AA89" s="847"/>
      <c r="AB89" s="847"/>
      <c r="AC89" s="847"/>
      <c r="AD89" s="847"/>
      <c r="AE89" s="847"/>
    </row>
    <row r="90" spans="1:31">
      <c r="A90" s="847"/>
      <c r="B90" s="847"/>
      <c r="C90" s="847"/>
      <c r="D90" s="847"/>
      <c r="E90" s="847"/>
      <c r="F90" s="847"/>
      <c r="G90" s="847"/>
      <c r="H90" s="847"/>
      <c r="I90" s="847"/>
      <c r="J90" s="847"/>
      <c r="K90" s="847"/>
      <c r="L90" s="847"/>
      <c r="M90" s="847"/>
      <c r="N90" s="847"/>
      <c r="O90" s="847"/>
      <c r="P90" s="847"/>
      <c r="Q90" s="847"/>
      <c r="R90" s="847"/>
      <c r="S90" s="847"/>
      <c r="T90" s="847"/>
      <c r="U90" s="847"/>
      <c r="V90" s="847"/>
      <c r="W90" s="847"/>
      <c r="X90" s="847"/>
      <c r="Y90" s="847"/>
      <c r="Z90" s="847"/>
      <c r="AA90" s="847"/>
      <c r="AB90" s="847"/>
      <c r="AC90" s="847"/>
      <c r="AD90" s="847"/>
      <c r="AE90" s="847"/>
    </row>
    <row r="91" spans="1:31">
      <c r="A91" s="847"/>
      <c r="B91" s="847"/>
      <c r="C91" s="847"/>
      <c r="D91" s="847"/>
      <c r="E91" s="847"/>
      <c r="F91" s="847"/>
      <c r="G91" s="847"/>
      <c r="H91" s="847"/>
      <c r="I91" s="847"/>
      <c r="J91" s="847"/>
      <c r="K91" s="847"/>
      <c r="L91" s="847"/>
      <c r="M91" s="847"/>
      <c r="N91" s="847"/>
      <c r="O91" s="847"/>
      <c r="P91" s="847"/>
      <c r="Q91" s="847"/>
      <c r="R91" s="847"/>
      <c r="S91" s="847"/>
      <c r="T91" s="847"/>
      <c r="U91" s="847"/>
      <c r="V91" s="847"/>
      <c r="W91" s="847"/>
      <c r="X91" s="847"/>
      <c r="Y91" s="847"/>
      <c r="Z91" s="847"/>
      <c r="AA91" s="847"/>
      <c r="AB91" s="847"/>
      <c r="AC91" s="847"/>
      <c r="AD91" s="847"/>
      <c r="AE91" s="847"/>
    </row>
    <row r="92" spans="1:31">
      <c r="A92" s="847"/>
      <c r="B92" s="847"/>
      <c r="C92" s="847"/>
      <c r="D92" s="847"/>
      <c r="E92" s="847"/>
      <c r="F92" s="847"/>
      <c r="G92" s="847"/>
      <c r="H92" s="847"/>
      <c r="I92" s="847"/>
      <c r="J92" s="847"/>
      <c r="K92" s="847"/>
      <c r="L92" s="847"/>
      <c r="M92" s="847"/>
      <c r="N92" s="847"/>
      <c r="O92" s="847"/>
      <c r="P92" s="847"/>
      <c r="Q92" s="847"/>
      <c r="R92" s="847"/>
      <c r="S92" s="847"/>
      <c r="T92" s="847"/>
      <c r="U92" s="847"/>
      <c r="V92" s="847"/>
      <c r="W92" s="847"/>
      <c r="X92" s="847"/>
      <c r="Y92" s="847"/>
      <c r="Z92" s="847"/>
      <c r="AA92" s="847"/>
      <c r="AB92" s="847"/>
      <c r="AC92" s="847"/>
      <c r="AD92" s="847"/>
      <c r="AE92" s="847"/>
    </row>
    <row r="93" spans="1:31">
      <c r="A93" s="847"/>
      <c r="B93" s="847"/>
      <c r="C93" s="847"/>
      <c r="D93" s="847"/>
      <c r="E93" s="847"/>
      <c r="F93" s="847"/>
      <c r="G93" s="847"/>
      <c r="H93" s="847"/>
      <c r="I93" s="847"/>
      <c r="J93" s="847"/>
      <c r="K93" s="847"/>
      <c r="L93" s="847"/>
      <c r="M93" s="847"/>
      <c r="N93" s="847"/>
      <c r="O93" s="847"/>
      <c r="P93" s="847"/>
      <c r="Q93" s="847"/>
      <c r="R93" s="847"/>
      <c r="S93" s="847"/>
      <c r="T93" s="847"/>
      <c r="U93" s="847"/>
      <c r="V93" s="847"/>
      <c r="W93" s="847"/>
      <c r="X93" s="847"/>
      <c r="Y93" s="847"/>
      <c r="Z93" s="847"/>
      <c r="AA93" s="847"/>
      <c r="AB93" s="847"/>
      <c r="AC93" s="847"/>
      <c r="AD93" s="847"/>
      <c r="AE93" s="847"/>
    </row>
    <row r="94" spans="1:31">
      <c r="A94" s="847"/>
      <c r="B94" s="847"/>
      <c r="C94" s="847"/>
      <c r="D94" s="847"/>
      <c r="E94" s="847"/>
      <c r="F94" s="847"/>
      <c r="G94" s="847"/>
      <c r="H94" s="847"/>
      <c r="I94" s="847"/>
      <c r="J94" s="847"/>
      <c r="K94" s="847"/>
      <c r="L94" s="847"/>
      <c r="M94" s="847"/>
      <c r="N94" s="847"/>
      <c r="O94" s="847"/>
      <c r="P94" s="847"/>
      <c r="Q94" s="847"/>
      <c r="R94" s="847"/>
      <c r="S94" s="847"/>
      <c r="T94" s="847"/>
      <c r="U94" s="847"/>
      <c r="V94" s="847"/>
      <c r="W94" s="847"/>
      <c r="X94" s="847"/>
      <c r="Y94" s="847"/>
      <c r="Z94" s="847"/>
      <c r="AA94" s="847"/>
      <c r="AB94" s="847"/>
      <c r="AC94" s="847"/>
      <c r="AD94" s="847"/>
      <c r="AE94" s="847"/>
    </row>
    <row r="95" spans="1:31">
      <c r="A95" s="847"/>
      <c r="B95" s="847"/>
      <c r="C95" s="847"/>
      <c r="D95" s="847"/>
      <c r="E95" s="847"/>
      <c r="F95" s="847"/>
      <c r="G95" s="847"/>
      <c r="H95" s="847"/>
      <c r="I95" s="847"/>
      <c r="J95" s="847"/>
      <c r="K95" s="847"/>
      <c r="L95" s="847"/>
      <c r="M95" s="847"/>
      <c r="N95" s="847"/>
      <c r="O95" s="847"/>
      <c r="P95" s="847"/>
      <c r="Q95" s="847"/>
      <c r="R95" s="847"/>
      <c r="S95" s="847"/>
      <c r="T95" s="847"/>
      <c r="U95" s="847"/>
      <c r="V95" s="847"/>
      <c r="W95" s="847"/>
      <c r="X95" s="847"/>
      <c r="Y95" s="847"/>
      <c r="Z95" s="847"/>
      <c r="AA95" s="847"/>
      <c r="AB95" s="847"/>
      <c r="AC95" s="847"/>
      <c r="AD95" s="847"/>
      <c r="AE95" s="847"/>
    </row>
    <row r="96" spans="1:31">
      <c r="A96" s="847"/>
      <c r="B96" s="847"/>
      <c r="C96" s="847"/>
      <c r="D96" s="847"/>
      <c r="E96" s="847"/>
      <c r="F96" s="847"/>
      <c r="G96" s="847"/>
      <c r="H96" s="847"/>
      <c r="I96" s="847"/>
      <c r="J96" s="847"/>
      <c r="K96" s="847"/>
      <c r="L96" s="847"/>
      <c r="M96" s="847"/>
      <c r="N96" s="847"/>
      <c r="O96" s="847"/>
      <c r="P96" s="847"/>
      <c r="Q96" s="847"/>
      <c r="R96" s="847"/>
      <c r="S96" s="847"/>
      <c r="T96" s="847"/>
      <c r="U96" s="847"/>
      <c r="V96" s="847"/>
      <c r="W96" s="847"/>
      <c r="X96" s="847"/>
      <c r="Y96" s="847"/>
      <c r="Z96" s="847"/>
      <c r="AA96" s="847"/>
      <c r="AB96" s="847"/>
      <c r="AC96" s="847"/>
      <c r="AD96" s="847"/>
      <c r="AE96" s="847"/>
    </row>
    <row r="97" spans="1:31">
      <c r="A97" s="847"/>
      <c r="B97" s="847"/>
      <c r="C97" s="847"/>
      <c r="D97" s="847"/>
      <c r="E97" s="847"/>
      <c r="F97" s="847"/>
      <c r="G97" s="847"/>
      <c r="H97" s="847"/>
      <c r="I97" s="847"/>
      <c r="J97" s="847"/>
      <c r="K97" s="847"/>
      <c r="L97" s="847"/>
      <c r="M97" s="847"/>
      <c r="N97" s="847"/>
      <c r="O97" s="847"/>
      <c r="P97" s="847"/>
      <c r="Q97" s="847"/>
      <c r="R97" s="847"/>
      <c r="S97" s="847"/>
      <c r="T97" s="847"/>
      <c r="U97" s="847"/>
      <c r="V97" s="847"/>
      <c r="W97" s="847"/>
      <c r="X97" s="847"/>
      <c r="Y97" s="847"/>
      <c r="Z97" s="847"/>
      <c r="AA97" s="847"/>
      <c r="AB97" s="847"/>
      <c r="AC97" s="847"/>
      <c r="AD97" s="847"/>
      <c r="AE97" s="847"/>
    </row>
    <row r="98" spans="1:31">
      <c r="A98" s="847"/>
      <c r="B98" s="847"/>
      <c r="C98" s="847"/>
      <c r="D98" s="847"/>
      <c r="E98" s="847"/>
      <c r="F98" s="847"/>
      <c r="G98" s="847"/>
      <c r="H98" s="847"/>
      <c r="I98" s="847"/>
      <c r="J98" s="847"/>
      <c r="K98" s="847"/>
      <c r="L98" s="847"/>
      <c r="M98" s="847"/>
      <c r="N98" s="847"/>
      <c r="O98" s="847"/>
      <c r="P98" s="847"/>
      <c r="Q98" s="847"/>
      <c r="R98" s="847"/>
      <c r="S98" s="847"/>
      <c r="T98" s="847"/>
      <c r="U98" s="847"/>
      <c r="V98" s="847"/>
      <c r="W98" s="847"/>
      <c r="X98" s="847"/>
      <c r="Y98" s="847"/>
      <c r="Z98" s="847"/>
      <c r="AA98" s="847"/>
      <c r="AB98" s="847"/>
      <c r="AC98" s="847"/>
      <c r="AD98" s="847"/>
      <c r="AE98" s="847"/>
    </row>
    <row r="99" spans="1:31">
      <c r="A99" s="847"/>
      <c r="B99" s="847"/>
      <c r="C99" s="847"/>
      <c r="D99" s="847"/>
      <c r="E99" s="847"/>
      <c r="F99" s="847"/>
      <c r="G99" s="847"/>
      <c r="H99" s="847"/>
      <c r="I99" s="847"/>
      <c r="J99" s="847"/>
      <c r="K99" s="847"/>
      <c r="L99" s="847"/>
      <c r="M99" s="847"/>
      <c r="N99" s="847"/>
      <c r="O99" s="847"/>
      <c r="P99" s="847"/>
      <c r="Q99" s="847"/>
      <c r="R99" s="847"/>
      <c r="S99" s="847"/>
      <c r="T99" s="847"/>
      <c r="U99" s="847"/>
      <c r="V99" s="847"/>
      <c r="W99" s="847"/>
      <c r="X99" s="847"/>
      <c r="Y99" s="847"/>
      <c r="Z99" s="847"/>
      <c r="AA99" s="847"/>
      <c r="AB99" s="847"/>
      <c r="AC99" s="847"/>
      <c r="AD99" s="847"/>
      <c r="AE99" s="847"/>
    </row>
    <row r="100" spans="1:31">
      <c r="A100" s="847"/>
      <c r="B100" s="847"/>
      <c r="C100" s="847"/>
      <c r="D100" s="847"/>
      <c r="E100" s="847"/>
      <c r="F100" s="847"/>
      <c r="G100" s="847"/>
      <c r="H100" s="847"/>
      <c r="I100" s="847"/>
      <c r="J100" s="847"/>
      <c r="K100" s="847"/>
      <c r="L100" s="847"/>
      <c r="M100" s="847"/>
      <c r="N100" s="847"/>
      <c r="O100" s="847"/>
      <c r="P100" s="847"/>
      <c r="Q100" s="847"/>
      <c r="R100" s="847"/>
      <c r="S100" s="847"/>
      <c r="T100" s="847"/>
      <c r="U100" s="847"/>
      <c r="V100" s="847"/>
      <c r="W100" s="847"/>
      <c r="X100" s="847"/>
      <c r="Y100" s="847"/>
      <c r="Z100" s="847"/>
      <c r="AA100" s="847"/>
      <c r="AB100" s="847"/>
      <c r="AC100" s="847"/>
      <c r="AD100" s="847"/>
      <c r="AE100" s="847"/>
    </row>
    <row r="101" spans="1:31">
      <c r="A101" s="847"/>
      <c r="B101" s="847"/>
      <c r="C101" s="847"/>
      <c r="D101" s="847"/>
      <c r="E101" s="847"/>
      <c r="F101" s="847"/>
      <c r="G101" s="847"/>
      <c r="H101" s="847"/>
      <c r="I101" s="847"/>
      <c r="J101" s="847"/>
      <c r="K101" s="847"/>
      <c r="L101" s="847"/>
      <c r="M101" s="847"/>
      <c r="N101" s="847"/>
      <c r="O101" s="847"/>
      <c r="P101" s="847"/>
      <c r="Q101" s="847"/>
      <c r="R101" s="847"/>
      <c r="S101" s="847"/>
      <c r="T101" s="847"/>
      <c r="U101" s="847"/>
      <c r="V101" s="847"/>
      <c r="W101" s="847"/>
      <c r="X101" s="847"/>
      <c r="Y101" s="847"/>
      <c r="Z101" s="847"/>
      <c r="AA101" s="847"/>
      <c r="AB101" s="847"/>
      <c r="AC101" s="847"/>
      <c r="AD101" s="847"/>
      <c r="AE101" s="847"/>
    </row>
    <row r="102" spans="1:31">
      <c r="A102" s="847"/>
      <c r="B102" s="847"/>
      <c r="C102" s="847"/>
      <c r="D102" s="847"/>
      <c r="E102" s="847"/>
      <c r="F102" s="847"/>
      <c r="G102" s="847"/>
      <c r="H102" s="847"/>
      <c r="I102" s="847"/>
      <c r="J102" s="847"/>
      <c r="K102" s="847"/>
      <c r="L102" s="847"/>
      <c r="M102" s="847"/>
      <c r="N102" s="847"/>
      <c r="O102" s="847"/>
      <c r="P102" s="847"/>
      <c r="Q102" s="847"/>
      <c r="R102" s="847"/>
      <c r="S102" s="847"/>
      <c r="T102" s="847"/>
      <c r="U102" s="847"/>
      <c r="V102" s="847"/>
      <c r="W102" s="847"/>
      <c r="X102" s="847"/>
      <c r="Y102" s="847"/>
      <c r="Z102" s="847"/>
      <c r="AA102" s="847"/>
      <c r="AB102" s="847"/>
      <c r="AC102" s="847"/>
      <c r="AD102" s="847"/>
      <c r="AE102" s="847"/>
    </row>
    <row r="103" spans="1:31">
      <c r="A103" s="847"/>
      <c r="B103" s="847"/>
      <c r="C103" s="847"/>
      <c r="D103" s="847"/>
      <c r="E103" s="847"/>
      <c r="F103" s="847"/>
      <c r="G103" s="847"/>
      <c r="H103" s="847"/>
      <c r="I103" s="847"/>
      <c r="J103" s="847"/>
      <c r="K103" s="847"/>
      <c r="L103" s="847"/>
      <c r="M103" s="847"/>
      <c r="N103" s="847"/>
      <c r="O103" s="847"/>
      <c r="P103" s="847"/>
      <c r="Q103" s="847"/>
      <c r="R103" s="847"/>
      <c r="S103" s="847"/>
      <c r="T103" s="847"/>
      <c r="U103" s="847"/>
      <c r="V103" s="847"/>
      <c r="W103" s="847"/>
      <c r="X103" s="847"/>
      <c r="Y103" s="847"/>
      <c r="Z103" s="847"/>
      <c r="AA103" s="847"/>
      <c r="AB103" s="847"/>
      <c r="AC103" s="847"/>
      <c r="AD103" s="847"/>
      <c r="AE103" s="847"/>
    </row>
    <row r="104" spans="1:31">
      <c r="A104" s="847"/>
      <c r="B104" s="847"/>
      <c r="C104" s="847"/>
      <c r="D104" s="847"/>
      <c r="E104" s="847"/>
      <c r="F104" s="847"/>
      <c r="G104" s="847"/>
      <c r="H104" s="847"/>
      <c r="I104" s="847"/>
      <c r="J104" s="847"/>
      <c r="K104" s="847"/>
      <c r="L104" s="847"/>
      <c r="M104" s="847"/>
      <c r="N104" s="847"/>
      <c r="O104" s="847"/>
      <c r="P104" s="847"/>
      <c r="Q104" s="847"/>
      <c r="R104" s="847"/>
      <c r="S104" s="847"/>
      <c r="T104" s="847"/>
      <c r="U104" s="847"/>
      <c r="V104" s="847"/>
      <c r="W104" s="847"/>
      <c r="X104" s="847"/>
      <c r="Y104" s="847"/>
      <c r="Z104" s="847"/>
      <c r="AA104" s="847"/>
      <c r="AB104" s="847"/>
      <c r="AC104" s="847"/>
      <c r="AD104" s="847"/>
      <c r="AE104" s="847"/>
    </row>
    <row r="105" spans="1:31">
      <c r="A105" s="847"/>
      <c r="B105" s="847"/>
      <c r="C105" s="847"/>
      <c r="D105" s="847"/>
      <c r="E105" s="847"/>
      <c r="F105" s="847"/>
      <c r="G105" s="847"/>
      <c r="H105" s="847"/>
      <c r="I105" s="847"/>
      <c r="J105" s="847"/>
      <c r="K105" s="847"/>
      <c r="L105" s="847"/>
      <c r="M105" s="847"/>
      <c r="N105" s="847"/>
      <c r="O105" s="847"/>
      <c r="P105" s="847"/>
      <c r="Q105" s="847"/>
      <c r="R105" s="847"/>
      <c r="S105" s="847"/>
      <c r="T105" s="847"/>
      <c r="U105" s="847"/>
      <c r="V105" s="847"/>
      <c r="W105" s="847"/>
      <c r="X105" s="847"/>
      <c r="Y105" s="847"/>
      <c r="Z105" s="847"/>
      <c r="AA105" s="847"/>
      <c r="AB105" s="847"/>
      <c r="AC105" s="847"/>
      <c r="AD105" s="847"/>
      <c r="AE105" s="847"/>
    </row>
    <row r="106" spans="1:31">
      <c r="A106" s="847"/>
      <c r="B106" s="847"/>
      <c r="C106" s="847"/>
      <c r="D106" s="847"/>
      <c r="E106" s="847"/>
      <c r="F106" s="847"/>
      <c r="G106" s="847"/>
      <c r="H106" s="847"/>
      <c r="I106" s="847"/>
      <c r="J106" s="847"/>
      <c r="K106" s="847"/>
      <c r="L106" s="847"/>
      <c r="M106" s="847"/>
      <c r="N106" s="847"/>
      <c r="O106" s="847"/>
      <c r="P106" s="847"/>
      <c r="Q106" s="847"/>
      <c r="R106" s="847"/>
      <c r="S106" s="847"/>
      <c r="T106" s="847"/>
      <c r="U106" s="847"/>
      <c r="V106" s="847"/>
      <c r="W106" s="847"/>
      <c r="X106" s="847"/>
      <c r="Y106" s="847"/>
      <c r="Z106" s="847"/>
      <c r="AA106" s="847"/>
      <c r="AB106" s="847"/>
      <c r="AC106" s="847"/>
      <c r="AD106" s="847"/>
      <c r="AE106" s="847"/>
    </row>
    <row r="107" spans="1:31">
      <c r="A107" s="847"/>
      <c r="B107" s="847"/>
      <c r="C107" s="847"/>
      <c r="D107" s="847"/>
      <c r="E107" s="847"/>
      <c r="F107" s="847"/>
      <c r="G107" s="847"/>
      <c r="H107" s="847"/>
      <c r="I107" s="847"/>
      <c r="J107" s="847"/>
      <c r="K107" s="847"/>
      <c r="L107" s="847"/>
      <c r="M107" s="847"/>
      <c r="N107" s="847"/>
      <c r="O107" s="847"/>
      <c r="P107" s="847"/>
      <c r="Q107" s="847"/>
      <c r="R107" s="847"/>
      <c r="S107" s="847"/>
      <c r="T107" s="847"/>
      <c r="U107" s="847"/>
      <c r="V107" s="847"/>
      <c r="W107" s="847"/>
      <c r="X107" s="847"/>
      <c r="Y107" s="847"/>
      <c r="Z107" s="847"/>
      <c r="AA107" s="847"/>
      <c r="AB107" s="847"/>
      <c r="AC107" s="847"/>
      <c r="AD107" s="847"/>
      <c r="AE107" s="847"/>
    </row>
    <row r="108" spans="1:31">
      <c r="A108" s="847"/>
      <c r="B108" s="847"/>
      <c r="C108" s="847"/>
      <c r="D108" s="847"/>
      <c r="E108" s="847"/>
      <c r="F108" s="847"/>
      <c r="G108" s="847"/>
      <c r="H108" s="847"/>
      <c r="I108" s="847"/>
      <c r="J108" s="847"/>
      <c r="K108" s="847"/>
      <c r="L108" s="847"/>
      <c r="M108" s="847"/>
      <c r="N108" s="847"/>
      <c r="O108" s="847"/>
      <c r="P108" s="847"/>
      <c r="Q108" s="847"/>
      <c r="R108" s="847"/>
      <c r="S108" s="847"/>
      <c r="T108" s="847"/>
      <c r="U108" s="847"/>
      <c r="V108" s="847"/>
      <c r="W108" s="847"/>
      <c r="X108" s="847"/>
      <c r="Y108" s="847"/>
      <c r="Z108" s="847"/>
      <c r="AA108" s="847"/>
      <c r="AB108" s="847"/>
      <c r="AC108" s="847"/>
      <c r="AD108" s="847"/>
      <c r="AE108" s="847"/>
    </row>
    <row r="109" spans="1:31">
      <c r="A109" s="847"/>
      <c r="B109" s="847"/>
      <c r="C109" s="847"/>
      <c r="D109" s="847"/>
      <c r="E109" s="847"/>
      <c r="F109" s="847"/>
      <c r="G109" s="847"/>
      <c r="H109" s="847"/>
      <c r="I109" s="847"/>
      <c r="J109" s="847"/>
      <c r="K109" s="847"/>
      <c r="L109" s="847"/>
      <c r="M109" s="847"/>
      <c r="N109" s="847"/>
      <c r="O109" s="847"/>
      <c r="P109" s="847"/>
      <c r="Q109" s="847"/>
      <c r="R109" s="847"/>
      <c r="S109" s="847"/>
      <c r="T109" s="847"/>
      <c r="U109" s="847"/>
      <c r="V109" s="847"/>
      <c r="W109" s="847"/>
      <c r="X109" s="847"/>
      <c r="Y109" s="847"/>
      <c r="Z109" s="847"/>
      <c r="AA109" s="847"/>
      <c r="AB109" s="847"/>
      <c r="AC109" s="847"/>
      <c r="AD109" s="847"/>
      <c r="AE109" s="847"/>
    </row>
    <row r="110" spans="1:31">
      <c r="A110" s="847"/>
      <c r="B110" s="847"/>
      <c r="C110" s="847"/>
      <c r="D110" s="847"/>
      <c r="E110" s="847"/>
      <c r="F110" s="847"/>
      <c r="G110" s="847"/>
      <c r="H110" s="847"/>
      <c r="I110" s="847"/>
      <c r="J110" s="847"/>
      <c r="K110" s="847"/>
      <c r="L110" s="847"/>
      <c r="M110" s="847"/>
      <c r="N110" s="847"/>
      <c r="O110" s="847"/>
      <c r="P110" s="847"/>
      <c r="Q110" s="847"/>
      <c r="R110" s="847"/>
      <c r="S110" s="847"/>
      <c r="T110" s="847"/>
      <c r="U110" s="847"/>
      <c r="V110" s="847"/>
      <c r="W110" s="847"/>
      <c r="X110" s="847"/>
      <c r="Y110" s="847"/>
      <c r="Z110" s="847"/>
      <c r="AA110" s="847"/>
      <c r="AB110" s="847"/>
      <c r="AC110" s="847"/>
      <c r="AD110" s="847"/>
      <c r="AE110" s="847"/>
    </row>
    <row r="111" spans="1:31">
      <c r="A111" s="847"/>
      <c r="B111" s="847"/>
      <c r="C111" s="847"/>
      <c r="D111" s="847"/>
      <c r="E111" s="847"/>
      <c r="F111" s="847"/>
      <c r="G111" s="847"/>
      <c r="H111" s="847"/>
      <c r="I111" s="847"/>
      <c r="J111" s="847"/>
      <c r="K111" s="847"/>
      <c r="L111" s="847"/>
      <c r="M111" s="847"/>
      <c r="N111" s="847"/>
      <c r="O111" s="847"/>
      <c r="P111" s="847"/>
      <c r="Q111" s="847"/>
      <c r="R111" s="847"/>
      <c r="S111" s="847"/>
      <c r="T111" s="847"/>
      <c r="U111" s="847"/>
      <c r="V111" s="847"/>
      <c r="W111" s="847"/>
      <c r="X111" s="847"/>
      <c r="Y111" s="847"/>
      <c r="Z111" s="847"/>
      <c r="AA111" s="847"/>
      <c r="AB111" s="847"/>
      <c r="AC111" s="847"/>
      <c r="AD111" s="847"/>
      <c r="AE111" s="847"/>
    </row>
    <row r="112" spans="1:31">
      <c r="A112" s="847"/>
      <c r="B112" s="847"/>
      <c r="C112" s="847"/>
      <c r="D112" s="847"/>
      <c r="E112" s="847"/>
      <c r="F112" s="847"/>
      <c r="G112" s="847"/>
      <c r="H112" s="847"/>
      <c r="I112" s="847"/>
      <c r="J112" s="847"/>
      <c r="K112" s="847"/>
      <c r="L112" s="847"/>
      <c r="M112" s="847"/>
      <c r="N112" s="847"/>
      <c r="O112" s="847"/>
      <c r="P112" s="847"/>
      <c r="Q112" s="847"/>
      <c r="R112" s="847"/>
      <c r="S112" s="847"/>
      <c r="T112" s="847"/>
      <c r="U112" s="847"/>
      <c r="V112" s="847"/>
      <c r="W112" s="847"/>
      <c r="X112" s="847"/>
      <c r="Y112" s="847"/>
      <c r="Z112" s="847"/>
      <c r="AA112" s="847"/>
      <c r="AB112" s="847"/>
      <c r="AC112" s="847"/>
      <c r="AD112" s="847"/>
      <c r="AE112" s="847"/>
    </row>
    <row r="113" spans="1:31">
      <c r="A113" s="847"/>
      <c r="B113" s="847"/>
      <c r="C113" s="847"/>
      <c r="D113" s="847"/>
      <c r="E113" s="847"/>
      <c r="F113" s="847"/>
      <c r="G113" s="847"/>
      <c r="H113" s="847"/>
      <c r="I113" s="847"/>
      <c r="J113" s="847"/>
      <c r="K113" s="847"/>
      <c r="L113" s="847"/>
      <c r="M113" s="847"/>
      <c r="N113" s="847"/>
      <c r="O113" s="847"/>
      <c r="P113" s="847"/>
      <c r="Q113" s="847"/>
      <c r="R113" s="847"/>
      <c r="S113" s="847"/>
      <c r="T113" s="847"/>
      <c r="U113" s="847"/>
      <c r="V113" s="847"/>
      <c r="W113" s="847"/>
      <c r="X113" s="847"/>
      <c r="Y113" s="847"/>
      <c r="Z113" s="847"/>
      <c r="AA113" s="847"/>
      <c r="AB113" s="847"/>
      <c r="AC113" s="847"/>
      <c r="AD113" s="847"/>
      <c r="AE113" s="847"/>
    </row>
    <row r="114" spans="1:31">
      <c r="A114" s="847"/>
      <c r="B114" s="847"/>
      <c r="C114" s="847"/>
      <c r="D114" s="847"/>
      <c r="E114" s="847"/>
      <c r="F114" s="847"/>
      <c r="G114" s="847"/>
      <c r="H114" s="847"/>
      <c r="I114" s="847"/>
      <c r="J114" s="847"/>
      <c r="K114" s="847"/>
      <c r="L114" s="847"/>
      <c r="M114" s="847"/>
      <c r="N114" s="847"/>
      <c r="O114" s="847"/>
      <c r="P114" s="847"/>
      <c r="Q114" s="847"/>
      <c r="R114" s="847"/>
      <c r="S114" s="847"/>
      <c r="T114" s="847"/>
      <c r="U114" s="847"/>
      <c r="V114" s="847"/>
      <c r="W114" s="847"/>
      <c r="X114" s="847"/>
      <c r="Y114" s="847"/>
      <c r="Z114" s="847"/>
      <c r="AA114" s="847"/>
      <c r="AB114" s="847"/>
      <c r="AC114" s="847"/>
      <c r="AD114" s="847"/>
      <c r="AE114" s="847"/>
    </row>
    <row r="115" spans="1:31">
      <c r="A115" s="847"/>
      <c r="B115" s="847"/>
      <c r="C115" s="847"/>
      <c r="D115" s="847"/>
      <c r="E115" s="847"/>
      <c r="F115" s="847"/>
      <c r="G115" s="847"/>
      <c r="H115" s="847"/>
      <c r="I115" s="847"/>
      <c r="J115" s="847"/>
      <c r="K115" s="847"/>
      <c r="L115" s="847"/>
      <c r="M115" s="847"/>
      <c r="N115" s="847"/>
      <c r="O115" s="847"/>
      <c r="P115" s="847"/>
      <c r="Q115" s="847"/>
      <c r="R115" s="847"/>
      <c r="S115" s="847"/>
      <c r="T115" s="847"/>
      <c r="U115" s="847"/>
      <c r="V115" s="847"/>
      <c r="W115" s="847"/>
      <c r="X115" s="847"/>
      <c r="Y115" s="847"/>
      <c r="Z115" s="847"/>
      <c r="AA115" s="847"/>
      <c r="AB115" s="847"/>
      <c r="AC115" s="847"/>
      <c r="AD115" s="847"/>
      <c r="AE115" s="847"/>
    </row>
    <row r="116" spans="1:31">
      <c r="A116" s="847"/>
      <c r="B116" s="847"/>
      <c r="C116" s="847"/>
      <c r="D116" s="847"/>
      <c r="E116" s="847"/>
      <c r="F116" s="847"/>
      <c r="G116" s="847"/>
      <c r="H116" s="847"/>
      <c r="I116" s="847"/>
      <c r="J116" s="847"/>
      <c r="K116" s="847"/>
      <c r="L116" s="847"/>
      <c r="M116" s="847"/>
      <c r="N116" s="847"/>
      <c r="O116" s="847"/>
      <c r="P116" s="847"/>
      <c r="Q116" s="847"/>
      <c r="R116" s="847"/>
      <c r="S116" s="847"/>
      <c r="T116" s="847"/>
      <c r="U116" s="847"/>
      <c r="V116" s="847"/>
      <c r="W116" s="847"/>
      <c r="X116" s="847"/>
      <c r="Y116" s="847"/>
      <c r="Z116" s="847"/>
      <c r="AA116" s="847"/>
      <c r="AB116" s="847"/>
      <c r="AC116" s="847"/>
      <c r="AD116" s="847"/>
      <c r="AE116" s="847"/>
    </row>
    <row r="117" spans="1:31">
      <c r="A117" s="847"/>
      <c r="B117" s="847"/>
      <c r="C117" s="847"/>
      <c r="D117" s="847"/>
      <c r="E117" s="847"/>
      <c r="F117" s="847"/>
      <c r="G117" s="847"/>
      <c r="H117" s="847"/>
      <c r="I117" s="847"/>
      <c r="J117" s="847"/>
      <c r="K117" s="847"/>
      <c r="L117" s="847"/>
      <c r="M117" s="847"/>
      <c r="N117" s="847"/>
      <c r="O117" s="847"/>
      <c r="P117" s="847"/>
      <c r="Q117" s="847"/>
      <c r="R117" s="847"/>
      <c r="S117" s="847"/>
      <c r="T117" s="847"/>
      <c r="U117" s="847"/>
      <c r="V117" s="847"/>
      <c r="W117" s="847"/>
      <c r="X117" s="847"/>
      <c r="Y117" s="847"/>
      <c r="Z117" s="847"/>
      <c r="AA117" s="847"/>
      <c r="AB117" s="847"/>
      <c r="AC117" s="847"/>
      <c r="AD117" s="847"/>
      <c r="AE117" s="847"/>
    </row>
    <row r="118" spans="1:31">
      <c r="A118" s="847"/>
      <c r="B118" s="847"/>
      <c r="C118" s="847"/>
      <c r="D118" s="847"/>
      <c r="E118" s="847"/>
      <c r="F118" s="847"/>
      <c r="G118" s="847"/>
      <c r="H118" s="847"/>
      <c r="I118" s="847"/>
      <c r="J118" s="847"/>
      <c r="K118" s="847"/>
      <c r="L118" s="847"/>
      <c r="M118" s="847"/>
      <c r="N118" s="847"/>
      <c r="O118" s="847"/>
      <c r="P118" s="847"/>
      <c r="Q118" s="847"/>
      <c r="R118" s="847"/>
      <c r="S118" s="847"/>
      <c r="T118" s="847"/>
      <c r="U118" s="847"/>
      <c r="V118" s="847"/>
      <c r="W118" s="847"/>
      <c r="X118" s="847"/>
      <c r="Y118" s="847"/>
      <c r="Z118" s="847"/>
      <c r="AA118" s="847"/>
      <c r="AB118" s="847"/>
      <c r="AC118" s="847"/>
      <c r="AD118" s="847"/>
      <c r="AE118" s="847"/>
    </row>
    <row r="119" spans="1:31">
      <c r="A119" s="847"/>
      <c r="B119" s="847"/>
      <c r="C119" s="847"/>
      <c r="D119" s="847"/>
      <c r="E119" s="847"/>
      <c r="F119" s="847"/>
      <c r="G119" s="847"/>
      <c r="H119" s="847"/>
      <c r="I119" s="847"/>
      <c r="J119" s="847"/>
      <c r="K119" s="847"/>
      <c r="L119" s="847"/>
      <c r="M119" s="847"/>
      <c r="N119" s="847"/>
      <c r="O119" s="847"/>
      <c r="P119" s="847"/>
      <c r="Q119" s="847"/>
      <c r="R119" s="847"/>
      <c r="S119" s="847"/>
      <c r="T119" s="847"/>
      <c r="U119" s="847"/>
      <c r="V119" s="847"/>
      <c r="W119" s="847"/>
      <c r="X119" s="847"/>
      <c r="Y119" s="847"/>
      <c r="Z119" s="847"/>
      <c r="AA119" s="847"/>
      <c r="AB119" s="847"/>
      <c r="AC119" s="847"/>
      <c r="AD119" s="847"/>
      <c r="AE119" s="847"/>
    </row>
    <row r="120" spans="1:31">
      <c r="A120" s="847"/>
      <c r="B120" s="847"/>
      <c r="C120" s="847"/>
      <c r="D120" s="847"/>
      <c r="E120" s="847"/>
      <c r="F120" s="847"/>
      <c r="G120" s="847"/>
      <c r="H120" s="847"/>
      <c r="I120" s="847"/>
      <c r="J120" s="847"/>
      <c r="K120" s="847"/>
      <c r="L120" s="847"/>
      <c r="M120" s="847"/>
      <c r="N120" s="847"/>
      <c r="O120" s="847"/>
      <c r="P120" s="847"/>
      <c r="Q120" s="847"/>
      <c r="R120" s="847"/>
      <c r="S120" s="847"/>
      <c r="T120" s="847"/>
      <c r="U120" s="847"/>
      <c r="V120" s="847"/>
      <c r="W120" s="847"/>
      <c r="X120" s="847"/>
      <c r="Y120" s="847"/>
      <c r="Z120" s="847"/>
      <c r="AA120" s="847"/>
      <c r="AB120" s="847"/>
      <c r="AC120" s="847"/>
      <c r="AD120" s="847"/>
      <c r="AE120" s="847"/>
    </row>
    <row r="121" spans="1:31">
      <c r="B121" s="847"/>
      <c r="C121" s="847"/>
      <c r="D121" s="847"/>
      <c r="E121" s="847"/>
      <c r="F121" s="847"/>
      <c r="G121" s="847"/>
      <c r="H121" s="847"/>
      <c r="I121" s="847"/>
      <c r="J121" s="847"/>
      <c r="K121" s="847"/>
      <c r="L121" s="847"/>
      <c r="M121" s="847"/>
      <c r="N121" s="847"/>
      <c r="O121" s="847"/>
      <c r="P121" s="847"/>
      <c r="Q121" s="847"/>
      <c r="R121" s="847"/>
      <c r="S121" s="847"/>
      <c r="T121" s="847"/>
      <c r="U121" s="847"/>
      <c r="V121" s="847"/>
      <c r="W121" s="847"/>
      <c r="X121" s="847"/>
      <c r="Y121" s="847"/>
      <c r="Z121" s="847"/>
      <c r="AA121" s="847"/>
      <c r="AB121" s="847"/>
      <c r="AC121" s="847"/>
      <c r="AD121" s="847"/>
      <c r="AE121" s="847"/>
    </row>
    <row r="122" spans="1:31">
      <c r="B122" s="847"/>
      <c r="C122" s="847"/>
      <c r="D122" s="847"/>
      <c r="E122" s="847"/>
      <c r="F122" s="847"/>
      <c r="G122" s="847"/>
      <c r="H122" s="847"/>
      <c r="I122" s="847"/>
      <c r="J122" s="847"/>
      <c r="K122" s="847"/>
      <c r="L122" s="847"/>
      <c r="M122" s="847"/>
      <c r="N122" s="847"/>
      <c r="O122" s="847"/>
      <c r="P122" s="847"/>
      <c r="Q122" s="847"/>
      <c r="R122" s="847"/>
      <c r="S122" s="847"/>
      <c r="T122" s="847"/>
      <c r="U122" s="847"/>
      <c r="V122" s="847"/>
      <c r="W122" s="847"/>
      <c r="X122" s="847"/>
      <c r="Y122" s="847"/>
      <c r="Z122" s="847"/>
      <c r="AA122" s="847"/>
      <c r="AB122" s="847"/>
      <c r="AC122" s="847"/>
      <c r="AD122" s="847"/>
      <c r="AE122" s="847"/>
    </row>
    <row r="123" spans="1:31">
      <c r="B123" s="847"/>
      <c r="C123" s="847"/>
      <c r="D123" s="847"/>
      <c r="E123" s="847"/>
      <c r="F123" s="847"/>
      <c r="G123" s="847"/>
      <c r="H123" s="847"/>
      <c r="I123" s="847"/>
      <c r="J123" s="847"/>
      <c r="K123" s="847"/>
      <c r="L123" s="847"/>
      <c r="M123" s="847"/>
      <c r="N123" s="847"/>
      <c r="O123" s="847"/>
      <c r="P123" s="847"/>
      <c r="Q123" s="847"/>
      <c r="R123" s="847"/>
      <c r="S123" s="847"/>
      <c r="T123" s="847"/>
      <c r="U123" s="847"/>
      <c r="V123" s="847"/>
      <c r="W123" s="847"/>
      <c r="X123" s="847"/>
      <c r="Y123" s="847"/>
      <c r="Z123" s="847"/>
      <c r="AA123" s="847"/>
      <c r="AB123" s="847"/>
      <c r="AC123" s="847"/>
      <c r="AD123" s="847"/>
      <c r="AE123" s="847"/>
    </row>
    <row r="124" spans="1:31">
      <c r="B124" s="847"/>
      <c r="C124" s="847"/>
      <c r="D124" s="847"/>
      <c r="E124" s="847"/>
      <c r="F124" s="847"/>
      <c r="G124" s="847"/>
      <c r="H124" s="847"/>
      <c r="I124" s="847"/>
      <c r="J124" s="847"/>
      <c r="K124" s="847"/>
      <c r="L124" s="847"/>
      <c r="M124" s="847"/>
      <c r="N124" s="847"/>
      <c r="O124" s="847"/>
      <c r="P124" s="847"/>
      <c r="Q124" s="847"/>
      <c r="R124" s="847"/>
      <c r="S124" s="847"/>
      <c r="T124" s="847"/>
      <c r="U124" s="847"/>
      <c r="V124" s="847"/>
      <c r="W124" s="847"/>
      <c r="X124" s="847"/>
      <c r="Y124" s="847"/>
      <c r="Z124" s="847"/>
      <c r="AA124" s="847"/>
      <c r="AB124" s="847"/>
      <c r="AC124" s="847"/>
      <c r="AD124" s="847"/>
      <c r="AE124" s="847"/>
    </row>
    <row r="125" spans="1:31">
      <c r="B125" s="847"/>
      <c r="C125" s="847"/>
      <c r="D125" s="847"/>
      <c r="E125" s="847"/>
      <c r="F125" s="847"/>
      <c r="G125" s="847"/>
      <c r="H125" s="847"/>
      <c r="I125" s="847"/>
      <c r="J125" s="847"/>
      <c r="K125" s="847"/>
      <c r="L125" s="847"/>
      <c r="M125" s="847"/>
      <c r="N125" s="847"/>
      <c r="O125" s="847"/>
      <c r="P125" s="847"/>
      <c r="Q125" s="847"/>
      <c r="R125" s="847"/>
      <c r="S125" s="847"/>
      <c r="T125" s="847"/>
      <c r="U125" s="847"/>
      <c r="V125" s="847"/>
      <c r="W125" s="847"/>
      <c r="X125" s="847"/>
      <c r="Y125" s="847"/>
      <c r="Z125" s="847"/>
      <c r="AA125" s="847"/>
      <c r="AB125" s="847"/>
      <c r="AC125" s="847"/>
      <c r="AD125" s="847"/>
      <c r="AE125" s="847"/>
    </row>
  </sheetData>
  <hyperlinks>
    <hyperlink ref="J9" r:id="rId1" xr:uid="{00000000-0004-0000-0600-000000000000}"/>
    <hyperlink ref="C9" r:id="rId2" xr:uid="{00000000-0004-0000-0600-000001000000}"/>
    <hyperlink ref="C19" r:id="rId3" xr:uid="{00000000-0004-0000-0600-000002000000}"/>
  </hyperlinks>
  <pageMargins left="0.7" right="0.7" top="0.78740157499999996" bottom="0.78740157499999996" header="0.3" footer="0.3"/>
  <pageSetup paperSize="9" scale="81" fitToHeight="0" orientation="landscape" horizontalDpi="1200" verticalDpi="1200" r:id="rId4"/>
  <drawing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
    <tabColor theme="9"/>
  </sheetPr>
  <dimension ref="A1:E64"/>
  <sheetViews>
    <sheetView workbookViewId="0">
      <selection activeCell="I9" sqref="I9"/>
    </sheetView>
  </sheetViews>
  <sheetFormatPr defaultColWidth="11.44140625" defaultRowHeight="15" customHeight="1"/>
  <cols>
    <col min="1" max="1" width="5.6640625" style="446" customWidth="1"/>
    <col min="2" max="2" width="5.6640625" style="520" customWidth="1"/>
    <col min="3" max="3" width="35.6640625" customWidth="1"/>
    <col min="4" max="4" width="10.6640625" customWidth="1"/>
    <col min="5" max="5" width="11.5546875" customWidth="1"/>
    <col min="6" max="16384" width="11.44140625" style="446"/>
  </cols>
  <sheetData>
    <row r="1" spans="1:4" ht="15" customHeight="1">
      <c r="A1" s="446" t="s">
        <v>74</v>
      </c>
    </row>
    <row r="2" spans="1:4" ht="15" customHeight="1">
      <c r="B2" s="868"/>
    </row>
    <row r="3" spans="1:4" ht="15" customHeight="1">
      <c r="B3" s="870" t="s">
        <v>2</v>
      </c>
    </row>
    <row r="4" spans="1:4" ht="15" customHeight="1">
      <c r="B4" s="872"/>
      <c r="C4" s="873"/>
      <c r="D4" s="873"/>
    </row>
    <row r="5" spans="1:4" ht="15" customHeight="1">
      <c r="B5" s="871" t="s">
        <v>8</v>
      </c>
      <c r="C5" s="871" t="s">
        <v>1</v>
      </c>
      <c r="D5" s="871"/>
    </row>
    <row r="6" spans="1:4" ht="15" customHeight="1">
      <c r="B6" s="869"/>
      <c r="C6" s="91"/>
      <c r="D6" s="521"/>
    </row>
    <row r="7" spans="1:4" ht="15" customHeight="1">
      <c r="B7" s="869">
        <v>1</v>
      </c>
      <c r="C7" s="91" t="s">
        <v>68</v>
      </c>
      <c r="D7" s="521" t="s">
        <v>9</v>
      </c>
    </row>
    <row r="8" spans="1:4" ht="15" customHeight="1">
      <c r="B8" s="869">
        <v>2</v>
      </c>
      <c r="C8" s="91" t="s">
        <v>70</v>
      </c>
      <c r="D8" s="521" t="s">
        <v>9</v>
      </c>
    </row>
    <row r="9" spans="1:4" ht="15" customHeight="1">
      <c r="B9" s="869">
        <v>3</v>
      </c>
      <c r="C9" s="91" t="s">
        <v>69</v>
      </c>
      <c r="D9" s="521" t="s">
        <v>9</v>
      </c>
    </row>
    <row r="10" spans="1:4" ht="15" customHeight="1">
      <c r="B10" s="869">
        <v>4</v>
      </c>
      <c r="C10" s="91" t="s">
        <v>60</v>
      </c>
      <c r="D10" s="521" t="s">
        <v>9</v>
      </c>
    </row>
    <row r="11" spans="1:4" ht="15" customHeight="1">
      <c r="B11" s="869">
        <v>5</v>
      </c>
      <c r="C11" s="91" t="s">
        <v>192</v>
      </c>
      <c r="D11" s="521" t="s">
        <v>9</v>
      </c>
    </row>
    <row r="12" spans="1:4" ht="15" customHeight="1">
      <c r="B12" s="869">
        <v>6</v>
      </c>
      <c r="C12" s="91" t="s">
        <v>76</v>
      </c>
      <c r="D12" s="521" t="s">
        <v>9</v>
      </c>
    </row>
    <row r="13" spans="1:4" ht="15" customHeight="1">
      <c r="B13" s="869">
        <v>7</v>
      </c>
      <c r="C13" s="91" t="s">
        <v>75</v>
      </c>
      <c r="D13" s="521" t="s">
        <v>9</v>
      </c>
    </row>
    <row r="14" spans="1:4" ht="15" customHeight="1">
      <c r="B14" s="869">
        <v>8</v>
      </c>
      <c r="C14" s="91" t="s">
        <v>0</v>
      </c>
      <c r="D14" s="521" t="s">
        <v>9</v>
      </c>
    </row>
    <row r="15" spans="1:4" ht="15" customHeight="1">
      <c r="B15" s="869">
        <v>9</v>
      </c>
      <c r="C15" s="91" t="s">
        <v>2</v>
      </c>
      <c r="D15" s="521" t="s">
        <v>9</v>
      </c>
    </row>
    <row r="16" spans="1:4" ht="15" customHeight="1">
      <c r="B16" s="869">
        <v>10</v>
      </c>
      <c r="C16" s="91" t="s">
        <v>97</v>
      </c>
      <c r="D16" s="521" t="s">
        <v>9</v>
      </c>
    </row>
    <row r="17" spans="2:4" ht="15" customHeight="1">
      <c r="B17" s="869">
        <v>11</v>
      </c>
      <c r="C17" s="91" t="s">
        <v>58</v>
      </c>
      <c r="D17" s="521" t="s">
        <v>9</v>
      </c>
    </row>
    <row r="18" spans="2:4" ht="15" customHeight="1">
      <c r="B18" s="869">
        <v>12</v>
      </c>
      <c r="C18" s="91" t="s">
        <v>91</v>
      </c>
      <c r="D18" s="521" t="s">
        <v>9</v>
      </c>
    </row>
    <row r="19" spans="2:4" ht="15" customHeight="1">
      <c r="B19" s="869">
        <v>13</v>
      </c>
      <c r="C19" s="91" t="s">
        <v>96</v>
      </c>
      <c r="D19" s="521" t="s">
        <v>9</v>
      </c>
    </row>
    <row r="20" spans="2:4" ht="15" customHeight="1">
      <c r="B20" s="869">
        <v>14</v>
      </c>
      <c r="C20" s="91" t="s">
        <v>193</v>
      </c>
      <c r="D20" s="521" t="s">
        <v>9</v>
      </c>
    </row>
    <row r="21" spans="2:4" ht="15" customHeight="1">
      <c r="B21" s="869">
        <v>15</v>
      </c>
      <c r="C21" s="91" t="s">
        <v>194</v>
      </c>
      <c r="D21" s="521" t="s">
        <v>9</v>
      </c>
    </row>
    <row r="22" spans="2:4" ht="15" customHeight="1">
      <c r="B22" s="869">
        <v>16</v>
      </c>
      <c r="C22" s="91" t="s">
        <v>55</v>
      </c>
      <c r="D22" s="521" t="s">
        <v>9</v>
      </c>
    </row>
    <row r="23" spans="2:4" ht="15" customHeight="1">
      <c r="B23" s="869">
        <v>17</v>
      </c>
      <c r="C23" s="91" t="s">
        <v>195</v>
      </c>
      <c r="D23" s="521" t="s">
        <v>9</v>
      </c>
    </row>
    <row r="24" spans="2:4" ht="15" customHeight="1">
      <c r="B24" s="869">
        <v>18</v>
      </c>
      <c r="C24" s="91" t="s">
        <v>37</v>
      </c>
      <c r="D24" s="521" t="s">
        <v>9</v>
      </c>
    </row>
    <row r="25" spans="2:4" ht="15" customHeight="1">
      <c r="B25" s="869">
        <v>19</v>
      </c>
      <c r="C25" s="91" t="s">
        <v>36</v>
      </c>
      <c r="D25" s="521" t="s">
        <v>9</v>
      </c>
    </row>
    <row r="26" spans="2:4" ht="15" customHeight="1">
      <c r="B26" s="869">
        <v>20</v>
      </c>
      <c r="C26" s="91" t="s">
        <v>23</v>
      </c>
      <c r="D26" s="521" t="s">
        <v>9</v>
      </c>
    </row>
    <row r="27" spans="2:4" ht="15" customHeight="1">
      <c r="B27" s="869">
        <v>21</v>
      </c>
      <c r="C27" s="91" t="s">
        <v>21</v>
      </c>
      <c r="D27" s="521" t="s">
        <v>9</v>
      </c>
    </row>
    <row r="28" spans="2:4" ht="15" customHeight="1">
      <c r="B28" s="869">
        <v>22</v>
      </c>
      <c r="C28" s="91" t="s">
        <v>196</v>
      </c>
      <c r="D28" s="521" t="s">
        <v>9</v>
      </c>
    </row>
    <row r="29" spans="2:4" ht="15" customHeight="1">
      <c r="B29" s="869">
        <v>23</v>
      </c>
      <c r="C29" s="91" t="s">
        <v>22</v>
      </c>
      <c r="D29" s="521" t="s">
        <v>9</v>
      </c>
    </row>
    <row r="30" spans="2:4" ht="15" customHeight="1">
      <c r="B30" s="869">
        <v>24</v>
      </c>
      <c r="C30" s="91" t="s">
        <v>24</v>
      </c>
      <c r="D30" s="521" t="s">
        <v>9</v>
      </c>
    </row>
    <row r="31" spans="2:4" ht="15" customHeight="1">
      <c r="B31" s="869">
        <v>25</v>
      </c>
      <c r="C31" s="91" t="s">
        <v>197</v>
      </c>
      <c r="D31" s="521" t="s">
        <v>9</v>
      </c>
    </row>
    <row r="32" spans="2:4" ht="15" customHeight="1">
      <c r="B32" s="869">
        <v>26</v>
      </c>
      <c r="C32" s="91" t="s">
        <v>28</v>
      </c>
      <c r="D32" s="521" t="s">
        <v>9</v>
      </c>
    </row>
    <row r="33" spans="2:4" ht="15" customHeight="1">
      <c r="B33" s="869">
        <v>27</v>
      </c>
      <c r="C33" s="91" t="s">
        <v>32</v>
      </c>
      <c r="D33" s="521" t="s">
        <v>9</v>
      </c>
    </row>
    <row r="34" spans="2:4" ht="15" customHeight="1">
      <c r="B34" s="869">
        <v>28</v>
      </c>
      <c r="C34" s="91" t="s">
        <v>137</v>
      </c>
      <c r="D34" s="521" t="s">
        <v>9</v>
      </c>
    </row>
    <row r="35" spans="2:4" ht="15" customHeight="1">
      <c r="B35" s="869">
        <v>29</v>
      </c>
      <c r="C35" s="91" t="s">
        <v>198</v>
      </c>
      <c r="D35" s="521" t="s">
        <v>9</v>
      </c>
    </row>
    <row r="36" spans="2:4" ht="15" customHeight="1">
      <c r="B36" s="869">
        <v>30</v>
      </c>
      <c r="C36" s="91" t="s">
        <v>136</v>
      </c>
      <c r="D36" s="521" t="s">
        <v>9</v>
      </c>
    </row>
    <row r="37" spans="2:4" ht="15" customHeight="1">
      <c r="B37" s="869">
        <v>31</v>
      </c>
      <c r="C37" s="91" t="s">
        <v>114</v>
      </c>
      <c r="D37" s="521" t="s">
        <v>9</v>
      </c>
    </row>
    <row r="38" spans="2:4" ht="15" customHeight="1">
      <c r="B38" s="869">
        <v>32</v>
      </c>
      <c r="C38" s="91" t="s">
        <v>46</v>
      </c>
      <c r="D38" s="521" t="s">
        <v>9</v>
      </c>
    </row>
    <row r="39" spans="2:4" ht="15" customHeight="1">
      <c r="B39" s="869">
        <v>33</v>
      </c>
      <c r="C39" s="91" t="s">
        <v>54</v>
      </c>
      <c r="D39" s="521" t="s">
        <v>9</v>
      </c>
    </row>
    <row r="40" spans="2:4" ht="15" customHeight="1">
      <c r="B40" s="869">
        <v>34</v>
      </c>
      <c r="C40" s="91" t="s">
        <v>199</v>
      </c>
      <c r="D40" s="521" t="s">
        <v>9</v>
      </c>
    </row>
    <row r="41" spans="2:4" ht="15" customHeight="1">
      <c r="B41" s="869">
        <v>35</v>
      </c>
      <c r="C41" s="91" t="s">
        <v>115</v>
      </c>
      <c r="D41" s="521" t="s">
        <v>9</v>
      </c>
    </row>
    <row r="42" spans="2:4" ht="15" customHeight="1">
      <c r="B42" s="869">
        <v>36</v>
      </c>
      <c r="C42" s="91" t="s">
        <v>116</v>
      </c>
      <c r="D42" s="521" t="s">
        <v>9</v>
      </c>
    </row>
    <row r="43" spans="2:4" ht="15" customHeight="1">
      <c r="B43" s="869">
        <v>37</v>
      </c>
      <c r="C43" s="91" t="s">
        <v>138</v>
      </c>
      <c r="D43" s="521" t="s">
        <v>9</v>
      </c>
    </row>
    <row r="44" spans="2:4" ht="15" customHeight="1">
      <c r="B44" s="869">
        <v>38</v>
      </c>
      <c r="C44" s="91" t="s">
        <v>200</v>
      </c>
      <c r="D44" s="521" t="s">
        <v>9</v>
      </c>
    </row>
    <row r="45" spans="2:4" ht="15" customHeight="1">
      <c r="B45" s="869">
        <v>39</v>
      </c>
      <c r="C45" s="91" t="s">
        <v>201</v>
      </c>
      <c r="D45" s="521" t="s">
        <v>9</v>
      </c>
    </row>
    <row r="46" spans="2:4" ht="15" customHeight="1">
      <c r="B46" s="869">
        <v>40</v>
      </c>
      <c r="C46" s="91" t="s">
        <v>40</v>
      </c>
      <c r="D46" s="521" t="s">
        <v>9</v>
      </c>
    </row>
    <row r="47" spans="2:4" ht="15" customHeight="1">
      <c r="B47" s="869">
        <v>41</v>
      </c>
      <c r="C47" s="91" t="s">
        <v>117</v>
      </c>
      <c r="D47" s="521" t="s">
        <v>9</v>
      </c>
    </row>
    <row r="48" spans="2:4" ht="15" customHeight="1">
      <c r="B48" s="869">
        <v>42</v>
      </c>
      <c r="C48" s="91" t="s">
        <v>202</v>
      </c>
      <c r="D48" s="521" t="s">
        <v>9</v>
      </c>
    </row>
    <row r="49" spans="2:4" ht="15" customHeight="1">
      <c r="B49" s="869">
        <v>43</v>
      </c>
      <c r="C49" s="91" t="s">
        <v>203</v>
      </c>
      <c r="D49" s="521" t="s">
        <v>9</v>
      </c>
    </row>
    <row r="50" spans="2:4" ht="15" customHeight="1">
      <c r="B50" s="869">
        <v>44</v>
      </c>
      <c r="C50" s="91" t="s">
        <v>204</v>
      </c>
      <c r="D50" s="521" t="s">
        <v>9</v>
      </c>
    </row>
    <row r="51" spans="2:4" ht="15" customHeight="1">
      <c r="B51" s="869">
        <v>45</v>
      </c>
      <c r="C51" s="91" t="s">
        <v>33</v>
      </c>
      <c r="D51" s="521" t="s">
        <v>9</v>
      </c>
    </row>
    <row r="52" spans="2:4" ht="15" customHeight="1">
      <c r="B52" s="869">
        <v>46</v>
      </c>
      <c r="C52" s="91" t="s">
        <v>118</v>
      </c>
      <c r="D52" s="521" t="s">
        <v>9</v>
      </c>
    </row>
    <row r="53" spans="2:4" ht="15" customHeight="1">
      <c r="B53" s="869">
        <v>47</v>
      </c>
      <c r="C53" s="91" t="s">
        <v>119</v>
      </c>
      <c r="D53" s="521" t="s">
        <v>9</v>
      </c>
    </row>
    <row r="54" spans="2:4" ht="15" customHeight="1">
      <c r="B54" s="869">
        <v>48</v>
      </c>
      <c r="C54" s="91" t="s">
        <v>120</v>
      </c>
      <c r="D54" s="521" t="s">
        <v>9</v>
      </c>
    </row>
    <row r="55" spans="2:4" ht="15" customHeight="1">
      <c r="B55" s="869">
        <v>49</v>
      </c>
      <c r="C55" s="91" t="s">
        <v>121</v>
      </c>
      <c r="D55" s="521" t="s">
        <v>9</v>
      </c>
    </row>
    <row r="56" spans="2:4" ht="15" customHeight="1">
      <c r="B56" s="869">
        <v>50</v>
      </c>
      <c r="C56" s="91" t="s">
        <v>122</v>
      </c>
      <c r="D56" s="521" t="s">
        <v>9</v>
      </c>
    </row>
    <row r="57" spans="2:4" ht="15" customHeight="1">
      <c r="B57" s="869">
        <v>51</v>
      </c>
      <c r="C57" s="91" t="s">
        <v>53</v>
      </c>
      <c r="D57" s="521" t="s">
        <v>9</v>
      </c>
    </row>
    <row r="58" spans="2:4" ht="15" customHeight="1">
      <c r="B58" s="869">
        <v>52</v>
      </c>
      <c r="C58" s="91" t="s">
        <v>139</v>
      </c>
      <c r="D58" s="521" t="s">
        <v>9</v>
      </c>
    </row>
    <row r="59" spans="2:4" ht="15" customHeight="1">
      <c r="B59" s="869">
        <v>53</v>
      </c>
      <c r="C59" s="91" t="s">
        <v>205</v>
      </c>
      <c r="D59" s="521" t="s">
        <v>9</v>
      </c>
    </row>
    <row r="60" spans="2:4" ht="15" customHeight="1">
      <c r="B60" s="869">
        <v>54</v>
      </c>
      <c r="C60" s="91" t="s">
        <v>206</v>
      </c>
      <c r="D60" s="521" t="s">
        <v>9</v>
      </c>
    </row>
    <row r="61" spans="2:4" ht="15" customHeight="1">
      <c r="B61" s="869">
        <v>55</v>
      </c>
      <c r="C61" s="91" t="s">
        <v>207</v>
      </c>
      <c r="D61" s="521" t="s">
        <v>9</v>
      </c>
    </row>
    <row r="62" spans="2:4" ht="15" customHeight="1">
      <c r="B62" s="869">
        <v>56</v>
      </c>
      <c r="C62" s="91" t="s">
        <v>241</v>
      </c>
      <c r="D62" s="521" t="s">
        <v>9</v>
      </c>
    </row>
    <row r="63" spans="2:4" ht="15" customHeight="1">
      <c r="B63" s="869">
        <v>57</v>
      </c>
      <c r="C63" s="91" t="s">
        <v>208</v>
      </c>
      <c r="D63" s="521" t="s">
        <v>9</v>
      </c>
    </row>
    <row r="64" spans="2:4" ht="15" customHeight="1">
      <c r="B64" s="869">
        <v>58</v>
      </c>
      <c r="C64" s="91" t="s">
        <v>242</v>
      </c>
      <c r="D64" s="521" t="s">
        <v>9</v>
      </c>
    </row>
  </sheetData>
  <phoneticPr fontId="14" type="noConversion"/>
  <conditionalFormatting sqref="D40:D41">
    <cfRule type="cellIs" dxfId="237" priority="49" stopIfTrue="1" operator="equal">
      <formula>#REF!</formula>
    </cfRule>
  </conditionalFormatting>
  <conditionalFormatting sqref="D26 D45 D49 D15:D24 D38 D34:D35 D30:D31 D43">
    <cfRule type="cellIs" dxfId="236" priority="48" stopIfTrue="1" operator="equal">
      <formula>#REF!</formula>
    </cfRule>
  </conditionalFormatting>
  <conditionalFormatting sqref="D42">
    <cfRule type="cellIs" dxfId="235" priority="47" stopIfTrue="1" operator="equal">
      <formula>#REF!</formula>
    </cfRule>
  </conditionalFormatting>
  <conditionalFormatting sqref="D39">
    <cfRule type="cellIs" dxfId="234" priority="46" stopIfTrue="1" operator="equal">
      <formula>#REF!</formula>
    </cfRule>
  </conditionalFormatting>
  <conditionalFormatting sqref="D14">
    <cfRule type="cellIs" dxfId="233" priority="45" stopIfTrue="1" operator="equal">
      <formula>#REF!</formula>
    </cfRule>
  </conditionalFormatting>
  <conditionalFormatting sqref="D25">
    <cfRule type="cellIs" dxfId="232" priority="44" stopIfTrue="1" operator="equal">
      <formula>#REF!</formula>
    </cfRule>
  </conditionalFormatting>
  <conditionalFormatting sqref="D33">
    <cfRule type="cellIs" dxfId="231" priority="43" stopIfTrue="1" operator="equal">
      <formula>#REF!</formula>
    </cfRule>
  </conditionalFormatting>
  <conditionalFormatting sqref="D32">
    <cfRule type="cellIs" dxfId="230" priority="42" stopIfTrue="1" operator="equal">
      <formula>#REF!</formula>
    </cfRule>
  </conditionalFormatting>
  <conditionalFormatting sqref="D27">
    <cfRule type="cellIs" dxfId="229" priority="41" stopIfTrue="1" operator="equal">
      <formula>#REF!</formula>
    </cfRule>
  </conditionalFormatting>
  <conditionalFormatting sqref="D46">
    <cfRule type="cellIs" dxfId="228" priority="40" stopIfTrue="1" operator="equal">
      <formula>#REF!</formula>
    </cfRule>
  </conditionalFormatting>
  <conditionalFormatting sqref="D47">
    <cfRule type="cellIs" dxfId="227" priority="39" stopIfTrue="1" operator="equal">
      <formula>#REF!</formula>
    </cfRule>
  </conditionalFormatting>
  <conditionalFormatting sqref="D36">
    <cfRule type="cellIs" dxfId="226" priority="38" stopIfTrue="1" operator="equal">
      <formula>#REF!</formula>
    </cfRule>
  </conditionalFormatting>
  <conditionalFormatting sqref="D37">
    <cfRule type="cellIs" dxfId="225" priority="37" stopIfTrue="1" operator="equal">
      <formula>#REF!</formula>
    </cfRule>
  </conditionalFormatting>
  <conditionalFormatting sqref="D44">
    <cfRule type="cellIs" dxfId="224" priority="36" stopIfTrue="1" operator="equal">
      <formula>#REF!</formula>
    </cfRule>
  </conditionalFormatting>
  <conditionalFormatting sqref="D48">
    <cfRule type="cellIs" dxfId="223" priority="35" stopIfTrue="1" operator="equal">
      <formula>#REF!</formula>
    </cfRule>
  </conditionalFormatting>
  <conditionalFormatting sqref="D50">
    <cfRule type="cellIs" dxfId="222" priority="34" stopIfTrue="1" operator="equal">
      <formula>#REF!</formula>
    </cfRule>
  </conditionalFormatting>
  <conditionalFormatting sqref="D51">
    <cfRule type="cellIs" dxfId="221" priority="33" stopIfTrue="1" operator="equal">
      <formula>#REF!</formula>
    </cfRule>
  </conditionalFormatting>
  <conditionalFormatting sqref="D52:D53">
    <cfRule type="cellIs" dxfId="220" priority="32" stopIfTrue="1" operator="equal">
      <formula>#REF!</formula>
    </cfRule>
  </conditionalFormatting>
  <conditionalFormatting sqref="D28">
    <cfRule type="cellIs" dxfId="219" priority="31" stopIfTrue="1" operator="equal">
      <formula>#REF!</formula>
    </cfRule>
  </conditionalFormatting>
  <conditionalFormatting sqref="D29">
    <cfRule type="cellIs" dxfId="218" priority="30" stopIfTrue="1" operator="equal">
      <formula>#REF!</formula>
    </cfRule>
  </conditionalFormatting>
  <conditionalFormatting sqref="B40:C41">
    <cfRule type="cellIs" dxfId="217" priority="29" stopIfTrue="1" operator="equal">
      <formula>#REF!</formula>
    </cfRule>
  </conditionalFormatting>
  <conditionalFormatting sqref="B26:C26 B45:C45 B49:C49 B15:C24 B38:C38 B34:C35 B30:C31 B43:C43">
    <cfRule type="cellIs" dxfId="216" priority="28" stopIfTrue="1" operator="equal">
      <formula>#REF!</formula>
    </cfRule>
  </conditionalFormatting>
  <conditionalFormatting sqref="B42:C42">
    <cfRule type="cellIs" dxfId="215" priority="27" stopIfTrue="1" operator="equal">
      <formula>#REF!</formula>
    </cfRule>
  </conditionalFormatting>
  <conditionalFormatting sqref="B39:C39">
    <cfRule type="cellIs" dxfId="214" priority="26" stopIfTrue="1" operator="equal">
      <formula>#REF!</formula>
    </cfRule>
  </conditionalFormatting>
  <conditionalFormatting sqref="B14:C14">
    <cfRule type="cellIs" dxfId="213" priority="25" stopIfTrue="1" operator="equal">
      <formula>#REF!</formula>
    </cfRule>
  </conditionalFormatting>
  <conditionalFormatting sqref="B25:C25">
    <cfRule type="cellIs" dxfId="212" priority="24" stopIfTrue="1" operator="equal">
      <formula>#REF!</formula>
    </cfRule>
  </conditionalFormatting>
  <conditionalFormatting sqref="B33:C33">
    <cfRule type="cellIs" dxfId="211" priority="23" stopIfTrue="1" operator="equal">
      <formula>#REF!</formula>
    </cfRule>
  </conditionalFormatting>
  <conditionalFormatting sqref="B32:C32">
    <cfRule type="cellIs" dxfId="210" priority="22" stopIfTrue="1" operator="equal">
      <formula>#REF!</formula>
    </cfRule>
  </conditionalFormatting>
  <conditionalFormatting sqref="B27:C27">
    <cfRule type="cellIs" dxfId="209" priority="21" stopIfTrue="1" operator="equal">
      <formula>#REF!</formula>
    </cfRule>
  </conditionalFormatting>
  <conditionalFormatting sqref="B46:C46">
    <cfRule type="cellIs" dxfId="208" priority="20" stopIfTrue="1" operator="equal">
      <formula>#REF!</formula>
    </cfRule>
  </conditionalFormatting>
  <conditionalFormatting sqref="B47:C47">
    <cfRule type="cellIs" dxfId="207" priority="19" stopIfTrue="1" operator="equal">
      <formula>#REF!</formula>
    </cfRule>
  </conditionalFormatting>
  <conditionalFormatting sqref="B36:C36">
    <cfRule type="cellIs" dxfId="206" priority="18" stopIfTrue="1" operator="equal">
      <formula>#REF!</formula>
    </cfRule>
  </conditionalFormatting>
  <conditionalFormatting sqref="B37:C37">
    <cfRule type="cellIs" dxfId="205" priority="17" stopIfTrue="1" operator="equal">
      <formula>#REF!</formula>
    </cfRule>
  </conditionalFormatting>
  <conditionalFormatting sqref="B44:C44">
    <cfRule type="cellIs" dxfId="204" priority="16" stopIfTrue="1" operator="equal">
      <formula>#REF!</formula>
    </cfRule>
  </conditionalFormatting>
  <conditionalFormatting sqref="B48:C48">
    <cfRule type="cellIs" dxfId="203" priority="15" stopIfTrue="1" operator="equal">
      <formula>#REF!</formula>
    </cfRule>
  </conditionalFormatting>
  <conditionalFormatting sqref="B50:C50">
    <cfRule type="cellIs" dxfId="202" priority="14" stopIfTrue="1" operator="equal">
      <formula>#REF!</formula>
    </cfRule>
  </conditionalFormatting>
  <conditionalFormatting sqref="B51:C51">
    <cfRule type="cellIs" dxfId="201" priority="13" stopIfTrue="1" operator="equal">
      <formula>#REF!</formula>
    </cfRule>
  </conditionalFormatting>
  <conditionalFormatting sqref="B52:C53">
    <cfRule type="cellIs" dxfId="200" priority="12" stopIfTrue="1" operator="equal">
      <formula>#REF!</formula>
    </cfRule>
  </conditionalFormatting>
  <conditionalFormatting sqref="B28:C28">
    <cfRule type="cellIs" dxfId="199" priority="11" stopIfTrue="1" operator="equal">
      <formula>#REF!</formula>
    </cfRule>
  </conditionalFormatting>
  <conditionalFormatting sqref="B29:C29">
    <cfRule type="cellIs" dxfId="198" priority="10" stopIfTrue="1" operator="equal">
      <formula>#REF!</formula>
    </cfRule>
  </conditionalFormatting>
  <conditionalFormatting sqref="D6:D13">
    <cfRule type="cellIs" dxfId="197" priority="9" stopIfTrue="1" operator="equal">
      <formula>#REF!</formula>
    </cfRule>
  </conditionalFormatting>
  <conditionalFormatting sqref="B6:C13 B5">
    <cfRule type="cellIs" dxfId="196" priority="8" stopIfTrue="1" operator="equal">
      <formula>#REF!</formula>
    </cfRule>
  </conditionalFormatting>
  <conditionalFormatting sqref="C5:D5">
    <cfRule type="cellIs" dxfId="195" priority="7" stopIfTrue="1" operator="equal">
      <formula>#REF!</formula>
    </cfRule>
  </conditionalFormatting>
  <conditionalFormatting sqref="D54:D62">
    <cfRule type="cellIs" dxfId="194" priority="6" stopIfTrue="1" operator="equal">
      <formula>#REF!</formula>
    </cfRule>
  </conditionalFormatting>
  <conditionalFormatting sqref="B54:C62">
    <cfRule type="cellIs" dxfId="193" priority="5" stopIfTrue="1" operator="equal">
      <formula>#REF!</formula>
    </cfRule>
  </conditionalFormatting>
  <conditionalFormatting sqref="D63">
    <cfRule type="cellIs" dxfId="192" priority="4" stopIfTrue="1" operator="equal">
      <formula>#REF!</formula>
    </cfRule>
  </conditionalFormatting>
  <conditionalFormatting sqref="B63:C63">
    <cfRule type="cellIs" dxfId="191" priority="3" stopIfTrue="1" operator="equal">
      <formula>#REF!</formula>
    </cfRule>
  </conditionalFormatting>
  <conditionalFormatting sqref="D64">
    <cfRule type="cellIs" dxfId="190" priority="2" stopIfTrue="1" operator="equal">
      <formula>#REF!</formula>
    </cfRule>
  </conditionalFormatting>
  <conditionalFormatting sqref="B64:C64">
    <cfRule type="cellIs" dxfId="189" priority="1" stopIfTrue="1" operator="equal">
      <formula>#REF!</formula>
    </cfRule>
  </conditionalFormatting>
  <hyperlinks>
    <hyperlink ref="C7" location="'Start-Experte'!A1" display="Start-Experte" xr:uid="{00000000-0004-0000-0700-000000000000}"/>
    <hyperlink ref="C8" location="'ControlPanel'!A1" display="ControlPanel" xr:uid="{00000000-0004-0000-0700-000001000000}"/>
    <hyperlink ref="C9" location="'Parameter-Entscheider'!A1" display="Parameter-Entscheider" xr:uid="{00000000-0004-0000-0700-000002000000}"/>
    <hyperlink ref="C10" location="'Start'!A1" display="Start" xr:uid="{00000000-0004-0000-0700-000003000000}"/>
    <hyperlink ref="C11" location="'Ergebnisse'!A1" display="Ergebnisse" xr:uid="{00000000-0004-0000-0700-000004000000}"/>
    <hyperlink ref="C12" location="'Manual'!A1" display="Manual" xr:uid="{00000000-0004-0000-0700-000005000000}"/>
    <hyperlink ref="C13" location="'Impressum'!A1" display="Impressum" xr:uid="{00000000-0004-0000-0700-000006000000}"/>
    <hyperlink ref="C14" location="'Version'!A1" display="Version" xr:uid="{00000000-0004-0000-0700-000007000000}"/>
    <hyperlink ref="C15" location="'Index'!A1" display="Index" xr:uid="{00000000-0004-0000-0700-000008000000}"/>
    <hyperlink ref="C16" location="'IndexComplete'!A1" display="IndexComplete" xr:uid="{00000000-0004-0000-0700-000009000000}"/>
    <hyperlink ref="C17" location="'MOD-Berechnungen'!A1" display="MOD-Berechnungen" xr:uid="{00000000-0004-0000-0700-00000A000000}"/>
    <hyperlink ref="C18" location="'MOD-Jahresgang'!A1" display="MOD-Jahresgang" xr:uid="{00000000-0004-0000-0700-00000B000000}"/>
    <hyperlink ref="C19" location="'GrD-Grafikdaten'!A1" display="GrD-Grafikdaten" xr:uid="{00000000-0004-0000-0700-00000C000000}"/>
    <hyperlink ref="C20" location="'GrD-Grafikdaten (2)'!A1" display="GrD-Grafikdaten (2)" xr:uid="{00000000-0004-0000-0700-00000D000000}"/>
    <hyperlink ref="C21" location="'MOD_Absenkung_Wind_offshore'!A1" display="MOD_Absenkung_Wind_offshore" xr:uid="{00000000-0004-0000-0700-00000E000000}"/>
    <hyperlink ref="C22" location="'D-Vergütungssatz Neuanlagen'!A1" display="D-Vergütungssatz Neuanlagen" xr:uid="{00000000-0004-0000-0700-00000F000000}"/>
    <hyperlink ref="C23" location="'D-Bruttozubau'!A1" display="D-Bruttozubau" xr:uid="{00000000-0004-0000-0700-000010000000}"/>
    <hyperlink ref="C24" location="'D-Standardauslastung'!A1" display="D-Standardauslastung" xr:uid="{00000000-0004-0000-0700-000011000000}"/>
    <hyperlink ref="C25" location="'D-Dargebotsfaktor'!A1" display="D-Dargebotsfaktor" xr:uid="{00000000-0004-0000-0700-000012000000}"/>
    <hyperlink ref="C26" location="'D-Spot-Skalierungsfaktor'!A1" display="D-Spot-Skalierungsfaktor" xr:uid="{00000000-0004-0000-0700-000013000000}"/>
    <hyperlink ref="C27" location="'D-Profilfaktoren'!A1" display="D-Profilfaktoren" xr:uid="{00000000-0004-0000-0700-000014000000}"/>
    <hyperlink ref="C28" location="'D-Dauer Goldenes Ende'!A1" display="D-Dauer Goldenes Ende" xr:uid="{00000000-0004-0000-0700-000015000000}"/>
    <hyperlink ref="C29" location="'D-Future Strompreis'!A1" display="D-Future Strompreis" xr:uid="{00000000-0004-0000-0700-000016000000}"/>
    <hyperlink ref="C30" location="'D-Liquiditätspuffer'!A1" display="D-Liquiditätspuffer" xr:uid="{00000000-0004-0000-0700-000017000000}"/>
    <hyperlink ref="C31" location="'D-Nettostromverbrauch'!A1" display="D-Nettostromverbrauch" xr:uid="{00000000-0004-0000-0700-000018000000}"/>
    <hyperlink ref="C32" location="'D-Privilegierter Letztverbrauch'!A1" display="D-Privilegierter Letztverbrauch" xr:uid="{00000000-0004-0000-0700-000019000000}"/>
    <hyperlink ref="C33" location="'D-Umlage priv. Letztverbrauch'!A1" display="D-Umlage priv. Letztverbrauch" xr:uid="{00000000-0004-0000-0700-00001A000000}"/>
    <hyperlink ref="C34" location="'D-Faktor Zusatzprivilegierung'!A1" display="D-Faktor Zusatzprivilegierung" xr:uid="{00000000-0004-0000-0700-00001B000000}"/>
    <hyperlink ref="C35" location="'D-Umlage EV Bestand'!A1" display="D-Umlage EV Bestand" xr:uid="{00000000-0004-0000-0700-00001C000000}"/>
    <hyperlink ref="C36" location="'D-Eigenverbrauch KWK Neue'!A1" display="D-Eigenverbrauch KWK Neue" xr:uid="{00000000-0004-0000-0700-00001D000000}"/>
    <hyperlink ref="C37" location="'D-Umlage Eigenverbrauch PV+KWK'!A1" display="D-Umlage Eigenverbrauch PV+KWK" xr:uid="{00000000-0004-0000-0700-00001E000000}"/>
    <hyperlink ref="C38" location="'D-vermiedene Netzentgelte'!A1" display="D-vermiedene Netzentgelte" xr:uid="{00000000-0004-0000-0700-00001F000000}"/>
    <hyperlink ref="C39" location="'D-Sonstige Kosten'!A1" display="D-Sonstige Kosten" xr:uid="{00000000-0004-0000-0700-000020000000}"/>
    <hyperlink ref="C40" location="'D-Inflationsrate'!A1" display="D-Inflationsrate" xr:uid="{00000000-0004-0000-0700-000021000000}"/>
    <hyperlink ref="C41" location="'D-Prognosefehler Kontostand'!A1" display="D-Prognosefehler Kontostand" xr:uid="{00000000-0004-0000-0700-000022000000}"/>
    <hyperlink ref="C42" location="'D-Kontostand aktuelles Jahr'!A1" display="D-Kontostand aktuelles Jahr" xr:uid="{00000000-0004-0000-0700-000023000000}"/>
    <hyperlink ref="C43" location="'D-Anteil Eigenverbrauch EE neu'!A1" display="D-Anteil Eigenverbrauch EE neu" xr:uid="{00000000-0004-0000-0700-000024000000}"/>
    <hyperlink ref="C44" location="'D-Strommenge ges.'!A1" display="D-Strommenge ges." xr:uid="{00000000-0004-0000-0700-000025000000}"/>
    <hyperlink ref="C45" location="'D-Strommenge FV+DM'!A1" display="D-Strommenge FV+DM" xr:uid="{00000000-0004-0000-0700-000026000000}"/>
    <hyperlink ref="C46" location="'D-Mittlerer Vergütungssatz'!A1" display="D-Mittlerer Vergütungssatz" xr:uid="{00000000-0004-0000-0700-000027000000}"/>
    <hyperlink ref="C47" location="'D-Kontostand Vorjahr'!A1" display="D-Kontostand Vorjahr" xr:uid="{00000000-0004-0000-0700-000028000000}"/>
    <hyperlink ref="C48" location="'D-Bestand Kapazität'!A1" display="D-Bestand Kapazität" xr:uid="{00000000-0004-0000-0700-000029000000}"/>
    <hyperlink ref="C49" location="'D-Bestand Strommenge'!A1" display="D-Bestand Strommenge" xr:uid="{00000000-0004-0000-0700-00002A000000}"/>
    <hyperlink ref="C50" location="'D-Bestand Zahlungen'!A1" display="D-Bestand Zahlungen" xr:uid="{00000000-0004-0000-0700-00002B000000}"/>
    <hyperlink ref="C51" location="'D-Grünstromprivileg'!A1" display="D-Grünstromprivileg" xr:uid="{00000000-0004-0000-0700-00002C000000}"/>
    <hyperlink ref="C52" location="'D-Eigenverbrauch fossil Bestand'!A1" display="D-Eigenverbrauch fossil Bestand" xr:uid="{00000000-0004-0000-0700-00002D000000}"/>
    <hyperlink ref="C53" location="'D-Eigenverbrauch fossile Neue'!A1" display="D-Eigenverbrauch fossile Neue" xr:uid="{00000000-0004-0000-0700-00002E000000}"/>
    <hyperlink ref="C54" location="'D-Eigenverbrauch EE-Bestand'!A1" display="D-Eigenverbrauch EE-Bestand" xr:uid="{00000000-0004-0000-0700-00002F000000}"/>
    <hyperlink ref="C55" location="'D-Umlagereduktion Grünstrom'!A1" display="D-Umlagereduktion Grünstrom" xr:uid="{00000000-0004-0000-0700-000030000000}"/>
    <hyperlink ref="C56" location="'D-Umlage Eigenverb fossile Neue'!A1" display="D-Umlage Eigenverb fossile Neue" xr:uid="{00000000-0004-0000-0700-000031000000}"/>
    <hyperlink ref="C57" location="'D-Vergütung Eigenverbrauch'!A1" display="D-Vergütung Eigenverbrauch" xr:uid="{00000000-0004-0000-0700-000032000000}"/>
    <hyperlink ref="C58" location="'D-Managementprämie_Bestand'!A1" display="D-Managementprämie_Bestand" xr:uid="{00000000-0004-0000-0700-000033000000}"/>
    <hyperlink ref="C59" location="'D-Netzverl. u. KW-Eigenverbr.'!A1" display="D-Netzverl. u. KW-Eigenverbr." xr:uid="{00000000-0004-0000-0700-000034000000}"/>
    <hyperlink ref="C60" location="'D-Kapazitäten 2009'!A1" display="D-Kapazitäten 2009" xr:uid="{00000000-0004-0000-0700-000035000000}"/>
    <hyperlink ref="C61" location="'D-Rückbau vor 2015'!A1" display="D-Rückbau vor 2015" xr:uid="{00000000-0004-0000-0700-000036000000}"/>
    <hyperlink ref="C62" location="'D-EE-Kapazitäten nicht EEG'!A1" display="D-EE-Kapazitäten nicht EEG" xr:uid="{00000000-0004-0000-0700-000037000000}"/>
    <hyperlink ref="C63" location="'D-EE-Strommengen nicht EEG'!A1" display="D-EE-Strommengen nicht EEG" xr:uid="{00000000-0004-0000-0700-000038000000}"/>
    <hyperlink ref="C64" location="'D-Korrekt. Strommenge akt. Jahr'!A1" display="D-Korrekt. Strommenge akt. Jahr" xr:uid="{00000000-0004-0000-0700-000039000000}"/>
  </hyperlinks>
  <pageMargins left="0.78740157499999996" right="0.78740157499999996" top="0.984251969" bottom="0.984251969" header="0.4921259845" footer="0.4921259845"/>
  <pageSetup paperSize="9" orientation="portrait" horizontalDpi="1200" verticalDpi="1200" r:id="rId1"/>
  <headerFooter alignWithMargins="0"/>
  <drawing r:id="rId2"/>
  <legacyDrawing r:id="rId3"/>
  <controls>
    <mc:AlternateContent xmlns:mc="http://schemas.openxmlformats.org/markup-compatibility/2006">
      <mc:Choice Requires="x14">
        <control shapeId="20481" r:id="rId4" name="IndexAktualisieren">
          <controlPr defaultSize="0" autoLine="0" r:id="rId5">
            <anchor moveWithCells="1">
              <from>
                <xdr:col>6</xdr:col>
                <xdr:colOff>0</xdr:colOff>
                <xdr:row>4</xdr:row>
                <xdr:rowOff>0</xdr:rowOff>
              </from>
              <to>
                <xdr:col>9</xdr:col>
                <xdr:colOff>708660</xdr:colOff>
                <xdr:row>6</xdr:row>
                <xdr:rowOff>137160</xdr:rowOff>
              </to>
            </anchor>
          </controlPr>
        </control>
      </mc:Choice>
      <mc:Fallback>
        <control shapeId="20481" r:id="rId4" name="IndexAktualisiere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1">
    <tabColor indexed="13"/>
  </sheetPr>
  <dimension ref="A1:J88"/>
  <sheetViews>
    <sheetView topLeftCell="A21" workbookViewId="0">
      <selection activeCell="E47" sqref="E47"/>
    </sheetView>
  </sheetViews>
  <sheetFormatPr defaultColWidth="11.44140625" defaultRowHeight="15" customHeight="1" outlineLevelRow="1" outlineLevelCol="1"/>
  <cols>
    <col min="1" max="1" width="5.6640625" style="8" customWidth="1"/>
    <col min="2" max="2" width="5.6640625" style="4" customWidth="1"/>
    <col min="3" max="3" width="35.6640625" style="3" customWidth="1"/>
    <col min="4" max="4" width="10.6640625" style="3" hidden="1" customWidth="1" outlineLevel="1"/>
    <col min="5" max="5" width="125.44140625" style="8" customWidth="1" collapsed="1"/>
    <col min="6" max="6" width="5.6640625" style="8" customWidth="1"/>
    <col min="7" max="16384" width="11.44140625" style="8"/>
  </cols>
  <sheetData>
    <row r="1" spans="1:10" ht="15" customHeight="1" outlineLevel="1">
      <c r="A1" s="7" t="s">
        <v>3</v>
      </c>
      <c r="E1" s="7" t="s">
        <v>976</v>
      </c>
    </row>
    <row r="2" spans="1:10" ht="15" customHeight="1">
      <c r="A2" s="7"/>
      <c r="E2" s="3"/>
    </row>
    <row r="3" spans="1:10" ht="15" customHeight="1">
      <c r="B3" s="2" t="s">
        <v>2</v>
      </c>
      <c r="C3" s="202"/>
    </row>
    <row r="4" spans="1:10" ht="15" customHeight="1">
      <c r="B4" s="5"/>
      <c r="E4" s="6"/>
      <c r="G4" s="1417" t="s">
        <v>5</v>
      </c>
      <c r="H4" s="1418"/>
      <c r="I4" s="1418"/>
      <c r="J4" s="1418"/>
    </row>
    <row r="5" spans="1:10" ht="15" customHeight="1">
      <c r="B5" s="4" t="s">
        <v>8</v>
      </c>
      <c r="C5" s="3" t="s">
        <v>1</v>
      </c>
      <c r="G5" s="1417" t="s">
        <v>6</v>
      </c>
      <c r="H5" s="1418"/>
      <c r="I5" s="1418"/>
      <c r="J5" s="1418"/>
    </row>
    <row r="6" spans="1:10" ht="15" customHeight="1">
      <c r="G6" s="1417" t="s">
        <v>7</v>
      </c>
      <c r="H6" s="1418"/>
      <c r="I6" s="1418"/>
      <c r="J6" s="1418"/>
    </row>
    <row r="7" spans="1:10" ht="15" customHeight="1">
      <c r="B7" s="94">
        <v>1</v>
      </c>
      <c r="C7" s="118" t="s">
        <v>75</v>
      </c>
      <c r="D7" s="119" t="s">
        <v>9</v>
      </c>
      <c r="E7" s="119" t="s">
        <v>75</v>
      </c>
    </row>
    <row r="8" spans="1:10" ht="15" customHeight="1">
      <c r="B8" s="94">
        <v>2</v>
      </c>
      <c r="C8" s="118" t="s">
        <v>76</v>
      </c>
      <c r="D8" s="119" t="s">
        <v>9</v>
      </c>
      <c r="E8" s="119" t="s">
        <v>977</v>
      </c>
    </row>
    <row r="9" spans="1:10" ht="15" customHeight="1">
      <c r="B9" s="94">
        <v>3</v>
      </c>
      <c r="C9" s="85" t="s">
        <v>0</v>
      </c>
      <c r="D9" s="96" t="s">
        <v>9</v>
      </c>
      <c r="E9" s="86" t="s">
        <v>978</v>
      </c>
    </row>
    <row r="10" spans="1:10" ht="15" customHeight="1">
      <c r="B10" s="94">
        <v>4</v>
      </c>
      <c r="C10" s="85" t="s">
        <v>2</v>
      </c>
      <c r="D10" s="88" t="s">
        <v>9</v>
      </c>
      <c r="E10" s="86" t="s">
        <v>979</v>
      </c>
    </row>
    <row r="11" spans="1:10" ht="15" customHeight="1">
      <c r="B11" s="94">
        <v>5</v>
      </c>
      <c r="C11" s="85" t="s">
        <v>97</v>
      </c>
      <c r="D11" s="88" t="s">
        <v>9</v>
      </c>
      <c r="E11" s="86" t="s">
        <v>980</v>
      </c>
    </row>
    <row r="12" spans="1:10" ht="15" customHeight="1">
      <c r="B12" s="94">
        <v>6</v>
      </c>
      <c r="C12" s="95" t="s">
        <v>60</v>
      </c>
      <c r="D12" s="88" t="s">
        <v>9</v>
      </c>
      <c r="E12" s="97" t="s">
        <v>981</v>
      </c>
    </row>
    <row r="13" spans="1:10" ht="33" customHeight="1">
      <c r="B13" s="94">
        <v>7</v>
      </c>
      <c r="C13" s="95" t="s">
        <v>68</v>
      </c>
      <c r="D13" s="90" t="s">
        <v>9</v>
      </c>
      <c r="E13" s="97" t="s">
        <v>982</v>
      </c>
    </row>
    <row r="14" spans="1:10" ht="30.75" customHeight="1">
      <c r="B14" s="94">
        <v>8</v>
      </c>
      <c r="C14" s="95" t="s">
        <v>69</v>
      </c>
      <c r="D14" s="90" t="s">
        <v>9</v>
      </c>
      <c r="E14" s="107" t="s">
        <v>983</v>
      </c>
    </row>
    <row r="15" spans="1:10" ht="29.25" customHeight="1">
      <c r="B15" s="94">
        <v>9</v>
      </c>
      <c r="C15" s="87" t="s">
        <v>70</v>
      </c>
      <c r="D15" s="90" t="s">
        <v>9</v>
      </c>
      <c r="E15" s="107" t="s">
        <v>984</v>
      </c>
    </row>
    <row r="16" spans="1:10" ht="15" customHeight="1">
      <c r="B16" s="94">
        <v>10</v>
      </c>
      <c r="C16" s="87" t="s">
        <v>58</v>
      </c>
      <c r="D16" s="90" t="s">
        <v>9</v>
      </c>
      <c r="E16" s="89" t="s">
        <v>985</v>
      </c>
    </row>
    <row r="17" spans="2:5" ht="15" customHeight="1">
      <c r="B17" s="94">
        <v>11</v>
      </c>
      <c r="C17" s="87" t="s">
        <v>91</v>
      </c>
      <c r="D17" s="90" t="s">
        <v>9</v>
      </c>
      <c r="E17" s="89" t="s">
        <v>986</v>
      </c>
    </row>
    <row r="18" spans="2:5" ht="15" customHeight="1">
      <c r="B18" s="94">
        <v>12</v>
      </c>
      <c r="C18" s="87" t="s">
        <v>96</v>
      </c>
      <c r="D18" s="90" t="s">
        <v>9</v>
      </c>
      <c r="E18" s="89" t="s">
        <v>987</v>
      </c>
    </row>
    <row r="19" spans="2:5" ht="15" customHeight="1">
      <c r="B19" s="94">
        <v>13</v>
      </c>
      <c r="C19" s="91" t="s">
        <v>66</v>
      </c>
      <c r="D19" s="90" t="s">
        <v>9</v>
      </c>
      <c r="E19" s="89" t="s">
        <v>988</v>
      </c>
    </row>
    <row r="20" spans="2:5" ht="15" customHeight="1">
      <c r="B20" s="94">
        <v>14</v>
      </c>
      <c r="C20" s="91" t="s">
        <v>67</v>
      </c>
      <c r="D20" s="90" t="s">
        <v>9</v>
      </c>
      <c r="E20" s="93" t="s">
        <v>989</v>
      </c>
    </row>
    <row r="21" spans="2:5" ht="15" customHeight="1">
      <c r="B21" s="94">
        <v>15</v>
      </c>
      <c r="C21" s="91" t="s">
        <v>37</v>
      </c>
      <c r="D21" s="92" t="s">
        <v>9</v>
      </c>
      <c r="E21" s="93" t="s">
        <v>990</v>
      </c>
    </row>
    <row r="22" spans="2:5" ht="15" customHeight="1">
      <c r="B22" s="94">
        <v>16</v>
      </c>
      <c r="C22" s="91" t="s">
        <v>36</v>
      </c>
      <c r="D22" s="92" t="s">
        <v>9</v>
      </c>
      <c r="E22" s="93" t="s">
        <v>991</v>
      </c>
    </row>
    <row r="23" spans="2:5" ht="15" customHeight="1">
      <c r="B23" s="94">
        <v>17</v>
      </c>
      <c r="C23" s="91" t="s">
        <v>38</v>
      </c>
      <c r="D23" s="92" t="s">
        <v>9</v>
      </c>
      <c r="E23" s="93" t="s">
        <v>992</v>
      </c>
    </row>
    <row r="24" spans="2:5" ht="15" customHeight="1">
      <c r="B24" s="94">
        <v>18</v>
      </c>
      <c r="C24" s="91" t="s">
        <v>45</v>
      </c>
      <c r="D24" s="92" t="s">
        <v>9</v>
      </c>
      <c r="E24" s="93" t="s">
        <v>993</v>
      </c>
    </row>
    <row r="25" spans="2:5" ht="15" customHeight="1">
      <c r="B25" s="94">
        <v>19</v>
      </c>
      <c r="C25" s="91" t="s">
        <v>51</v>
      </c>
      <c r="D25" s="92" t="s">
        <v>9</v>
      </c>
      <c r="E25" s="93" t="s">
        <v>994</v>
      </c>
    </row>
    <row r="26" spans="2:5" ht="15" customHeight="1">
      <c r="B26" s="94">
        <v>20</v>
      </c>
      <c r="C26" s="91" t="s">
        <v>56</v>
      </c>
      <c r="D26" s="92" t="s">
        <v>9</v>
      </c>
      <c r="E26" s="93" t="s">
        <v>995</v>
      </c>
    </row>
    <row r="27" spans="2:5" ht="15" customHeight="1">
      <c r="B27" s="94">
        <v>21</v>
      </c>
      <c r="C27" s="91" t="s">
        <v>55</v>
      </c>
      <c r="D27" s="92" t="s">
        <v>9</v>
      </c>
      <c r="E27" s="93" t="s">
        <v>996</v>
      </c>
    </row>
    <row r="28" spans="2:5" ht="15" customHeight="1">
      <c r="B28" s="94">
        <v>22</v>
      </c>
      <c r="C28" s="91" t="s">
        <v>53</v>
      </c>
      <c r="D28" s="92" t="s">
        <v>9</v>
      </c>
      <c r="E28" s="93" t="s">
        <v>997</v>
      </c>
    </row>
    <row r="29" spans="2:5" ht="15" customHeight="1">
      <c r="B29" s="94">
        <v>23</v>
      </c>
      <c r="C29" s="91" t="s">
        <v>39</v>
      </c>
      <c r="D29" s="92" t="s">
        <v>9</v>
      </c>
      <c r="E29" s="93" t="s">
        <v>998</v>
      </c>
    </row>
    <row r="30" spans="2:5" ht="15" customHeight="1">
      <c r="B30" s="94">
        <v>24</v>
      </c>
      <c r="C30" s="91" t="s">
        <v>22</v>
      </c>
      <c r="D30" s="92" t="s">
        <v>9</v>
      </c>
      <c r="E30" s="93" t="s">
        <v>999</v>
      </c>
    </row>
    <row r="31" spans="2:5" ht="15" customHeight="1">
      <c r="B31" s="94">
        <v>25</v>
      </c>
      <c r="C31" s="91" t="s">
        <v>23</v>
      </c>
      <c r="D31" s="92" t="s">
        <v>9</v>
      </c>
      <c r="E31" s="93" t="s">
        <v>1000</v>
      </c>
    </row>
    <row r="32" spans="2:5" ht="15" customHeight="1">
      <c r="B32" s="94">
        <v>26</v>
      </c>
      <c r="C32" s="91" t="s">
        <v>24</v>
      </c>
      <c r="D32" s="92" t="s">
        <v>9</v>
      </c>
      <c r="E32" s="93" t="s">
        <v>1001</v>
      </c>
    </row>
    <row r="33" spans="2:5" ht="15" customHeight="1">
      <c r="B33" s="94">
        <v>27</v>
      </c>
      <c r="C33" s="91" t="s">
        <v>27</v>
      </c>
      <c r="D33" s="92" t="s">
        <v>9</v>
      </c>
      <c r="E33" s="93" t="s">
        <v>1002</v>
      </c>
    </row>
    <row r="34" spans="2:5" ht="15" customHeight="1">
      <c r="B34" s="94">
        <v>28</v>
      </c>
      <c r="C34" s="91" t="s">
        <v>28</v>
      </c>
      <c r="D34" s="92" t="s">
        <v>9</v>
      </c>
      <c r="E34" s="93" t="s">
        <v>1003</v>
      </c>
    </row>
    <row r="35" spans="2:5" ht="15" customHeight="1">
      <c r="B35" s="94">
        <v>29</v>
      </c>
      <c r="C35" s="91" t="s">
        <v>29</v>
      </c>
      <c r="D35" s="92" t="s">
        <v>9</v>
      </c>
      <c r="E35" s="93" t="s">
        <v>1004</v>
      </c>
    </row>
    <row r="36" spans="2:5" ht="15" customHeight="1">
      <c r="B36" s="94">
        <v>30</v>
      </c>
      <c r="C36" s="91" t="s">
        <v>33</v>
      </c>
      <c r="D36" s="92" t="s">
        <v>9</v>
      </c>
      <c r="E36" s="93" t="s">
        <v>1005</v>
      </c>
    </row>
    <row r="37" spans="2:5" ht="15" customHeight="1">
      <c r="B37" s="94">
        <v>31</v>
      </c>
      <c r="C37" s="91" t="s">
        <v>32</v>
      </c>
      <c r="D37" s="92" t="s">
        <v>9</v>
      </c>
      <c r="E37" s="93" t="s">
        <v>1006</v>
      </c>
    </row>
    <row r="38" spans="2:5" ht="15" customHeight="1">
      <c r="B38" s="94">
        <v>32</v>
      </c>
      <c r="C38" s="91" t="s">
        <v>31</v>
      </c>
      <c r="D38" s="92" t="s">
        <v>9</v>
      </c>
      <c r="E38" s="93" t="s">
        <v>1007</v>
      </c>
    </row>
    <row r="39" spans="2:5" ht="15" customHeight="1">
      <c r="B39" s="94">
        <v>33</v>
      </c>
      <c r="C39" s="91" t="s">
        <v>30</v>
      </c>
      <c r="D39" s="92" t="s">
        <v>9</v>
      </c>
      <c r="E39" s="93" t="s">
        <v>1008</v>
      </c>
    </row>
    <row r="40" spans="2:5" ht="15" customHeight="1">
      <c r="B40" s="94">
        <v>34</v>
      </c>
      <c r="C40" s="91" t="s">
        <v>46</v>
      </c>
      <c r="D40" s="92" t="s">
        <v>9</v>
      </c>
      <c r="E40" s="93" t="s">
        <v>1009</v>
      </c>
    </row>
    <row r="41" spans="2:5" ht="15" customHeight="1">
      <c r="B41" s="94">
        <v>35</v>
      </c>
      <c r="C41" s="91" t="s">
        <v>54</v>
      </c>
      <c r="D41" s="92" t="s">
        <v>9</v>
      </c>
      <c r="E41" s="93" t="s">
        <v>1010</v>
      </c>
    </row>
    <row r="42" spans="2:5" ht="15" customHeight="1">
      <c r="B42" s="94">
        <v>36</v>
      </c>
      <c r="C42" s="91" t="s">
        <v>43</v>
      </c>
      <c r="D42" s="92" t="s">
        <v>9</v>
      </c>
      <c r="E42" s="93" t="s">
        <v>1011</v>
      </c>
    </row>
    <row r="43" spans="2:5" ht="15" customHeight="1">
      <c r="B43" s="94">
        <v>37</v>
      </c>
      <c r="C43" s="91" t="s">
        <v>40</v>
      </c>
      <c r="D43" s="92" t="s">
        <v>9</v>
      </c>
      <c r="E43" s="93" t="s">
        <v>1012</v>
      </c>
    </row>
    <row r="44" spans="2:5" ht="15" customHeight="1">
      <c r="B44" s="94">
        <v>38</v>
      </c>
      <c r="C44" s="91" t="s">
        <v>21</v>
      </c>
      <c r="D44" s="92" t="s">
        <v>9</v>
      </c>
      <c r="E44" s="93" t="s">
        <v>1013</v>
      </c>
    </row>
    <row r="45" spans="2:5" ht="15" customHeight="1">
      <c r="B45" s="94">
        <v>39</v>
      </c>
      <c r="C45" s="91" t="s">
        <v>52</v>
      </c>
      <c r="D45" s="92" t="s">
        <v>9</v>
      </c>
      <c r="E45" s="93" t="s">
        <v>1014</v>
      </c>
    </row>
    <row r="46" spans="2:5" ht="15" customHeight="1">
      <c r="B46" s="4">
        <v>40</v>
      </c>
      <c r="C46" s="1" t="s">
        <v>25</v>
      </c>
      <c r="D46" s="3" t="s">
        <v>9</v>
      </c>
      <c r="E46" s="93" t="s">
        <v>1015</v>
      </c>
    </row>
    <row r="47" spans="2:5" ht="15" customHeight="1">
      <c r="C47" s="1"/>
      <c r="E47" s="6"/>
    </row>
    <row r="48" spans="2:5" ht="15" customHeight="1">
      <c r="C48" s="1"/>
      <c r="E48" s="6"/>
    </row>
    <row r="49" spans="3:5" ht="15" customHeight="1">
      <c r="C49" s="1"/>
      <c r="E49" s="6"/>
    </row>
    <row r="50" spans="3:5" ht="15" customHeight="1">
      <c r="C50" s="1"/>
      <c r="E50" s="6"/>
    </row>
    <row r="51" spans="3:5" ht="15" customHeight="1">
      <c r="C51" s="1"/>
      <c r="E51" s="6"/>
    </row>
    <row r="52" spans="3:5" ht="15" customHeight="1">
      <c r="C52" s="1"/>
      <c r="E52" s="6"/>
    </row>
    <row r="53" spans="3:5" ht="15" customHeight="1">
      <c r="C53" s="1"/>
      <c r="E53" s="6"/>
    </row>
    <row r="54" spans="3:5" ht="15" customHeight="1">
      <c r="C54" s="1"/>
      <c r="E54" s="6"/>
    </row>
    <row r="55" spans="3:5" ht="15" customHeight="1">
      <c r="C55" s="1"/>
      <c r="E55" s="6"/>
    </row>
    <row r="56" spans="3:5" ht="15" customHeight="1">
      <c r="C56" s="1"/>
      <c r="E56" s="6"/>
    </row>
    <row r="57" spans="3:5" ht="15" customHeight="1">
      <c r="C57" s="1"/>
      <c r="E57" s="6"/>
    </row>
    <row r="58" spans="3:5" ht="15" customHeight="1">
      <c r="C58" s="1"/>
      <c r="E58" s="6"/>
    </row>
    <row r="59" spans="3:5" ht="15" customHeight="1">
      <c r="C59" s="1"/>
      <c r="E59" s="6"/>
    </row>
    <row r="60" spans="3:5" ht="15" customHeight="1">
      <c r="C60" s="1"/>
      <c r="E60" s="6"/>
    </row>
    <row r="61" spans="3:5" ht="15" customHeight="1">
      <c r="C61" s="1"/>
      <c r="E61" s="6"/>
    </row>
    <row r="62" spans="3:5" ht="15" customHeight="1">
      <c r="C62" s="1"/>
      <c r="E62" s="6"/>
    </row>
    <row r="63" spans="3:5" ht="15" customHeight="1">
      <c r="C63" s="1"/>
      <c r="E63" s="6"/>
    </row>
    <row r="64" spans="3:5" ht="15" customHeight="1">
      <c r="C64" s="1"/>
      <c r="E64" s="6"/>
    </row>
    <row r="65" spans="3:5" ht="15" customHeight="1">
      <c r="C65" s="1"/>
      <c r="E65" s="6"/>
    </row>
    <row r="66" spans="3:5" ht="15" customHeight="1">
      <c r="C66" s="1"/>
      <c r="E66" s="6"/>
    </row>
    <row r="67" spans="3:5" ht="15" customHeight="1">
      <c r="C67" s="1"/>
      <c r="E67" s="6"/>
    </row>
    <row r="68" spans="3:5" ht="15" customHeight="1">
      <c r="C68" s="1"/>
      <c r="E68" s="6"/>
    </row>
    <row r="69" spans="3:5" ht="15" customHeight="1">
      <c r="C69" s="1"/>
      <c r="E69" s="6"/>
    </row>
    <row r="70" spans="3:5" ht="15" customHeight="1">
      <c r="C70" s="1"/>
    </row>
    <row r="71" spans="3:5" ht="15" customHeight="1">
      <c r="C71" s="1"/>
    </row>
    <row r="72" spans="3:5" ht="15" customHeight="1">
      <c r="C72" s="1"/>
    </row>
    <row r="73" spans="3:5" ht="15" customHeight="1">
      <c r="C73" s="1"/>
    </row>
    <row r="74" spans="3:5" ht="15" customHeight="1">
      <c r="C74" s="1"/>
    </row>
    <row r="75" spans="3:5" ht="15" customHeight="1">
      <c r="C75" s="1"/>
    </row>
    <row r="76" spans="3:5" ht="15" customHeight="1">
      <c r="C76" s="1"/>
    </row>
    <row r="77" spans="3:5" ht="15" customHeight="1">
      <c r="C77" s="1"/>
    </row>
    <row r="78" spans="3:5" ht="15" customHeight="1">
      <c r="C78" s="1"/>
    </row>
    <row r="79" spans="3:5" ht="15" customHeight="1">
      <c r="C79" s="1"/>
    </row>
    <row r="80" spans="3:5" ht="15" customHeight="1">
      <c r="C80" s="1"/>
    </row>
    <row r="81" spans="3:3" ht="15" customHeight="1">
      <c r="C81" s="1"/>
    </row>
    <row r="82" spans="3:3" ht="15" customHeight="1">
      <c r="C82" s="1"/>
    </row>
    <row r="83" spans="3:3" ht="15" customHeight="1">
      <c r="C83" s="1"/>
    </row>
    <row r="84" spans="3:3" ht="15" customHeight="1">
      <c r="C84" s="1"/>
    </row>
    <row r="85" spans="3:3" ht="15" customHeight="1">
      <c r="C85" s="1"/>
    </row>
    <row r="86" spans="3:3" ht="15" customHeight="1">
      <c r="C86" s="1"/>
    </row>
    <row r="87" spans="3:3" ht="15" customHeight="1">
      <c r="C87" s="1"/>
    </row>
    <row r="88" spans="3:3" ht="15" customHeight="1">
      <c r="C88" s="1"/>
    </row>
  </sheetData>
  <mergeCells count="3">
    <mergeCell ref="G4:J4"/>
    <mergeCell ref="G5:J5"/>
    <mergeCell ref="G6:J6"/>
  </mergeCells>
  <conditionalFormatting sqref="E4 E16:E17 E44:E45 E47:E69 E9:E10 E12">
    <cfRule type="cellIs" dxfId="188" priority="8" stopIfTrue="1" operator="equal">
      <formula>$E$1</formula>
    </cfRule>
  </conditionalFormatting>
  <conditionalFormatting sqref="E20:E43">
    <cfRule type="cellIs" dxfId="187" priority="7" stopIfTrue="1" operator="equal">
      <formula>$E$1</formula>
    </cfRule>
  </conditionalFormatting>
  <conditionalFormatting sqref="E18">
    <cfRule type="cellIs" dxfId="186" priority="6" stopIfTrue="1" operator="equal">
      <formula>$E$1</formula>
    </cfRule>
  </conditionalFormatting>
  <conditionalFormatting sqref="E13:E15">
    <cfRule type="cellIs" dxfId="185" priority="5" stopIfTrue="1" operator="equal">
      <formula>$E$1</formula>
    </cfRule>
  </conditionalFormatting>
  <conditionalFormatting sqref="E46">
    <cfRule type="cellIs" dxfId="184" priority="3" stopIfTrue="1" operator="equal">
      <formula>$E$1</formula>
    </cfRule>
  </conditionalFormatting>
  <conditionalFormatting sqref="E19">
    <cfRule type="cellIs" dxfId="183" priority="4" stopIfTrue="1" operator="equal">
      <formula>$E$1</formula>
    </cfRule>
  </conditionalFormatting>
  <conditionalFormatting sqref="E11">
    <cfRule type="cellIs" dxfId="182" priority="1" stopIfTrue="1" operator="equal">
      <formula>$E$1</formula>
    </cfRule>
  </conditionalFormatting>
  <hyperlinks>
    <hyperlink ref="C7" location="'Impressum'!A1" display="Impressum" xr:uid="{00000000-0004-0000-0800-000000000000}"/>
    <hyperlink ref="C8" location="'Manual'!A1" display="Manual" xr:uid="{00000000-0004-0000-0800-000001000000}"/>
    <hyperlink ref="C9" location="'Version'!A1" display="Version" xr:uid="{00000000-0004-0000-0800-000002000000}"/>
    <hyperlink ref="C10" location="'Index'!A1" display="Index" xr:uid="{00000000-0004-0000-0800-000003000000}"/>
    <hyperlink ref="C11" location="'IndexComplete'!A1" display="IndexComplete" xr:uid="{00000000-0004-0000-0800-000004000000}"/>
    <hyperlink ref="C12" location="'Start'!A1" display="Start" xr:uid="{00000000-0004-0000-0800-000005000000}"/>
    <hyperlink ref="C13" location="'Start-Experte'!A1" display="Start-Experte" xr:uid="{00000000-0004-0000-0800-000006000000}"/>
    <hyperlink ref="C14" location="'Parameter-Entscheider'!A1" display="Parameter-Entscheider" xr:uid="{00000000-0004-0000-0800-000007000000}"/>
    <hyperlink ref="C15" location="'ControlPanel'!A1" display="ControlPanel" xr:uid="{00000000-0004-0000-0800-000008000000}"/>
    <hyperlink ref="C16" location="'MOD-Berechnungen'!A1" display="MOD-Berechnungen" xr:uid="{00000000-0004-0000-0800-000009000000}"/>
    <hyperlink ref="C17" location="'MOD-Jahresgang'!A1" display="MOD-Jahresgang" xr:uid="{00000000-0004-0000-0800-00000A000000}"/>
    <hyperlink ref="C18" location="'GrD-Grafikdaten'!A1" display="GrD-Grafikdaten" xr:uid="{00000000-0004-0000-0800-00000B000000}"/>
    <hyperlink ref="C19" location="'MOD-Output'!A1" display="MOD-Output" xr:uid="{00000000-0004-0000-0800-00000C000000}"/>
    <hyperlink ref="C20" location="'D-Jahreszubau'!A1" display="D-Jahreszubau" xr:uid="{00000000-0004-0000-0800-00000D000000}"/>
    <hyperlink ref="C21" location="'D-Standardauslastung'!A1" display="D-Standardauslastung" xr:uid="{00000000-0004-0000-0800-00000E000000}"/>
    <hyperlink ref="C22" location="'D-Dargebotsfaktor'!A1" display="D-Dargebotsfaktor" xr:uid="{00000000-0004-0000-0800-00000F000000}"/>
    <hyperlink ref="C23" location="'D-Anteil Direktvermarktung'!A1" display="D-Anteil Direktvermarktung" xr:uid="{00000000-0004-0000-0800-000010000000}"/>
    <hyperlink ref="C24" location="'D-Anteil Eigenverbrauch'!A1" display="D-Anteil Eigenverbrauch" xr:uid="{00000000-0004-0000-0800-000011000000}"/>
    <hyperlink ref="C25" location="'D-Anteil Sonstige DV'!A1" display="D-Anteil Sonstige DV" xr:uid="{00000000-0004-0000-0800-000012000000}"/>
    <hyperlink ref="C26" location="'D-Profilfaktoren-real'!A1" display="D-Profilfaktoren-real" xr:uid="{00000000-0004-0000-0800-000013000000}"/>
    <hyperlink ref="C27" location="'D-Vergütungssatz Neuanlagen'!A1" display="D-Vergütungssatz Neuanlagen" xr:uid="{00000000-0004-0000-0800-000014000000}"/>
    <hyperlink ref="C28" location="'D-Vergütung Eigenverbrauch'!A1" display="D-Vergütung Eigenverbrauch" xr:uid="{00000000-0004-0000-0800-000015000000}"/>
    <hyperlink ref="C29" location="'D-Managementprämie'!A1" display="D-Managementprämie" xr:uid="{00000000-0004-0000-0800-000016000000}"/>
    <hyperlink ref="C30" location="'D-Future Strompreis'!A1" display="D-Future Strompreis" xr:uid="{00000000-0004-0000-0800-000017000000}"/>
    <hyperlink ref="C31" location="'D-Spot-Skalierungsfaktor'!A1" display="D-Spot-Skalierungsfaktor" xr:uid="{00000000-0004-0000-0800-000018000000}"/>
    <hyperlink ref="C32" location="'D-Liquiditätspuffer'!A1" display="D-Liquiditätspuffer" xr:uid="{00000000-0004-0000-0800-000019000000}"/>
    <hyperlink ref="C33" location="'D-Gesamtstromverbrauch'!A1" display="D-Gesamtstromverbrauch" xr:uid="{00000000-0004-0000-0800-00001A000000}"/>
    <hyperlink ref="C34" location="'D-Privilegierter Letztverbrauch'!A1" display="D-Privilegierter Letztverbrauch" xr:uid="{00000000-0004-0000-0800-00001B000000}"/>
    <hyperlink ref="C35" location="'D-Eigenstromverbrauch'!A1" display="D-Eigenstromverbrauch" xr:uid="{00000000-0004-0000-0800-00001C000000}"/>
    <hyperlink ref="C36" location="'D-Grünstromprivileg'!A1" display="D-Grünstromprivileg" xr:uid="{00000000-0004-0000-0800-00001D000000}"/>
    <hyperlink ref="C37" location="'D-Umlage priv. Letztverbrauch'!A1" display="D-Umlage priv. Letztverbrauch" xr:uid="{00000000-0004-0000-0800-00001E000000}"/>
    <hyperlink ref="C38" location="'D-Umlage Eigenstromverbrauch'!A1" display="D-Umlage Eigenstromverbrauch" xr:uid="{00000000-0004-0000-0800-00001F000000}"/>
    <hyperlink ref="C39" location="'D-Umlage Grünstromprivileg'!A1" display="D-Umlage Grünstromprivileg" xr:uid="{00000000-0004-0000-0800-000020000000}"/>
    <hyperlink ref="C40" location="'D-vermiedene Netzentgelte'!A1" display="D-vermiedene Netzentgelte" xr:uid="{00000000-0004-0000-0800-000021000000}"/>
    <hyperlink ref="C41" location="'D-Sonstige Kosten'!A1" display="D-Sonstige Kosten" xr:uid="{00000000-0004-0000-0800-000022000000}"/>
    <hyperlink ref="C42" location="'D-Stromerzeugung'!A1" display="D-Stromerzeugung" xr:uid="{00000000-0004-0000-0800-000023000000}"/>
    <hyperlink ref="C43" location="'D-Mittlerer Vergütungssatz'!A1" display="D-Mittlerer Vergütungssatz" xr:uid="{00000000-0004-0000-0800-000024000000}"/>
    <hyperlink ref="C44" location="'D-Profilfaktoren'!A1" display="D-Profilfaktoren" xr:uid="{00000000-0004-0000-0800-000025000000}"/>
    <hyperlink ref="C45" location="'D-Profilfaktoren-Marktprämie'!A1" display="D-Profilfaktoren-Marktprämie" xr:uid="{00000000-0004-0000-0800-000026000000}"/>
    <hyperlink ref="C46" location="'D-Kontostand September'!A1" display="D-Kontostand September" xr:uid="{00000000-0004-0000-0800-000027000000}"/>
  </hyperlinks>
  <pageMargins left="0.78740157499999996" right="0.78740157499999996" top="0.984251969" bottom="0.984251969" header="0.4921259845" footer="0.4921259845"/>
  <pageSetup paperSize="9" orientation="portrait" horizontalDpi="1200" verticalDpi="1200" r:id="rId1"/>
  <headerFooter alignWithMargins="0"/>
  <drawing r:id="rId2"/>
  <legacyDrawing r:id="rId3"/>
  <controls>
    <mc:AlternateContent xmlns:mc="http://schemas.openxmlformats.org/markup-compatibility/2006">
      <mc:Choice Requires="x14">
        <control shapeId="153601" r:id="rId4" name="IndexAktualisieren">
          <controlPr defaultSize="0" autoLine="0" r:id="rId5">
            <anchor moveWithCells="1">
              <from>
                <xdr:col>6</xdr:col>
                <xdr:colOff>0</xdr:colOff>
                <xdr:row>7</xdr:row>
                <xdr:rowOff>0</xdr:rowOff>
              </from>
              <to>
                <xdr:col>9</xdr:col>
                <xdr:colOff>708660</xdr:colOff>
                <xdr:row>9</xdr:row>
                <xdr:rowOff>137160</xdr:rowOff>
              </to>
            </anchor>
          </controlPr>
        </control>
      </mc:Choice>
      <mc:Fallback>
        <control shapeId="153601" r:id="rId4" name="IndexAktualisiere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35">
    <tabColor rgb="FF00B0F0"/>
    <pageSetUpPr fitToPage="1"/>
  </sheetPr>
  <dimension ref="A1:AU405"/>
  <sheetViews>
    <sheetView zoomScaleNormal="100" workbookViewId="0">
      <pane xSplit="5" ySplit="5" topLeftCell="F148" activePane="bottomRight" state="frozen"/>
      <selection activeCell="I45" sqref="I45"/>
      <selection pane="topRight" activeCell="I45" sqref="I45"/>
      <selection pane="bottomLeft" activeCell="I45" sqref="I45"/>
      <selection pane="bottomRight" activeCell="T172" sqref="T172"/>
    </sheetView>
  </sheetViews>
  <sheetFormatPr defaultColWidth="11.5546875" defaultRowHeight="12.75" customHeight="1" outlineLevelRow="2" outlineLevelCol="1"/>
  <cols>
    <col min="1" max="1" width="6.5546875" style="501" customWidth="1"/>
    <col min="2" max="2" width="26.33203125" style="294" hidden="1" customWidth="1" outlineLevel="1"/>
    <col min="3" max="3" width="20.6640625" style="10" hidden="1" customWidth="1" outlineLevel="1"/>
    <col min="4" max="4" width="1.6640625" style="29" hidden="1" customWidth="1" outlineLevel="1"/>
    <col min="5" max="5" width="80.109375" style="294" customWidth="1" collapsed="1"/>
    <col min="6" max="10" width="6.5546875" style="324" bestFit="1" customWidth="1"/>
    <col min="11" max="11" width="8.44140625" style="324" customWidth="1"/>
    <col min="12" max="12" width="7.88671875" style="324" bestFit="1" customWidth="1"/>
    <col min="13" max="13" width="7.6640625" style="324" bestFit="1" customWidth="1"/>
    <col min="14" max="14" width="6.6640625" style="324" bestFit="1" customWidth="1"/>
    <col min="15" max="30" width="7.6640625" style="324" bestFit="1" customWidth="1"/>
    <col min="31" max="31" width="7.6640625" style="324" customWidth="1"/>
    <col min="32" max="32" width="10" style="9" hidden="1" customWidth="1" outlineLevel="1"/>
    <col min="33" max="33" width="10.109375" style="9" hidden="1" customWidth="1" outlineLevel="1"/>
    <col min="34" max="34" width="34.6640625" style="9" hidden="1" customWidth="1" outlineLevel="1"/>
    <col min="35" max="35" width="48" style="9" hidden="1" customWidth="1" outlineLevel="1"/>
    <col min="36" max="36" width="50.77734375" style="9" customWidth="1" collapsed="1"/>
    <col min="37" max="37" width="18.5546875" style="9" bestFit="1" customWidth="1"/>
    <col min="38" max="38" width="13.88671875" style="9" bestFit="1" customWidth="1"/>
    <col min="39" max="41" width="11.5546875" style="9"/>
    <col min="42" max="42" width="14.44140625" style="9" bestFit="1" customWidth="1"/>
    <col min="43" max="43" width="13.88671875" style="9" bestFit="1" customWidth="1"/>
    <col min="44" max="16384" width="11.5546875" style="9"/>
  </cols>
  <sheetData>
    <row r="1" spans="1:36" ht="12.75" customHeight="1">
      <c r="A1" s="500" t="s">
        <v>74</v>
      </c>
      <c r="B1" s="20" t="s">
        <v>50</v>
      </c>
      <c r="C1" s="19"/>
      <c r="D1" s="28"/>
      <c r="E1" s="20" t="s">
        <v>483</v>
      </c>
      <c r="O1" s="289"/>
    </row>
    <row r="2" spans="1:36" ht="12.75" customHeight="1">
      <c r="A2" s="500"/>
      <c r="B2" s="10"/>
      <c r="E2" s="10"/>
      <c r="O2" s="289"/>
    </row>
    <row r="3" spans="1:36" ht="12.75" customHeight="1">
      <c r="A3" s="500"/>
      <c r="B3" s="10"/>
      <c r="E3" s="903" t="s">
        <v>484</v>
      </c>
      <c r="O3" s="289"/>
    </row>
    <row r="4" spans="1:36" ht="12.75" customHeight="1">
      <c r="A4" s="500"/>
      <c r="B4" s="10"/>
      <c r="E4" s="102" t="s">
        <v>485</v>
      </c>
      <c r="O4" s="289"/>
    </row>
    <row r="5" spans="1:36" ht="36.75" customHeight="1">
      <c r="A5" s="927" t="s">
        <v>157</v>
      </c>
      <c r="B5" s="314" t="s">
        <v>15</v>
      </c>
      <c r="C5" s="18" t="s">
        <v>47</v>
      </c>
      <c r="D5" s="200" t="s">
        <v>14</v>
      </c>
      <c r="F5" s="1026">
        <v>2010</v>
      </c>
      <c r="G5" s="1027">
        <v>2011</v>
      </c>
      <c r="H5" s="1027">
        <v>2012</v>
      </c>
      <c r="I5" s="1027">
        <v>2013</v>
      </c>
      <c r="J5" s="1027">
        <v>2014</v>
      </c>
      <c r="K5" s="1027">
        <v>2015</v>
      </c>
      <c r="L5" s="1027">
        <v>2016</v>
      </c>
      <c r="M5" s="1027">
        <v>2017</v>
      </c>
      <c r="N5" s="1027">
        <v>2018</v>
      </c>
      <c r="O5" s="1027">
        <v>2019</v>
      </c>
      <c r="P5" s="1027">
        <v>2020</v>
      </c>
      <c r="Q5" s="1027">
        <v>2021</v>
      </c>
      <c r="R5" s="1027">
        <v>2022</v>
      </c>
      <c r="S5" s="1027">
        <v>2023</v>
      </c>
      <c r="T5" s="1027">
        <v>2024</v>
      </c>
      <c r="U5" s="1027">
        <v>2025</v>
      </c>
      <c r="V5" s="1027">
        <v>2026</v>
      </c>
      <c r="W5" s="1027">
        <v>2027</v>
      </c>
      <c r="X5" s="1027">
        <v>2028</v>
      </c>
      <c r="Y5" s="1027">
        <v>2029</v>
      </c>
      <c r="Z5" s="1027">
        <v>2030</v>
      </c>
      <c r="AA5" s="1027">
        <v>2031</v>
      </c>
      <c r="AB5" s="1027">
        <v>2032</v>
      </c>
      <c r="AC5" s="1027">
        <v>2033</v>
      </c>
      <c r="AD5" s="1027">
        <v>2034</v>
      </c>
      <c r="AE5" s="1027">
        <v>2035</v>
      </c>
      <c r="AF5" s="1028" t="s">
        <v>143</v>
      </c>
      <c r="AG5" s="1028" t="s">
        <v>213</v>
      </c>
      <c r="AH5" s="1038"/>
      <c r="AI5" s="1038"/>
      <c r="AJ5" s="1239" t="s">
        <v>574</v>
      </c>
    </row>
    <row r="6" spans="1:36" ht="12.75" customHeight="1">
      <c r="A6" s="552"/>
      <c r="B6" s="136"/>
      <c r="C6" s="136"/>
      <c r="D6" s="136"/>
      <c r="E6" s="189" t="s">
        <v>486</v>
      </c>
      <c r="F6" s="136"/>
      <c r="G6" s="136"/>
      <c r="H6" s="136"/>
      <c r="I6" s="136"/>
      <c r="J6" s="136"/>
      <c r="K6" s="136"/>
      <c r="L6" s="136"/>
      <c r="M6" s="222"/>
      <c r="N6" s="201"/>
      <c r="O6" s="221"/>
      <c r="P6" s="136"/>
      <c r="Q6" s="136"/>
      <c r="R6" s="136"/>
      <c r="S6" s="136"/>
      <c r="T6" s="136"/>
      <c r="U6" s="136"/>
      <c r="V6" s="136"/>
      <c r="W6" s="136"/>
      <c r="X6" s="136"/>
      <c r="Y6" s="136"/>
      <c r="Z6" s="136"/>
      <c r="AA6" s="136"/>
      <c r="AB6" s="136"/>
      <c r="AC6" s="136"/>
      <c r="AD6" s="136"/>
      <c r="AE6" s="136"/>
      <c r="AG6" s="484"/>
      <c r="AH6" s="484"/>
      <c r="AI6" s="484"/>
    </row>
    <row r="7" spans="1:36" s="136" customFormat="1" ht="12.75" customHeight="1">
      <c r="A7" s="553">
        <v>7</v>
      </c>
      <c r="B7" s="314" t="str">
        <f>'D-Future Strompreis'!B$6</f>
        <v>Référence</v>
      </c>
      <c r="C7" s="22" t="str">
        <f>'D-Future Strompreis'!C$6</f>
        <v>fh</v>
      </c>
      <c r="D7" s="30" t="str">
        <f>'D-Future Strompreis'!D$6</f>
        <v>5 -&gt; 6 ct/kWh</v>
      </c>
      <c r="E7" s="314" t="s">
        <v>487</v>
      </c>
      <c r="F7" s="904">
        <f>'D-Future Strompreis'!F$6</f>
        <v>53.650480000000002</v>
      </c>
      <c r="G7" s="904">
        <f>'D-Future Strompreis'!G$6</f>
        <v>50.739089999999997</v>
      </c>
      <c r="H7" s="904">
        <f>'D-Future Strompreis'!H$6</f>
        <v>55.22</v>
      </c>
      <c r="I7" s="904">
        <f>'D-Future Strompreis'!I$6</f>
        <v>51.15</v>
      </c>
      <c r="J7" s="904">
        <f>'D-Future Strompreis'!J$6</f>
        <v>41.45</v>
      </c>
      <c r="K7" s="904">
        <f>'D-Future Strompreis'!K$6</f>
        <v>35.67</v>
      </c>
      <c r="L7" s="904">
        <f>'D-Future Strompreis'!L$6</f>
        <v>31.26</v>
      </c>
      <c r="M7" s="904">
        <f>'D-Future Strompreis'!M$6</f>
        <v>26.75</v>
      </c>
      <c r="N7" s="905">
        <f>'D-Future Strompreis'!N$6</f>
        <v>32.22</v>
      </c>
      <c r="O7" s="906">
        <f>'D-Future Strompreis'!O$6</f>
        <v>46.28</v>
      </c>
      <c r="P7" s="904">
        <f>'D-Future Strompreis'!P$6</f>
        <v>49.34</v>
      </c>
      <c r="Q7" s="904">
        <f>'D-Future Strompreis'!Q$6</f>
        <v>40.74</v>
      </c>
      <c r="R7" s="904">
        <f>'D-Future Strompreis'!R$6</f>
        <v>43.62</v>
      </c>
      <c r="S7" s="904">
        <f>'D-Future Strompreis'!S$6</f>
        <v>45.45</v>
      </c>
      <c r="T7" s="904">
        <f>'D-Future Strompreis'!T$6</f>
        <v>46.662500000000001</v>
      </c>
      <c r="U7" s="904">
        <f>'D-Future Strompreis'!U$6</f>
        <v>47.875</v>
      </c>
      <c r="V7" s="904">
        <f>'D-Future Strompreis'!V$6</f>
        <v>49.087500000000006</v>
      </c>
      <c r="W7" s="904">
        <f>'D-Future Strompreis'!W$6</f>
        <v>50.300000000000004</v>
      </c>
      <c r="X7" s="904">
        <f>'D-Future Strompreis'!X$6</f>
        <v>51.512500000000003</v>
      </c>
      <c r="Y7" s="904">
        <f>'D-Future Strompreis'!Y$6</f>
        <v>52.725000000000001</v>
      </c>
      <c r="Z7" s="904">
        <f>'D-Future Strompreis'!Z$6</f>
        <v>53.9375</v>
      </c>
      <c r="AA7" s="904">
        <f>'D-Future Strompreis'!AA$6</f>
        <v>55.15</v>
      </c>
      <c r="AB7" s="904">
        <f>'D-Future Strompreis'!AB$6</f>
        <v>56.362500000000004</v>
      </c>
      <c r="AC7" s="904">
        <f>'D-Future Strompreis'!AC$6</f>
        <v>57.575000000000003</v>
      </c>
      <c r="AD7" s="904">
        <f>'D-Future Strompreis'!AD$6</f>
        <v>58.787500000000001</v>
      </c>
      <c r="AE7" s="905">
        <f>'D-Future Strompreis'!AE$6</f>
        <v>60</v>
      </c>
      <c r="AF7" s="929"/>
      <c r="AG7" s="929"/>
      <c r="AH7" s="1034"/>
      <c r="AI7" s="1034"/>
      <c r="AJ7" s="1240"/>
    </row>
    <row r="8" spans="1:36" ht="12.75" customHeight="1" outlineLevel="1">
      <c r="A8" s="553">
        <v>8</v>
      </c>
      <c r="B8" s="16" t="str">
        <f>'D-Spot-Skalierungsfaktor'!B$6</f>
        <v>Référence</v>
      </c>
      <c r="C8" s="12" t="str">
        <f>'D-Spot-Skalierungsfaktor'!C$6</f>
        <v>mh</v>
      </c>
      <c r="D8" s="31" t="str">
        <f>'D-Spot-Skalierungsfaktor'!D$6</f>
        <v>90%</v>
      </c>
      <c r="E8" s="16" t="s">
        <v>488</v>
      </c>
      <c r="F8" s="907">
        <f>'D-Spot-Skalierungsfaktor'!F$6</f>
        <v>0</v>
      </c>
      <c r="G8" s="907">
        <f>'D-Spot-Skalierungsfaktor'!G$6</f>
        <v>0</v>
      </c>
      <c r="H8" s="907">
        <f>'D-Spot-Skalierungsfaktor'!H$6</f>
        <v>0</v>
      </c>
      <c r="I8" s="907">
        <f>'D-Spot-Skalierungsfaktor'!I$6</f>
        <v>0.68426197458455529</v>
      </c>
      <c r="J8" s="907">
        <f>'D-Spot-Skalierungsfaktor'!J$6</f>
        <v>0.9</v>
      </c>
      <c r="K8" s="907">
        <f>'D-Spot-Skalierungsfaktor'!K$6</f>
        <v>0.9</v>
      </c>
      <c r="L8" s="907">
        <f>'D-Spot-Skalierungsfaktor'!L$6</f>
        <v>0.9</v>
      </c>
      <c r="M8" s="907">
        <f>'D-Spot-Skalierungsfaktor'!M$6</f>
        <v>0.9</v>
      </c>
      <c r="N8" s="908">
        <f>'D-Spot-Skalierungsfaktor'!N$6</f>
        <v>0.9</v>
      </c>
      <c r="O8" s="909">
        <f>'D-Spot-Skalierungsfaktor'!O$6</f>
        <v>0.9</v>
      </c>
      <c r="P8" s="907">
        <f>'D-Spot-Skalierungsfaktor'!P$6</f>
        <v>0.9</v>
      </c>
      <c r="Q8" s="907">
        <f>'D-Spot-Skalierungsfaktor'!Q$6</f>
        <v>0.9</v>
      </c>
      <c r="R8" s="907">
        <f>'D-Spot-Skalierungsfaktor'!R$6</f>
        <v>0.9</v>
      </c>
      <c r="S8" s="907">
        <f>'D-Spot-Skalierungsfaktor'!S$6</f>
        <v>0.9</v>
      </c>
      <c r="T8" s="907">
        <f>'D-Spot-Skalierungsfaktor'!T$6</f>
        <v>0.9</v>
      </c>
      <c r="U8" s="907">
        <f>'D-Spot-Skalierungsfaktor'!U$6</f>
        <v>0.9</v>
      </c>
      <c r="V8" s="907">
        <f>'D-Spot-Skalierungsfaktor'!V$6</f>
        <v>0.9</v>
      </c>
      <c r="W8" s="907">
        <f>'D-Spot-Skalierungsfaktor'!W$6</f>
        <v>0.9</v>
      </c>
      <c r="X8" s="907">
        <f>'D-Spot-Skalierungsfaktor'!X$6</f>
        <v>0.9</v>
      </c>
      <c r="Y8" s="907">
        <f>'D-Spot-Skalierungsfaktor'!Y$6</f>
        <v>0.9</v>
      </c>
      <c r="Z8" s="907">
        <f>'D-Spot-Skalierungsfaktor'!Z$6</f>
        <v>0.9</v>
      </c>
      <c r="AA8" s="907">
        <f>'D-Spot-Skalierungsfaktor'!AA$6</f>
        <v>0.9</v>
      </c>
      <c r="AB8" s="907">
        <f>'D-Spot-Skalierungsfaktor'!AB$6</f>
        <v>0.9</v>
      </c>
      <c r="AC8" s="907">
        <f>'D-Spot-Skalierungsfaktor'!AC$6</f>
        <v>0.9</v>
      </c>
      <c r="AD8" s="907">
        <f>'D-Spot-Skalierungsfaktor'!AD$6</f>
        <v>0.9</v>
      </c>
      <c r="AE8" s="908">
        <f>'D-Spot-Skalierungsfaktor'!AE$6</f>
        <v>0.9</v>
      </c>
      <c r="AF8" s="929"/>
      <c r="AG8" s="929"/>
      <c r="AH8" s="1034"/>
      <c r="AI8" s="1034"/>
      <c r="AJ8" s="1034"/>
    </row>
    <row r="9" spans="1:36" ht="12.75" customHeight="1" outlineLevel="1">
      <c r="A9" s="553">
        <v>9</v>
      </c>
      <c r="B9" s="16" t="str">
        <f>'D-Liquiditätspuffer'!B$6</f>
        <v>Référence</v>
      </c>
      <c r="C9" s="12" t="str">
        <f>'D-Liquiditätspuffer'!C$6</f>
        <v>fh</v>
      </c>
      <c r="D9" s="31" t="str">
        <f>'D-Liquiditätspuffer'!D$6</f>
        <v>Calcul des prélèvements GRT, puis 6%</v>
      </c>
      <c r="E9" s="16" t="s">
        <v>488</v>
      </c>
      <c r="F9" s="907">
        <f>'D-Liquiditätspuffer'!F$6</f>
        <v>0</v>
      </c>
      <c r="G9" s="907">
        <f>'D-Liquiditätspuffer'!G$6</f>
        <v>0</v>
      </c>
      <c r="H9" s="907">
        <f>'D-Liquiditätspuffer'!H$6</f>
        <v>0.03</v>
      </c>
      <c r="I9" s="907">
        <f>'D-Liquiditätspuffer'!I$6</f>
        <v>0.1</v>
      </c>
      <c r="J9" s="907">
        <f>'D-Liquiditätspuffer'!J$6</f>
        <v>0.1</v>
      </c>
      <c r="K9" s="907">
        <f>'D-Liquiditätspuffer'!K$6</f>
        <v>0.1</v>
      </c>
      <c r="L9" s="907">
        <f>'D-Liquiditätspuffer'!L$6</f>
        <v>0.1</v>
      </c>
      <c r="M9" s="907">
        <f>'D-Liquiditätspuffer'!M$6</f>
        <v>0.06</v>
      </c>
      <c r="N9" s="908">
        <f>'D-Liquiditätspuffer'!N$6</f>
        <v>0.06</v>
      </c>
      <c r="O9" s="909">
        <f>'D-Liquiditätspuffer'!O$6</f>
        <v>0.06</v>
      </c>
      <c r="P9" s="907">
        <f>'D-Liquiditätspuffer'!P$6</f>
        <v>0.08</v>
      </c>
      <c r="Q9" s="907">
        <f>'D-Liquiditätspuffer'!Q$6</f>
        <v>0.1</v>
      </c>
      <c r="R9" s="907">
        <f>'D-Liquiditätspuffer'!R$6</f>
        <v>0.06</v>
      </c>
      <c r="S9" s="907">
        <f>'D-Liquiditätspuffer'!S$6</f>
        <v>0.06</v>
      </c>
      <c r="T9" s="907">
        <f>'D-Liquiditätspuffer'!T$6</f>
        <v>0.06</v>
      </c>
      <c r="U9" s="907">
        <f>'D-Liquiditätspuffer'!U$6</f>
        <v>0.06</v>
      </c>
      <c r="V9" s="907">
        <f>'D-Liquiditätspuffer'!V$6</f>
        <v>0.06</v>
      </c>
      <c r="W9" s="907">
        <f>'D-Liquiditätspuffer'!W$6</f>
        <v>0.06</v>
      </c>
      <c r="X9" s="907">
        <f>'D-Liquiditätspuffer'!X$6</f>
        <v>0.06</v>
      </c>
      <c r="Y9" s="907">
        <f>'D-Liquiditätspuffer'!Y$6</f>
        <v>0.06</v>
      </c>
      <c r="Z9" s="907">
        <f>'D-Liquiditätspuffer'!Z$6</f>
        <v>0.06</v>
      </c>
      <c r="AA9" s="907">
        <f>'D-Liquiditätspuffer'!AA$6</f>
        <v>0.06</v>
      </c>
      <c r="AB9" s="907">
        <f>'D-Liquiditätspuffer'!AB$6</f>
        <v>0.06</v>
      </c>
      <c r="AC9" s="907">
        <f>'D-Liquiditätspuffer'!AC$6</f>
        <v>0.06</v>
      </c>
      <c r="AD9" s="907">
        <f>'D-Liquiditätspuffer'!AD$6</f>
        <v>0.06</v>
      </c>
      <c r="AE9" s="908">
        <f>'D-Liquiditätspuffer'!AE$6</f>
        <v>0.06</v>
      </c>
      <c r="AF9" s="929"/>
      <c r="AG9" s="929"/>
      <c r="AH9" s="1034"/>
      <c r="AI9" s="1034"/>
      <c r="AJ9" s="1034"/>
    </row>
    <row r="10" spans="1:36" ht="12.75" customHeight="1" outlineLevel="1">
      <c r="A10" s="553">
        <v>10</v>
      </c>
      <c r="B10" s="16" t="str">
        <f>'D-Kontostand Vorjahr'!B$6</f>
        <v>Historique</v>
      </c>
      <c r="C10" s="12" t="str">
        <f>'D-Kontostand Vorjahr'!C$6</f>
        <v>fh</v>
      </c>
      <c r="D10" s="31" t="str">
        <f>'D-Kontostand Vorjahr'!D$6</f>
        <v>Prévisions annuelles GRT</v>
      </c>
      <c r="E10" s="16" t="s">
        <v>489</v>
      </c>
      <c r="F10" s="907">
        <f>'D-Kontostand Vorjahr'!F$6</f>
        <v>0</v>
      </c>
      <c r="G10" s="907">
        <f>'D-Kontostand Vorjahr'!G$6</f>
        <v>-1.11629894236</v>
      </c>
      <c r="H10" s="907">
        <f>'D-Kontostand Vorjahr'!H$6</f>
        <v>-0.71124112144000007</v>
      </c>
      <c r="I10" s="907">
        <f>'D-Kontostand Vorjahr'!I$6</f>
        <v>-2.5889139132900003</v>
      </c>
      <c r="J10" s="907">
        <f>'D-Kontostand Vorjahr'!J$6</f>
        <v>-2.1969250054800002</v>
      </c>
      <c r="K10" s="907">
        <f>'D-Kontostand Vorjahr'!K$6</f>
        <v>1.38074493721</v>
      </c>
      <c r="L10" s="907">
        <f>'D-Kontostand Vorjahr'!L$6</f>
        <v>2.5211899999999998</v>
      </c>
      <c r="M10" s="907">
        <f>'D-Kontostand Vorjahr'!M$6</f>
        <v>1.9478101488699999</v>
      </c>
      <c r="N10" s="908">
        <f>'D-Kontostand Vorjahr'!N$6</f>
        <v>3.3292301430700002</v>
      </c>
      <c r="O10" s="909">
        <f>'D-Kontostand Vorjahr'!O$6</f>
        <v>3.6518353547200002</v>
      </c>
      <c r="P10" s="907">
        <f>'D-Kontostand Vorjahr'!P$6</f>
        <v>2.19040541733</v>
      </c>
      <c r="Q10" s="907">
        <f>'D-Kontostand Vorjahr'!Q$6</f>
        <v>-4.0803942770500008</v>
      </c>
      <c r="R10" s="907">
        <f>'D-Kontostand Vorjahr'!R$6</f>
        <v>0</v>
      </c>
      <c r="S10" s="907">
        <f>'D-Kontostand Vorjahr'!S$6</f>
        <v>0</v>
      </c>
      <c r="T10" s="907">
        <f>'D-Kontostand Vorjahr'!T$6</f>
        <v>0</v>
      </c>
      <c r="U10" s="907">
        <f>'D-Kontostand Vorjahr'!U$6</f>
        <v>0</v>
      </c>
      <c r="V10" s="907">
        <f>'D-Kontostand Vorjahr'!V$6</f>
        <v>0</v>
      </c>
      <c r="W10" s="907">
        <f>'D-Kontostand Vorjahr'!W$6</f>
        <v>0</v>
      </c>
      <c r="X10" s="907">
        <f>'D-Kontostand Vorjahr'!X$6</f>
        <v>0</v>
      </c>
      <c r="Y10" s="907">
        <f>'D-Kontostand Vorjahr'!Y$6</f>
        <v>0</v>
      </c>
      <c r="Z10" s="907">
        <f>'D-Kontostand Vorjahr'!Z$6</f>
        <v>0</v>
      </c>
      <c r="AA10" s="907">
        <f>'D-Kontostand Vorjahr'!AA$6</f>
        <v>0</v>
      </c>
      <c r="AB10" s="907">
        <f>'D-Kontostand Vorjahr'!AB$6</f>
        <v>0</v>
      </c>
      <c r="AC10" s="907">
        <f>'D-Kontostand Vorjahr'!AC$6</f>
        <v>0</v>
      </c>
      <c r="AD10" s="907">
        <f>'D-Kontostand Vorjahr'!AD$6</f>
        <v>0</v>
      </c>
      <c r="AE10" s="908">
        <f>'D-Kontostand Vorjahr'!AE$6</f>
        <v>0</v>
      </c>
      <c r="AF10" s="929"/>
      <c r="AG10" s="929"/>
      <c r="AH10" s="1034"/>
      <c r="AI10" s="1034"/>
      <c r="AJ10" s="1034"/>
    </row>
    <row r="11" spans="1:36" ht="12.75" customHeight="1" outlineLevel="1">
      <c r="A11" s="553">
        <v>11</v>
      </c>
      <c r="B11" s="16" t="str">
        <f>'D-Nettostromverbrauch'!B$6</f>
        <v>Référence</v>
      </c>
      <c r="C11" s="12" t="str">
        <f>'D-Nettostromverbrauch'!C$6</f>
        <v>fh</v>
      </c>
      <c r="D11" s="31" t="str">
        <f>'D-Nettostromverbrauch'!D$6</f>
        <v>2021: calcul GRT 2020. Par la suite constante</v>
      </c>
      <c r="E11" s="16" t="s">
        <v>490</v>
      </c>
      <c r="F11" s="907">
        <f>'D-Nettostromverbrauch'!F$6</f>
        <v>535.4</v>
      </c>
      <c r="G11" s="907">
        <f>'D-Nettostromverbrauch'!G$6</f>
        <v>536.79999999999995</v>
      </c>
      <c r="H11" s="907">
        <f>'D-Nettostromverbrauch'!H$6</f>
        <v>540.29999999999995</v>
      </c>
      <c r="I11" s="907">
        <f>'D-Nettostromverbrauch'!I$6</f>
        <v>537.10000000000014</v>
      </c>
      <c r="J11" s="907">
        <f>'D-Nettostromverbrauch'!J$6</f>
        <v>529.87864653548297</v>
      </c>
      <c r="K11" s="907">
        <f>'D-Nettostromverbrauch'!K$6</f>
        <v>520.6</v>
      </c>
      <c r="L11" s="907">
        <f>'D-Nettostromverbrauch'!L$6</f>
        <v>511.6</v>
      </c>
      <c r="M11" s="907">
        <f>'D-Nettostromverbrauch'!M$6</f>
        <v>521.90464399999996</v>
      </c>
      <c r="N11" s="908">
        <f>'D-Nettostromverbrauch'!N$6</f>
        <v>524.64</v>
      </c>
      <c r="O11" s="909">
        <f>'D-Nettostromverbrauch'!O$6</f>
        <v>536.23646499999995</v>
      </c>
      <c r="P11" s="907">
        <f>'D-Nettostromverbrauch'!P$6</f>
        <v>538.51776999999993</v>
      </c>
      <c r="Q11" s="907">
        <f>'D-Nettostromverbrauch'!Q$6</f>
        <v>518.52683000000002</v>
      </c>
      <c r="R11" s="907">
        <f>'D-Nettostromverbrauch'!R$6</f>
        <v>516.05999999999995</v>
      </c>
      <c r="S11" s="907">
        <f>'D-Nettostromverbrauch'!S$6</f>
        <v>513.67999999999995</v>
      </c>
      <c r="T11" s="907">
        <f>'D-Nettostromverbrauch'!T$6</f>
        <v>511.67</v>
      </c>
      <c r="U11" s="907">
        <f>'D-Nettostromverbrauch'!U$6</f>
        <v>510.33</v>
      </c>
      <c r="V11" s="907">
        <f>'D-Nettostromverbrauch'!V$6</f>
        <v>510.33</v>
      </c>
      <c r="W11" s="907">
        <f>'D-Nettostromverbrauch'!W$6</f>
        <v>510.33</v>
      </c>
      <c r="X11" s="907">
        <f>'D-Nettostromverbrauch'!X$6</f>
        <v>510.33</v>
      </c>
      <c r="Y11" s="907">
        <f>'D-Nettostromverbrauch'!Y$6</f>
        <v>510.33</v>
      </c>
      <c r="Z11" s="907">
        <f>'D-Nettostromverbrauch'!Z$6</f>
        <v>510.33</v>
      </c>
      <c r="AA11" s="907">
        <f>'D-Nettostromverbrauch'!AA$6</f>
        <v>510.33</v>
      </c>
      <c r="AB11" s="907">
        <f>'D-Nettostromverbrauch'!AB$6</f>
        <v>510.33</v>
      </c>
      <c r="AC11" s="907">
        <f>'D-Nettostromverbrauch'!AC$6</f>
        <v>510.33</v>
      </c>
      <c r="AD11" s="907">
        <f>'D-Nettostromverbrauch'!AD$6</f>
        <v>510.33</v>
      </c>
      <c r="AE11" s="908">
        <f>'D-Nettostromverbrauch'!AE$6</f>
        <v>510.33</v>
      </c>
      <c r="AF11" s="929"/>
      <c r="AG11" s="929"/>
      <c r="AH11" s="1034"/>
      <c r="AI11" s="1034"/>
      <c r="AJ11" s="1034"/>
    </row>
    <row r="12" spans="1:36" ht="12.75" customHeight="1" outlineLevel="1">
      <c r="A12" s="553">
        <v>12</v>
      </c>
      <c r="B12" s="16" t="str">
        <f>'D-Privilegierter Letztverbrauch'!B$6</f>
        <v>Référence</v>
      </c>
      <c r="C12" s="12" t="str">
        <f>'D-Privilegierter Letztverbrauch'!C$6</f>
        <v>fh</v>
      </c>
      <c r="D12" s="31" t="str">
        <f>'D-Privilegierter Letztverbrauch'!D$6</f>
        <v>MFP Référence</v>
      </c>
      <c r="E12" s="16" t="s">
        <v>491</v>
      </c>
      <c r="F12" s="907">
        <f>'D-Privilegierter Letztverbrauch'!F$6</f>
        <v>67.885999999999996</v>
      </c>
      <c r="G12" s="907">
        <f>'D-Privilegierter Letztverbrauch'!G$6</f>
        <v>74.729966079999997</v>
      </c>
      <c r="H12" s="907">
        <f>'D-Privilegierter Letztverbrauch'!H$6</f>
        <v>84.727446</v>
      </c>
      <c r="I12" s="907">
        <f>'D-Privilegierter Letztverbrauch'!I$6</f>
        <v>96.225492000000003</v>
      </c>
      <c r="J12" s="907">
        <f>'D-Privilegierter Letztverbrauch'!J$6</f>
        <v>106.52299099999999</v>
      </c>
      <c r="K12" s="907">
        <f>'D-Privilegierter Letztverbrauch'!K$6</f>
        <v>110.247</v>
      </c>
      <c r="L12" s="907">
        <f>'D-Privilegierter Letztverbrauch'!L$6</f>
        <v>103.9</v>
      </c>
      <c r="M12" s="907">
        <f>'D-Privilegierter Letztverbrauch'!M$6</f>
        <v>114.145597</v>
      </c>
      <c r="N12" s="908">
        <f>'D-Privilegierter Letztverbrauch'!N$6</f>
        <v>114.690017</v>
      </c>
      <c r="O12" s="909">
        <f>'D-Privilegierter Letztverbrauch'!O$6</f>
        <v>113.926688</v>
      </c>
      <c r="P12" s="907">
        <f>'D-Privilegierter Letztverbrauch'!P$6</f>
        <v>116.17166499999999</v>
      </c>
      <c r="Q12" s="907">
        <f>'D-Privilegierter Letztverbrauch'!Q$6</f>
        <v>112.73</v>
      </c>
      <c r="R12" s="907">
        <f>'D-Privilegierter Letztverbrauch'!R$6</f>
        <v>111.65</v>
      </c>
      <c r="S12" s="907">
        <f>'D-Privilegierter Letztverbrauch'!S$6</f>
        <v>110.48</v>
      </c>
      <c r="T12" s="907">
        <f>'D-Privilegierter Letztverbrauch'!T$6</f>
        <v>109.19</v>
      </c>
      <c r="U12" s="907">
        <f>'D-Privilegierter Letztverbrauch'!U$6</f>
        <v>107.92</v>
      </c>
      <c r="V12" s="907">
        <f>'D-Privilegierter Letztverbrauch'!V$6</f>
        <v>107.92</v>
      </c>
      <c r="W12" s="907">
        <f>'D-Privilegierter Letztverbrauch'!W$6</f>
        <v>107.92</v>
      </c>
      <c r="X12" s="907">
        <f>'D-Privilegierter Letztverbrauch'!X$6</f>
        <v>107.92</v>
      </c>
      <c r="Y12" s="907">
        <f>'D-Privilegierter Letztverbrauch'!Y$6</f>
        <v>107.92</v>
      </c>
      <c r="Z12" s="907">
        <f>'D-Privilegierter Letztverbrauch'!Z$6</f>
        <v>107.92</v>
      </c>
      <c r="AA12" s="907">
        <f>'D-Privilegierter Letztverbrauch'!AA$6</f>
        <v>107.92</v>
      </c>
      <c r="AB12" s="907">
        <f>'D-Privilegierter Letztverbrauch'!AB$6</f>
        <v>107.92</v>
      </c>
      <c r="AC12" s="907">
        <f>'D-Privilegierter Letztverbrauch'!AC$6</f>
        <v>107.92</v>
      </c>
      <c r="AD12" s="907">
        <f>'D-Privilegierter Letztverbrauch'!AD$6</f>
        <v>107.92</v>
      </c>
      <c r="AE12" s="908">
        <f>'D-Privilegierter Letztverbrauch'!AE$6</f>
        <v>107.92</v>
      </c>
      <c r="AF12" s="929"/>
      <c r="AG12" s="929"/>
      <c r="AH12" s="1034"/>
      <c r="AI12" s="1034"/>
      <c r="AJ12" s="1034"/>
    </row>
    <row r="13" spans="1:36" ht="12.75" customHeight="1" outlineLevel="1">
      <c r="A13" s="553">
        <v>13</v>
      </c>
      <c r="B13" s="16" t="str">
        <f>'D-Eigenverbrauch fossil Bestand'!B$6</f>
        <v>Référence</v>
      </c>
      <c r="C13" s="12" t="str">
        <f>'D-Eigenverbrauch fossil Bestand'!C$6</f>
        <v>fh</v>
      </c>
      <c r="D13" s="31" t="str">
        <f>'D-Eigenverbrauch fossil Bestand'!D$6</f>
        <v>Auto-approvisionnement selon §61 (3) à partir du calcul d'allocation GRT pour 2020</v>
      </c>
      <c r="E13" s="16" t="s">
        <v>492</v>
      </c>
      <c r="F13" s="907">
        <f>'D-Eigenverbrauch fossil Bestand'!F$6</f>
        <v>66.919000000000011</v>
      </c>
      <c r="G13" s="907">
        <f>'D-Eigenverbrauch fossil Bestand'!G$6</f>
        <v>54.256241999999979</v>
      </c>
      <c r="H13" s="907">
        <f>'D-Eigenverbrauch fossil Bestand'!H$6</f>
        <v>62.173272999999973</v>
      </c>
      <c r="I13" s="907">
        <f>'D-Eigenverbrauch fossil Bestand'!I$6</f>
        <v>52.680143000000065</v>
      </c>
      <c r="J13" s="907">
        <f>'D-Eigenverbrauch fossil Bestand'!J$6</f>
        <v>44.33</v>
      </c>
      <c r="K13" s="907">
        <f>'D-Eigenverbrauch fossil Bestand'!K$6</f>
        <v>57.291305999999999</v>
      </c>
      <c r="L13" s="907">
        <f>'D-Eigenverbrauch fossil Bestand'!L$6</f>
        <v>48.547290999999994</v>
      </c>
      <c r="M13" s="907">
        <f>'D-Eigenverbrauch fossil Bestand'!M$6</f>
        <v>60.951926519999994</v>
      </c>
      <c r="N13" s="908">
        <f>'D-Eigenverbrauch fossil Bestand'!N$6</f>
        <v>61.173551851607797</v>
      </c>
      <c r="O13" s="909">
        <f>'D-Eigenverbrauch fossil Bestand'!O$6</f>
        <v>69.750429999999994</v>
      </c>
      <c r="P13" s="907">
        <f>'D-Eigenverbrauch fossil Bestand'!P$6</f>
        <v>68.086641999999998</v>
      </c>
      <c r="Q13" s="907">
        <f>'D-Eigenverbrauch fossil Bestand'!Q$6</f>
        <v>60.732941999999994</v>
      </c>
      <c r="R13" s="907">
        <f>'D-Eigenverbrauch fossil Bestand'!R$6</f>
        <v>60.732941999999994</v>
      </c>
      <c r="S13" s="907">
        <f>'D-Eigenverbrauch fossil Bestand'!S$6</f>
        <v>60.732941999999994</v>
      </c>
      <c r="T13" s="907">
        <f>'D-Eigenverbrauch fossil Bestand'!T$6</f>
        <v>60.732941999999994</v>
      </c>
      <c r="U13" s="907">
        <f>'D-Eigenverbrauch fossil Bestand'!U$6</f>
        <v>60.732941999999994</v>
      </c>
      <c r="V13" s="907">
        <f>'D-Eigenverbrauch fossil Bestand'!V$6</f>
        <v>60.732941999999994</v>
      </c>
      <c r="W13" s="907">
        <f>'D-Eigenverbrauch fossil Bestand'!W$6</f>
        <v>60.732941999999994</v>
      </c>
      <c r="X13" s="907">
        <f>'D-Eigenverbrauch fossil Bestand'!X$6</f>
        <v>60.732941999999994</v>
      </c>
      <c r="Y13" s="907">
        <f>'D-Eigenverbrauch fossil Bestand'!Y$6</f>
        <v>60.732941999999994</v>
      </c>
      <c r="Z13" s="907">
        <f>'D-Eigenverbrauch fossil Bestand'!Z$6</f>
        <v>60.732941999999994</v>
      </c>
      <c r="AA13" s="907">
        <f>'D-Eigenverbrauch fossil Bestand'!AA$6</f>
        <v>60.732941999999994</v>
      </c>
      <c r="AB13" s="907">
        <f>'D-Eigenverbrauch fossil Bestand'!AB$6</f>
        <v>60.732941999999994</v>
      </c>
      <c r="AC13" s="907">
        <f>'D-Eigenverbrauch fossil Bestand'!AC$6</f>
        <v>60.732941999999994</v>
      </c>
      <c r="AD13" s="907">
        <f>'D-Eigenverbrauch fossil Bestand'!AD$6</f>
        <v>60.732941999999994</v>
      </c>
      <c r="AE13" s="908">
        <f>'D-Eigenverbrauch fossil Bestand'!AE$6</f>
        <v>60.732941999999994</v>
      </c>
      <c r="AF13" s="929"/>
      <c r="AG13" s="929"/>
      <c r="AH13" s="1041"/>
      <c r="AI13" s="1035"/>
      <c r="AJ13" s="1034"/>
    </row>
    <row r="14" spans="1:36" ht="12.75" customHeight="1" outlineLevel="1">
      <c r="A14" s="553">
        <v>14</v>
      </c>
      <c r="B14" s="16" t="str">
        <f>'D-Eigenverbrauch KWK Neue'!B$6</f>
        <v>Référence</v>
      </c>
      <c r="C14" s="16" t="str">
        <f>'D-Eigenverbrauch KWK Neue'!C$6</f>
        <v>fh</v>
      </c>
      <c r="D14" s="31" t="str">
        <f>'D-Eigenverbrauch KWK Neue'!D$6</f>
        <v>2021: calculs de la surtaxe GRT jusqu'en 2025, par la suite constante</v>
      </c>
      <c r="E14" s="16" t="s">
        <v>493</v>
      </c>
      <c r="F14" s="907">
        <f>'D-Eigenverbrauch KWK Neue'!F$6</f>
        <v>0</v>
      </c>
      <c r="G14" s="907">
        <f>'D-Eigenverbrauch KWK Neue'!G$6</f>
        <v>0</v>
      </c>
      <c r="H14" s="907">
        <f>'D-Eigenverbrauch KWK Neue'!H$6</f>
        <v>0</v>
      </c>
      <c r="I14" s="907">
        <f>'D-Eigenverbrauch KWK Neue'!I$6</f>
        <v>0</v>
      </c>
      <c r="J14" s="907">
        <f>'D-Eigenverbrauch KWK Neue'!J$6</f>
        <v>0</v>
      </c>
      <c r="K14" s="907">
        <f>'D-Eigenverbrauch KWK Neue'!K$6</f>
        <v>0.2</v>
      </c>
      <c r="L14" s="907">
        <f>'D-Eigenverbrauch KWK Neue'!L$6</f>
        <v>0.52702499999999997</v>
      </c>
      <c r="M14" s="907">
        <f>'D-Eigenverbrauch KWK Neue'!M$6</f>
        <v>0.79537799999999992</v>
      </c>
      <c r="N14" s="908">
        <f>'D-Eigenverbrauch KWK Neue'!N$6</f>
        <v>1.2451939999999999</v>
      </c>
      <c r="O14" s="909">
        <f>'D-Eigenverbrauch KWK Neue'!O$6</f>
        <v>2.9838139999999997</v>
      </c>
      <c r="P14" s="907">
        <f>'D-Eigenverbrauch KWK Neue'!P$6</f>
        <v>3.2852449999999997</v>
      </c>
      <c r="Q14" s="907">
        <f>'D-Eigenverbrauch KWK Neue'!Q$6</f>
        <v>5.1942199999999996</v>
      </c>
      <c r="R14" s="907">
        <f>'D-Eigenverbrauch KWK Neue'!R$6</f>
        <v>5.45</v>
      </c>
      <c r="S14" s="907">
        <f>'D-Eigenverbrauch KWK Neue'!S$6</f>
        <v>5.68</v>
      </c>
      <c r="T14" s="907">
        <f>'D-Eigenverbrauch KWK Neue'!T$6</f>
        <v>5.9</v>
      </c>
      <c r="U14" s="907">
        <f>'D-Eigenverbrauch KWK Neue'!U$6</f>
        <v>6.11</v>
      </c>
      <c r="V14" s="907">
        <f>'D-Eigenverbrauch KWK Neue'!V$6</f>
        <v>6.11</v>
      </c>
      <c r="W14" s="907">
        <f>'D-Eigenverbrauch KWK Neue'!W$6</f>
        <v>6.11</v>
      </c>
      <c r="X14" s="907">
        <f>'D-Eigenverbrauch KWK Neue'!X$6</f>
        <v>6.11</v>
      </c>
      <c r="Y14" s="907">
        <f>'D-Eigenverbrauch KWK Neue'!Y$6</f>
        <v>6.11</v>
      </c>
      <c r="Z14" s="907">
        <f>'D-Eigenverbrauch KWK Neue'!Z$6</f>
        <v>6.11</v>
      </c>
      <c r="AA14" s="907">
        <f>'D-Eigenverbrauch KWK Neue'!AA$6</f>
        <v>6.11</v>
      </c>
      <c r="AB14" s="907">
        <f>'D-Eigenverbrauch KWK Neue'!AB$6</f>
        <v>6.11</v>
      </c>
      <c r="AC14" s="907">
        <f>'D-Eigenverbrauch KWK Neue'!AC$6</f>
        <v>6.11</v>
      </c>
      <c r="AD14" s="907">
        <f>'D-Eigenverbrauch KWK Neue'!AD$6</f>
        <v>6.11</v>
      </c>
      <c r="AE14" s="908">
        <f>'D-Eigenverbrauch KWK Neue'!AE$6</f>
        <v>6.11</v>
      </c>
      <c r="AF14" s="929"/>
      <c r="AG14" s="929"/>
      <c r="AH14" s="1041"/>
      <c r="AI14" s="1041"/>
      <c r="AJ14" s="1034"/>
    </row>
    <row r="15" spans="1:36" ht="12.75" customHeight="1" outlineLevel="1">
      <c r="A15" s="553">
        <v>15</v>
      </c>
      <c r="B15" s="16" t="str">
        <f>'D-Eigenverbrauch fossile Neue'!B$6</f>
        <v>Référence</v>
      </c>
      <c r="C15" s="12" t="str">
        <f>'D-Eigenverbrauch fossile Neue'!C$6</f>
        <v>fh</v>
      </c>
      <c r="D15" s="31" t="str">
        <f>'D-Eigenverbrauch fossile Neue'!D$6</f>
        <v>Pas de nouveaux systèmes</v>
      </c>
      <c r="E15" s="16" t="s">
        <v>494</v>
      </c>
      <c r="F15" s="907">
        <f>'D-Eigenverbrauch fossile Neue'!F$6</f>
        <v>0</v>
      </c>
      <c r="G15" s="907">
        <f>'D-Eigenverbrauch fossile Neue'!G$6</f>
        <v>0</v>
      </c>
      <c r="H15" s="907">
        <f>'D-Eigenverbrauch fossile Neue'!H$6</f>
        <v>0</v>
      </c>
      <c r="I15" s="907">
        <f>'D-Eigenverbrauch fossile Neue'!I$6</f>
        <v>0</v>
      </c>
      <c r="J15" s="907">
        <f>'D-Eigenverbrauch fossile Neue'!J$6</f>
        <v>0</v>
      </c>
      <c r="K15" s="907">
        <f>'D-Eigenverbrauch fossile Neue'!K$6</f>
        <v>0</v>
      </c>
      <c r="L15" s="907">
        <f>'D-Eigenverbrauch fossile Neue'!L$6</f>
        <v>0</v>
      </c>
      <c r="M15" s="907">
        <f>'D-Eigenverbrauch fossile Neue'!M$6</f>
        <v>1.1745889999999999</v>
      </c>
      <c r="N15" s="908">
        <f>'D-Eigenverbrauch fossile Neue'!N$6</f>
        <v>1.5439479999999999</v>
      </c>
      <c r="O15" s="909">
        <f>'D-Eigenverbrauch fossile Neue'!O$6</f>
        <v>2.5107649999999997</v>
      </c>
      <c r="P15" s="907">
        <f>'D-Eigenverbrauch fossile Neue'!P$6</f>
        <v>3.6564139999999998</v>
      </c>
      <c r="Q15" s="907">
        <f>'D-Eigenverbrauch fossile Neue'!Q$6</f>
        <v>3.8827539999999998</v>
      </c>
      <c r="R15" s="907">
        <f>'D-Eigenverbrauch fossile Neue'!R$6</f>
        <v>3.8827539999999998</v>
      </c>
      <c r="S15" s="907">
        <f>'D-Eigenverbrauch fossile Neue'!S$6</f>
        <v>3.8827539999999998</v>
      </c>
      <c r="T15" s="907">
        <f>'D-Eigenverbrauch fossile Neue'!T$6</f>
        <v>3.8827539999999998</v>
      </c>
      <c r="U15" s="907">
        <f>'D-Eigenverbrauch fossile Neue'!U$6</f>
        <v>3.8827539999999998</v>
      </c>
      <c r="V15" s="907">
        <f>'D-Eigenverbrauch fossile Neue'!V$6</f>
        <v>3.8827539999999998</v>
      </c>
      <c r="W15" s="907">
        <f>'D-Eigenverbrauch fossile Neue'!W$6</f>
        <v>3.8827539999999998</v>
      </c>
      <c r="X15" s="907">
        <f>'D-Eigenverbrauch fossile Neue'!X$6</f>
        <v>3.8827539999999998</v>
      </c>
      <c r="Y15" s="907">
        <f>'D-Eigenverbrauch fossile Neue'!Y$6</f>
        <v>3.8827539999999998</v>
      </c>
      <c r="Z15" s="907">
        <f>'D-Eigenverbrauch fossile Neue'!Z$6</f>
        <v>3.8827539999999998</v>
      </c>
      <c r="AA15" s="907">
        <f>'D-Eigenverbrauch fossile Neue'!AA$6</f>
        <v>3.8827539999999998</v>
      </c>
      <c r="AB15" s="907">
        <f>'D-Eigenverbrauch fossile Neue'!AB$6</f>
        <v>3.8827539999999998</v>
      </c>
      <c r="AC15" s="907">
        <f>'D-Eigenverbrauch fossile Neue'!AC$6</f>
        <v>3.8827539999999998</v>
      </c>
      <c r="AD15" s="907">
        <f>'D-Eigenverbrauch fossile Neue'!AD$6</f>
        <v>3.8827539999999998</v>
      </c>
      <c r="AE15" s="908">
        <f>'D-Eigenverbrauch fossile Neue'!AE$6</f>
        <v>3.8827539999999998</v>
      </c>
      <c r="AF15" s="929"/>
      <c r="AG15" s="929"/>
      <c r="AH15" s="1034"/>
      <c r="AI15" s="1034"/>
      <c r="AJ15" s="1034"/>
    </row>
    <row r="16" spans="1:36" ht="12.75" customHeight="1" outlineLevel="1">
      <c r="A16" s="553">
        <v>16</v>
      </c>
      <c r="B16" s="16" t="str">
        <f>'D-Grünstromprivileg'!B$6</f>
        <v>Référence</v>
      </c>
      <c r="C16" s="12" t="str">
        <f>'D-Grünstromprivileg'!C$6</f>
        <v>mh</v>
      </c>
      <c r="D16" s="346" t="str">
        <f>'D-Grünstromprivileg'!D$6</f>
        <v>Les prévisions et prévisions annuelles du GRT pour 2012; à partir de 2015, plus le privilège de l'électricité verte</v>
      </c>
      <c r="E16" s="16" t="s">
        <v>495</v>
      </c>
      <c r="F16" s="907">
        <f>'D-Grünstromprivileg'!F$6</f>
        <v>0</v>
      </c>
      <c r="G16" s="907">
        <f>'D-Grünstromprivileg'!G$6</f>
        <v>24.664059639999998</v>
      </c>
      <c r="H16" s="907">
        <f>'D-Grünstromprivileg'!H$6</f>
        <v>6.3188509999999996</v>
      </c>
      <c r="I16" s="907">
        <f>'D-Grünstromprivileg'!I$6</f>
        <v>2.5983429999999998</v>
      </c>
      <c r="J16" s="907">
        <f>'D-Grünstromprivileg'!J$6</f>
        <v>5.9772400000000001</v>
      </c>
      <c r="K16" s="907">
        <f>'D-Grünstromprivileg'!K$6</f>
        <v>0</v>
      </c>
      <c r="L16" s="907">
        <f>'D-Grünstromprivileg'!L$6</f>
        <v>0</v>
      </c>
      <c r="M16" s="907">
        <f>'D-Grünstromprivileg'!M$6</f>
        <v>0</v>
      </c>
      <c r="N16" s="908">
        <f>'D-Grünstromprivileg'!N$6</f>
        <v>0</v>
      </c>
      <c r="O16" s="909">
        <f>'D-Grünstromprivileg'!O$6</f>
        <v>0</v>
      </c>
      <c r="P16" s="907">
        <f>'D-Grünstromprivileg'!P$6</f>
        <v>0</v>
      </c>
      <c r="Q16" s="907">
        <f>'D-Grünstromprivileg'!Q$6</f>
        <v>0</v>
      </c>
      <c r="R16" s="907">
        <f>'D-Grünstromprivileg'!R$6</f>
        <v>0</v>
      </c>
      <c r="S16" s="907">
        <f>'D-Grünstromprivileg'!S$6</f>
        <v>0</v>
      </c>
      <c r="T16" s="907">
        <f>'D-Grünstromprivileg'!T$6</f>
        <v>0</v>
      </c>
      <c r="U16" s="907">
        <f>'D-Grünstromprivileg'!U$6</f>
        <v>0</v>
      </c>
      <c r="V16" s="907">
        <f>'D-Grünstromprivileg'!V$6</f>
        <v>0</v>
      </c>
      <c r="W16" s="907">
        <f>'D-Grünstromprivileg'!W$6</f>
        <v>0</v>
      </c>
      <c r="X16" s="907">
        <f>'D-Grünstromprivileg'!X$6</f>
        <v>0</v>
      </c>
      <c r="Y16" s="907">
        <f>'D-Grünstromprivileg'!Y$6</f>
        <v>0</v>
      </c>
      <c r="Z16" s="907">
        <f>'D-Grünstromprivileg'!Z$6</f>
        <v>0</v>
      </c>
      <c r="AA16" s="907">
        <f>'D-Grünstromprivileg'!AA$6</f>
        <v>0</v>
      </c>
      <c r="AB16" s="907">
        <f>'D-Grünstromprivileg'!AB$6</f>
        <v>0</v>
      </c>
      <c r="AC16" s="907">
        <f>'D-Grünstromprivileg'!AC$6</f>
        <v>0</v>
      </c>
      <c r="AD16" s="907">
        <f>'D-Grünstromprivileg'!AD$6</f>
        <v>0</v>
      </c>
      <c r="AE16" s="908">
        <f>'D-Grünstromprivileg'!AE$6</f>
        <v>0</v>
      </c>
      <c r="AF16" s="929"/>
      <c r="AG16" s="929"/>
      <c r="AH16" s="1034"/>
      <c r="AI16" s="1034"/>
      <c r="AJ16" s="1034"/>
    </row>
    <row r="17" spans="1:36" ht="12.75" customHeight="1" outlineLevel="1">
      <c r="A17" s="553">
        <v>17</v>
      </c>
      <c r="B17" s="314" t="str">
        <f>'D-Umlage priv. Letztverbrauch'!B$6</f>
        <v>Référence</v>
      </c>
      <c r="C17" s="22" t="str">
        <f>'D-Umlage priv. Letztverbrauch'!C$6</f>
        <v>cl</v>
      </c>
      <c r="D17" s="30" t="str">
        <f>'D-Umlage priv. Letztverbrauch'!D$6</f>
        <v>15% (gem. EEG 2014)</v>
      </c>
      <c r="E17" s="295" t="s">
        <v>496</v>
      </c>
      <c r="F17" s="910">
        <f>'D-Umlage priv. Letztverbrauch'!F$6</f>
        <v>2.4421006724375267E-2</v>
      </c>
      <c r="G17" s="910">
        <f>'D-Umlage priv. Letztverbrauch'!G$6</f>
        <v>1.416149742259081E-2</v>
      </c>
      <c r="H17" s="910">
        <f>'D-Umlage priv. Letztverbrauch'!H$6</f>
        <v>1.3920264634567114E-2</v>
      </c>
      <c r="I17" s="910">
        <f>'D-Umlage priv. Letztverbrauch'!I$6</f>
        <v>6.442107437727964E-3</v>
      </c>
      <c r="J17" s="911">
        <f>'D-Umlage priv. Letztverbrauch'!J$6</f>
        <v>2.083534312096447E-2</v>
      </c>
      <c r="K17" s="904">
        <f>'D-Umlage priv. Letztverbrauch'!K$6</f>
        <v>0.15</v>
      </c>
      <c r="L17" s="904">
        <f>'D-Umlage priv. Letztverbrauch'!L$6</f>
        <v>0.15</v>
      </c>
      <c r="M17" s="904">
        <f>'D-Umlage priv. Letztverbrauch'!M$6</f>
        <v>0.15</v>
      </c>
      <c r="N17" s="905">
        <f>'D-Umlage priv. Letztverbrauch'!N$6</f>
        <v>0.15</v>
      </c>
      <c r="O17" s="904">
        <f>'D-Umlage priv. Letztverbrauch'!O$6</f>
        <v>0.15</v>
      </c>
      <c r="P17" s="904">
        <f>'D-Umlage priv. Letztverbrauch'!P$6</f>
        <v>0.15</v>
      </c>
      <c r="Q17" s="904">
        <f>'D-Umlage priv. Letztverbrauch'!Q$6</f>
        <v>0.15</v>
      </c>
      <c r="R17" s="904">
        <f>'D-Umlage priv. Letztverbrauch'!R$6</f>
        <v>0.15</v>
      </c>
      <c r="S17" s="904">
        <f>'D-Umlage priv. Letztverbrauch'!S$6</f>
        <v>0.15</v>
      </c>
      <c r="T17" s="904">
        <f>'D-Umlage priv. Letztverbrauch'!T$6</f>
        <v>0.15</v>
      </c>
      <c r="U17" s="904">
        <f>'D-Umlage priv. Letztverbrauch'!U$6</f>
        <v>0.15</v>
      </c>
      <c r="V17" s="904">
        <f>'D-Umlage priv. Letztverbrauch'!V$6</f>
        <v>0.15</v>
      </c>
      <c r="W17" s="904">
        <f>'D-Umlage priv. Letztverbrauch'!W$6</f>
        <v>0.15</v>
      </c>
      <c r="X17" s="904">
        <f>'D-Umlage priv. Letztverbrauch'!X$6</f>
        <v>0.15</v>
      </c>
      <c r="Y17" s="904">
        <f>'D-Umlage priv. Letztverbrauch'!Y$6</f>
        <v>0.15</v>
      </c>
      <c r="Z17" s="904">
        <f>'D-Umlage priv. Letztverbrauch'!Z$6</f>
        <v>0.15</v>
      </c>
      <c r="AA17" s="904">
        <f>'D-Umlage priv. Letztverbrauch'!AA$6</f>
        <v>0.15</v>
      </c>
      <c r="AB17" s="904">
        <f>'D-Umlage priv. Letztverbrauch'!AB$6</f>
        <v>0.15</v>
      </c>
      <c r="AC17" s="904">
        <f>'D-Umlage priv. Letztverbrauch'!AC$6</f>
        <v>0.15</v>
      </c>
      <c r="AD17" s="904">
        <f>'D-Umlage priv. Letztverbrauch'!AD$6</f>
        <v>0.15</v>
      </c>
      <c r="AE17" s="905">
        <f>'D-Umlage priv. Letztverbrauch'!AE$6</f>
        <v>0.15</v>
      </c>
      <c r="AF17" s="929"/>
      <c r="AG17" s="929"/>
      <c r="AH17" s="1034"/>
      <c r="AI17" s="1034"/>
      <c r="AJ17" s="1034"/>
    </row>
    <row r="18" spans="1:36" ht="12.75" customHeight="1" outlineLevel="1">
      <c r="A18" s="553">
        <v>18</v>
      </c>
      <c r="B18" s="16" t="str">
        <f>'D-Faktor Zusatzprivilegierung'!B$6</f>
        <v>Référence</v>
      </c>
      <c r="C18" s="12" t="str">
        <f>'D-Faktor Zusatzprivilegierung'!C$6</f>
        <v>fh</v>
      </c>
      <c r="D18" s="31" t="str">
        <f>'D-Faktor Zusatzprivilegierung'!D$6</f>
        <v>Jusqu'en 2021: calculs de la surtaxe GRT, par la suite constante (agit comme une exonération complète de 62% de la BT privée)</v>
      </c>
      <c r="E18" s="297" t="s">
        <v>497</v>
      </c>
      <c r="F18" s="907">
        <f>'D-Faktor Zusatzprivilegierung'!F$6</f>
        <v>0</v>
      </c>
      <c r="G18" s="907">
        <f>'D-Faktor Zusatzprivilegierung'!G$6</f>
        <v>0</v>
      </c>
      <c r="H18" s="907">
        <f>'D-Faktor Zusatzprivilegierung'!H$6</f>
        <v>0</v>
      </c>
      <c r="I18" s="907">
        <f>'D-Faktor Zusatzprivilegierung'!I$6</f>
        <v>0</v>
      </c>
      <c r="J18" s="907">
        <f>'D-Faktor Zusatzprivilegierung'!J$6</f>
        <v>0</v>
      </c>
      <c r="K18" s="907">
        <f>'D-Faktor Zusatzprivilegierung'!K$6</f>
        <v>0.53400000000000003</v>
      </c>
      <c r="L18" s="907">
        <f>'D-Faktor Zusatzprivilegierung'!L$6</f>
        <v>0.502</v>
      </c>
      <c r="M18" s="907">
        <f>'D-Faktor Zusatzprivilegierung'!M$6</f>
        <v>0.61956606648897039</v>
      </c>
      <c r="N18" s="908">
        <f>'D-Faktor Zusatzprivilegierung'!N$6</f>
        <v>0.59982457576591419</v>
      </c>
      <c r="O18" s="907">
        <f>'D-Faktor Zusatzprivilegierung'!O$6</f>
        <v>0.61796806733819043</v>
      </c>
      <c r="P18" s="907">
        <f>'D-Faktor Zusatzprivilegierung'!P$6</f>
        <v>0.62235249305977924</v>
      </c>
      <c r="Q18" s="907">
        <f>'D-Faktor Zusatzprivilegierung'!Q$6</f>
        <v>0.6181753273601267</v>
      </c>
      <c r="R18" s="907">
        <f>'D-Faktor Zusatzprivilegierung'!R$6</f>
        <v>0.6181753273601267</v>
      </c>
      <c r="S18" s="907">
        <f>'D-Faktor Zusatzprivilegierung'!S$6</f>
        <v>0.6181753273601267</v>
      </c>
      <c r="T18" s="907">
        <f>'D-Faktor Zusatzprivilegierung'!T$6</f>
        <v>0.6181753273601267</v>
      </c>
      <c r="U18" s="907">
        <f>'D-Faktor Zusatzprivilegierung'!U$6</f>
        <v>0.6181753273601267</v>
      </c>
      <c r="V18" s="907">
        <f>'D-Faktor Zusatzprivilegierung'!V$6</f>
        <v>0.6181753273601267</v>
      </c>
      <c r="W18" s="907">
        <f>'D-Faktor Zusatzprivilegierung'!W$6</f>
        <v>0.6181753273601267</v>
      </c>
      <c r="X18" s="907">
        <f>'D-Faktor Zusatzprivilegierung'!X$6</f>
        <v>0.6181753273601267</v>
      </c>
      <c r="Y18" s="907">
        <f>'D-Faktor Zusatzprivilegierung'!Y$6</f>
        <v>0.6181753273601267</v>
      </c>
      <c r="Z18" s="907">
        <f>'D-Faktor Zusatzprivilegierung'!Z$6</f>
        <v>0.6181753273601267</v>
      </c>
      <c r="AA18" s="907">
        <f>'D-Faktor Zusatzprivilegierung'!AA$6</f>
        <v>0.6181753273601267</v>
      </c>
      <c r="AB18" s="907">
        <f>'D-Faktor Zusatzprivilegierung'!AB$6</f>
        <v>0.6181753273601267</v>
      </c>
      <c r="AC18" s="907">
        <f>'D-Faktor Zusatzprivilegierung'!AC$6</f>
        <v>0.6181753273601267</v>
      </c>
      <c r="AD18" s="907">
        <f>'D-Faktor Zusatzprivilegierung'!AD$6</f>
        <v>0.6181753273601267</v>
      </c>
      <c r="AE18" s="908">
        <f>'D-Faktor Zusatzprivilegierung'!AE$6</f>
        <v>0.6181753273601267</v>
      </c>
      <c r="AF18" s="929"/>
      <c r="AG18" s="929"/>
      <c r="AH18" s="1036"/>
      <c r="AI18" s="1036"/>
      <c r="AJ18" s="1034"/>
    </row>
    <row r="19" spans="1:36" ht="12.75" customHeight="1" outlineLevel="1">
      <c r="A19" s="553">
        <v>19</v>
      </c>
      <c r="B19" s="16"/>
      <c r="C19" s="12"/>
      <c r="D19" s="31"/>
      <c r="E19" s="297" t="s">
        <v>498</v>
      </c>
      <c r="F19" s="907">
        <f>'D-Umlage EV Bestand'!F$6</f>
        <v>0</v>
      </c>
      <c r="G19" s="907">
        <f>'D-Umlage EV Bestand'!G$6</f>
        <v>0</v>
      </c>
      <c r="H19" s="907">
        <f>'D-Umlage EV Bestand'!H$6</f>
        <v>0</v>
      </c>
      <c r="I19" s="907">
        <f>'D-Umlage EV Bestand'!I$6</f>
        <v>0</v>
      </c>
      <c r="J19" s="907">
        <f>'D-Umlage EV Bestand'!J$6</f>
        <v>0</v>
      </c>
      <c r="K19" s="907">
        <f>'D-Umlage EV Bestand'!K$6</f>
        <v>0</v>
      </c>
      <c r="L19" s="907">
        <f>'D-Umlage EV Bestand'!L$6</f>
        <v>0</v>
      </c>
      <c r="M19" s="907">
        <f>'D-Umlage EV Bestand'!M$6</f>
        <v>0</v>
      </c>
      <c r="N19" s="908">
        <f>'D-Umlage EV Bestand'!N$6</f>
        <v>0</v>
      </c>
      <c r="O19" s="907">
        <f>'D-Umlage EV Bestand'!O$6</f>
        <v>0</v>
      </c>
      <c r="P19" s="907">
        <f>'D-Umlage EV Bestand'!P$6</f>
        <v>0</v>
      </c>
      <c r="Q19" s="907">
        <f>'D-Umlage EV Bestand'!Q$6</f>
        <v>0</v>
      </c>
      <c r="R19" s="907">
        <f>'D-Umlage EV Bestand'!R$6</f>
        <v>0</v>
      </c>
      <c r="S19" s="907">
        <f>'D-Umlage EV Bestand'!S$6</f>
        <v>0</v>
      </c>
      <c r="T19" s="907">
        <f>'D-Umlage EV Bestand'!T$6</f>
        <v>0</v>
      </c>
      <c r="U19" s="907">
        <f>'D-Umlage EV Bestand'!U$6</f>
        <v>0</v>
      </c>
      <c r="V19" s="907">
        <f>'D-Umlage EV Bestand'!V$6</f>
        <v>0</v>
      </c>
      <c r="W19" s="907">
        <f>'D-Umlage EV Bestand'!W$6</f>
        <v>0</v>
      </c>
      <c r="X19" s="907">
        <f>'D-Umlage EV Bestand'!X$6</f>
        <v>0</v>
      </c>
      <c r="Y19" s="907">
        <f>'D-Umlage EV Bestand'!Y$6</f>
        <v>0</v>
      </c>
      <c r="Z19" s="907">
        <f>'D-Umlage EV Bestand'!Z$6</f>
        <v>0</v>
      </c>
      <c r="AA19" s="907">
        <f>'D-Umlage EV Bestand'!AA$6</f>
        <v>0</v>
      </c>
      <c r="AB19" s="907">
        <f>'D-Umlage EV Bestand'!AB$6</f>
        <v>0</v>
      </c>
      <c r="AC19" s="907">
        <f>'D-Umlage EV Bestand'!AC$6</f>
        <v>0</v>
      </c>
      <c r="AD19" s="907">
        <f>'D-Umlage EV Bestand'!AD$6</f>
        <v>0</v>
      </c>
      <c r="AE19" s="908">
        <f>'D-Umlage EV Bestand'!AE$6</f>
        <v>0</v>
      </c>
      <c r="AF19" s="929" t="s">
        <v>148</v>
      </c>
      <c r="AG19" s="930" t="s">
        <v>148</v>
      </c>
      <c r="AJ19" s="1034"/>
    </row>
    <row r="20" spans="1:36" ht="12.75" customHeight="1" outlineLevel="1">
      <c r="A20" s="553">
        <v>20</v>
      </c>
      <c r="B20" s="16" t="str">
        <f>'D-Umlage Eigenverbrauch PV+KWK'!B$6</f>
        <v>Référence</v>
      </c>
      <c r="C20" s="12" t="str">
        <f>'D-Umlage Eigenverbrauch PV+KWK'!C$6</f>
        <v>mh</v>
      </c>
      <c r="D20" s="31" t="str">
        <f>'D-Umlage Eigenverbrauch PV+KWK'!D$6</f>
        <v>selon EEG 2017, à partir de 2020 constant 38%</v>
      </c>
      <c r="E20" s="297" t="s">
        <v>499</v>
      </c>
      <c r="F20" s="907">
        <f>'D-Umlage Eigenverbrauch PV+KWK'!F$6</f>
        <v>0</v>
      </c>
      <c r="G20" s="907">
        <f>'D-Umlage Eigenverbrauch PV+KWK'!G$6</f>
        <v>0</v>
      </c>
      <c r="H20" s="907">
        <f>'D-Umlage Eigenverbrauch PV+KWK'!H$6</f>
        <v>0</v>
      </c>
      <c r="I20" s="907">
        <f>'D-Umlage Eigenverbrauch PV+KWK'!I$6</f>
        <v>0</v>
      </c>
      <c r="J20" s="907">
        <f>'D-Umlage Eigenverbrauch PV+KWK'!J$6</f>
        <v>0</v>
      </c>
      <c r="K20" s="907">
        <f>'D-Umlage Eigenverbrauch PV+KWK'!K$6</f>
        <v>0.3</v>
      </c>
      <c r="L20" s="907">
        <f>'D-Umlage Eigenverbrauch PV+KWK'!L$6</f>
        <v>0.35</v>
      </c>
      <c r="M20" s="907">
        <f>'D-Umlage Eigenverbrauch PV+KWK'!M$6</f>
        <v>0.40000062775558548</v>
      </c>
      <c r="N20" s="908">
        <f>'D-Umlage Eigenverbrauch PV+KWK'!N$6</f>
        <v>0.33640703685486462</v>
      </c>
      <c r="O20" s="907">
        <f>'D-Umlage Eigenverbrauch PV+KWK'!O$6</f>
        <v>0.36296708149217022</v>
      </c>
      <c r="P20" s="907">
        <f>'D-Umlage Eigenverbrauch PV+KWK'!P$6</f>
        <v>0.37707011244336597</v>
      </c>
      <c r="Q20" s="907">
        <f>'D-Umlage Eigenverbrauch PV+KWK'!Q$6</f>
        <v>0.37707011244336597</v>
      </c>
      <c r="R20" s="907">
        <f>'D-Umlage Eigenverbrauch PV+KWK'!R$6</f>
        <v>0.37707011244336597</v>
      </c>
      <c r="S20" s="907">
        <f>'D-Umlage Eigenverbrauch PV+KWK'!S$6</f>
        <v>0.37707011244336597</v>
      </c>
      <c r="T20" s="907">
        <f>'D-Umlage Eigenverbrauch PV+KWK'!T$6</f>
        <v>0.37707011244336597</v>
      </c>
      <c r="U20" s="907">
        <f>'D-Umlage Eigenverbrauch PV+KWK'!U$6</f>
        <v>0.37707011244336597</v>
      </c>
      <c r="V20" s="907">
        <f>'D-Umlage Eigenverbrauch PV+KWK'!V$6</f>
        <v>0.37707011244336597</v>
      </c>
      <c r="W20" s="907">
        <f>'D-Umlage Eigenverbrauch PV+KWK'!W$6</f>
        <v>0.37707011244336597</v>
      </c>
      <c r="X20" s="907">
        <f>'D-Umlage Eigenverbrauch PV+KWK'!X$6</f>
        <v>0.37707011244336597</v>
      </c>
      <c r="Y20" s="907">
        <f>'D-Umlage Eigenverbrauch PV+KWK'!Y$6</f>
        <v>0.37707011244336597</v>
      </c>
      <c r="Z20" s="907">
        <f>'D-Umlage Eigenverbrauch PV+KWK'!Z$6</f>
        <v>0.37707011244336597</v>
      </c>
      <c r="AA20" s="907">
        <f>'D-Umlage Eigenverbrauch PV+KWK'!AA$6</f>
        <v>0.37707011244336597</v>
      </c>
      <c r="AB20" s="907">
        <f>'D-Umlage Eigenverbrauch PV+KWK'!AB$6</f>
        <v>0.37707011244336597</v>
      </c>
      <c r="AC20" s="907">
        <f>'D-Umlage Eigenverbrauch PV+KWK'!AC$6</f>
        <v>0.37707011244336597</v>
      </c>
      <c r="AD20" s="907">
        <f>'D-Umlage Eigenverbrauch PV+KWK'!AD$6</f>
        <v>0.37707011244336597</v>
      </c>
      <c r="AE20" s="908">
        <f>'D-Umlage Eigenverbrauch PV+KWK'!AE$6</f>
        <v>0.37707011244336597</v>
      </c>
      <c r="AF20" s="929"/>
      <c r="AG20" s="929"/>
      <c r="AJ20" s="1034"/>
    </row>
    <row r="21" spans="1:36" ht="12.75" customHeight="1" outlineLevel="1">
      <c r="A21" s="553">
        <v>21</v>
      </c>
      <c r="B21" s="16" t="str">
        <f>'D-Umlage Eigenverb fossile Neue'!B$6</f>
        <v>Référence</v>
      </c>
      <c r="C21" s="12" t="str">
        <f>'D-Umlage Eigenverb fossile Neue'!C$6</f>
        <v>mh</v>
      </c>
      <c r="D21" s="31" t="str">
        <f>'D-Umlage Eigenverb fossile Neue'!D$6</f>
        <v>100% (Selon EEG 2014)</v>
      </c>
      <c r="E21" s="297" t="s">
        <v>500</v>
      </c>
      <c r="F21" s="907">
        <f>'D-Umlage Eigenverb fossile Neue'!F$6</f>
        <v>0</v>
      </c>
      <c r="G21" s="907">
        <f>'D-Umlage Eigenverb fossile Neue'!G$6</f>
        <v>0</v>
      </c>
      <c r="H21" s="907">
        <f>'D-Umlage Eigenverb fossile Neue'!H$6</f>
        <v>0</v>
      </c>
      <c r="I21" s="907">
        <f>'D-Umlage Eigenverb fossile Neue'!I$6</f>
        <v>0</v>
      </c>
      <c r="J21" s="907">
        <f>'D-Umlage Eigenverb fossile Neue'!J$6</f>
        <v>0</v>
      </c>
      <c r="K21" s="907">
        <f>'D-Umlage Eigenverb fossile Neue'!K$6</f>
        <v>1</v>
      </c>
      <c r="L21" s="907">
        <f>'D-Umlage Eigenverb fossile Neue'!L$6</f>
        <v>1</v>
      </c>
      <c r="M21" s="907">
        <f>'D-Umlage Eigenverb fossile Neue'!M$6</f>
        <v>1</v>
      </c>
      <c r="N21" s="908">
        <f>'D-Umlage Eigenverb fossile Neue'!N$6</f>
        <v>1</v>
      </c>
      <c r="O21" s="907">
        <f>'D-Umlage Eigenverb fossile Neue'!O$6</f>
        <v>1</v>
      </c>
      <c r="P21" s="907">
        <f>'D-Umlage Eigenverb fossile Neue'!P$6</f>
        <v>1</v>
      </c>
      <c r="Q21" s="907">
        <f>'D-Umlage Eigenverb fossile Neue'!Q$6</f>
        <v>1</v>
      </c>
      <c r="R21" s="907">
        <f>'D-Umlage Eigenverb fossile Neue'!R$6</f>
        <v>1</v>
      </c>
      <c r="S21" s="907">
        <f>'D-Umlage Eigenverb fossile Neue'!S$6</f>
        <v>1</v>
      </c>
      <c r="T21" s="907">
        <f>'D-Umlage Eigenverb fossile Neue'!T$6</f>
        <v>1</v>
      </c>
      <c r="U21" s="907">
        <f>'D-Umlage Eigenverb fossile Neue'!U$6</f>
        <v>1</v>
      </c>
      <c r="V21" s="907">
        <f>'D-Umlage Eigenverb fossile Neue'!V$6</f>
        <v>1</v>
      </c>
      <c r="W21" s="907">
        <f>'D-Umlage Eigenverb fossile Neue'!W$6</f>
        <v>1</v>
      </c>
      <c r="X21" s="907">
        <f>'D-Umlage Eigenverb fossile Neue'!X$6</f>
        <v>1</v>
      </c>
      <c r="Y21" s="907">
        <f>'D-Umlage Eigenverb fossile Neue'!Y$6</f>
        <v>1</v>
      </c>
      <c r="Z21" s="907">
        <f>'D-Umlage Eigenverb fossile Neue'!Z$6</f>
        <v>1</v>
      </c>
      <c r="AA21" s="907">
        <f>'D-Umlage Eigenverb fossile Neue'!AA$6</f>
        <v>1</v>
      </c>
      <c r="AB21" s="907">
        <f>'D-Umlage Eigenverb fossile Neue'!AB$6</f>
        <v>1</v>
      </c>
      <c r="AC21" s="907">
        <f>'D-Umlage Eigenverb fossile Neue'!AC$6</f>
        <v>1</v>
      </c>
      <c r="AD21" s="907">
        <f>'D-Umlage Eigenverb fossile Neue'!AD$6</f>
        <v>1</v>
      </c>
      <c r="AE21" s="908">
        <f>'D-Umlage Eigenverb fossile Neue'!AE$6</f>
        <v>1</v>
      </c>
      <c r="AF21" s="929"/>
      <c r="AG21" s="929"/>
      <c r="AJ21" s="1034"/>
    </row>
    <row r="22" spans="1:36" ht="12.75" customHeight="1" outlineLevel="1">
      <c r="A22" s="553">
        <v>22</v>
      </c>
      <c r="B22" s="296" t="str">
        <f>'D-Umlagereduktion Grünstrom'!B$6</f>
        <v>Référence</v>
      </c>
      <c r="C22" s="24" t="str">
        <f>'D-Umlagereduktion Grünstrom'!C$6</f>
        <v>mh</v>
      </c>
      <c r="D22" s="32" t="str">
        <f>'D-Umlagereduktion Grünstrom'!D$6</f>
        <v xml:space="preserve">Prévisions annuelles GRT. Déduction de la surtaxe du montant de la surtaxe (exonération de 100%) à partir de 2009-2011, déduction de 2ct / kWh en 2012 et 2013. </v>
      </c>
      <c r="E22" s="298" t="s">
        <v>501</v>
      </c>
      <c r="F22" s="912">
        <f>'D-Umlagereduktion Grünstrom'!F$6</f>
        <v>20.47</v>
      </c>
      <c r="G22" s="912">
        <f>'D-Umlagereduktion Grünstrom'!G$6</f>
        <v>35.31</v>
      </c>
      <c r="H22" s="912">
        <f>'D-Umlagereduktion Grünstrom'!H$6</f>
        <v>20</v>
      </c>
      <c r="I22" s="912">
        <f>'D-Umlagereduktion Grünstrom'!I$6</f>
        <v>20</v>
      </c>
      <c r="J22" s="912">
        <f>'D-Umlagereduktion Grünstrom'!J$6</f>
        <v>20</v>
      </c>
      <c r="K22" s="912">
        <f>'D-Umlagereduktion Grünstrom'!K$6</f>
        <v>0</v>
      </c>
      <c r="L22" s="912">
        <f>'D-Umlagereduktion Grünstrom'!L$6</f>
        <v>0</v>
      </c>
      <c r="M22" s="912">
        <f>'D-Umlagereduktion Grünstrom'!M$6</f>
        <v>0</v>
      </c>
      <c r="N22" s="913">
        <f>'D-Umlagereduktion Grünstrom'!N$6</f>
        <v>0</v>
      </c>
      <c r="O22" s="912">
        <f>'D-Umlagereduktion Grünstrom'!O$6</f>
        <v>0</v>
      </c>
      <c r="P22" s="912">
        <f>'D-Umlagereduktion Grünstrom'!P$6</f>
        <v>0</v>
      </c>
      <c r="Q22" s="912">
        <f>'D-Umlagereduktion Grünstrom'!Q$6</f>
        <v>0</v>
      </c>
      <c r="R22" s="912">
        <f>'D-Umlagereduktion Grünstrom'!R$6</f>
        <v>0</v>
      </c>
      <c r="S22" s="912">
        <f>'D-Umlagereduktion Grünstrom'!S$6</f>
        <v>0</v>
      </c>
      <c r="T22" s="912">
        <f>'D-Umlagereduktion Grünstrom'!T$6</f>
        <v>0</v>
      </c>
      <c r="U22" s="912">
        <f>'D-Umlagereduktion Grünstrom'!U$6</f>
        <v>0</v>
      </c>
      <c r="V22" s="912">
        <f>'D-Umlagereduktion Grünstrom'!V$6</f>
        <v>0</v>
      </c>
      <c r="W22" s="912">
        <f>'D-Umlagereduktion Grünstrom'!W$6</f>
        <v>0</v>
      </c>
      <c r="X22" s="912">
        <f>'D-Umlagereduktion Grünstrom'!X$6</f>
        <v>0</v>
      </c>
      <c r="Y22" s="912">
        <f>'D-Umlagereduktion Grünstrom'!Y$6</f>
        <v>0</v>
      </c>
      <c r="Z22" s="912">
        <f>'D-Umlagereduktion Grünstrom'!Z$6</f>
        <v>0</v>
      </c>
      <c r="AA22" s="912">
        <f>'D-Umlagereduktion Grünstrom'!AA$6</f>
        <v>0</v>
      </c>
      <c r="AB22" s="912">
        <f>'D-Umlagereduktion Grünstrom'!AB$6</f>
        <v>0</v>
      </c>
      <c r="AC22" s="912">
        <f>'D-Umlagereduktion Grünstrom'!AC$6</f>
        <v>0</v>
      </c>
      <c r="AD22" s="912">
        <f>'D-Umlagereduktion Grünstrom'!AD$6</f>
        <v>0</v>
      </c>
      <c r="AE22" s="913">
        <f>'D-Umlagereduktion Grünstrom'!AE$6</f>
        <v>0</v>
      </c>
      <c r="AF22" s="929"/>
      <c r="AG22" s="929"/>
      <c r="AH22" s="1034"/>
      <c r="AI22" s="1034"/>
      <c r="AJ22" s="1034"/>
    </row>
    <row r="23" spans="1:36" ht="12.75" customHeight="1" outlineLevel="1">
      <c r="A23" s="553">
        <v>23</v>
      </c>
      <c r="B23" s="16" t="str">
        <f>'D-vermiedene Netzentgelte'!B$6</f>
        <v>Référence</v>
      </c>
      <c r="C23" s="12" t="str">
        <f>'D-vermiedene Netzentgelte'!C$6</f>
        <v>fh</v>
      </c>
      <c r="D23" s="31" t="str">
        <f>'D-vermiedene Netzentgelte'!D$6</f>
        <v>7.17€/MWh</v>
      </c>
      <c r="E23" s="16" t="s">
        <v>502</v>
      </c>
      <c r="F23" s="907">
        <f>'D-vermiedene Netzentgelte'!F$6</f>
        <v>3.6986274118651017</v>
      </c>
      <c r="G23" s="907">
        <f>'D-vermiedene Netzentgelte'!G$6</f>
        <v>3.67623039746714</v>
      </c>
      <c r="H23" s="907">
        <f>'D-vermiedene Netzentgelte'!H$6</f>
        <v>3.8466309856018386</v>
      </c>
      <c r="I23" s="907">
        <f>'D-vermiedene Netzentgelte'!I$6</f>
        <v>3.7273122127772123</v>
      </c>
      <c r="J23" s="907">
        <f>'D-vermiedene Netzentgelte'!J$6</f>
        <v>4.6460245701332967</v>
      </c>
      <c r="K23" s="907">
        <f>'D-vermiedene Netzentgelte'!K$6</f>
        <v>4.6631872317218352</v>
      </c>
      <c r="L23" s="907">
        <f>'D-vermiedene Netzentgelte'!L$6</f>
        <v>4.8191604494594991</v>
      </c>
      <c r="M23" s="907">
        <f>'D-vermiedene Netzentgelte'!M$6</f>
        <v>7.7231242789896131</v>
      </c>
      <c r="N23" s="908">
        <f>'D-vermiedene Netzentgelte'!N$6</f>
        <v>6.3391841590858826</v>
      </c>
      <c r="O23" s="909">
        <f>'D-vermiedene Netzentgelte'!O$6</f>
        <v>7.3821193026159877</v>
      </c>
      <c r="P23" s="907">
        <f>'D-vermiedene Netzentgelte'!P$6</f>
        <v>7.0575324728422038</v>
      </c>
      <c r="Q23" s="907">
        <f>'D-vermiedene Netzentgelte'!Q$6</f>
        <v>7.1727090185728217</v>
      </c>
      <c r="R23" s="907">
        <f>'D-vermiedene Netzentgelte'!R$6</f>
        <v>7.1727090185728217</v>
      </c>
      <c r="S23" s="907">
        <f>'D-vermiedene Netzentgelte'!S$6</f>
        <v>7.1727090185728217</v>
      </c>
      <c r="T23" s="907">
        <f>'D-vermiedene Netzentgelte'!T$6</f>
        <v>7.1727090185728217</v>
      </c>
      <c r="U23" s="907">
        <f>'D-vermiedene Netzentgelte'!U$6</f>
        <v>7.1727090185728217</v>
      </c>
      <c r="V23" s="907">
        <f>'D-vermiedene Netzentgelte'!V$6</f>
        <v>7.1727090185728217</v>
      </c>
      <c r="W23" s="907">
        <f>'D-vermiedene Netzentgelte'!W$6</f>
        <v>7.1727090185728217</v>
      </c>
      <c r="X23" s="907">
        <f>'D-vermiedene Netzentgelte'!X$6</f>
        <v>7.1727090185728217</v>
      </c>
      <c r="Y23" s="907">
        <f>'D-vermiedene Netzentgelte'!Y$6</f>
        <v>7.1727090185728217</v>
      </c>
      <c r="Z23" s="907">
        <f>'D-vermiedene Netzentgelte'!Z$6</f>
        <v>7.1727090185728217</v>
      </c>
      <c r="AA23" s="907">
        <f>'D-vermiedene Netzentgelte'!AA$6</f>
        <v>7.1727090185728217</v>
      </c>
      <c r="AB23" s="907">
        <f>'D-vermiedene Netzentgelte'!AB$6</f>
        <v>7.1727090185728217</v>
      </c>
      <c r="AC23" s="907">
        <f>'D-vermiedene Netzentgelte'!AC$6</f>
        <v>7.1727090185728217</v>
      </c>
      <c r="AD23" s="907">
        <f>'D-vermiedene Netzentgelte'!AD$6</f>
        <v>7.1727090185728217</v>
      </c>
      <c r="AE23" s="908">
        <f>'D-vermiedene Netzentgelte'!AE$6</f>
        <v>7.1727090185728217</v>
      </c>
      <c r="AF23" s="929"/>
      <c r="AG23" s="929"/>
      <c r="AH23" s="1036"/>
      <c r="AI23" s="1034"/>
      <c r="AJ23" s="1034"/>
    </row>
    <row r="24" spans="1:36" ht="12.75" customHeight="1" outlineLevel="2">
      <c r="A24" s="553">
        <v>24</v>
      </c>
      <c r="B24" s="296" t="str">
        <f>'D-Sonstige Kosten'!B$6</f>
        <v>Référence</v>
      </c>
      <c r="C24" s="24" t="str">
        <f>'D-Sonstige Kosten'!C$6</f>
        <v>fh</v>
      </c>
      <c r="D24" s="32" t="str">
        <f>'D-Sonstige Kosten'!D$6</f>
        <v>0,06Mrd. €</v>
      </c>
      <c r="E24" s="296" t="s">
        <v>503</v>
      </c>
      <c r="F24" s="912">
        <f>'D-Sonstige Kosten'!F$6</f>
        <v>0.38450000000000001</v>
      </c>
      <c r="G24" s="912">
        <f>'D-Sonstige Kosten'!G$6</f>
        <v>0.42218865985000004</v>
      </c>
      <c r="H24" s="912">
        <f>'D-Sonstige Kosten'!H$6</f>
        <v>0.23028867101000003</v>
      </c>
      <c r="I24" s="912">
        <f>'D-Sonstige Kosten'!I$6</f>
        <v>0.15466122681000002</v>
      </c>
      <c r="J24" s="912">
        <f>'D-Sonstige Kosten'!J$6</f>
        <v>0.29887697133000007</v>
      </c>
      <c r="K24" s="912">
        <f>'D-Sonstige Kosten'!K$6</f>
        <v>0.19595140036000003</v>
      </c>
      <c r="L24" s="912">
        <f>'D-Sonstige Kosten'!L$6</f>
        <v>0.13908307713999998</v>
      </c>
      <c r="M24" s="912">
        <f>'D-Sonstige Kosten'!M$6</f>
        <v>0.14340741743000002</v>
      </c>
      <c r="N24" s="913">
        <f>'D-Sonstige Kosten'!N$6</f>
        <v>6.8122188890000004E-2</v>
      </c>
      <c r="O24" s="914">
        <f>'D-Sonstige Kosten'!O$6</f>
        <v>7.0404653730000002E-2</v>
      </c>
      <c r="P24" s="912">
        <f>'D-Sonstige Kosten'!P$6</f>
        <v>6.4167895450000012E-2</v>
      </c>
      <c r="Q24" s="912">
        <f>'D-Sonstige Kosten'!Q$6</f>
        <v>5.9920528000000001E-2</v>
      </c>
      <c r="R24" s="912">
        <f>'D-Sonstige Kosten'!R$6</f>
        <v>5.9920528000000001E-2</v>
      </c>
      <c r="S24" s="912">
        <f>'D-Sonstige Kosten'!S$6</f>
        <v>5.9920528000000001E-2</v>
      </c>
      <c r="T24" s="912">
        <f>'D-Sonstige Kosten'!T$6</f>
        <v>5.9920528000000001E-2</v>
      </c>
      <c r="U24" s="912">
        <f>'D-Sonstige Kosten'!U$6</f>
        <v>5.9920528000000001E-2</v>
      </c>
      <c r="V24" s="912">
        <f>'D-Sonstige Kosten'!V$6</f>
        <v>5.9920528000000001E-2</v>
      </c>
      <c r="W24" s="912">
        <f>'D-Sonstige Kosten'!W$6</f>
        <v>5.9920528000000001E-2</v>
      </c>
      <c r="X24" s="912">
        <f>'D-Sonstige Kosten'!X$6</f>
        <v>5.9920528000000001E-2</v>
      </c>
      <c r="Y24" s="912">
        <f>'D-Sonstige Kosten'!Y$6</f>
        <v>5.9920528000000001E-2</v>
      </c>
      <c r="Z24" s="912">
        <f>'D-Sonstige Kosten'!Z$6</f>
        <v>5.9920528000000001E-2</v>
      </c>
      <c r="AA24" s="912">
        <f>'D-Sonstige Kosten'!AA$6</f>
        <v>5.9920528000000001E-2</v>
      </c>
      <c r="AB24" s="912">
        <f>'D-Sonstige Kosten'!AB$6</f>
        <v>5.9920528000000001E-2</v>
      </c>
      <c r="AC24" s="912">
        <f>'D-Sonstige Kosten'!AC$6</f>
        <v>5.9920528000000001E-2</v>
      </c>
      <c r="AD24" s="912">
        <f>'D-Sonstige Kosten'!AD$6</f>
        <v>5.9920528000000001E-2</v>
      </c>
      <c r="AE24" s="913">
        <f>'D-Sonstige Kosten'!AE$6</f>
        <v>5.9920528000000001E-2</v>
      </c>
      <c r="AF24" s="929"/>
      <c r="AG24" s="929"/>
      <c r="AH24" s="1036"/>
      <c r="AI24" s="1034"/>
      <c r="AJ24" s="1034"/>
    </row>
    <row r="25" spans="1:36" ht="12.75" customHeight="1" outlineLevel="2">
      <c r="A25" s="553">
        <v>25</v>
      </c>
      <c r="B25" s="10"/>
      <c r="C25" s="26"/>
      <c r="D25" s="34"/>
      <c r="E25" s="296" t="s">
        <v>504</v>
      </c>
      <c r="F25" s="915">
        <f>'D-Inflationsrate'!F6</f>
        <v>1.1000000000000001E-2</v>
      </c>
      <c r="G25" s="915">
        <f>'D-Inflationsrate'!G6</f>
        <v>2.1000000000000001E-2</v>
      </c>
      <c r="H25" s="915">
        <f>'D-Inflationsrate'!H6</f>
        <v>0.02</v>
      </c>
      <c r="I25" s="915">
        <f>'D-Inflationsrate'!I6</f>
        <v>1.4999999999999999E-2</v>
      </c>
      <c r="J25" s="915">
        <f>'D-Inflationsrate'!J6</f>
        <v>9.0000000000000011E-3</v>
      </c>
      <c r="K25" s="915">
        <f>'D-Inflationsrate'!K6</f>
        <v>3.0000000000000001E-3</v>
      </c>
      <c r="L25" s="915">
        <f>'D-Inflationsrate'!L6</f>
        <v>1.4999999999999999E-2</v>
      </c>
      <c r="M25" s="915">
        <f>'D-Inflationsrate'!M6</f>
        <v>1.4999999999999999E-2</v>
      </c>
      <c r="N25" s="916">
        <f>'D-Inflationsrate'!N6</f>
        <v>1.4999999999999999E-2</v>
      </c>
      <c r="O25" s="917">
        <f>'D-Inflationsrate'!O6</f>
        <v>1.4999999999999999E-2</v>
      </c>
      <c r="P25" s="915">
        <f>'D-Inflationsrate'!P6</f>
        <v>1.4999999999999999E-2</v>
      </c>
      <c r="Q25" s="915">
        <f>'D-Inflationsrate'!Q6</f>
        <v>1.4999999999999999E-2</v>
      </c>
      <c r="R25" s="915">
        <f>'D-Inflationsrate'!R6</f>
        <v>1.4999999999999999E-2</v>
      </c>
      <c r="S25" s="915">
        <f>'D-Inflationsrate'!S6</f>
        <v>1.4999999999999999E-2</v>
      </c>
      <c r="T25" s="915">
        <f>'D-Inflationsrate'!T6</f>
        <v>1.4999999999999999E-2</v>
      </c>
      <c r="U25" s="915">
        <f>'D-Inflationsrate'!U6</f>
        <v>1.4999999999999999E-2</v>
      </c>
      <c r="V25" s="915">
        <f>'D-Inflationsrate'!V6</f>
        <v>1.4999999999999999E-2</v>
      </c>
      <c r="W25" s="915">
        <f>'D-Inflationsrate'!W6</f>
        <v>1.4999999999999999E-2</v>
      </c>
      <c r="X25" s="915">
        <f>'D-Inflationsrate'!X6</f>
        <v>1.4999999999999999E-2</v>
      </c>
      <c r="Y25" s="915">
        <f>'D-Inflationsrate'!Y6</f>
        <v>1.4999999999999999E-2</v>
      </c>
      <c r="Z25" s="915">
        <f>'D-Inflationsrate'!Z6</f>
        <v>1.4999999999999999E-2</v>
      </c>
      <c r="AA25" s="915">
        <f>'D-Inflationsrate'!AA6</f>
        <v>1.4999999999999999E-2</v>
      </c>
      <c r="AB25" s="915">
        <f>'D-Inflationsrate'!AB6</f>
        <v>1.4999999999999999E-2</v>
      </c>
      <c r="AC25" s="915">
        <f>'D-Inflationsrate'!AC6</f>
        <v>1.4999999999999999E-2</v>
      </c>
      <c r="AD25" s="915">
        <f>'D-Inflationsrate'!AD6</f>
        <v>1.4999999999999999E-2</v>
      </c>
      <c r="AE25" s="916">
        <f>'D-Inflationsrate'!AE6</f>
        <v>1.4999999999999999E-2</v>
      </c>
      <c r="AF25" s="929" t="s">
        <v>150</v>
      </c>
      <c r="AG25" s="929" t="s">
        <v>150</v>
      </c>
      <c r="AH25" s="1034"/>
      <c r="AI25" s="1034"/>
      <c r="AJ25" s="1040"/>
    </row>
    <row r="26" spans="1:36" ht="12.75" customHeight="1" outlineLevel="2">
      <c r="A26" s="553">
        <v>26</v>
      </c>
      <c r="B26" s="10"/>
      <c r="C26" s="26"/>
      <c r="D26" s="34"/>
      <c r="E26" s="296" t="s">
        <v>505</v>
      </c>
      <c r="F26" s="1069">
        <f>IF(F5&lt;ControlPanel!$D$60,G26/(1+G25),IF(F5&gt;ControlPanel!$D$60,E26*(1+F25),1))</f>
        <v>0.86773223946330147</v>
      </c>
      <c r="G26" s="1070">
        <f>IF(G5&lt;ControlPanel!$D$60,H26/(1+H25),IF(G5&gt;ControlPanel!$D$60,F26*(1+G25),1))</f>
        <v>0.88595461649203067</v>
      </c>
      <c r="H26" s="1070">
        <f>IF(H5&lt;ControlPanel!$D$60,I26/(1+I25),IF(H5&gt;ControlPanel!$D$60,G26*(1+H25),1))</f>
        <v>0.90367370882187126</v>
      </c>
      <c r="I26" s="1070">
        <f>IF(I5&lt;ControlPanel!$D$60,J26/(1+J25),IF(I5&gt;ControlPanel!$D$60,H26*(1+I25),1))</f>
        <v>0.91722881445419924</v>
      </c>
      <c r="J26" s="1070">
        <f>IF(J5&lt;ControlPanel!$D$60,K26/(1+K25),IF(J5&gt;ControlPanel!$D$60,I26*(1+J25),1))</f>
        <v>0.92548387378428698</v>
      </c>
      <c r="K26" s="1070">
        <f>IF(K5&lt;ControlPanel!$D$60,L26/(1+L25),IF(K5&gt;ControlPanel!$D$60,J26*(1+K25),1))</f>
        <v>0.92826032540563974</v>
      </c>
      <c r="L26" s="1070">
        <f>IF(L5&lt;ControlPanel!$D$60,M26/(1+M25),IF(L5&gt;ControlPanel!$D$60,K26*(1+L25),1))</f>
        <v>0.94218423028672427</v>
      </c>
      <c r="M26" s="1070">
        <f>IF(M5&lt;ControlPanel!$D$60,N26/(1+N25),IF(M5&gt;ControlPanel!$D$60,L26*(1+M25),1))</f>
        <v>0.95631699374102508</v>
      </c>
      <c r="N26" s="1070">
        <f>IF(N5&lt;ControlPanel!$D$60,O26/(1+O25),IF(N5&gt;ControlPanel!$D$60,M26*(1+N25),1))</f>
        <v>0.97066174864714039</v>
      </c>
      <c r="O26" s="1070">
        <f>IF(O5&lt;ControlPanel!$D$60,P26/(1+P25),IF(O5&gt;ControlPanel!$D$60,N26*(1+O25),1))</f>
        <v>0.98522167487684742</v>
      </c>
      <c r="P26" s="1070">
        <f>IF(P5&lt;ControlPanel!$D$60,Q26/(1+Q25),IF(P5&gt;ControlPanel!$D$60,O26*(1+P25),1))</f>
        <v>1</v>
      </c>
      <c r="Q26" s="1070">
        <f>IF(Q5&lt;ControlPanel!$D$60,R26/(1+R25),IF(Q5&gt;ControlPanel!$D$60,P26*(1+Q25),1))</f>
        <v>1.0149999999999999</v>
      </c>
      <c r="R26" s="1089">
        <f>IF(R5&lt;ControlPanel!$D$60,S26/(1+S25),IF(R5&gt;ControlPanel!$D$60,Q26*(1+R25),1))</f>
        <v>1.0302249999999997</v>
      </c>
      <c r="S26" s="1070">
        <f>IF(S5&lt;ControlPanel!$D$60,T26/(1+T25),IF(S5&gt;ControlPanel!$D$60,R26*(1+S25),1))</f>
        <v>1.0456783749999996</v>
      </c>
      <c r="T26" s="1070">
        <f>IF(T5&lt;ControlPanel!$D$60,U26/(1+U25),IF(T5&gt;ControlPanel!$D$60,S26*(1+T25),1))</f>
        <v>1.0613635506249994</v>
      </c>
      <c r="U26" s="1070">
        <f>IF(U5&lt;ControlPanel!$D$60,V26/(1+V25),IF(U5&gt;ControlPanel!$D$60,T26*(1+U25),1))</f>
        <v>1.0772840038843743</v>
      </c>
      <c r="V26" s="1070">
        <f>IF(V5&lt;ControlPanel!$D$60,W26/(1+W25),IF(V5&gt;ControlPanel!$D$60,U26*(1+V25),1))</f>
        <v>1.0934432639426397</v>
      </c>
      <c r="W26" s="1070">
        <f>IF(W5&lt;ControlPanel!$D$60,X26/(1+X25),IF(W5&gt;ControlPanel!$D$60,V26*(1+W25),1))</f>
        <v>1.1098449129017791</v>
      </c>
      <c r="X26" s="1070">
        <f>IF(X5&lt;ControlPanel!$D$60,Y26/(1+Y25),IF(X5&gt;ControlPanel!$D$60,W26*(1+X25),1))</f>
        <v>1.1264925865953057</v>
      </c>
      <c r="Y26" s="1070">
        <f>IF(Y5&lt;ControlPanel!$D$60,Z26/(1+Z25),IF(Y5&gt;ControlPanel!$D$60,X26*(1+Y25),1))</f>
        <v>1.1433899753942351</v>
      </c>
      <c r="Z26" s="1070">
        <f>IF(Z5&lt;ControlPanel!$D$60,AA26/(1+AA25),IF(Z5&gt;ControlPanel!$D$60,Y26*(1+Z25),1))</f>
        <v>1.1605408250251485</v>
      </c>
      <c r="AA26" s="1070">
        <f>IF(AA5&lt;ControlPanel!$D$60,AB26/(1+AB25),IF(AA5&gt;ControlPanel!$D$60,Z26*(1+AA25),1))</f>
        <v>1.1779489374005256</v>
      </c>
      <c r="AB26" s="1070">
        <f>IF(AB5&lt;ControlPanel!$D$60,AC26/(1+AC25),IF(AB5&gt;ControlPanel!$D$60,AA26*(1+AB25),1))</f>
        <v>1.1956181714615335</v>
      </c>
      <c r="AC26" s="1070">
        <f>IF(AC5&lt;ControlPanel!$D$60,AD26/(1+AD25),IF(AC5&gt;ControlPanel!$D$60,AB26*(1+AC25),1))</f>
        <v>1.2135524440334564</v>
      </c>
      <c r="AD26" s="1070">
        <f>IF(AD5&lt;ControlPanel!$D$60,AE26/(1+AE25),IF(AD5&gt;ControlPanel!$D$60,AC26*(1+AD25),1))</f>
        <v>1.2317557306939582</v>
      </c>
      <c r="AE26" s="1071">
        <f>IF(AE5&lt;ControlPanel!$D$60,AF26/(1+AF25),IF(AE5&gt;ControlPanel!$D$60,AD26*(1+AE25),1))</f>
        <v>1.2502320666543674</v>
      </c>
      <c r="AF26" s="929" t="s">
        <v>226</v>
      </c>
      <c r="AG26" s="929" t="s">
        <v>150</v>
      </c>
      <c r="AH26" s="1034"/>
      <c r="AI26" s="1034"/>
      <c r="AJ26" s="1034" t="s">
        <v>575</v>
      </c>
    </row>
    <row r="27" spans="1:36" ht="12.75" customHeight="1" outlineLevel="1">
      <c r="A27" s="553">
        <v>27</v>
      </c>
      <c r="F27" s="348"/>
      <c r="G27" s="348"/>
      <c r="H27" s="348"/>
      <c r="I27" s="348"/>
      <c r="J27" s="348"/>
      <c r="K27" s="348"/>
      <c r="L27" s="348"/>
      <c r="M27" s="348"/>
      <c r="N27" s="348"/>
      <c r="O27" s="348"/>
      <c r="P27" s="348"/>
      <c r="Q27" s="348"/>
      <c r="R27" s="348"/>
      <c r="S27" s="348"/>
      <c r="T27" s="348"/>
      <c r="U27" s="348"/>
      <c r="V27" s="348"/>
      <c r="W27" s="348"/>
      <c r="X27" s="348"/>
      <c r="Y27" s="348"/>
      <c r="Z27" s="348"/>
      <c r="AA27" s="348"/>
      <c r="AB27" s="348"/>
      <c r="AC27" s="348"/>
      <c r="AD27" s="348"/>
      <c r="AE27" s="348"/>
      <c r="AF27" s="929"/>
      <c r="AG27" s="929"/>
      <c r="AH27" s="1034"/>
      <c r="AI27" s="1034"/>
      <c r="AJ27" s="1034"/>
    </row>
    <row r="28" spans="1:36" ht="12.75" customHeight="1" outlineLevel="1">
      <c r="A28" s="553">
        <v>28</v>
      </c>
      <c r="E28" s="315" t="s">
        <v>506</v>
      </c>
      <c r="N28" s="342"/>
      <c r="O28" s="289"/>
      <c r="AF28" s="929"/>
      <c r="AG28" s="929"/>
      <c r="AH28" s="1034"/>
      <c r="AI28" s="1034"/>
      <c r="AJ28" s="1034"/>
    </row>
    <row r="29" spans="1:36" ht="12.75" customHeight="1" outlineLevel="2">
      <c r="A29" s="553">
        <v>29</v>
      </c>
      <c r="B29" s="314" t="e">
        <f>#REF!</f>
        <v>#REF!</v>
      </c>
      <c r="C29" s="22" t="e">
        <f>#REF!</f>
        <v>#REF!</v>
      </c>
      <c r="D29" s="30" t="e">
        <f>#REF!</f>
        <v>#REF!</v>
      </c>
      <c r="E29" s="314" t="s">
        <v>529</v>
      </c>
      <c r="F29" s="904">
        <f>'D-Profilfaktoren'!G$6</f>
        <v>1</v>
      </c>
      <c r="G29" s="904">
        <f>'D-Profilfaktoren'!H$6</f>
        <v>1</v>
      </c>
      <c r="H29" s="904">
        <f>'D-Profilfaktoren'!I$6</f>
        <v>1</v>
      </c>
      <c r="I29" s="904">
        <f>'D-Profilfaktoren'!J$6</f>
        <v>1</v>
      </c>
      <c r="J29" s="904">
        <f>'D-Profilfaktoren'!K$6</f>
        <v>1</v>
      </c>
      <c r="K29" s="904">
        <f>'D-Profilfaktoren'!L$6</f>
        <v>1</v>
      </c>
      <c r="L29" s="910">
        <f>'D-Profilfaktoren'!M$6</f>
        <v>1</v>
      </c>
      <c r="M29" s="910">
        <f>'D-Profilfaktoren'!N$6</f>
        <v>1</v>
      </c>
      <c r="N29" s="905">
        <f>'D-Profilfaktoren'!O$6</f>
        <v>1</v>
      </c>
      <c r="O29" s="906">
        <f>'D-Profilfaktoren'!P$6</f>
        <v>1</v>
      </c>
      <c r="P29" s="904">
        <f>'D-Profilfaktoren'!Q$6</f>
        <v>1</v>
      </c>
      <c r="Q29" s="904">
        <f>'D-Profilfaktoren'!R$6</f>
        <v>1</v>
      </c>
      <c r="R29" s="904">
        <f>'D-Profilfaktoren'!S$6</f>
        <v>1</v>
      </c>
      <c r="S29" s="904">
        <f>'D-Profilfaktoren'!T$6</f>
        <v>1</v>
      </c>
      <c r="T29" s="904">
        <f>'D-Profilfaktoren'!U$6</f>
        <v>1</v>
      </c>
      <c r="U29" s="904">
        <f>'D-Profilfaktoren'!V$6</f>
        <v>1</v>
      </c>
      <c r="V29" s="904">
        <f>'D-Profilfaktoren'!W$6</f>
        <v>1</v>
      </c>
      <c r="W29" s="904">
        <f>'D-Profilfaktoren'!X$6</f>
        <v>1</v>
      </c>
      <c r="X29" s="904">
        <f>'D-Profilfaktoren'!Y$6</f>
        <v>1</v>
      </c>
      <c r="Y29" s="904">
        <f>'D-Profilfaktoren'!Z$6</f>
        <v>1</v>
      </c>
      <c r="Z29" s="904">
        <f>'D-Profilfaktoren'!AA$6</f>
        <v>1</v>
      </c>
      <c r="AA29" s="904">
        <f>'D-Profilfaktoren'!AB$6</f>
        <v>1</v>
      </c>
      <c r="AB29" s="904">
        <f>'D-Profilfaktoren'!AC$6</f>
        <v>1</v>
      </c>
      <c r="AC29" s="904">
        <f>'D-Profilfaktoren'!AD$6</f>
        <v>1</v>
      </c>
      <c r="AD29" s="904">
        <f>'D-Profilfaktoren'!AE$6</f>
        <v>1</v>
      </c>
      <c r="AE29" s="905">
        <f>'D-Profilfaktoren'!AF$6</f>
        <v>1</v>
      </c>
      <c r="AF29" s="929"/>
      <c r="AG29" s="929"/>
      <c r="AH29" s="1034"/>
      <c r="AI29" s="1034"/>
      <c r="AJ29" s="1034"/>
    </row>
    <row r="30" spans="1:36" ht="12.75" customHeight="1" outlineLevel="2">
      <c r="A30" s="553">
        <v>30</v>
      </c>
      <c r="B30" s="16" t="e">
        <f>#REF!</f>
        <v>#REF!</v>
      </c>
      <c r="C30" s="12" t="e">
        <f>#REF!</f>
        <v>#REF!</v>
      </c>
      <c r="D30" s="31" t="e">
        <f>#REF!</f>
        <v>#REF!</v>
      </c>
      <c r="E30" s="16" t="s">
        <v>349</v>
      </c>
      <c r="F30" s="907">
        <f>'D-Profilfaktoren'!G$7</f>
        <v>1</v>
      </c>
      <c r="G30" s="907">
        <f>'D-Profilfaktoren'!H$7</f>
        <v>1</v>
      </c>
      <c r="H30" s="907">
        <f>'D-Profilfaktoren'!I$7</f>
        <v>1</v>
      </c>
      <c r="I30" s="907">
        <f>'D-Profilfaktoren'!J$7</f>
        <v>1</v>
      </c>
      <c r="J30" s="907">
        <f>'D-Profilfaktoren'!K$7</f>
        <v>1</v>
      </c>
      <c r="K30" s="907">
        <f>'D-Profilfaktoren'!L$7</f>
        <v>1</v>
      </c>
      <c r="L30" s="1079">
        <f>'D-Profilfaktoren'!M$7</f>
        <v>1</v>
      </c>
      <c r="M30" s="1079">
        <f>'D-Profilfaktoren'!N$7</f>
        <v>1</v>
      </c>
      <c r="N30" s="908">
        <f>'D-Profilfaktoren'!O$7</f>
        <v>1</v>
      </c>
      <c r="O30" s="909">
        <f>'D-Profilfaktoren'!P$7</f>
        <v>1</v>
      </c>
      <c r="P30" s="907">
        <f>'D-Profilfaktoren'!Q$7</f>
        <v>1</v>
      </c>
      <c r="Q30" s="907">
        <f>'D-Profilfaktoren'!R$7</f>
        <v>1</v>
      </c>
      <c r="R30" s="907">
        <f>'D-Profilfaktoren'!S$7</f>
        <v>1</v>
      </c>
      <c r="S30" s="907">
        <f>'D-Profilfaktoren'!T$7</f>
        <v>1</v>
      </c>
      <c r="T30" s="907">
        <f>'D-Profilfaktoren'!U$7</f>
        <v>1</v>
      </c>
      <c r="U30" s="907">
        <f>'D-Profilfaktoren'!V$7</f>
        <v>1</v>
      </c>
      <c r="V30" s="907">
        <f>'D-Profilfaktoren'!W$7</f>
        <v>1</v>
      </c>
      <c r="W30" s="907">
        <f>'D-Profilfaktoren'!X$7</f>
        <v>1</v>
      </c>
      <c r="X30" s="907">
        <f>'D-Profilfaktoren'!Y$7</f>
        <v>1</v>
      </c>
      <c r="Y30" s="907">
        <f>'D-Profilfaktoren'!Z$7</f>
        <v>1</v>
      </c>
      <c r="Z30" s="907">
        <f>'D-Profilfaktoren'!AA$7</f>
        <v>1</v>
      </c>
      <c r="AA30" s="907">
        <f>'D-Profilfaktoren'!AB$7</f>
        <v>1</v>
      </c>
      <c r="AB30" s="907">
        <f>'D-Profilfaktoren'!AC$7</f>
        <v>1</v>
      </c>
      <c r="AC30" s="907">
        <f>'D-Profilfaktoren'!AD$7</f>
        <v>1</v>
      </c>
      <c r="AD30" s="907">
        <f>'D-Profilfaktoren'!AE$7</f>
        <v>1</v>
      </c>
      <c r="AE30" s="908">
        <f>'D-Profilfaktoren'!AF$7</f>
        <v>1</v>
      </c>
      <c r="AF30" s="929"/>
      <c r="AG30" s="929"/>
      <c r="AH30" s="928"/>
      <c r="AI30" s="928"/>
      <c r="AJ30" s="1034"/>
    </row>
    <row r="31" spans="1:36" ht="12.75" customHeight="1" outlineLevel="2">
      <c r="A31" s="553">
        <v>31</v>
      </c>
      <c r="B31" s="16" t="e">
        <f>#REF!</f>
        <v>#REF!</v>
      </c>
      <c r="C31" s="12" t="e">
        <f>#REF!</f>
        <v>#REF!</v>
      </c>
      <c r="D31" s="31" t="e">
        <f>#REF!</f>
        <v>#REF!</v>
      </c>
      <c r="E31" s="16" t="s">
        <v>11</v>
      </c>
      <c r="F31" s="907">
        <f>'D-Profilfaktoren'!G$8</f>
        <v>1</v>
      </c>
      <c r="G31" s="907">
        <f>'D-Profilfaktoren'!H$8</f>
        <v>1</v>
      </c>
      <c r="H31" s="907">
        <f>'D-Profilfaktoren'!I$8</f>
        <v>1</v>
      </c>
      <c r="I31" s="907">
        <f>'D-Profilfaktoren'!J$8</f>
        <v>1</v>
      </c>
      <c r="J31" s="907">
        <f>'D-Profilfaktoren'!K$8</f>
        <v>1</v>
      </c>
      <c r="K31" s="907">
        <f>'D-Profilfaktoren'!L$8</f>
        <v>1</v>
      </c>
      <c r="L31" s="1079">
        <f>'D-Profilfaktoren'!M$8</f>
        <v>1</v>
      </c>
      <c r="M31" s="1079">
        <f>'D-Profilfaktoren'!N$8</f>
        <v>1</v>
      </c>
      <c r="N31" s="908">
        <f>'D-Profilfaktoren'!O$8</f>
        <v>1</v>
      </c>
      <c r="O31" s="909">
        <f>'D-Profilfaktoren'!P$8</f>
        <v>1</v>
      </c>
      <c r="P31" s="907">
        <f>'D-Profilfaktoren'!Q$8</f>
        <v>1</v>
      </c>
      <c r="Q31" s="907">
        <f>'D-Profilfaktoren'!R$8</f>
        <v>1</v>
      </c>
      <c r="R31" s="907">
        <f>'D-Profilfaktoren'!S$8</f>
        <v>1</v>
      </c>
      <c r="S31" s="907">
        <f>'D-Profilfaktoren'!T$8</f>
        <v>1</v>
      </c>
      <c r="T31" s="907">
        <f>'D-Profilfaktoren'!U$8</f>
        <v>1</v>
      </c>
      <c r="U31" s="907">
        <f>'D-Profilfaktoren'!V$8</f>
        <v>1</v>
      </c>
      <c r="V31" s="907">
        <f>'D-Profilfaktoren'!W$8</f>
        <v>1</v>
      </c>
      <c r="W31" s="907">
        <f>'D-Profilfaktoren'!X$8</f>
        <v>1</v>
      </c>
      <c r="X31" s="907">
        <f>'D-Profilfaktoren'!Y$8</f>
        <v>1</v>
      </c>
      <c r="Y31" s="907">
        <f>'D-Profilfaktoren'!Z$8</f>
        <v>1</v>
      </c>
      <c r="Z31" s="907">
        <f>'D-Profilfaktoren'!AA$8</f>
        <v>1</v>
      </c>
      <c r="AA31" s="907">
        <f>'D-Profilfaktoren'!AB$8</f>
        <v>1</v>
      </c>
      <c r="AB31" s="907">
        <f>'D-Profilfaktoren'!AC$8</f>
        <v>1</v>
      </c>
      <c r="AC31" s="907">
        <f>'D-Profilfaktoren'!AD$8</f>
        <v>1</v>
      </c>
      <c r="AD31" s="907">
        <f>'D-Profilfaktoren'!AE$8</f>
        <v>1</v>
      </c>
      <c r="AE31" s="908">
        <f>'D-Profilfaktoren'!AF$8</f>
        <v>1</v>
      </c>
      <c r="AF31" s="929"/>
      <c r="AG31" s="929"/>
      <c r="AH31" s="928"/>
      <c r="AI31" s="928"/>
      <c r="AJ31" s="1034"/>
    </row>
    <row r="32" spans="1:36" ht="12.75" customHeight="1" outlineLevel="2">
      <c r="A32" s="553">
        <v>32</v>
      </c>
      <c r="B32" s="16" t="e">
        <f>#REF!</f>
        <v>#REF!</v>
      </c>
      <c r="C32" s="12" t="e">
        <f>#REF!</f>
        <v>#REF!</v>
      </c>
      <c r="D32" s="31" t="e">
        <f>#REF!</f>
        <v>#REF!</v>
      </c>
      <c r="E32" s="16" t="s">
        <v>10</v>
      </c>
      <c r="F32" s="907">
        <f>'D-Profilfaktoren'!G$9</f>
        <v>1</v>
      </c>
      <c r="G32" s="907">
        <f>'D-Profilfaktoren'!H$9</f>
        <v>1</v>
      </c>
      <c r="H32" s="907">
        <f>'D-Profilfaktoren'!I$9</f>
        <v>1</v>
      </c>
      <c r="I32" s="907">
        <f>'D-Profilfaktoren'!J$9</f>
        <v>1</v>
      </c>
      <c r="J32" s="907">
        <f>'D-Profilfaktoren'!K$9</f>
        <v>1</v>
      </c>
      <c r="K32" s="907">
        <f>'D-Profilfaktoren'!L$9</f>
        <v>1</v>
      </c>
      <c r="L32" s="1079">
        <f>'D-Profilfaktoren'!M$9</f>
        <v>1</v>
      </c>
      <c r="M32" s="1079">
        <f>'D-Profilfaktoren'!N$9</f>
        <v>1</v>
      </c>
      <c r="N32" s="908">
        <f>'D-Profilfaktoren'!O$9</f>
        <v>1</v>
      </c>
      <c r="O32" s="909">
        <f>'D-Profilfaktoren'!P$9</f>
        <v>1</v>
      </c>
      <c r="P32" s="907">
        <f>'D-Profilfaktoren'!Q$9</f>
        <v>1</v>
      </c>
      <c r="Q32" s="907">
        <f>'D-Profilfaktoren'!R$9</f>
        <v>1</v>
      </c>
      <c r="R32" s="907">
        <f>'D-Profilfaktoren'!S$9</f>
        <v>1</v>
      </c>
      <c r="S32" s="907">
        <f>'D-Profilfaktoren'!T$9</f>
        <v>1</v>
      </c>
      <c r="T32" s="907">
        <f>'D-Profilfaktoren'!U$9</f>
        <v>1</v>
      </c>
      <c r="U32" s="907">
        <f>'D-Profilfaktoren'!V$9</f>
        <v>1</v>
      </c>
      <c r="V32" s="907">
        <f>'D-Profilfaktoren'!W$9</f>
        <v>1</v>
      </c>
      <c r="W32" s="907">
        <f>'D-Profilfaktoren'!X$9</f>
        <v>1</v>
      </c>
      <c r="X32" s="907">
        <f>'D-Profilfaktoren'!Y$9</f>
        <v>1</v>
      </c>
      <c r="Y32" s="907">
        <f>'D-Profilfaktoren'!Z$9</f>
        <v>1</v>
      </c>
      <c r="Z32" s="907">
        <f>'D-Profilfaktoren'!AA$9</f>
        <v>1</v>
      </c>
      <c r="AA32" s="907">
        <f>'D-Profilfaktoren'!AB$9</f>
        <v>1</v>
      </c>
      <c r="AB32" s="907">
        <f>'D-Profilfaktoren'!AC$9</f>
        <v>1</v>
      </c>
      <c r="AC32" s="907">
        <f>'D-Profilfaktoren'!AD$9</f>
        <v>1</v>
      </c>
      <c r="AD32" s="907">
        <f>'D-Profilfaktoren'!AE$9</f>
        <v>1</v>
      </c>
      <c r="AE32" s="908">
        <f>'D-Profilfaktoren'!AF$9</f>
        <v>1</v>
      </c>
      <c r="AF32" s="929"/>
      <c r="AG32" s="929"/>
      <c r="AH32" s="928"/>
      <c r="AI32" s="928"/>
      <c r="AJ32" s="1034"/>
    </row>
    <row r="33" spans="1:36" ht="12.75" customHeight="1" outlineLevel="2">
      <c r="A33" s="553">
        <v>33</v>
      </c>
      <c r="B33" s="16" t="e">
        <f>#REF!</f>
        <v>#REF!</v>
      </c>
      <c r="C33" s="12" t="e">
        <f>#REF!</f>
        <v>#REF!</v>
      </c>
      <c r="D33" s="31" t="e">
        <f>#REF!</f>
        <v>#REF!</v>
      </c>
      <c r="E33" s="16" t="s">
        <v>339</v>
      </c>
      <c r="F33" s="907">
        <f>'D-Profilfaktoren'!G$10</f>
        <v>0.82750000000000001</v>
      </c>
      <c r="G33" s="907">
        <f>'D-Profilfaktoren'!H$10</f>
        <v>0.82</v>
      </c>
      <c r="H33" s="907">
        <f>'D-Profilfaktoren'!I$10</f>
        <v>0.90500000000000003</v>
      </c>
      <c r="I33" s="907">
        <f>'D-Profilfaktoren'!J$10</f>
        <v>0.88900000000000001</v>
      </c>
      <c r="J33" s="907">
        <f>'D-Profilfaktoren'!K$10</f>
        <v>0.85099999999999998</v>
      </c>
      <c r="K33" s="1080">
        <f>'D-Profilfaktoren'!L$10</f>
        <v>0.84899999999999998</v>
      </c>
      <c r="L33" s="1079">
        <f>'D-Profilfaktoren'!M$10</f>
        <v>0.88</v>
      </c>
      <c r="M33" s="1079">
        <f>'D-Profilfaktoren'!N$10</f>
        <v>0.873</v>
      </c>
      <c r="N33" s="908">
        <f>'D-Profilfaktoren'!O$10</f>
        <v>0.82699999999999996</v>
      </c>
      <c r="O33" s="909">
        <f>'D-Profilfaktoren'!P$10</f>
        <v>0.78400000000000003</v>
      </c>
      <c r="P33" s="907">
        <f>'D-Profilfaktoren'!Q$10</f>
        <v>0.89200000000000002</v>
      </c>
      <c r="Q33" s="907">
        <f>'D-Profilfaktoren'!R$10</f>
        <v>0.86899999999999999</v>
      </c>
      <c r="R33" s="907">
        <f>'D-Profilfaktoren'!S$10</f>
        <v>0.88600000000000001</v>
      </c>
      <c r="S33" s="907">
        <f>'D-Profilfaktoren'!T$10</f>
        <v>0.879</v>
      </c>
      <c r="T33" s="907">
        <f>'D-Profilfaktoren'!U$10</f>
        <v>0.85199999999999998</v>
      </c>
      <c r="U33" s="907">
        <f>'D-Profilfaktoren'!V$10</f>
        <v>0.89200000000000002</v>
      </c>
      <c r="V33" s="907">
        <f>'D-Profilfaktoren'!W$10</f>
        <v>0.87</v>
      </c>
      <c r="W33" s="907">
        <f>'D-Profilfaktoren'!X$10</f>
        <v>0.84799999999999998</v>
      </c>
      <c r="X33" s="907">
        <f>'D-Profilfaktoren'!Y$10</f>
        <v>0.82599999999999996</v>
      </c>
      <c r="Y33" s="907">
        <f>'D-Profilfaktoren'!Z$10</f>
        <v>0.80399999999999994</v>
      </c>
      <c r="Z33" s="907">
        <f>'D-Profilfaktoren'!AA$10</f>
        <v>0.78199999999999992</v>
      </c>
      <c r="AA33" s="907">
        <f>'D-Profilfaktoren'!AB$10</f>
        <v>0.7599999999999999</v>
      </c>
      <c r="AB33" s="907">
        <f>'D-Profilfaktoren'!AC$10</f>
        <v>0.73799999999999988</v>
      </c>
      <c r="AC33" s="907">
        <f>'D-Profilfaktoren'!AD$10</f>
        <v>0.71599999999999986</v>
      </c>
      <c r="AD33" s="907">
        <f>'D-Profilfaktoren'!AE$10</f>
        <v>0.69399999999999984</v>
      </c>
      <c r="AE33" s="908">
        <f>'D-Profilfaktoren'!AF$10</f>
        <v>0.6</v>
      </c>
      <c r="AF33" s="929"/>
      <c r="AG33" s="929"/>
      <c r="AH33" s="928"/>
      <c r="AI33" s="928"/>
      <c r="AJ33" s="1034"/>
    </row>
    <row r="34" spans="1:36" ht="12.75" customHeight="1" outlineLevel="2">
      <c r="A34" s="553">
        <v>34</v>
      </c>
      <c r="B34" s="16" t="e">
        <f>#REF!</f>
        <v>#REF!</v>
      </c>
      <c r="C34" s="12" t="e">
        <f>#REF!</f>
        <v>#REF!</v>
      </c>
      <c r="D34" s="31" t="e">
        <f>#REF!</f>
        <v>#REF!</v>
      </c>
      <c r="E34" s="16" t="s">
        <v>340</v>
      </c>
      <c r="F34" s="907">
        <f>'D-Profilfaktoren'!G$11</f>
        <v>0.82750000000000001</v>
      </c>
      <c r="G34" s="907">
        <f>'D-Profilfaktoren'!H$11</f>
        <v>0.82</v>
      </c>
      <c r="H34" s="907">
        <f>'D-Profilfaktoren'!I$11</f>
        <v>1.02</v>
      </c>
      <c r="I34" s="907">
        <f>'D-Profilfaktoren'!J$11</f>
        <v>0.997</v>
      </c>
      <c r="J34" s="907">
        <f>'D-Profilfaktoren'!K$11</f>
        <v>0.91800000000000004</v>
      </c>
      <c r="K34" s="1080">
        <f>'D-Profilfaktoren'!L$11</f>
        <v>0.94099999999999995</v>
      </c>
      <c r="L34" s="1079">
        <f>'D-Profilfaktoren'!M$11</f>
        <v>0.98</v>
      </c>
      <c r="M34" s="1079">
        <f>'D-Profilfaktoren'!N$11</f>
        <v>0.92100000000000004</v>
      </c>
      <c r="N34" s="908">
        <f>'D-Profilfaktoren'!O$11</f>
        <v>0.90600000000000003</v>
      </c>
      <c r="O34" s="909">
        <f>'D-Profilfaktoren'!P$11</f>
        <v>0.91300000000000003</v>
      </c>
      <c r="P34" s="907">
        <f>'D-Profilfaktoren'!Q$11</f>
        <v>0.92200000000000004</v>
      </c>
      <c r="Q34" s="907">
        <f>'D-Profilfaktoren'!R$11</f>
        <v>0.88800000000000001</v>
      </c>
      <c r="R34" s="907">
        <f>'D-Profilfaktoren'!S$11</f>
        <v>0.90400000000000003</v>
      </c>
      <c r="S34" s="907">
        <f>'D-Profilfaktoren'!T$11</f>
        <v>0.89600000000000002</v>
      </c>
      <c r="T34" s="907">
        <f>'D-Profilfaktoren'!U$11</f>
        <v>0.878</v>
      </c>
      <c r="U34" s="907">
        <f>'D-Profilfaktoren'!V$11</f>
        <v>0.92200000000000004</v>
      </c>
      <c r="V34" s="907">
        <f>'D-Profilfaktoren'!W$11</f>
        <v>0.90630769230769237</v>
      </c>
      <c r="W34" s="907">
        <f>'D-Profilfaktoren'!X$11</f>
        <v>0.8906153846153847</v>
      </c>
      <c r="X34" s="907">
        <f>'D-Profilfaktoren'!Y$11</f>
        <v>0.87492307692307703</v>
      </c>
      <c r="Y34" s="907">
        <f>'D-Profilfaktoren'!Z$11</f>
        <v>0.85923076923076935</v>
      </c>
      <c r="Z34" s="907">
        <f>'D-Profilfaktoren'!AA$11</f>
        <v>0.84353846153846168</v>
      </c>
      <c r="AA34" s="907">
        <f>'D-Profilfaktoren'!AB$11</f>
        <v>0.82784615384615401</v>
      </c>
      <c r="AB34" s="907">
        <f>'D-Profilfaktoren'!AC$11</f>
        <v>0.81215384615384634</v>
      </c>
      <c r="AC34" s="907">
        <f>'D-Profilfaktoren'!AD$11</f>
        <v>0.79646153846153867</v>
      </c>
      <c r="AD34" s="907">
        <f>'D-Profilfaktoren'!AE$11</f>
        <v>0.78076923076923099</v>
      </c>
      <c r="AE34" s="908">
        <f>'D-Profilfaktoren'!AF$11</f>
        <v>0.7</v>
      </c>
      <c r="AF34" s="929"/>
      <c r="AG34" s="929"/>
      <c r="AH34" s="928"/>
      <c r="AI34" s="928"/>
      <c r="AJ34" s="1034"/>
    </row>
    <row r="35" spans="1:36" ht="12.75" customHeight="1" outlineLevel="2">
      <c r="A35" s="553">
        <v>35</v>
      </c>
      <c r="B35" s="296" t="e">
        <f>#REF!</f>
        <v>#REF!</v>
      </c>
      <c r="C35" s="24" t="e">
        <f>#REF!</f>
        <v>#REF!</v>
      </c>
      <c r="D35" s="32" t="e">
        <f>#REF!</f>
        <v>#REF!</v>
      </c>
      <c r="E35" s="296" t="s">
        <v>530</v>
      </c>
      <c r="F35" s="912">
        <f>'D-Profilfaktoren'!G$12</f>
        <v>1.2</v>
      </c>
      <c r="G35" s="912">
        <f>'D-Profilfaktoren'!H$12</f>
        <v>1.2</v>
      </c>
      <c r="H35" s="912">
        <f>'D-Profilfaktoren'!I$12</f>
        <v>1.046</v>
      </c>
      <c r="I35" s="912">
        <f>'D-Profilfaktoren'!J$12</f>
        <v>0.98099999999999998</v>
      </c>
      <c r="J35" s="912">
        <f>'D-Profilfaktoren'!K$12</f>
        <v>1.0109999999999999</v>
      </c>
      <c r="K35" s="1081">
        <f>'D-Profilfaktoren'!L$12</f>
        <v>0.84899999999999998</v>
      </c>
      <c r="L35" s="915">
        <f>'D-Profilfaktoren'!M$12</f>
        <v>0.98</v>
      </c>
      <c r="M35" s="915">
        <f>'D-Profilfaktoren'!N$12</f>
        <v>0.997</v>
      </c>
      <c r="N35" s="913">
        <f>'D-Profilfaktoren'!O$12</f>
        <v>0.95</v>
      </c>
      <c r="O35" s="914">
        <f>'D-Profilfaktoren'!P$12</f>
        <v>0.98899999999999999</v>
      </c>
      <c r="P35" s="912">
        <f>'D-Profilfaktoren'!Q$12</f>
        <v>0.95299999999999996</v>
      </c>
      <c r="Q35" s="912">
        <f>'D-Profilfaktoren'!R$12</f>
        <v>0.91500000000000004</v>
      </c>
      <c r="R35" s="912">
        <f>'D-Profilfaktoren'!S$12</f>
        <v>0.88200000000000001</v>
      </c>
      <c r="S35" s="912">
        <f>'D-Profilfaktoren'!T$12</f>
        <v>0.86899999999999999</v>
      </c>
      <c r="T35" s="912">
        <f>'D-Profilfaktoren'!U$12</f>
        <v>0.86399999999999999</v>
      </c>
      <c r="U35" s="912">
        <f>'D-Profilfaktoren'!V$12</f>
        <v>0.95299999999999996</v>
      </c>
      <c r="V35" s="912">
        <f>'D-Profilfaktoren'!W$12</f>
        <v>0.93130769230769228</v>
      </c>
      <c r="W35" s="912">
        <f>'D-Profilfaktoren'!X$12</f>
        <v>0.9096153846153846</v>
      </c>
      <c r="X35" s="912">
        <f>'D-Profilfaktoren'!Y$12</f>
        <v>0.88792307692307693</v>
      </c>
      <c r="Y35" s="912">
        <f>'D-Profilfaktoren'!Z$12</f>
        <v>0.86623076923076925</v>
      </c>
      <c r="Z35" s="912">
        <f>'D-Profilfaktoren'!AA$12</f>
        <v>0.84453846153846157</v>
      </c>
      <c r="AA35" s="912">
        <f>'D-Profilfaktoren'!AB$12</f>
        <v>0.82284615384615389</v>
      </c>
      <c r="AB35" s="912">
        <f>'D-Profilfaktoren'!AC$12</f>
        <v>0.80115384615384622</v>
      </c>
      <c r="AC35" s="912">
        <f>'D-Profilfaktoren'!AD$12</f>
        <v>0.77946153846153854</v>
      </c>
      <c r="AD35" s="912">
        <f>'D-Profilfaktoren'!AE$12</f>
        <v>0.75776923076923086</v>
      </c>
      <c r="AE35" s="913">
        <f>'D-Profilfaktoren'!AF$12</f>
        <v>0.6</v>
      </c>
      <c r="AF35" s="929"/>
      <c r="AG35" s="929"/>
      <c r="AH35" s="928"/>
      <c r="AI35" s="928"/>
      <c r="AJ35" s="1034"/>
    </row>
    <row r="36" spans="1:36" ht="12.75" customHeight="1" outlineLevel="1">
      <c r="A36" s="553">
        <v>36</v>
      </c>
      <c r="B36" s="10"/>
      <c r="N36" s="342"/>
      <c r="O36" s="289"/>
      <c r="AF36" s="929"/>
      <c r="AG36" s="929"/>
      <c r="AH36" s="928"/>
      <c r="AI36" s="928"/>
      <c r="AJ36" s="1034"/>
    </row>
    <row r="37" spans="1:36" ht="12.75" customHeight="1" outlineLevel="1">
      <c r="A37" s="553" t="s">
        <v>275</v>
      </c>
      <c r="E37" s="315" t="s">
        <v>507</v>
      </c>
      <c r="N37" s="342"/>
      <c r="O37" s="289"/>
      <c r="AF37" s="929"/>
      <c r="AG37" s="929"/>
      <c r="AH37" s="1034"/>
      <c r="AI37" s="1034"/>
      <c r="AJ37" s="1040" t="s">
        <v>576</v>
      </c>
    </row>
    <row r="38" spans="1:36" ht="12.75" customHeight="1" outlineLevel="2">
      <c r="A38" s="553" t="s">
        <v>276</v>
      </c>
      <c r="B38" s="314" t="e">
        <f>#REF!</f>
        <v>#REF!</v>
      </c>
      <c r="C38" s="22" t="e">
        <f>#REF!</f>
        <v>#REF!</v>
      </c>
      <c r="D38" s="30" t="e">
        <f>#REF!</f>
        <v>#REF!</v>
      </c>
      <c r="E38" s="314" t="s">
        <v>529</v>
      </c>
      <c r="F38" s="904">
        <f>'D-Profilfaktoren_Marktprämie'!G6</f>
        <v>0</v>
      </c>
      <c r="G38" s="904">
        <f>'D-Profilfaktoren_Marktprämie'!H6</f>
        <v>0</v>
      </c>
      <c r="H38" s="904">
        <f>'D-Profilfaktoren_Marktprämie'!I6</f>
        <v>0.997</v>
      </c>
      <c r="I38" s="904">
        <f>'D-Profilfaktoren_Marktprämie'!J6</f>
        <v>0.99499999999999988</v>
      </c>
      <c r="J38" s="904">
        <f>'D-Profilfaktoren_Marktprämie'!K6</f>
        <v>0.999</v>
      </c>
      <c r="K38" s="904">
        <f>'D-Profilfaktoren_Marktprämie'!L6</f>
        <v>0.98105590087551808</v>
      </c>
      <c r="L38" s="910">
        <f>'D-Profilfaktoren_Marktprämie'!M6</f>
        <v>0.9956912515825258</v>
      </c>
      <c r="M38" s="910">
        <f>'D-Profilfaktoren_Marktprämie'!N6</f>
        <v>1.0116209702340726</v>
      </c>
      <c r="N38" s="905">
        <f>'D-Profilfaktoren_Marktprämie'!O6</f>
        <v>0.9709722384042121</v>
      </c>
      <c r="O38" s="906">
        <f>'D-Profilfaktoren_Marktprämie'!P6</f>
        <v>0.86677709396424174</v>
      </c>
      <c r="P38" s="904">
        <f>'D-Profilfaktoren_Marktprämie'!Q6</f>
        <v>0.90209234807398175</v>
      </c>
      <c r="Q38" s="904">
        <f>'D-Profilfaktoren_Marktprämie'!R6</f>
        <v>0.856711414157037</v>
      </c>
      <c r="R38" s="904">
        <f>'D-Profilfaktoren_Marktprämie'!S6</f>
        <v>0</v>
      </c>
      <c r="S38" s="904">
        <f>'D-Profilfaktoren_Marktprämie'!T6</f>
        <v>0</v>
      </c>
      <c r="T38" s="904">
        <f>'D-Profilfaktoren_Marktprämie'!U6</f>
        <v>0</v>
      </c>
      <c r="U38" s="904">
        <f>'D-Profilfaktoren_Marktprämie'!V6</f>
        <v>0</v>
      </c>
      <c r="V38" s="904">
        <f>'D-Profilfaktoren_Marktprämie'!W6</f>
        <v>0</v>
      </c>
      <c r="W38" s="904">
        <f>'D-Profilfaktoren_Marktprämie'!X6</f>
        <v>0</v>
      </c>
      <c r="X38" s="904">
        <f>'D-Profilfaktoren_Marktprämie'!Y6</f>
        <v>0</v>
      </c>
      <c r="Y38" s="904">
        <f>'D-Profilfaktoren_Marktprämie'!Z6</f>
        <v>0</v>
      </c>
      <c r="Z38" s="904">
        <f>'D-Profilfaktoren_Marktprämie'!AA6</f>
        <v>0</v>
      </c>
      <c r="AA38" s="904">
        <f>'D-Profilfaktoren_Marktprämie'!AB6</f>
        <v>0</v>
      </c>
      <c r="AB38" s="904">
        <f>'D-Profilfaktoren_Marktprämie'!AC6</f>
        <v>0</v>
      </c>
      <c r="AC38" s="904">
        <f>'D-Profilfaktoren_Marktprämie'!AD6</f>
        <v>0</v>
      </c>
      <c r="AD38" s="904">
        <f>'D-Profilfaktoren_Marktprämie'!AE6</f>
        <v>0</v>
      </c>
      <c r="AE38" s="905">
        <f>'D-Profilfaktoren_Marktprämie'!AF6</f>
        <v>0</v>
      </c>
      <c r="AF38" s="929"/>
      <c r="AG38" s="929"/>
      <c r="AH38" s="1034"/>
      <c r="AI38" s="1034"/>
      <c r="AJ38" s="1040" t="s">
        <v>576</v>
      </c>
    </row>
    <row r="39" spans="1:36" ht="12.75" customHeight="1" outlineLevel="2">
      <c r="A39" s="553" t="s">
        <v>277</v>
      </c>
      <c r="B39" s="16" t="e">
        <f>#REF!</f>
        <v>#REF!</v>
      </c>
      <c r="C39" s="12" t="e">
        <f>#REF!</f>
        <v>#REF!</v>
      </c>
      <c r="D39" s="31" t="e">
        <f>#REF!</f>
        <v>#REF!</v>
      </c>
      <c r="E39" s="16" t="s">
        <v>349</v>
      </c>
      <c r="F39" s="907">
        <f>'D-Profilfaktoren_Marktprämie'!G7</f>
        <v>0</v>
      </c>
      <c r="G39" s="907">
        <f>'D-Profilfaktoren_Marktprämie'!H7</f>
        <v>0</v>
      </c>
      <c r="H39" s="907">
        <f>'D-Profilfaktoren_Marktprämie'!I7</f>
        <v>1</v>
      </c>
      <c r="I39" s="907">
        <f>'D-Profilfaktoren_Marktprämie'!J7</f>
        <v>1</v>
      </c>
      <c r="J39" s="907">
        <f>'D-Profilfaktoren_Marktprämie'!K7</f>
        <v>1.0009999999999999</v>
      </c>
      <c r="K39" s="907">
        <f>'D-Profilfaktoren_Marktprämie'!L7</f>
        <v>0.97717321179556171</v>
      </c>
      <c r="L39" s="1079">
        <f>'D-Profilfaktoren_Marktprämie'!M7</f>
        <v>1.0002629114025319</v>
      </c>
      <c r="M39" s="1079">
        <f>'D-Profilfaktoren_Marktprämie'!N7</f>
        <v>1.0049373882866919</v>
      </c>
      <c r="N39" s="908">
        <f>'D-Profilfaktoren_Marktprämie'!O7</f>
        <v>0.97058959073921358</v>
      </c>
      <c r="O39" s="909">
        <f>'D-Profilfaktoren_Marktprämie'!P7</f>
        <v>0.86662455275027428</v>
      </c>
      <c r="P39" s="907">
        <f>'D-Profilfaktoren_Marktprämie'!Q7</f>
        <v>0.90281181980152869</v>
      </c>
      <c r="Q39" s="907">
        <f>'D-Profilfaktoren_Marktprämie'!R7</f>
        <v>0.8571700494579414</v>
      </c>
      <c r="R39" s="907">
        <f>'D-Profilfaktoren_Marktprämie'!S7</f>
        <v>0</v>
      </c>
      <c r="S39" s="907">
        <f>'D-Profilfaktoren_Marktprämie'!T7</f>
        <v>0</v>
      </c>
      <c r="T39" s="907">
        <f>'D-Profilfaktoren_Marktprämie'!U7</f>
        <v>0</v>
      </c>
      <c r="U39" s="907">
        <f>'D-Profilfaktoren_Marktprämie'!V7</f>
        <v>0</v>
      </c>
      <c r="V39" s="907">
        <f>'D-Profilfaktoren_Marktprämie'!W7</f>
        <v>0</v>
      </c>
      <c r="W39" s="907">
        <f>'D-Profilfaktoren_Marktprämie'!X7</f>
        <v>0</v>
      </c>
      <c r="X39" s="907">
        <f>'D-Profilfaktoren_Marktprämie'!Y7</f>
        <v>0</v>
      </c>
      <c r="Y39" s="907">
        <f>'D-Profilfaktoren_Marktprämie'!Z7</f>
        <v>0</v>
      </c>
      <c r="Z39" s="907">
        <f>'D-Profilfaktoren_Marktprämie'!AA7</f>
        <v>0</v>
      </c>
      <c r="AA39" s="907">
        <f>'D-Profilfaktoren_Marktprämie'!AB7</f>
        <v>0</v>
      </c>
      <c r="AB39" s="907">
        <f>'D-Profilfaktoren_Marktprämie'!AC7</f>
        <v>0</v>
      </c>
      <c r="AC39" s="907">
        <f>'D-Profilfaktoren_Marktprämie'!AD7</f>
        <v>0</v>
      </c>
      <c r="AD39" s="907">
        <f>'D-Profilfaktoren_Marktprämie'!AE7</f>
        <v>0</v>
      </c>
      <c r="AE39" s="908">
        <f>'D-Profilfaktoren_Marktprämie'!AF7</f>
        <v>0</v>
      </c>
      <c r="AF39" s="929"/>
      <c r="AG39" s="929"/>
      <c r="AH39" s="928"/>
      <c r="AI39" s="928"/>
      <c r="AJ39" s="1040" t="s">
        <v>576</v>
      </c>
    </row>
    <row r="40" spans="1:36" ht="12.75" customHeight="1" outlineLevel="2">
      <c r="A40" s="553" t="s">
        <v>278</v>
      </c>
      <c r="B40" s="16" t="e">
        <f>#REF!</f>
        <v>#REF!</v>
      </c>
      <c r="C40" s="12" t="e">
        <f>#REF!</f>
        <v>#REF!</v>
      </c>
      <c r="D40" s="31" t="e">
        <f>#REF!</f>
        <v>#REF!</v>
      </c>
      <c r="E40" s="16" t="s">
        <v>11</v>
      </c>
      <c r="F40" s="907">
        <f>'D-Profilfaktoren_Marktprämie'!G8</f>
        <v>0</v>
      </c>
      <c r="G40" s="907">
        <f>'D-Profilfaktoren_Marktprämie'!H8</f>
        <v>0</v>
      </c>
      <c r="H40" s="907">
        <f>'D-Profilfaktoren_Marktprämie'!I8</f>
        <v>1</v>
      </c>
      <c r="I40" s="907">
        <f>'D-Profilfaktoren_Marktprämie'!J8</f>
        <v>1</v>
      </c>
      <c r="J40" s="907">
        <f>'D-Profilfaktoren_Marktprämie'!K8</f>
        <v>1</v>
      </c>
      <c r="K40" s="907">
        <f>'D-Profilfaktoren_Marktprämie'!L8</f>
        <v>0.97709594916872755</v>
      </c>
      <c r="L40" s="1079">
        <f>'D-Profilfaktoren_Marktprämie'!M8</f>
        <v>1.0002385970999215</v>
      </c>
      <c r="M40" s="1079">
        <f>'D-Profilfaktoren_Marktprämie'!N8</f>
        <v>1.0063944731686187</v>
      </c>
      <c r="N40" s="908">
        <f>'D-Profilfaktoren_Marktprämie'!O8</f>
        <v>0.9705803052660652</v>
      </c>
      <c r="O40" s="909">
        <f>'D-Profilfaktoren_Marktprämie'!P8</f>
        <v>0.86662613565660029</v>
      </c>
      <c r="P40" s="907">
        <f>'D-Profilfaktoren_Marktprämie'!Q8</f>
        <v>0.903426744754666</v>
      </c>
      <c r="Q40" s="907">
        <f>'D-Profilfaktoren_Marktprämie'!R8</f>
        <v>0.85645616834366967</v>
      </c>
      <c r="R40" s="907">
        <f>'D-Profilfaktoren_Marktprämie'!S8</f>
        <v>0</v>
      </c>
      <c r="S40" s="907">
        <f>'D-Profilfaktoren_Marktprämie'!T8</f>
        <v>0</v>
      </c>
      <c r="T40" s="907">
        <f>'D-Profilfaktoren_Marktprämie'!U8</f>
        <v>0</v>
      </c>
      <c r="U40" s="907">
        <f>'D-Profilfaktoren_Marktprämie'!V8</f>
        <v>0</v>
      </c>
      <c r="V40" s="907">
        <f>'D-Profilfaktoren_Marktprämie'!W8</f>
        <v>0</v>
      </c>
      <c r="W40" s="907">
        <f>'D-Profilfaktoren_Marktprämie'!X8</f>
        <v>0</v>
      </c>
      <c r="X40" s="907">
        <f>'D-Profilfaktoren_Marktprämie'!Y8</f>
        <v>0</v>
      </c>
      <c r="Y40" s="907">
        <f>'D-Profilfaktoren_Marktprämie'!Z8</f>
        <v>0</v>
      </c>
      <c r="Z40" s="907">
        <f>'D-Profilfaktoren_Marktprämie'!AA8</f>
        <v>0</v>
      </c>
      <c r="AA40" s="907">
        <f>'D-Profilfaktoren_Marktprämie'!AB8</f>
        <v>0</v>
      </c>
      <c r="AB40" s="907">
        <f>'D-Profilfaktoren_Marktprämie'!AC8</f>
        <v>0</v>
      </c>
      <c r="AC40" s="907">
        <f>'D-Profilfaktoren_Marktprämie'!AD8</f>
        <v>0</v>
      </c>
      <c r="AD40" s="907">
        <f>'D-Profilfaktoren_Marktprämie'!AE8</f>
        <v>0</v>
      </c>
      <c r="AE40" s="908">
        <f>'D-Profilfaktoren_Marktprämie'!AF8</f>
        <v>0</v>
      </c>
      <c r="AF40" s="929"/>
      <c r="AG40" s="929"/>
      <c r="AH40" s="928"/>
      <c r="AI40" s="928"/>
      <c r="AJ40" s="1040" t="s">
        <v>576</v>
      </c>
    </row>
    <row r="41" spans="1:36" ht="12.75" customHeight="1" outlineLevel="2">
      <c r="A41" s="553" t="s">
        <v>279</v>
      </c>
      <c r="B41" s="16" t="e">
        <f>#REF!</f>
        <v>#REF!</v>
      </c>
      <c r="C41" s="12" t="e">
        <f>#REF!</f>
        <v>#REF!</v>
      </c>
      <c r="D41" s="31" t="e">
        <f>#REF!</f>
        <v>#REF!</v>
      </c>
      <c r="E41" s="16" t="s">
        <v>10</v>
      </c>
      <c r="F41" s="907">
        <f>'D-Profilfaktoren_Marktprämie'!G9</f>
        <v>0</v>
      </c>
      <c r="G41" s="907">
        <f>'D-Profilfaktoren_Marktprämie'!H9</f>
        <v>0</v>
      </c>
      <c r="H41" s="907">
        <f>'D-Profilfaktoren_Marktprämie'!I9</f>
        <v>1</v>
      </c>
      <c r="I41" s="907">
        <f>'D-Profilfaktoren_Marktprämie'!J9</f>
        <v>1</v>
      </c>
      <c r="J41" s="907">
        <f>'D-Profilfaktoren_Marktprämie'!K9</f>
        <v>1.0009999999999999</v>
      </c>
      <c r="K41" s="907">
        <f>'D-Profilfaktoren_Marktprämie'!L9</f>
        <v>0.9704087662222286</v>
      </c>
      <c r="L41" s="1079">
        <f>'D-Profilfaktoren_Marktprämie'!M9</f>
        <v>1.0002616235355399</v>
      </c>
      <c r="M41" s="1079">
        <f>'D-Profilfaktoren_Marktprämie'!N9</f>
        <v>1.0008007458944923</v>
      </c>
      <c r="N41" s="908">
        <f>'D-Profilfaktoren_Marktprämie'!O9</f>
        <v>0.9576555779076602</v>
      </c>
      <c r="O41" s="909">
        <f>'D-Profilfaktoren_Marktprämie'!P9</f>
        <v>0.86672159719942365</v>
      </c>
      <c r="P41" s="907">
        <f>'D-Profilfaktoren_Marktprämie'!Q9</f>
        <v>0.90252197726556671</v>
      </c>
      <c r="Q41" s="907">
        <f>'D-Profilfaktoren_Marktprämie'!R9</f>
        <v>0.85439545882115719</v>
      </c>
      <c r="R41" s="907">
        <f>'D-Profilfaktoren_Marktprämie'!S9</f>
        <v>0</v>
      </c>
      <c r="S41" s="907">
        <f>'D-Profilfaktoren_Marktprämie'!T9</f>
        <v>0</v>
      </c>
      <c r="T41" s="907">
        <f>'D-Profilfaktoren_Marktprämie'!U9</f>
        <v>0</v>
      </c>
      <c r="U41" s="907">
        <f>'D-Profilfaktoren_Marktprämie'!V9</f>
        <v>0</v>
      </c>
      <c r="V41" s="907">
        <f>'D-Profilfaktoren_Marktprämie'!W9</f>
        <v>0</v>
      </c>
      <c r="W41" s="907">
        <f>'D-Profilfaktoren_Marktprämie'!X9</f>
        <v>0</v>
      </c>
      <c r="X41" s="907">
        <f>'D-Profilfaktoren_Marktprämie'!Y9</f>
        <v>0</v>
      </c>
      <c r="Y41" s="907">
        <f>'D-Profilfaktoren_Marktprämie'!Z9</f>
        <v>0</v>
      </c>
      <c r="Z41" s="907">
        <f>'D-Profilfaktoren_Marktprämie'!AA9</f>
        <v>0</v>
      </c>
      <c r="AA41" s="907">
        <f>'D-Profilfaktoren_Marktprämie'!AB9</f>
        <v>0</v>
      </c>
      <c r="AB41" s="907">
        <f>'D-Profilfaktoren_Marktprämie'!AC9</f>
        <v>0</v>
      </c>
      <c r="AC41" s="907">
        <f>'D-Profilfaktoren_Marktprämie'!AD9</f>
        <v>0</v>
      </c>
      <c r="AD41" s="907">
        <f>'D-Profilfaktoren_Marktprämie'!AE9</f>
        <v>0</v>
      </c>
      <c r="AE41" s="908">
        <f>'D-Profilfaktoren_Marktprämie'!AF9</f>
        <v>0</v>
      </c>
      <c r="AF41" s="929"/>
      <c r="AG41" s="929"/>
      <c r="AH41" s="928"/>
      <c r="AI41" s="928"/>
      <c r="AJ41" s="1040" t="s">
        <v>576</v>
      </c>
    </row>
    <row r="42" spans="1:36" ht="12.75" customHeight="1" outlineLevel="2">
      <c r="A42" s="553" t="s">
        <v>280</v>
      </c>
      <c r="B42" s="16" t="e">
        <f>#REF!</f>
        <v>#REF!</v>
      </c>
      <c r="C42" s="12" t="e">
        <f>#REF!</f>
        <v>#REF!</v>
      </c>
      <c r="D42" s="31" t="e">
        <f>#REF!</f>
        <v>#REF!</v>
      </c>
      <c r="E42" s="16" t="s">
        <v>339</v>
      </c>
      <c r="F42" s="907">
        <f>'D-Profilfaktoren_Marktprämie'!G10</f>
        <v>0</v>
      </c>
      <c r="G42" s="907">
        <f>'D-Profilfaktoren_Marktprämie'!H10</f>
        <v>0</v>
      </c>
      <c r="H42" s="907">
        <f>'D-Profilfaktoren_Marktprämie'!I10</f>
        <v>0.90500000000000003</v>
      </c>
      <c r="I42" s="907">
        <f>'D-Profilfaktoren_Marktprämie'!J10</f>
        <v>0.88900000000000012</v>
      </c>
      <c r="J42" s="907">
        <f>'D-Profilfaktoren_Marktprämie'!K10</f>
        <v>0.85099999999999998</v>
      </c>
      <c r="K42" s="1080">
        <f>'D-Profilfaktoren_Marktprämie'!L10</f>
        <v>0.87804199451939391</v>
      </c>
      <c r="L42" s="1079">
        <f>'D-Profilfaktoren_Marktprämie'!M10</f>
        <v>0.88474320646636939</v>
      </c>
      <c r="M42" s="1079">
        <f>'D-Profilfaktoren_Marktprämie'!N10</f>
        <v>0.88556376387505709</v>
      </c>
      <c r="N42" s="908">
        <f>'D-Profilfaktoren_Marktprämie'!O10</f>
        <v>0.79928775421656872</v>
      </c>
      <c r="O42" s="909">
        <f>'D-Profilfaktoren_Marktprämie'!P10</f>
        <v>0.67846507330943984</v>
      </c>
      <c r="P42" s="907">
        <f>'D-Profilfaktoren_Marktprämie'!Q10</f>
        <v>0.76098384865625657</v>
      </c>
      <c r="Q42" s="907">
        <f>'D-Profilfaktoren_Marktprämie'!R10</f>
        <v>0.74498851826199786</v>
      </c>
      <c r="R42" s="907">
        <f>'D-Profilfaktoren_Marktprämie'!S10</f>
        <v>0</v>
      </c>
      <c r="S42" s="907">
        <f>'D-Profilfaktoren_Marktprämie'!T10</f>
        <v>0</v>
      </c>
      <c r="T42" s="907">
        <f>'D-Profilfaktoren_Marktprämie'!U10</f>
        <v>0</v>
      </c>
      <c r="U42" s="907">
        <f>'D-Profilfaktoren_Marktprämie'!V10</f>
        <v>0</v>
      </c>
      <c r="V42" s="907">
        <f>'D-Profilfaktoren_Marktprämie'!W10</f>
        <v>0</v>
      </c>
      <c r="W42" s="907">
        <f>'D-Profilfaktoren_Marktprämie'!X10</f>
        <v>0</v>
      </c>
      <c r="X42" s="907">
        <f>'D-Profilfaktoren_Marktprämie'!Y10</f>
        <v>0</v>
      </c>
      <c r="Y42" s="907">
        <f>'D-Profilfaktoren_Marktprämie'!Z10</f>
        <v>0</v>
      </c>
      <c r="Z42" s="907">
        <f>'D-Profilfaktoren_Marktprämie'!AA10</f>
        <v>0</v>
      </c>
      <c r="AA42" s="907">
        <f>'D-Profilfaktoren_Marktprämie'!AB10</f>
        <v>0</v>
      </c>
      <c r="AB42" s="907">
        <f>'D-Profilfaktoren_Marktprämie'!AC10</f>
        <v>0</v>
      </c>
      <c r="AC42" s="907">
        <f>'D-Profilfaktoren_Marktprämie'!AD10</f>
        <v>0</v>
      </c>
      <c r="AD42" s="907">
        <f>'D-Profilfaktoren_Marktprämie'!AE10</f>
        <v>0</v>
      </c>
      <c r="AE42" s="908">
        <f>'D-Profilfaktoren_Marktprämie'!AF10</f>
        <v>0</v>
      </c>
      <c r="AF42" s="929"/>
      <c r="AG42" s="929"/>
      <c r="AH42" s="928"/>
      <c r="AI42" s="928"/>
      <c r="AJ42" s="1040" t="s">
        <v>576</v>
      </c>
    </row>
    <row r="43" spans="1:36" ht="12.75" customHeight="1" outlineLevel="2">
      <c r="A43" s="553" t="s">
        <v>281</v>
      </c>
      <c r="B43" s="16" t="e">
        <f>#REF!</f>
        <v>#REF!</v>
      </c>
      <c r="C43" s="12" t="e">
        <f>#REF!</f>
        <v>#REF!</v>
      </c>
      <c r="D43" s="31" t="e">
        <f>#REF!</f>
        <v>#REF!</v>
      </c>
      <c r="E43" s="16" t="s">
        <v>340</v>
      </c>
      <c r="F43" s="907">
        <f>'D-Profilfaktoren_Marktprämie'!G11</f>
        <v>0</v>
      </c>
      <c r="G43" s="907">
        <f>'D-Profilfaktoren_Marktprämie'!H11</f>
        <v>0</v>
      </c>
      <c r="H43" s="907">
        <f>'D-Profilfaktoren_Marktprämie'!I11</f>
        <v>1.02</v>
      </c>
      <c r="I43" s="907">
        <f>'D-Profilfaktoren_Marktprämie'!J11</f>
        <v>0.997</v>
      </c>
      <c r="J43" s="907">
        <f>'D-Profilfaktoren_Marktprämie'!K11</f>
        <v>0.91799999999999993</v>
      </c>
      <c r="K43" s="1080">
        <f>'D-Profilfaktoren_Marktprämie'!L11</f>
        <v>0.93555612050472214</v>
      </c>
      <c r="L43" s="1079">
        <f>'D-Profilfaktoren_Marktprämie'!M11</f>
        <v>0.9825534567397779</v>
      </c>
      <c r="M43" s="1079">
        <f>'D-Profilfaktoren_Marktprämie'!N11</f>
        <v>0.92131005898091034</v>
      </c>
      <c r="N43" s="908">
        <f>'D-Profilfaktoren_Marktprämie'!O11</f>
        <v>0.88317632340840491</v>
      </c>
      <c r="O43" s="909">
        <f>'D-Profilfaktoren_Marktprämie'!P11</f>
        <v>0.79026862178293367</v>
      </c>
      <c r="P43" s="907">
        <f>'D-Profilfaktoren_Marktprämie'!Q11</f>
        <v>0.78878831448197484</v>
      </c>
      <c r="Q43" s="907">
        <f>'D-Profilfaktoren_Marktprämie'!R11</f>
        <v>0.76115118938091875</v>
      </c>
      <c r="R43" s="907">
        <f>'D-Profilfaktoren_Marktprämie'!S11</f>
        <v>0</v>
      </c>
      <c r="S43" s="907">
        <f>'D-Profilfaktoren_Marktprämie'!T11</f>
        <v>0</v>
      </c>
      <c r="T43" s="907">
        <f>'D-Profilfaktoren_Marktprämie'!U11</f>
        <v>0</v>
      </c>
      <c r="U43" s="907">
        <f>'D-Profilfaktoren_Marktprämie'!V11</f>
        <v>0</v>
      </c>
      <c r="V43" s="907">
        <f>'D-Profilfaktoren_Marktprämie'!W11</f>
        <v>0</v>
      </c>
      <c r="W43" s="907">
        <f>'D-Profilfaktoren_Marktprämie'!X11</f>
        <v>0</v>
      </c>
      <c r="X43" s="907">
        <f>'D-Profilfaktoren_Marktprämie'!Y11</f>
        <v>0</v>
      </c>
      <c r="Y43" s="907">
        <f>'D-Profilfaktoren_Marktprämie'!Z11</f>
        <v>0</v>
      </c>
      <c r="Z43" s="907">
        <f>'D-Profilfaktoren_Marktprämie'!AA11</f>
        <v>0</v>
      </c>
      <c r="AA43" s="907">
        <f>'D-Profilfaktoren_Marktprämie'!AB11</f>
        <v>0</v>
      </c>
      <c r="AB43" s="907">
        <f>'D-Profilfaktoren_Marktprämie'!AC11</f>
        <v>0</v>
      </c>
      <c r="AC43" s="907">
        <f>'D-Profilfaktoren_Marktprämie'!AD11</f>
        <v>0</v>
      </c>
      <c r="AD43" s="907">
        <f>'D-Profilfaktoren_Marktprämie'!AE11</f>
        <v>0</v>
      </c>
      <c r="AE43" s="908">
        <f>'D-Profilfaktoren_Marktprämie'!AF11</f>
        <v>0</v>
      </c>
      <c r="AF43" s="929"/>
      <c r="AG43" s="929"/>
      <c r="AH43" s="928"/>
      <c r="AI43" s="928"/>
      <c r="AJ43" s="1040" t="s">
        <v>576</v>
      </c>
    </row>
    <row r="44" spans="1:36" ht="12.75" customHeight="1" outlineLevel="2">
      <c r="A44" s="553" t="s">
        <v>282</v>
      </c>
      <c r="B44" s="296" t="e">
        <f>#REF!</f>
        <v>#REF!</v>
      </c>
      <c r="C44" s="24" t="e">
        <f>#REF!</f>
        <v>#REF!</v>
      </c>
      <c r="D44" s="32" t="e">
        <f>#REF!</f>
        <v>#REF!</v>
      </c>
      <c r="E44" s="296" t="s">
        <v>530</v>
      </c>
      <c r="F44" s="912">
        <f>'D-Profilfaktoren_Marktprämie'!G12</f>
        <v>0</v>
      </c>
      <c r="G44" s="912">
        <f>'D-Profilfaktoren_Marktprämie'!H12</f>
        <v>0</v>
      </c>
      <c r="H44" s="912">
        <f>'D-Profilfaktoren_Marktprämie'!I12</f>
        <v>1.046</v>
      </c>
      <c r="I44" s="912">
        <f>'D-Profilfaktoren_Marktprämie'!J12</f>
        <v>0.98100000000000009</v>
      </c>
      <c r="J44" s="912">
        <f>'D-Profilfaktoren_Marktprämie'!K12</f>
        <v>1.0109999999999999</v>
      </c>
      <c r="K44" s="1081">
        <f>'D-Profilfaktoren_Marktprämie'!L12</f>
        <v>0.94011333796182017</v>
      </c>
      <c r="L44" s="915">
        <f>'D-Profilfaktoren_Marktprämie'!M12</f>
        <v>0.97823510223085741</v>
      </c>
      <c r="M44" s="915">
        <f>'D-Profilfaktoren_Marktprämie'!N12</f>
        <v>1.0007946618334671</v>
      </c>
      <c r="N44" s="913">
        <f>'D-Profilfaktoren_Marktprämie'!O12</f>
        <v>0.9155231610892961</v>
      </c>
      <c r="O44" s="914">
        <f>'D-Profilfaktoren_Marktprämie'!P12</f>
        <v>0.85632717217267751</v>
      </c>
      <c r="P44" s="912">
        <f>'D-Profilfaktoren_Marktprämie'!Q12</f>
        <v>0.8187078708852541</v>
      </c>
      <c r="Q44" s="912">
        <f>'D-Profilfaktoren_Marktprämie'!R12</f>
        <v>0.78547462477492302</v>
      </c>
      <c r="R44" s="912">
        <f>'D-Profilfaktoren_Marktprämie'!S12</f>
        <v>0</v>
      </c>
      <c r="S44" s="912">
        <f>'D-Profilfaktoren_Marktprämie'!T12</f>
        <v>0</v>
      </c>
      <c r="T44" s="912">
        <f>'D-Profilfaktoren_Marktprämie'!U12</f>
        <v>0</v>
      </c>
      <c r="U44" s="912">
        <f>'D-Profilfaktoren_Marktprämie'!V12</f>
        <v>0</v>
      </c>
      <c r="V44" s="912">
        <f>'D-Profilfaktoren_Marktprämie'!W12</f>
        <v>0</v>
      </c>
      <c r="W44" s="912">
        <f>'D-Profilfaktoren_Marktprämie'!X12</f>
        <v>0</v>
      </c>
      <c r="X44" s="912">
        <f>'D-Profilfaktoren_Marktprämie'!Y12</f>
        <v>0</v>
      </c>
      <c r="Y44" s="912">
        <f>'D-Profilfaktoren_Marktprämie'!Z12</f>
        <v>0</v>
      </c>
      <c r="Z44" s="912">
        <f>'D-Profilfaktoren_Marktprämie'!AA12</f>
        <v>0</v>
      </c>
      <c r="AA44" s="912">
        <f>'D-Profilfaktoren_Marktprämie'!AB12</f>
        <v>0</v>
      </c>
      <c r="AB44" s="912">
        <f>'D-Profilfaktoren_Marktprämie'!AC12</f>
        <v>0</v>
      </c>
      <c r="AC44" s="912">
        <f>'D-Profilfaktoren_Marktprämie'!AD12</f>
        <v>0</v>
      </c>
      <c r="AD44" s="912">
        <f>'D-Profilfaktoren_Marktprämie'!AE12</f>
        <v>0</v>
      </c>
      <c r="AE44" s="913">
        <f>'D-Profilfaktoren_Marktprämie'!AF12</f>
        <v>0</v>
      </c>
      <c r="AF44" s="929"/>
      <c r="AG44" s="929"/>
      <c r="AH44" s="928"/>
      <c r="AI44" s="928"/>
      <c r="AJ44" s="1040" t="s">
        <v>576</v>
      </c>
    </row>
    <row r="45" spans="1:36" ht="12.75" customHeight="1" outlineLevel="1">
      <c r="A45" s="553" t="s">
        <v>283</v>
      </c>
      <c r="B45" s="10"/>
      <c r="N45" s="342"/>
      <c r="O45" s="289"/>
      <c r="AF45" s="929"/>
      <c r="AG45" s="929"/>
      <c r="AH45" s="928"/>
      <c r="AI45" s="928"/>
      <c r="AJ45" s="1034"/>
    </row>
    <row r="46" spans="1:36" ht="12.75" customHeight="1" outlineLevel="1">
      <c r="A46" s="553">
        <v>37</v>
      </c>
      <c r="B46" s="10"/>
      <c r="E46" s="315" t="s">
        <v>508</v>
      </c>
      <c r="N46" s="342"/>
      <c r="O46" s="289"/>
      <c r="AF46" s="929"/>
      <c r="AG46" s="929"/>
      <c r="AH46" s="928"/>
      <c r="AI46" s="928"/>
      <c r="AJ46" s="1034"/>
    </row>
    <row r="47" spans="1:36" ht="12.75" customHeight="1" outlineLevel="2">
      <c r="A47" s="553">
        <v>38</v>
      </c>
      <c r="B47" s="314" t="str">
        <f>'D-Dargebotsfaktor'!C$6</f>
        <v>Référence</v>
      </c>
      <c r="C47" s="22" t="str">
        <f>'D-Dargebotsfaktor'!D$6</f>
        <v>mh</v>
      </c>
      <c r="D47" s="30" t="str">
        <f>'D-Dargebotsfaktor'!E$6</f>
        <v>100%</v>
      </c>
      <c r="E47" s="314" t="s">
        <v>529</v>
      </c>
      <c r="F47" s="904">
        <f>'D-Dargebotsfaktor'!G$6</f>
        <v>0</v>
      </c>
      <c r="G47" s="904">
        <f>'D-Dargebotsfaktor'!H$6</f>
        <v>0</v>
      </c>
      <c r="H47" s="904">
        <f>'D-Dargebotsfaktor'!I$6</f>
        <v>0</v>
      </c>
      <c r="I47" s="904">
        <f>'D-Dargebotsfaktor'!J$6</f>
        <v>0</v>
      </c>
      <c r="J47" s="904">
        <f>'D-Dargebotsfaktor'!K$6</f>
        <v>0</v>
      </c>
      <c r="K47" s="904">
        <f>'D-Dargebotsfaktor'!L$6</f>
        <v>1</v>
      </c>
      <c r="L47" s="904">
        <f>'D-Dargebotsfaktor'!M$6</f>
        <v>1</v>
      </c>
      <c r="M47" s="904">
        <f>'D-Dargebotsfaktor'!N$6</f>
        <v>1</v>
      </c>
      <c r="N47" s="905">
        <f>'D-Dargebotsfaktor'!O$6</f>
        <v>1</v>
      </c>
      <c r="O47" s="906">
        <f>'D-Dargebotsfaktor'!P$6</f>
        <v>1</v>
      </c>
      <c r="P47" s="904">
        <f>'D-Dargebotsfaktor'!Q$6</f>
        <v>1</v>
      </c>
      <c r="Q47" s="904">
        <f>'D-Dargebotsfaktor'!R$6</f>
        <v>1</v>
      </c>
      <c r="R47" s="904">
        <f>'D-Dargebotsfaktor'!S$6</f>
        <v>1</v>
      </c>
      <c r="S47" s="904">
        <f>'D-Dargebotsfaktor'!T$6</f>
        <v>1</v>
      </c>
      <c r="T47" s="904">
        <f>'D-Dargebotsfaktor'!U$6</f>
        <v>1</v>
      </c>
      <c r="U47" s="904">
        <f>'D-Dargebotsfaktor'!V$6</f>
        <v>1</v>
      </c>
      <c r="V47" s="904">
        <f>'D-Dargebotsfaktor'!W$6</f>
        <v>1</v>
      </c>
      <c r="W47" s="904">
        <f>'D-Dargebotsfaktor'!X$6</f>
        <v>1</v>
      </c>
      <c r="X47" s="904">
        <f>'D-Dargebotsfaktor'!Y$6</f>
        <v>1</v>
      </c>
      <c r="Y47" s="904">
        <f>'D-Dargebotsfaktor'!Z$6</f>
        <v>1</v>
      </c>
      <c r="Z47" s="904">
        <f>'D-Dargebotsfaktor'!AA$6</f>
        <v>1</v>
      </c>
      <c r="AA47" s="904">
        <f>'D-Dargebotsfaktor'!AB$6</f>
        <v>1</v>
      </c>
      <c r="AB47" s="904">
        <f>'D-Dargebotsfaktor'!AC$6</f>
        <v>1</v>
      </c>
      <c r="AC47" s="904">
        <f>'D-Dargebotsfaktor'!AD$6</f>
        <v>1</v>
      </c>
      <c r="AD47" s="904">
        <f>'D-Dargebotsfaktor'!AE$6</f>
        <v>1</v>
      </c>
      <c r="AE47" s="905">
        <f>'D-Dargebotsfaktor'!AF$6</f>
        <v>1</v>
      </c>
      <c r="AF47" s="929"/>
      <c r="AG47" s="929"/>
      <c r="AH47" s="928"/>
      <c r="AI47" s="928"/>
      <c r="AJ47" s="1034"/>
    </row>
    <row r="48" spans="1:36" ht="12.75" customHeight="1" outlineLevel="2">
      <c r="A48" s="553">
        <v>39</v>
      </c>
      <c r="B48" s="16" t="str">
        <f>'D-Dargebotsfaktor'!C$7</f>
        <v>Référence</v>
      </c>
      <c r="C48" s="12" t="str">
        <f>'D-Dargebotsfaktor'!D$7</f>
        <v>mh</v>
      </c>
      <c r="D48" s="31" t="str">
        <f>'D-Dargebotsfaktor'!E$7</f>
        <v>100%</v>
      </c>
      <c r="E48" s="16" t="s">
        <v>349</v>
      </c>
      <c r="F48" s="907">
        <f>'D-Dargebotsfaktor'!G$7</f>
        <v>0</v>
      </c>
      <c r="G48" s="907">
        <f>'D-Dargebotsfaktor'!H$7</f>
        <v>0</v>
      </c>
      <c r="H48" s="907">
        <f>'D-Dargebotsfaktor'!I$7</f>
        <v>0</v>
      </c>
      <c r="I48" s="907">
        <f>'D-Dargebotsfaktor'!J$7</f>
        <v>0</v>
      </c>
      <c r="J48" s="907">
        <f>'D-Dargebotsfaktor'!K$7</f>
        <v>0</v>
      </c>
      <c r="K48" s="907">
        <f>'D-Dargebotsfaktor'!L$7</f>
        <v>1</v>
      </c>
      <c r="L48" s="907">
        <f>'D-Dargebotsfaktor'!M$7</f>
        <v>1</v>
      </c>
      <c r="M48" s="907">
        <f>'D-Dargebotsfaktor'!N$7</f>
        <v>1</v>
      </c>
      <c r="N48" s="908">
        <f>'D-Dargebotsfaktor'!O$7</f>
        <v>1</v>
      </c>
      <c r="O48" s="909">
        <f>'D-Dargebotsfaktor'!P$7</f>
        <v>1</v>
      </c>
      <c r="P48" s="907">
        <f>'D-Dargebotsfaktor'!Q$7</f>
        <v>1</v>
      </c>
      <c r="Q48" s="907">
        <f>'D-Dargebotsfaktor'!R$7</f>
        <v>1</v>
      </c>
      <c r="R48" s="907">
        <f>'D-Dargebotsfaktor'!S$7</f>
        <v>1</v>
      </c>
      <c r="S48" s="907">
        <f>'D-Dargebotsfaktor'!T$7</f>
        <v>1</v>
      </c>
      <c r="T48" s="907">
        <f>'D-Dargebotsfaktor'!U$7</f>
        <v>1</v>
      </c>
      <c r="U48" s="907">
        <f>'D-Dargebotsfaktor'!V$7</f>
        <v>1</v>
      </c>
      <c r="V48" s="907">
        <f>'D-Dargebotsfaktor'!W$7</f>
        <v>1</v>
      </c>
      <c r="W48" s="907">
        <f>'D-Dargebotsfaktor'!X$7</f>
        <v>1</v>
      </c>
      <c r="X48" s="907">
        <f>'D-Dargebotsfaktor'!Y$7</f>
        <v>1</v>
      </c>
      <c r="Y48" s="907">
        <f>'D-Dargebotsfaktor'!Z$7</f>
        <v>1</v>
      </c>
      <c r="Z48" s="907">
        <f>'D-Dargebotsfaktor'!AA$7</f>
        <v>1</v>
      </c>
      <c r="AA48" s="907">
        <f>'D-Dargebotsfaktor'!AB$7</f>
        <v>1</v>
      </c>
      <c r="AB48" s="907">
        <f>'D-Dargebotsfaktor'!AC$7</f>
        <v>1</v>
      </c>
      <c r="AC48" s="907">
        <f>'D-Dargebotsfaktor'!AD$7</f>
        <v>1</v>
      </c>
      <c r="AD48" s="907">
        <f>'D-Dargebotsfaktor'!AE$7</f>
        <v>1</v>
      </c>
      <c r="AE48" s="908">
        <f>'D-Dargebotsfaktor'!AF$7</f>
        <v>1</v>
      </c>
      <c r="AF48" s="929"/>
      <c r="AG48" s="929"/>
      <c r="AH48" s="928"/>
      <c r="AI48" s="928"/>
      <c r="AJ48" s="1034"/>
    </row>
    <row r="49" spans="1:36" ht="12.75" customHeight="1" outlineLevel="2">
      <c r="A49" s="553">
        <v>40</v>
      </c>
      <c r="B49" s="16" t="str">
        <f>'D-Dargebotsfaktor'!C$8</f>
        <v>Référence</v>
      </c>
      <c r="C49" s="12" t="str">
        <f>'D-Dargebotsfaktor'!D$8</f>
        <v>mh</v>
      </c>
      <c r="D49" s="31" t="str">
        <f>'D-Dargebotsfaktor'!E$8</f>
        <v>100%</v>
      </c>
      <c r="E49" s="16" t="s">
        <v>11</v>
      </c>
      <c r="F49" s="907">
        <f>'D-Dargebotsfaktor'!G$8</f>
        <v>0</v>
      </c>
      <c r="G49" s="907">
        <f>'D-Dargebotsfaktor'!H$8</f>
        <v>0</v>
      </c>
      <c r="H49" s="907">
        <f>'D-Dargebotsfaktor'!I$8</f>
        <v>0</v>
      </c>
      <c r="I49" s="907">
        <f>'D-Dargebotsfaktor'!J$8</f>
        <v>0</v>
      </c>
      <c r="J49" s="907">
        <f>'D-Dargebotsfaktor'!K$8</f>
        <v>0</v>
      </c>
      <c r="K49" s="907">
        <f>'D-Dargebotsfaktor'!L$8</f>
        <v>1</v>
      </c>
      <c r="L49" s="907">
        <f>'D-Dargebotsfaktor'!M$8</f>
        <v>1</v>
      </c>
      <c r="M49" s="907">
        <f>'D-Dargebotsfaktor'!N$8</f>
        <v>1</v>
      </c>
      <c r="N49" s="908">
        <f>'D-Dargebotsfaktor'!O$8</f>
        <v>1</v>
      </c>
      <c r="O49" s="909">
        <f>'D-Dargebotsfaktor'!P$8</f>
        <v>1</v>
      </c>
      <c r="P49" s="907">
        <f>'D-Dargebotsfaktor'!Q$8</f>
        <v>1</v>
      </c>
      <c r="Q49" s="907">
        <f>'D-Dargebotsfaktor'!R$8</f>
        <v>1</v>
      </c>
      <c r="R49" s="907">
        <f>'D-Dargebotsfaktor'!S$8</f>
        <v>1</v>
      </c>
      <c r="S49" s="907">
        <f>'D-Dargebotsfaktor'!T$8</f>
        <v>1</v>
      </c>
      <c r="T49" s="907">
        <f>'D-Dargebotsfaktor'!U$8</f>
        <v>1</v>
      </c>
      <c r="U49" s="907">
        <f>'D-Dargebotsfaktor'!V$8</f>
        <v>1</v>
      </c>
      <c r="V49" s="907">
        <f>'D-Dargebotsfaktor'!W$8</f>
        <v>1</v>
      </c>
      <c r="W49" s="907">
        <f>'D-Dargebotsfaktor'!X$8</f>
        <v>1</v>
      </c>
      <c r="X49" s="907">
        <f>'D-Dargebotsfaktor'!Y$8</f>
        <v>1</v>
      </c>
      <c r="Y49" s="907">
        <f>'D-Dargebotsfaktor'!Z$8</f>
        <v>1</v>
      </c>
      <c r="Z49" s="907">
        <f>'D-Dargebotsfaktor'!AA$8</f>
        <v>1</v>
      </c>
      <c r="AA49" s="907">
        <f>'D-Dargebotsfaktor'!AB$8</f>
        <v>1</v>
      </c>
      <c r="AB49" s="907">
        <f>'D-Dargebotsfaktor'!AC$8</f>
        <v>1</v>
      </c>
      <c r="AC49" s="907">
        <f>'D-Dargebotsfaktor'!AD$8</f>
        <v>1</v>
      </c>
      <c r="AD49" s="907">
        <f>'D-Dargebotsfaktor'!AE$8</f>
        <v>1</v>
      </c>
      <c r="AE49" s="908">
        <f>'D-Dargebotsfaktor'!AF$8</f>
        <v>1</v>
      </c>
      <c r="AF49" s="929"/>
      <c r="AG49" s="929"/>
      <c r="AH49" s="928"/>
      <c r="AI49" s="928"/>
      <c r="AJ49" s="1034"/>
    </row>
    <row r="50" spans="1:36" ht="12.75" customHeight="1" outlineLevel="2">
      <c r="A50" s="553">
        <v>41</v>
      </c>
      <c r="B50" s="16" t="str">
        <f>'D-Dargebotsfaktor'!C$9</f>
        <v>Référence</v>
      </c>
      <c r="C50" s="12" t="str">
        <f>'D-Dargebotsfaktor'!D$9</f>
        <v>mh</v>
      </c>
      <c r="D50" s="31" t="str">
        <f>'D-Dargebotsfaktor'!E$9</f>
        <v>100%</v>
      </c>
      <c r="E50" s="16" t="s">
        <v>10</v>
      </c>
      <c r="F50" s="907">
        <f>'D-Dargebotsfaktor'!G$9</f>
        <v>0</v>
      </c>
      <c r="G50" s="907">
        <f>'D-Dargebotsfaktor'!H$9</f>
        <v>0</v>
      </c>
      <c r="H50" s="907">
        <f>'D-Dargebotsfaktor'!I$9</f>
        <v>0</v>
      </c>
      <c r="I50" s="907">
        <f>'D-Dargebotsfaktor'!J$9</f>
        <v>0</v>
      </c>
      <c r="J50" s="907">
        <f>'D-Dargebotsfaktor'!K$9</f>
        <v>0</v>
      </c>
      <c r="K50" s="907">
        <f>'D-Dargebotsfaktor'!L$9</f>
        <v>1</v>
      </c>
      <c r="L50" s="907">
        <f>'D-Dargebotsfaktor'!M$9</f>
        <v>1</v>
      </c>
      <c r="M50" s="907">
        <f>'D-Dargebotsfaktor'!N$9</f>
        <v>1</v>
      </c>
      <c r="N50" s="908">
        <f>'D-Dargebotsfaktor'!O$9</f>
        <v>1</v>
      </c>
      <c r="O50" s="909">
        <f>'D-Dargebotsfaktor'!P$9</f>
        <v>1</v>
      </c>
      <c r="P50" s="907">
        <f>'D-Dargebotsfaktor'!Q$9</f>
        <v>1</v>
      </c>
      <c r="Q50" s="907">
        <f>'D-Dargebotsfaktor'!R$9</f>
        <v>1</v>
      </c>
      <c r="R50" s="907">
        <f>'D-Dargebotsfaktor'!S$9</f>
        <v>1</v>
      </c>
      <c r="S50" s="907">
        <f>'D-Dargebotsfaktor'!T$9</f>
        <v>1</v>
      </c>
      <c r="T50" s="907">
        <f>'D-Dargebotsfaktor'!U$9</f>
        <v>1</v>
      </c>
      <c r="U50" s="907">
        <f>'D-Dargebotsfaktor'!V$9</f>
        <v>1</v>
      </c>
      <c r="V50" s="907">
        <f>'D-Dargebotsfaktor'!W$9</f>
        <v>1</v>
      </c>
      <c r="W50" s="907">
        <f>'D-Dargebotsfaktor'!X$9</f>
        <v>1</v>
      </c>
      <c r="X50" s="907">
        <f>'D-Dargebotsfaktor'!Y$9</f>
        <v>1</v>
      </c>
      <c r="Y50" s="907">
        <f>'D-Dargebotsfaktor'!Z$9</f>
        <v>1</v>
      </c>
      <c r="Z50" s="907">
        <f>'D-Dargebotsfaktor'!AA$9</f>
        <v>1</v>
      </c>
      <c r="AA50" s="907">
        <f>'D-Dargebotsfaktor'!AB$9</f>
        <v>1</v>
      </c>
      <c r="AB50" s="907">
        <f>'D-Dargebotsfaktor'!AC$9</f>
        <v>1</v>
      </c>
      <c r="AC50" s="907">
        <f>'D-Dargebotsfaktor'!AD$9</f>
        <v>1</v>
      </c>
      <c r="AD50" s="907">
        <f>'D-Dargebotsfaktor'!AE$9</f>
        <v>1</v>
      </c>
      <c r="AE50" s="908">
        <f>'D-Dargebotsfaktor'!AF$9</f>
        <v>1</v>
      </c>
      <c r="AF50" s="929"/>
      <c r="AG50" s="929"/>
      <c r="AH50" s="928"/>
      <c r="AI50" s="928"/>
      <c r="AJ50" s="1034"/>
    </row>
    <row r="51" spans="1:36" ht="12.75" customHeight="1" outlineLevel="2">
      <c r="A51" s="553">
        <v>42</v>
      </c>
      <c r="B51" s="16" t="str">
        <f>'D-Dargebotsfaktor'!C$10</f>
        <v>Référence</v>
      </c>
      <c r="C51" s="12" t="str">
        <f>'D-Dargebotsfaktor'!D$10</f>
        <v>mh</v>
      </c>
      <c r="D51" s="31" t="str">
        <f>'D-Dargebotsfaktor'!E$10</f>
        <v>100%</v>
      </c>
      <c r="E51" s="16" t="s">
        <v>339</v>
      </c>
      <c r="F51" s="907">
        <f>'D-Dargebotsfaktor'!G$10</f>
        <v>0</v>
      </c>
      <c r="G51" s="907">
        <f>'D-Dargebotsfaktor'!H$10</f>
        <v>0</v>
      </c>
      <c r="H51" s="907">
        <f>'D-Dargebotsfaktor'!I$10</f>
        <v>0</v>
      </c>
      <c r="I51" s="907">
        <f>'D-Dargebotsfaktor'!J$10</f>
        <v>0</v>
      </c>
      <c r="J51" s="907">
        <f>'D-Dargebotsfaktor'!K$10</f>
        <v>0</v>
      </c>
      <c r="K51" s="907">
        <f>'D-Dargebotsfaktor'!L$10</f>
        <v>1</v>
      </c>
      <c r="L51" s="907">
        <f>'D-Dargebotsfaktor'!M$10</f>
        <v>1</v>
      </c>
      <c r="M51" s="907">
        <f>'D-Dargebotsfaktor'!N$10</f>
        <v>1</v>
      </c>
      <c r="N51" s="908">
        <f>'D-Dargebotsfaktor'!O$10</f>
        <v>1</v>
      </c>
      <c r="O51" s="909">
        <f>'D-Dargebotsfaktor'!P$10</f>
        <v>1</v>
      </c>
      <c r="P51" s="907">
        <f>'D-Dargebotsfaktor'!Q$10</f>
        <v>1</v>
      </c>
      <c r="Q51" s="907">
        <f>'D-Dargebotsfaktor'!R$10</f>
        <v>1</v>
      </c>
      <c r="R51" s="907">
        <f>'D-Dargebotsfaktor'!S$10</f>
        <v>1</v>
      </c>
      <c r="S51" s="907">
        <f>'D-Dargebotsfaktor'!T$10</f>
        <v>1</v>
      </c>
      <c r="T51" s="907">
        <f>'D-Dargebotsfaktor'!U$10</f>
        <v>1</v>
      </c>
      <c r="U51" s="907">
        <f>'D-Dargebotsfaktor'!V$10</f>
        <v>1</v>
      </c>
      <c r="V51" s="907">
        <f>'D-Dargebotsfaktor'!W$10</f>
        <v>1</v>
      </c>
      <c r="W51" s="907">
        <f>'D-Dargebotsfaktor'!X$10</f>
        <v>1</v>
      </c>
      <c r="X51" s="907">
        <f>'D-Dargebotsfaktor'!Y$10</f>
        <v>1</v>
      </c>
      <c r="Y51" s="907">
        <f>'D-Dargebotsfaktor'!Z$10</f>
        <v>1</v>
      </c>
      <c r="Z51" s="907">
        <f>'D-Dargebotsfaktor'!AA$10</f>
        <v>1</v>
      </c>
      <c r="AA51" s="907">
        <f>'D-Dargebotsfaktor'!AB$10</f>
        <v>1</v>
      </c>
      <c r="AB51" s="907">
        <f>'D-Dargebotsfaktor'!AC$10</f>
        <v>1</v>
      </c>
      <c r="AC51" s="907">
        <f>'D-Dargebotsfaktor'!AD$10</f>
        <v>1</v>
      </c>
      <c r="AD51" s="907">
        <f>'D-Dargebotsfaktor'!AE$10</f>
        <v>1</v>
      </c>
      <c r="AE51" s="908">
        <f>'D-Dargebotsfaktor'!AF$10</f>
        <v>1</v>
      </c>
      <c r="AF51" s="929"/>
      <c r="AG51" s="929"/>
      <c r="AH51" s="928"/>
      <c r="AI51" s="928"/>
      <c r="AJ51" s="1034"/>
    </row>
    <row r="52" spans="1:36" ht="12.75" customHeight="1" outlineLevel="2">
      <c r="A52" s="553">
        <v>43</v>
      </c>
      <c r="B52" s="16" t="str">
        <f>'D-Dargebotsfaktor'!C$11</f>
        <v>Référence</v>
      </c>
      <c r="C52" s="12" t="str">
        <f>'D-Dargebotsfaktor'!D$11</f>
        <v>mh</v>
      </c>
      <c r="D52" s="31" t="str">
        <f>'D-Dargebotsfaktor'!E$11</f>
        <v>100%</v>
      </c>
      <c r="E52" s="16" t="s">
        <v>340</v>
      </c>
      <c r="F52" s="907">
        <f>'D-Dargebotsfaktor'!G$11</f>
        <v>0</v>
      </c>
      <c r="G52" s="907">
        <f>'D-Dargebotsfaktor'!H$11</f>
        <v>0</v>
      </c>
      <c r="H52" s="907">
        <f>'D-Dargebotsfaktor'!I$11</f>
        <v>0</v>
      </c>
      <c r="I52" s="907">
        <f>'D-Dargebotsfaktor'!J$11</f>
        <v>0</v>
      </c>
      <c r="J52" s="907">
        <f>'D-Dargebotsfaktor'!K$11</f>
        <v>0</v>
      </c>
      <c r="K52" s="907">
        <f>'D-Dargebotsfaktor'!L$11</f>
        <v>1</v>
      </c>
      <c r="L52" s="907">
        <f>'D-Dargebotsfaktor'!M$11</f>
        <v>1</v>
      </c>
      <c r="M52" s="907">
        <f>'D-Dargebotsfaktor'!N$11</f>
        <v>1</v>
      </c>
      <c r="N52" s="908">
        <f>'D-Dargebotsfaktor'!O$11</f>
        <v>1</v>
      </c>
      <c r="O52" s="909">
        <f>'D-Dargebotsfaktor'!P$11</f>
        <v>1</v>
      </c>
      <c r="P52" s="907">
        <f>'D-Dargebotsfaktor'!Q$11</f>
        <v>1</v>
      </c>
      <c r="Q52" s="907">
        <f>'D-Dargebotsfaktor'!R$11</f>
        <v>1</v>
      </c>
      <c r="R52" s="907">
        <f>'D-Dargebotsfaktor'!S$11</f>
        <v>1</v>
      </c>
      <c r="S52" s="907">
        <f>'D-Dargebotsfaktor'!T$11</f>
        <v>1</v>
      </c>
      <c r="T52" s="907">
        <f>'D-Dargebotsfaktor'!U$11</f>
        <v>1</v>
      </c>
      <c r="U52" s="907">
        <f>'D-Dargebotsfaktor'!V$11</f>
        <v>1</v>
      </c>
      <c r="V52" s="907">
        <f>'D-Dargebotsfaktor'!W$11</f>
        <v>1</v>
      </c>
      <c r="W52" s="907">
        <f>'D-Dargebotsfaktor'!X$11</f>
        <v>1</v>
      </c>
      <c r="X52" s="907">
        <f>'D-Dargebotsfaktor'!Y$11</f>
        <v>1</v>
      </c>
      <c r="Y52" s="907">
        <f>'D-Dargebotsfaktor'!Z$11</f>
        <v>1</v>
      </c>
      <c r="Z52" s="907">
        <f>'D-Dargebotsfaktor'!AA$11</f>
        <v>1</v>
      </c>
      <c r="AA52" s="907">
        <f>'D-Dargebotsfaktor'!AB$11</f>
        <v>1</v>
      </c>
      <c r="AB52" s="907">
        <f>'D-Dargebotsfaktor'!AC$11</f>
        <v>1</v>
      </c>
      <c r="AC52" s="907">
        <f>'D-Dargebotsfaktor'!AD$11</f>
        <v>1</v>
      </c>
      <c r="AD52" s="907">
        <f>'D-Dargebotsfaktor'!AE$11</f>
        <v>1</v>
      </c>
      <c r="AE52" s="908">
        <f>'D-Dargebotsfaktor'!AF$11</f>
        <v>1</v>
      </c>
      <c r="AF52" s="929"/>
      <c r="AG52" s="929"/>
      <c r="AH52" s="928"/>
      <c r="AI52" s="928"/>
      <c r="AJ52" s="1034"/>
    </row>
    <row r="53" spans="1:36" ht="12.75" customHeight="1" outlineLevel="2">
      <c r="A53" s="553">
        <v>44</v>
      </c>
      <c r="B53" s="296" t="str">
        <f>'D-Dargebotsfaktor'!C$12</f>
        <v>Référence</v>
      </c>
      <c r="C53" s="24" t="str">
        <f>'D-Dargebotsfaktor'!D$12</f>
        <v>mh</v>
      </c>
      <c r="D53" s="32" t="str">
        <f>'D-Dargebotsfaktor'!E$12</f>
        <v>100%</v>
      </c>
      <c r="E53" s="296" t="s">
        <v>530</v>
      </c>
      <c r="F53" s="912">
        <f>'D-Dargebotsfaktor'!G$12</f>
        <v>0</v>
      </c>
      <c r="G53" s="912">
        <f>'D-Dargebotsfaktor'!H$12</f>
        <v>0</v>
      </c>
      <c r="H53" s="912">
        <f>'D-Dargebotsfaktor'!I$12</f>
        <v>0</v>
      </c>
      <c r="I53" s="912">
        <f>'D-Dargebotsfaktor'!J$12</f>
        <v>0</v>
      </c>
      <c r="J53" s="912">
        <f>'D-Dargebotsfaktor'!K$12</f>
        <v>0</v>
      </c>
      <c r="K53" s="912">
        <f>'D-Dargebotsfaktor'!L$12</f>
        <v>1</v>
      </c>
      <c r="L53" s="912">
        <f>'D-Dargebotsfaktor'!M$12</f>
        <v>1</v>
      </c>
      <c r="M53" s="912">
        <f>'D-Dargebotsfaktor'!N$12</f>
        <v>1</v>
      </c>
      <c r="N53" s="913">
        <f>'D-Dargebotsfaktor'!O$12</f>
        <v>1</v>
      </c>
      <c r="O53" s="914">
        <f>'D-Dargebotsfaktor'!P$12</f>
        <v>1</v>
      </c>
      <c r="P53" s="912">
        <f>'D-Dargebotsfaktor'!Q$12</f>
        <v>1</v>
      </c>
      <c r="Q53" s="912">
        <f>'D-Dargebotsfaktor'!R$12</f>
        <v>1</v>
      </c>
      <c r="R53" s="912">
        <f>'D-Dargebotsfaktor'!S$12</f>
        <v>1</v>
      </c>
      <c r="S53" s="912">
        <f>'D-Dargebotsfaktor'!T$12</f>
        <v>1</v>
      </c>
      <c r="T53" s="912">
        <f>'D-Dargebotsfaktor'!U$12</f>
        <v>1</v>
      </c>
      <c r="U53" s="912">
        <f>'D-Dargebotsfaktor'!V$12</f>
        <v>1</v>
      </c>
      <c r="V53" s="912">
        <f>'D-Dargebotsfaktor'!W$12</f>
        <v>1</v>
      </c>
      <c r="W53" s="912">
        <f>'D-Dargebotsfaktor'!X$12</f>
        <v>1</v>
      </c>
      <c r="X53" s="912">
        <f>'D-Dargebotsfaktor'!Y$12</f>
        <v>1</v>
      </c>
      <c r="Y53" s="912">
        <f>'D-Dargebotsfaktor'!Z$12</f>
        <v>1</v>
      </c>
      <c r="Z53" s="912">
        <f>'D-Dargebotsfaktor'!AA$12</f>
        <v>1</v>
      </c>
      <c r="AA53" s="912">
        <f>'D-Dargebotsfaktor'!AB$12</f>
        <v>1</v>
      </c>
      <c r="AB53" s="912">
        <f>'D-Dargebotsfaktor'!AC$12</f>
        <v>1</v>
      </c>
      <c r="AC53" s="912">
        <f>'D-Dargebotsfaktor'!AD$12</f>
        <v>1</v>
      </c>
      <c r="AD53" s="912">
        <f>'D-Dargebotsfaktor'!AE$12</f>
        <v>1</v>
      </c>
      <c r="AE53" s="913">
        <f>'D-Dargebotsfaktor'!AF$12</f>
        <v>1</v>
      </c>
      <c r="AF53" s="929"/>
      <c r="AG53" s="929"/>
      <c r="AH53" s="928"/>
      <c r="AI53" s="928"/>
      <c r="AJ53" s="1034"/>
    </row>
    <row r="54" spans="1:36" ht="12.75" customHeight="1" outlineLevel="1">
      <c r="A54" s="553">
        <v>45</v>
      </c>
      <c r="B54" s="10"/>
      <c r="N54" s="342"/>
      <c r="O54" s="289"/>
      <c r="AF54" s="929"/>
      <c r="AG54" s="929"/>
      <c r="AH54" s="928"/>
      <c r="AI54" s="928"/>
      <c r="AJ54" s="1034"/>
    </row>
    <row r="55" spans="1:36" ht="12.75" customHeight="1" outlineLevel="1">
      <c r="A55" s="553">
        <v>46</v>
      </c>
      <c r="B55" s="10"/>
      <c r="E55" s="315" t="s">
        <v>509</v>
      </c>
      <c r="N55" s="342"/>
      <c r="O55" s="289"/>
      <c r="AF55" s="929" t="s">
        <v>174</v>
      </c>
      <c r="AG55" s="929"/>
      <c r="AH55" s="928"/>
      <c r="AI55" s="928"/>
      <c r="AJ55" s="1034"/>
    </row>
    <row r="56" spans="1:36" ht="12.75" customHeight="1" outlineLevel="2">
      <c r="A56" s="553">
        <v>47</v>
      </c>
      <c r="B56" s="314" t="str">
        <f>'D-Bruttozubau'!C$6</f>
        <v>Pas d'extension</v>
      </c>
      <c r="C56" s="22" t="str">
        <f>'D-Bruttozubau'!D$6</f>
        <v>mh</v>
      </c>
      <c r="D56" s="30" t="str">
        <f>'D-Bruttozubau'!E$6</f>
        <v>0 GW/a</v>
      </c>
      <c r="E56" s="314" t="s">
        <v>529</v>
      </c>
      <c r="F56" s="904">
        <f>'D-Bruttozubau'!G$6</f>
        <v>0.11411000000000038</v>
      </c>
      <c r="G56" s="904">
        <f>'D-Bruttozubau'!H$6</f>
        <v>9.2075899999999766E-2</v>
      </c>
      <c r="H56" s="904">
        <f>'D-Bruttozubau'!I$6</f>
        <v>5.082349999999991E-2</v>
      </c>
      <c r="I56" s="904">
        <f>'D-Bruttozubau'!J$6</f>
        <v>7.4043600000000209E-2</v>
      </c>
      <c r="J56" s="904">
        <f>'D-Bruttozubau'!K$6</f>
        <v>0</v>
      </c>
      <c r="K56" s="904">
        <f>'D-Bruttozubau'!L$6</f>
        <v>0.2908247849999997</v>
      </c>
      <c r="L56" s="904">
        <f>'D-Bruttozubau'!M$6</f>
        <v>2.1633774999999821E-2</v>
      </c>
      <c r="M56" s="904">
        <f>'D-Bruttozubau'!N$6</f>
        <v>5.4000000000000003E-3</v>
      </c>
      <c r="N56" s="905">
        <f>'D-Bruttozubau'!O$6</f>
        <v>1.4999999999999999E-2</v>
      </c>
      <c r="O56" s="906">
        <f>'D-Bruttozubau'!P$6</f>
        <v>1.7000000000000001E-2</v>
      </c>
      <c r="P56" s="904">
        <f>'D-Bruttozubau'!Q$6</f>
        <v>1.2999999999999999E-2</v>
      </c>
      <c r="Q56" s="904">
        <f>'D-Bruttozubau'!R$6</f>
        <v>0</v>
      </c>
      <c r="R56" s="904">
        <f>'D-Bruttozubau'!S$6</f>
        <v>0</v>
      </c>
      <c r="S56" s="904">
        <f>'D-Bruttozubau'!T$6</f>
        <v>0</v>
      </c>
      <c r="T56" s="904">
        <f>'D-Bruttozubau'!U$6</f>
        <v>0</v>
      </c>
      <c r="U56" s="904">
        <f>'D-Bruttozubau'!V$6</f>
        <v>0</v>
      </c>
      <c r="V56" s="904">
        <f>'D-Bruttozubau'!W$6</f>
        <v>0</v>
      </c>
      <c r="W56" s="904">
        <f>'D-Bruttozubau'!X$6</f>
        <v>0</v>
      </c>
      <c r="X56" s="904">
        <f>'D-Bruttozubau'!Y$6</f>
        <v>0</v>
      </c>
      <c r="Y56" s="904">
        <f>'D-Bruttozubau'!Z$6</f>
        <v>0</v>
      </c>
      <c r="Z56" s="904">
        <f>'D-Bruttozubau'!AA$6</f>
        <v>0</v>
      </c>
      <c r="AA56" s="904">
        <f>'D-Bruttozubau'!AB$6</f>
        <v>0</v>
      </c>
      <c r="AB56" s="904">
        <f>'D-Bruttozubau'!AC$6</f>
        <v>0</v>
      </c>
      <c r="AC56" s="904">
        <f>'D-Bruttozubau'!AD$6</f>
        <v>0</v>
      </c>
      <c r="AD56" s="904">
        <f>'D-Bruttozubau'!AE$6</f>
        <v>0</v>
      </c>
      <c r="AE56" s="905">
        <f>'D-Bruttozubau'!AF$6</f>
        <v>0</v>
      </c>
      <c r="AF56" s="929"/>
      <c r="AG56" s="929"/>
      <c r="AH56" s="928"/>
      <c r="AI56" s="928"/>
      <c r="AJ56" s="1034"/>
    </row>
    <row r="57" spans="1:36" ht="12.75" customHeight="1" outlineLevel="2">
      <c r="A57" s="553">
        <v>48</v>
      </c>
      <c r="B57" s="16" t="str">
        <f>'D-Bruttozubau'!C$7</f>
        <v>Pas d'extension</v>
      </c>
      <c r="C57" s="12" t="str">
        <f>'D-Bruttozubau'!D$7</f>
        <v>mh</v>
      </c>
      <c r="D57" s="31" t="str">
        <f>'D-Bruttozubau'!E$7</f>
        <v>0 GW/a</v>
      </c>
      <c r="E57" s="16" t="s">
        <v>349</v>
      </c>
      <c r="F57" s="907">
        <f>'D-Bruttozubau'!G$7</f>
        <v>1.5435999999999849E-2</v>
      </c>
      <c r="G57" s="907">
        <f>'D-Bruttozubau'!H$7</f>
        <v>1.2638999999999964E-2</v>
      </c>
      <c r="H57" s="907">
        <f>'D-Bruttozubau'!I$7</f>
        <v>7.8030000000000209E-3</v>
      </c>
      <c r="I57" s="907">
        <f>'D-Bruttozubau'!J$7</f>
        <v>8.2572000000000756E-3</v>
      </c>
      <c r="J57" s="907">
        <f>'D-Bruttozubau'!K$7</f>
        <v>0</v>
      </c>
      <c r="K57" s="907">
        <f>'D-Bruttozubau'!L$7</f>
        <v>4.5781999999999823E-2</v>
      </c>
      <c r="L57" s="907">
        <f>'D-Bruttozubau'!M$7</f>
        <v>4.0839999999999765E-3</v>
      </c>
      <c r="M57" s="907">
        <f>'D-Bruttozubau'!N$7</f>
        <v>1.6999999999999999E-3</v>
      </c>
      <c r="N57" s="908">
        <f>'D-Bruttozubau'!O$7</f>
        <v>6.0000000000000001E-3</v>
      </c>
      <c r="O57" s="909">
        <f>'D-Bruttozubau'!P$7</f>
        <v>2E-3</v>
      </c>
      <c r="P57" s="907">
        <f>'D-Bruttozubau'!Q$7</f>
        <v>2E-3</v>
      </c>
      <c r="Q57" s="907">
        <f>'D-Bruttozubau'!R$7</f>
        <v>0</v>
      </c>
      <c r="R57" s="907">
        <f>'D-Bruttozubau'!S$7</f>
        <v>0</v>
      </c>
      <c r="S57" s="907">
        <f>'D-Bruttozubau'!T$7</f>
        <v>0</v>
      </c>
      <c r="T57" s="907">
        <f>'D-Bruttozubau'!U$7</f>
        <v>0</v>
      </c>
      <c r="U57" s="907">
        <f>'D-Bruttozubau'!V$7</f>
        <v>0</v>
      </c>
      <c r="V57" s="907">
        <f>'D-Bruttozubau'!W$7</f>
        <v>0</v>
      </c>
      <c r="W57" s="907">
        <f>'D-Bruttozubau'!X$7</f>
        <v>0</v>
      </c>
      <c r="X57" s="907">
        <f>'D-Bruttozubau'!Y$7</f>
        <v>0</v>
      </c>
      <c r="Y57" s="907">
        <f>'D-Bruttozubau'!Z$7</f>
        <v>0</v>
      </c>
      <c r="Z57" s="907">
        <f>'D-Bruttozubau'!AA$7</f>
        <v>0</v>
      </c>
      <c r="AA57" s="907">
        <f>'D-Bruttozubau'!AB$7</f>
        <v>0</v>
      </c>
      <c r="AB57" s="907">
        <f>'D-Bruttozubau'!AC$7</f>
        <v>0</v>
      </c>
      <c r="AC57" s="907">
        <f>'D-Bruttozubau'!AD$7</f>
        <v>0</v>
      </c>
      <c r="AD57" s="907">
        <f>'D-Bruttozubau'!AE$7</f>
        <v>0</v>
      </c>
      <c r="AE57" s="908">
        <f>'D-Bruttozubau'!AF$7</f>
        <v>0</v>
      </c>
      <c r="AF57" s="929"/>
      <c r="AG57" s="929"/>
      <c r="AH57" s="928"/>
      <c r="AI57" s="928"/>
      <c r="AJ57" s="1034"/>
    </row>
    <row r="58" spans="1:36" ht="12.75" customHeight="1" outlineLevel="2">
      <c r="A58" s="553">
        <v>49</v>
      </c>
      <c r="B58" s="16" t="str">
        <f>'D-Bruttozubau'!C$8</f>
        <v>Référence</v>
      </c>
      <c r="C58" s="12" t="str">
        <f>'D-Bruttozubau'!D$8</f>
        <v>fh</v>
      </c>
      <c r="D58" s="31" t="str">
        <f>'D-Bruttozubau'!E$8</f>
        <v>0,2 GW/a</v>
      </c>
      <c r="E58" s="16" t="s">
        <v>11</v>
      </c>
      <c r="F58" s="907">
        <f>'D-Bruttozubau'!G$8</f>
        <v>0.54100080000000128</v>
      </c>
      <c r="G58" s="907">
        <f>'D-Bruttozubau'!H$8</f>
        <v>0.92484900000000014</v>
      </c>
      <c r="H58" s="907">
        <f>'D-Bruttozubau'!I$8</f>
        <v>0.2370309999999996</v>
      </c>
      <c r="I58" s="907">
        <f>'D-Bruttozubau'!J$8</f>
        <v>0.21040099999999845</v>
      </c>
      <c r="J58" s="907">
        <f>'D-Bruttozubau'!K$8</f>
        <v>0.63719819999999994</v>
      </c>
      <c r="K58" s="907">
        <f>'D-Bruttozubau'!L$8</f>
        <v>1.2571299999999432E-2</v>
      </c>
      <c r="L58" s="907">
        <f>'D-Bruttozubau'!M$8</f>
        <v>0.15215899999999888</v>
      </c>
      <c r="M58" s="907">
        <f>'D-Bruttozubau'!N$8</f>
        <v>0.221</v>
      </c>
      <c r="N58" s="908">
        <f>'D-Bruttozubau'!O$8</f>
        <v>0.33500000000000002</v>
      </c>
      <c r="O58" s="909">
        <f>'D-Bruttozubau'!P$8</f>
        <v>0.19500000000000001</v>
      </c>
      <c r="P58" s="907">
        <f>'D-Bruttozubau'!Q$8</f>
        <v>0.17599999999999999</v>
      </c>
      <c r="Q58" s="907">
        <f>'D-Bruttozubau'!R$8</f>
        <v>0.124</v>
      </c>
      <c r="R58" s="907">
        <f>'D-Bruttozubau'!S$8</f>
        <v>3.5999999999999997E-2</v>
      </c>
      <c r="S58" s="907">
        <f>'D-Bruttozubau'!T$8</f>
        <v>0.04</v>
      </c>
      <c r="T58" s="907">
        <f>'D-Bruttozubau'!U$8</f>
        <v>4.2999999999999997E-2</v>
      </c>
      <c r="U58" s="907">
        <f>'D-Bruttozubau'!V$8</f>
        <v>4.4999999999999998E-2</v>
      </c>
      <c r="V58" s="907">
        <f>'D-Bruttozubau'!W$8</f>
        <v>0.2</v>
      </c>
      <c r="W58" s="907">
        <f>'D-Bruttozubau'!X$8</f>
        <v>0.2</v>
      </c>
      <c r="X58" s="907">
        <f>'D-Bruttozubau'!Y$8</f>
        <v>0.2</v>
      </c>
      <c r="Y58" s="907">
        <f>'D-Bruttozubau'!Z$8</f>
        <v>0.2</v>
      </c>
      <c r="Z58" s="907">
        <f>'D-Bruttozubau'!AA$8</f>
        <v>0.2</v>
      </c>
      <c r="AA58" s="907">
        <f>'D-Bruttozubau'!AB$8</f>
        <v>0.2</v>
      </c>
      <c r="AB58" s="907">
        <f>'D-Bruttozubau'!AC$8</f>
        <v>0.2</v>
      </c>
      <c r="AC58" s="907">
        <f>'D-Bruttozubau'!AD$8</f>
        <v>0.2</v>
      </c>
      <c r="AD58" s="907">
        <f>'D-Bruttozubau'!AE$8</f>
        <v>0.2</v>
      </c>
      <c r="AE58" s="908">
        <f>'D-Bruttozubau'!AF$8</f>
        <v>0.2</v>
      </c>
      <c r="AF58" s="929"/>
      <c r="AG58" s="929"/>
      <c r="AH58" s="928"/>
      <c r="AI58" s="928"/>
      <c r="AJ58" s="1034"/>
    </row>
    <row r="59" spans="1:36" ht="12.75" customHeight="1" outlineLevel="2">
      <c r="A59" s="553">
        <v>50</v>
      </c>
      <c r="B59" s="16" t="str">
        <f>'D-Bruttozubau'!C$9</f>
        <v>Pas d'extension</v>
      </c>
      <c r="C59" s="12" t="str">
        <f>'D-Bruttozubau'!D$9</f>
        <v>mh</v>
      </c>
      <c r="D59" s="31" t="str">
        <f>'D-Bruttozubau'!E$9</f>
        <v>0 GW/a</v>
      </c>
      <c r="E59" s="16" t="s">
        <v>10</v>
      </c>
      <c r="F59" s="907">
        <f>'D-Bruttozubau'!G$9</f>
        <v>0</v>
      </c>
      <c r="G59" s="907">
        <f>'D-Bruttozubau'!H$9</f>
        <v>0</v>
      </c>
      <c r="H59" s="907">
        <f>'D-Bruttozubau'!I$9</f>
        <v>1.1799999999999998E-2</v>
      </c>
      <c r="I59" s="907">
        <f>'D-Bruttozubau'!J$9</f>
        <v>1.132E-2</v>
      </c>
      <c r="J59" s="907">
        <f>'D-Bruttozubau'!K$9</f>
        <v>3.7300000000000041E-3</v>
      </c>
      <c r="K59" s="907">
        <f>'D-Bruttozubau'!L$9</f>
        <v>0</v>
      </c>
      <c r="L59" s="907">
        <f>'D-Bruttozubau'!M$9</f>
        <v>4.9999999999999984E-3</v>
      </c>
      <c r="M59" s="907">
        <f>'D-Bruttozubau'!N$9</f>
        <v>2E-3</v>
      </c>
      <c r="N59" s="908">
        <f>'D-Bruttozubau'!O$9</f>
        <v>5.0000000000000001E-3</v>
      </c>
      <c r="O59" s="909">
        <f>'D-Bruttozubau'!P$9</f>
        <v>4.0000000000000001E-3</v>
      </c>
      <c r="P59" s="907">
        <f>'D-Bruttozubau'!Q$9</f>
        <v>5.0000000000000001E-3</v>
      </c>
      <c r="Q59" s="907">
        <f>'D-Bruttozubau'!R$9</f>
        <v>0</v>
      </c>
      <c r="R59" s="907">
        <f>'D-Bruttozubau'!S$9</f>
        <v>0</v>
      </c>
      <c r="S59" s="907">
        <f>'D-Bruttozubau'!T$9</f>
        <v>0</v>
      </c>
      <c r="T59" s="907">
        <f>'D-Bruttozubau'!U$9</f>
        <v>0</v>
      </c>
      <c r="U59" s="907">
        <f>'D-Bruttozubau'!V$9</f>
        <v>0</v>
      </c>
      <c r="V59" s="907">
        <f>'D-Bruttozubau'!W$9</f>
        <v>0</v>
      </c>
      <c r="W59" s="907">
        <f>'D-Bruttozubau'!X$9</f>
        <v>0</v>
      </c>
      <c r="X59" s="907">
        <f>'D-Bruttozubau'!Y$9</f>
        <v>0</v>
      </c>
      <c r="Y59" s="907">
        <f>'D-Bruttozubau'!Z$9</f>
        <v>0</v>
      </c>
      <c r="Z59" s="907">
        <f>'D-Bruttozubau'!AA$9</f>
        <v>0</v>
      </c>
      <c r="AA59" s="907">
        <f>'D-Bruttozubau'!AB$9</f>
        <v>0</v>
      </c>
      <c r="AB59" s="907">
        <f>'D-Bruttozubau'!AC$9</f>
        <v>0</v>
      </c>
      <c r="AC59" s="907">
        <f>'D-Bruttozubau'!AD$9</f>
        <v>0</v>
      </c>
      <c r="AD59" s="907">
        <f>'D-Bruttozubau'!AE$9</f>
        <v>0</v>
      </c>
      <c r="AE59" s="908">
        <f>'D-Bruttozubau'!AF$9</f>
        <v>0</v>
      </c>
      <c r="AF59" s="929"/>
      <c r="AG59" s="929"/>
      <c r="AH59" s="928"/>
      <c r="AI59" s="928"/>
      <c r="AJ59" s="1034"/>
    </row>
    <row r="60" spans="1:36" ht="12.75" customHeight="1" outlineLevel="2">
      <c r="A60" s="553">
        <v>51</v>
      </c>
      <c r="B60" s="16" t="str">
        <f>'D-Bruttozubau'!C$10</f>
        <v>Référence</v>
      </c>
      <c r="C60" s="12" t="str">
        <f>'D-Bruttozubau'!D$10</f>
        <v>fh</v>
      </c>
      <c r="D60" s="31" t="str">
        <f>'D-Bruttozubau'!E$10</f>
        <v>1,5 GW jusqu´à 2021, à partir de 2023 2,5 GW/a</v>
      </c>
      <c r="E60" s="16" t="s">
        <v>339</v>
      </c>
      <c r="F60" s="907">
        <f>'D-Bruttozubau'!G$10</f>
        <v>1.4349999999999989</v>
      </c>
      <c r="G60" s="907">
        <f>'D-Bruttozubau'!H$10</f>
        <v>1.8959999999999988</v>
      </c>
      <c r="H60" s="907">
        <f>'D-Bruttozubau'!I$10</f>
        <v>2.2069999999999994</v>
      </c>
      <c r="I60" s="907">
        <f>'D-Bruttozubau'!J$10</f>
        <v>2.9129999999999994</v>
      </c>
      <c r="J60" s="907">
        <f>'D-Bruttozubau'!K$10</f>
        <v>4.2570000000000032</v>
      </c>
      <c r="K60" s="907">
        <f>'D-Bruttozubau'!L$10</f>
        <v>3.536</v>
      </c>
      <c r="L60" s="907">
        <f>'D-Bruttozubau'!M$10</f>
        <v>4.625</v>
      </c>
      <c r="M60" s="907">
        <f>'D-Bruttozubau'!N$10</f>
        <v>5.2309999999999999</v>
      </c>
      <c r="N60" s="908">
        <f>'D-Bruttozubau'!O$10</f>
        <v>3.4460000000000002</v>
      </c>
      <c r="O60" s="909">
        <f>'D-Bruttozubau'!P$10</f>
        <v>1.3380000000000001</v>
      </c>
      <c r="P60" s="907">
        <f>'D-Bruttozubau'!Q$10</f>
        <v>1.5</v>
      </c>
      <c r="Q60" s="907">
        <f>'D-Bruttozubau'!R$10</f>
        <v>1.5</v>
      </c>
      <c r="R60" s="907">
        <f>'D-Bruttozubau'!S$10</f>
        <v>2</v>
      </c>
      <c r="S60" s="907">
        <f>'D-Bruttozubau'!T$10</f>
        <v>2.5</v>
      </c>
      <c r="T60" s="907">
        <f>'D-Bruttozubau'!U$10</f>
        <v>2.5</v>
      </c>
      <c r="U60" s="907">
        <f>'D-Bruttozubau'!V$10</f>
        <v>2.5</v>
      </c>
      <c r="V60" s="907">
        <f>'D-Bruttozubau'!W$10</f>
        <v>2.5</v>
      </c>
      <c r="W60" s="907">
        <f>'D-Bruttozubau'!X$10</f>
        <v>2.5</v>
      </c>
      <c r="X60" s="907">
        <f>'D-Bruttozubau'!Y$10</f>
        <v>2.5</v>
      </c>
      <c r="Y60" s="907">
        <f>'D-Bruttozubau'!Z$10</f>
        <v>2.5</v>
      </c>
      <c r="Z60" s="907">
        <f>'D-Bruttozubau'!AA$10</f>
        <v>2.5</v>
      </c>
      <c r="AA60" s="907">
        <f>'D-Bruttozubau'!AB$10</f>
        <v>2.5</v>
      </c>
      <c r="AB60" s="907">
        <f>'D-Bruttozubau'!AC$10</f>
        <v>2.5</v>
      </c>
      <c r="AC60" s="907">
        <f>'D-Bruttozubau'!AD$10</f>
        <v>2.5</v>
      </c>
      <c r="AD60" s="907">
        <f>'D-Bruttozubau'!AE$10</f>
        <v>2.5</v>
      </c>
      <c r="AE60" s="908">
        <f>'D-Bruttozubau'!AF$10</f>
        <v>2.5</v>
      </c>
      <c r="AF60" s="929"/>
      <c r="AG60" s="929"/>
      <c r="AH60" s="928"/>
      <c r="AI60" s="928"/>
      <c r="AJ60" s="1034"/>
    </row>
    <row r="61" spans="1:36" ht="12.75" customHeight="1" outlineLevel="2">
      <c r="A61" s="553">
        <v>52</v>
      </c>
      <c r="B61" s="16" t="str">
        <f>'D-Bruttozubau'!C$11</f>
        <v>Référence</v>
      </c>
      <c r="C61" s="12" t="str">
        <f>'D-Bruttozubau'!D$11</f>
        <v>fh</v>
      </c>
      <c r="D61" s="31" t="str">
        <f>'D-Bruttozubau'!E$11</f>
        <v>Tendance MFP, puis constante 1,6 GW</v>
      </c>
      <c r="E61" s="16" t="s">
        <v>340</v>
      </c>
      <c r="F61" s="907">
        <f>'D-Bruttozubau'!G$11</f>
        <v>4.4999999999999998E-2</v>
      </c>
      <c r="G61" s="907">
        <f>'D-Bruttozubau'!H$11</f>
        <v>0.108</v>
      </c>
      <c r="H61" s="907">
        <f>'D-Bruttozubau'!I$11</f>
        <v>9.2299999999999993E-2</v>
      </c>
      <c r="I61" s="907">
        <f>'D-Bruttozubau'!J$11</f>
        <v>0.24</v>
      </c>
      <c r="J61" s="907">
        <f>'D-Bruttozubau'!K$11</f>
        <v>0.47770000000000001</v>
      </c>
      <c r="K61" s="907">
        <f>'D-Bruttozubau'!L$11</f>
        <v>2.2849999999999997</v>
      </c>
      <c r="L61" s="907">
        <f>'D-Bruttozubau'!M$11</f>
        <v>0.81799999999999995</v>
      </c>
      <c r="M61" s="907">
        <f>'D-Bruttozubau'!N$11</f>
        <v>1.306</v>
      </c>
      <c r="N61" s="908">
        <f>'D-Bruttozubau'!O$11</f>
        <v>0.95</v>
      </c>
      <c r="O61" s="909">
        <f>'D-Bruttozubau'!P$11</f>
        <v>1.409</v>
      </c>
      <c r="P61" s="907">
        <f>'D-Bruttozubau'!Q$11</f>
        <v>0</v>
      </c>
      <c r="Q61" s="907">
        <f>'D-Bruttozubau'!R$11</f>
        <v>0</v>
      </c>
      <c r="R61" s="907">
        <f>'D-Bruttozubau'!S$11</f>
        <v>0.34200000000000003</v>
      </c>
      <c r="S61" s="907">
        <f>'D-Bruttozubau'!T$11</f>
        <v>0.97499999999999998</v>
      </c>
      <c r="T61" s="907">
        <f>'D-Bruttozubau'!U$11</f>
        <v>0.9</v>
      </c>
      <c r="U61" s="907">
        <f>'D-Bruttozubau'!V$11</f>
        <v>0.9</v>
      </c>
      <c r="V61" s="907">
        <f>'D-Bruttozubau'!W$11</f>
        <v>0.9</v>
      </c>
      <c r="W61" s="907">
        <f>'D-Bruttozubau'!X$11</f>
        <v>0.9</v>
      </c>
      <c r="X61" s="907">
        <f>'D-Bruttozubau'!Y$11</f>
        <v>0.9</v>
      </c>
      <c r="Y61" s="907">
        <f>'D-Bruttozubau'!Z$11</f>
        <v>0.9</v>
      </c>
      <c r="Z61" s="907">
        <f>'D-Bruttozubau'!AA$11</f>
        <v>0.9</v>
      </c>
      <c r="AA61" s="907">
        <f>'D-Bruttozubau'!AB$11</f>
        <v>0.9</v>
      </c>
      <c r="AB61" s="907">
        <f>'D-Bruttozubau'!AC$11</f>
        <v>0.9</v>
      </c>
      <c r="AC61" s="907">
        <f>'D-Bruttozubau'!AD$11</f>
        <v>0.9</v>
      </c>
      <c r="AD61" s="907">
        <f>'D-Bruttozubau'!AE$11</f>
        <v>0.9</v>
      </c>
      <c r="AE61" s="908">
        <f>'D-Bruttozubau'!AF$11</f>
        <v>0.9</v>
      </c>
      <c r="AF61" s="929"/>
      <c r="AG61" s="929"/>
      <c r="AH61" s="928"/>
      <c r="AI61" s="928"/>
      <c r="AJ61" s="1034"/>
    </row>
    <row r="62" spans="1:36" ht="12.75" customHeight="1" outlineLevel="2">
      <c r="A62" s="553">
        <v>53</v>
      </c>
      <c r="B62" s="296" t="str">
        <f>'D-Bruttozubau'!C$12</f>
        <v>Référence</v>
      </c>
      <c r="C62" s="24" t="str">
        <f>'D-Bruttozubau'!D$12</f>
        <v>fh</v>
      </c>
      <c r="D62" s="32" t="str">
        <f>'D-Bruttozubau'!E$12</f>
        <v>Tendence MFP</v>
      </c>
      <c r="E62" s="296" t="s">
        <v>530</v>
      </c>
      <c r="F62" s="912">
        <f>'D-Bruttozubau'!G$12</f>
        <v>7.3779999999999983</v>
      </c>
      <c r="G62" s="912">
        <f>'D-Bruttozubau'!H$12</f>
        <v>7.4849999999999994</v>
      </c>
      <c r="H62" s="912">
        <f>'D-Bruttozubau'!I$12</f>
        <v>7.6040000000000028</v>
      </c>
      <c r="I62" s="912">
        <f>'D-Bruttozubau'!J$12</f>
        <v>3.304000000000002</v>
      </c>
      <c r="J62" s="912">
        <f>'D-Bruttozubau'!K$12</f>
        <v>0.7958877419999979</v>
      </c>
      <c r="K62" s="1081">
        <f>'D-Bruttozubau'!L$12</f>
        <v>1.498</v>
      </c>
      <c r="L62" s="912">
        <f>'D-Bruttozubau'!M$12</f>
        <v>1.5249999999999999</v>
      </c>
      <c r="M62" s="912">
        <f>'D-Bruttozubau'!N$12</f>
        <v>2.2440000000000002</v>
      </c>
      <c r="N62" s="913">
        <f>'D-Bruttozubau'!O$12</f>
        <v>2.4039999999999999</v>
      </c>
      <c r="O62" s="914">
        <f>'D-Bruttozubau'!P$12</f>
        <v>2.6869999999999998</v>
      </c>
      <c r="P62" s="912">
        <f>'D-Bruttozubau'!Q$12</f>
        <v>3.9910000000000001</v>
      </c>
      <c r="Q62" s="912">
        <f>'D-Bruttozubau'!R$12</f>
        <v>5.4139999999999997</v>
      </c>
      <c r="R62" s="912">
        <f>'D-Bruttozubau'!S$12</f>
        <v>4.9379999999999997</v>
      </c>
      <c r="S62" s="912">
        <f>'D-Bruttozubau'!T$12</f>
        <v>3.1520000000000001</v>
      </c>
      <c r="T62" s="912">
        <f>'D-Bruttozubau'!U$12</f>
        <v>3.0219999999999998</v>
      </c>
      <c r="U62" s="912">
        <f>'D-Bruttozubau'!V$12</f>
        <v>3.129</v>
      </c>
      <c r="V62" s="912">
        <f>'D-Bruttozubau'!W$12</f>
        <v>2.5</v>
      </c>
      <c r="W62" s="912">
        <f>'D-Bruttozubau'!X$12</f>
        <v>2.5</v>
      </c>
      <c r="X62" s="912">
        <f>'D-Bruttozubau'!Y$12</f>
        <v>2.5</v>
      </c>
      <c r="Y62" s="912">
        <f>'D-Bruttozubau'!Z$12</f>
        <v>2.5</v>
      </c>
      <c r="Z62" s="912">
        <f>'D-Bruttozubau'!AA$12</f>
        <v>2.5</v>
      </c>
      <c r="AA62" s="912">
        <f>'D-Bruttozubau'!AB$12</f>
        <v>2.5</v>
      </c>
      <c r="AB62" s="912">
        <f>'D-Bruttozubau'!AC$12</f>
        <v>2.5</v>
      </c>
      <c r="AC62" s="912">
        <f>'D-Bruttozubau'!AD$12</f>
        <v>2.5</v>
      </c>
      <c r="AD62" s="912">
        <f>'D-Bruttozubau'!AE$12</f>
        <v>2.5</v>
      </c>
      <c r="AE62" s="913">
        <f>'D-Bruttozubau'!AF$12</f>
        <v>2.5</v>
      </c>
      <c r="AF62" s="929"/>
      <c r="AG62" s="929"/>
      <c r="AH62" s="928"/>
      <c r="AI62" s="928"/>
      <c r="AJ62" s="1034"/>
    </row>
    <row r="63" spans="1:36" ht="12.75" customHeight="1" outlineLevel="2">
      <c r="A63" s="553">
        <v>54</v>
      </c>
      <c r="B63" s="10"/>
      <c r="C63" s="26"/>
      <c r="D63" s="34"/>
      <c r="E63" s="10"/>
      <c r="AF63" s="929"/>
      <c r="AG63" s="929"/>
      <c r="AH63" s="928"/>
      <c r="AI63" s="928"/>
      <c r="AJ63" s="1034"/>
    </row>
    <row r="64" spans="1:36" ht="12.75" customHeight="1" outlineLevel="1">
      <c r="A64" s="553">
        <v>55</v>
      </c>
      <c r="B64" s="10"/>
      <c r="E64" s="315" t="s">
        <v>510</v>
      </c>
      <c r="N64" s="342"/>
      <c r="O64" s="289"/>
      <c r="AF64" s="929"/>
      <c r="AG64" s="929" t="s">
        <v>151</v>
      </c>
      <c r="AH64" s="928"/>
      <c r="AI64" s="928"/>
      <c r="AJ64" s="1034"/>
    </row>
    <row r="65" spans="1:36" ht="12.75" customHeight="1" outlineLevel="2">
      <c r="A65" s="553">
        <v>56</v>
      </c>
      <c r="B65" s="314" t="str">
        <f>'D-Standardauslastung'!C$6</f>
        <v>Référence</v>
      </c>
      <c r="C65" s="22" t="str">
        <f>'D-Standardauslastung'!D$6</f>
        <v>fh</v>
      </c>
      <c r="D65" s="30" t="str">
        <f>'D-Standardauslastung'!E$6</f>
        <v>Tendance MFP</v>
      </c>
      <c r="E65" s="314" t="s">
        <v>529</v>
      </c>
      <c r="F65" s="904">
        <f>'D-Bestand Kapazität'!G6</f>
        <v>0</v>
      </c>
      <c r="G65" s="904">
        <f>'D-Bestand Kapazität'!H6</f>
        <v>0</v>
      </c>
      <c r="H65" s="904">
        <f>'D-Bestand Kapazität'!I6</f>
        <v>0</v>
      </c>
      <c r="I65" s="904">
        <f>'D-Bestand Kapazität'!J6</f>
        <v>0</v>
      </c>
      <c r="J65" s="904">
        <f>'D-Bestand Kapazität'!K6</f>
        <v>1.5617438099999998</v>
      </c>
      <c r="K65" s="904">
        <f>'D-Bestand Kapazität'!L6</f>
        <v>1.5617438099999998</v>
      </c>
      <c r="L65" s="904">
        <f>'D-Bestand Kapazität'!M6</f>
        <v>1.5617438099999998</v>
      </c>
      <c r="M65" s="904">
        <f>'D-Bestand Kapazität'!N6</f>
        <v>1.5617438099999998</v>
      </c>
      <c r="N65" s="905">
        <f>'D-Bestand Kapazität'!O6</f>
        <v>1.5617438099999998</v>
      </c>
      <c r="O65" s="906">
        <f>'D-Bestand Kapazität'!P6</f>
        <v>1.5617438099999998</v>
      </c>
      <c r="P65" s="904">
        <f>'D-Bestand Kapazität'!Q6</f>
        <v>1.5617438099999998</v>
      </c>
      <c r="Q65" s="904">
        <f>'D-Bestand Kapazität'!R6</f>
        <v>1.5617438099999998</v>
      </c>
      <c r="R65" s="904">
        <f>'D-Bestand Kapazität'!S6</f>
        <v>1.5617438099999998</v>
      </c>
      <c r="S65" s="904">
        <f>'D-Bestand Kapazität'!T6</f>
        <v>1.5617438099999998</v>
      </c>
      <c r="T65" s="904">
        <f>'D-Bestand Kapazität'!U6</f>
        <v>1.5617438099999998</v>
      </c>
      <c r="U65" s="904">
        <f>'D-Bestand Kapazität'!V6</f>
        <v>1.5617438099999998</v>
      </c>
      <c r="V65" s="904">
        <f>'D-Bestand Kapazität'!W6</f>
        <v>1.5617438099999998</v>
      </c>
      <c r="W65" s="904">
        <f>'D-Bestand Kapazität'!X6</f>
        <v>1.5617438099999998</v>
      </c>
      <c r="X65" s="904">
        <f>'D-Bestand Kapazität'!Y6</f>
        <v>1.5617438099999998</v>
      </c>
      <c r="Y65" s="904">
        <f>'D-Bestand Kapazität'!Z6</f>
        <v>1.5617438099999998</v>
      </c>
      <c r="Z65" s="904">
        <f>'D-Bestand Kapazität'!AA6</f>
        <v>1.45086618</v>
      </c>
      <c r="AA65" s="904">
        <f>'D-Bestand Kapazität'!AB6</f>
        <v>1.3595179899999998</v>
      </c>
      <c r="AB65" s="904">
        <f>'D-Bestand Kapazität'!AC6</f>
        <v>1.2860902400000001</v>
      </c>
      <c r="AC65" s="904">
        <f>'D-Bestand Kapazität'!AD6</f>
        <v>1.2395648899999998</v>
      </c>
      <c r="AD65" s="904">
        <f>'D-Bestand Kapazität'!AE6</f>
        <v>1.1316575499999999</v>
      </c>
      <c r="AE65" s="905">
        <f>'D-Bestand Kapazität'!AF6</f>
        <v>1.1188063499999998</v>
      </c>
      <c r="AF65" s="929"/>
      <c r="AG65" s="929" t="s">
        <v>151</v>
      </c>
      <c r="AH65" s="549"/>
      <c r="AI65" s="928"/>
      <c r="AJ65" s="1034"/>
    </row>
    <row r="66" spans="1:36" ht="12.75" customHeight="1" outlineLevel="2">
      <c r="A66" s="553">
        <v>57</v>
      </c>
      <c r="B66" s="16" t="str">
        <f>'D-Standardauslastung'!C$7</f>
        <v>Référence</v>
      </c>
      <c r="C66" s="12" t="str">
        <f>'D-Standardauslastung'!D$7</f>
        <v>fh</v>
      </c>
      <c r="D66" s="31" t="str">
        <f>'D-Standardauslastung'!E$7</f>
        <v>Tendance MFP</v>
      </c>
      <c r="E66" s="16" t="s">
        <v>349</v>
      </c>
      <c r="F66" s="907">
        <f>'D-Bestand Kapazität'!G7</f>
        <v>0</v>
      </c>
      <c r="G66" s="907">
        <f>'D-Bestand Kapazität'!H7</f>
        <v>0</v>
      </c>
      <c r="H66" s="907">
        <f>'D-Bestand Kapazität'!I7</f>
        <v>0</v>
      </c>
      <c r="I66" s="907">
        <f>'D-Bestand Kapazität'!J7</f>
        <v>0</v>
      </c>
      <c r="J66" s="907">
        <f>'D-Bestand Kapazität'!K7</f>
        <v>0.50447248999999994</v>
      </c>
      <c r="K66" s="907">
        <f>'D-Bestand Kapazität'!L7</f>
        <v>0.50447248999999994</v>
      </c>
      <c r="L66" s="907">
        <f>'D-Bestand Kapazität'!M7</f>
        <v>0.50447248999999994</v>
      </c>
      <c r="M66" s="907">
        <f>'D-Bestand Kapazität'!N7</f>
        <v>0.50447248999999994</v>
      </c>
      <c r="N66" s="908">
        <f>'D-Bestand Kapazität'!O7</f>
        <v>0.50447248999999994</v>
      </c>
      <c r="O66" s="909">
        <f>'D-Bestand Kapazität'!P7</f>
        <v>0.50447248999999994</v>
      </c>
      <c r="P66" s="907">
        <f>'D-Bestand Kapazität'!Q7</f>
        <v>0.50447248999999994</v>
      </c>
      <c r="Q66" s="907">
        <f>'D-Bestand Kapazität'!R7</f>
        <v>0.32682229000000002</v>
      </c>
      <c r="R66" s="907">
        <f>'D-Bestand Kapazität'!S7</f>
        <v>0.27378529000000001</v>
      </c>
      <c r="S66" s="907">
        <f>'D-Bestand Kapazität'!T7</f>
        <v>0.21108429000000001</v>
      </c>
      <c r="T66" s="907">
        <f>'D-Bestand Kapazität'!U7</f>
        <v>0.13316929</v>
      </c>
      <c r="U66" s="907">
        <f>'D-Bestand Kapazität'!V7</f>
        <v>6.6771990000000003E-2</v>
      </c>
      <c r="V66" s="907">
        <f>'D-Bestand Kapazität'!W7</f>
        <v>5.3154990000000006E-2</v>
      </c>
      <c r="W66" s="907">
        <f>'D-Bestand Kapazität'!X7</f>
        <v>4.4618990000000004E-2</v>
      </c>
      <c r="X66" s="907">
        <f>'D-Bestand Kapazität'!Y7</f>
        <v>3.6103990000000002E-2</v>
      </c>
      <c r="Y66" s="907">
        <f>'D-Bestand Kapazität'!Z7</f>
        <v>3.0399990000000002E-2</v>
      </c>
      <c r="Z66" s="907">
        <f>'D-Bestand Kapazität'!AA7</f>
        <v>2.0893000000000005E-2</v>
      </c>
      <c r="AA66" s="907">
        <f>'D-Bestand Kapazität'!AB7</f>
        <v>1.7971000000000004E-2</v>
      </c>
      <c r="AB66" s="907">
        <f>'D-Bestand Kapazität'!AC7</f>
        <v>8.7540000000000014E-3</v>
      </c>
      <c r="AC66" s="907">
        <f>'D-Bestand Kapazität'!AD7</f>
        <v>6.9640000000000006E-3</v>
      </c>
      <c r="AD66" s="907">
        <f>'D-Bestand Kapazität'!AE7</f>
        <v>5.836E-3</v>
      </c>
      <c r="AE66" s="908">
        <f>'D-Bestand Kapazität'!AF7</f>
        <v>0</v>
      </c>
      <c r="AF66" s="929"/>
      <c r="AG66" s="929" t="s">
        <v>151</v>
      </c>
      <c r="AH66" s="928"/>
      <c r="AI66" s="928"/>
      <c r="AJ66" s="1034"/>
    </row>
    <row r="67" spans="1:36" ht="12.75" customHeight="1" outlineLevel="2">
      <c r="A67" s="553">
        <v>58</v>
      </c>
      <c r="B67" s="16" t="str">
        <f>'D-Standardauslastung'!C$8</f>
        <v>Référence</v>
      </c>
      <c r="C67" s="12" t="str">
        <f>'D-Standardauslastung'!D$8</f>
        <v>fh</v>
      </c>
      <c r="D67" s="31" t="str">
        <f>'D-Standardauslastung'!E$8</f>
        <v>Tendance MFP</v>
      </c>
      <c r="E67" s="16" t="s">
        <v>11</v>
      </c>
      <c r="F67" s="907">
        <f>'D-Bestand Kapazität'!G8</f>
        <v>0</v>
      </c>
      <c r="G67" s="907">
        <f>'D-Bestand Kapazität'!H8</f>
        <v>0</v>
      </c>
      <c r="H67" s="907">
        <f>'D-Bestand Kapazität'!I8</f>
        <v>0</v>
      </c>
      <c r="I67" s="907">
        <f>'D-Bestand Kapazität'!J8</f>
        <v>0</v>
      </c>
      <c r="J67" s="907">
        <f>'D-Bestand Kapazität'!K8</f>
        <v>7.0343045899999996</v>
      </c>
      <c r="K67" s="907">
        <f>'D-Bestand Kapazität'!L8</f>
        <v>7.0343045899999996</v>
      </c>
      <c r="L67" s="907">
        <f>'D-Bestand Kapazität'!M8</f>
        <v>7.0343045899999996</v>
      </c>
      <c r="M67" s="907">
        <f>'D-Bestand Kapazität'!N8</f>
        <v>7.0343045899999996</v>
      </c>
      <c r="N67" s="908">
        <f>'D-Bestand Kapazität'!O8</f>
        <v>7.0343045899999996</v>
      </c>
      <c r="O67" s="909">
        <f>'D-Bestand Kapazität'!P8</f>
        <v>7.0343045899999996</v>
      </c>
      <c r="P67" s="907">
        <f>'D-Bestand Kapazität'!Q8</f>
        <v>7.0343045899999996</v>
      </c>
      <c r="Q67" s="907">
        <f>'D-Bestand Kapazität'!R8</f>
        <v>6.6231892300000004</v>
      </c>
      <c r="R67" s="907">
        <f>'D-Bestand Kapazität'!S8</f>
        <v>6.4349554299999987</v>
      </c>
      <c r="S67" s="907">
        <f>'D-Bestand Kapazität'!T8</f>
        <v>6.2947062699999998</v>
      </c>
      <c r="T67" s="907">
        <f>'D-Bestand Kapazität'!U8</f>
        <v>6.0627479199999996</v>
      </c>
      <c r="U67" s="907">
        <f>'D-Bestand Kapazität'!V8</f>
        <v>5.4902409299999997</v>
      </c>
      <c r="V67" s="907">
        <f>'D-Bestand Kapazität'!W8</f>
        <v>4.7945024299999996</v>
      </c>
      <c r="W67" s="907">
        <f>'D-Bestand Kapazität'!X8</f>
        <v>3.9465003999999988</v>
      </c>
      <c r="X67" s="907">
        <f>'D-Bestand Kapazität'!Y8</f>
        <v>3.3060079999999994</v>
      </c>
      <c r="Y67" s="907">
        <f>'D-Bestand Kapazität'!Z8</f>
        <v>2.9487315999999995</v>
      </c>
      <c r="Z67" s="907">
        <f>'D-Bestand Kapazität'!AA8</f>
        <v>2.4935236000000001</v>
      </c>
      <c r="AA67" s="907">
        <f>'D-Bestand Kapazität'!AB8</f>
        <v>1.8564320000000003</v>
      </c>
      <c r="AB67" s="907">
        <f>'D-Bestand Kapazität'!AC8</f>
        <v>0.80025794000000006</v>
      </c>
      <c r="AC67" s="907">
        <f>'D-Bestand Kapazität'!AD8</f>
        <v>0.46639323999999999</v>
      </c>
      <c r="AD67" s="907">
        <f>'D-Bestand Kapazität'!AE8</f>
        <v>0.21003932999999994</v>
      </c>
      <c r="AE67" s="908">
        <f>'D-Bestand Kapazität'!AF8</f>
        <v>0</v>
      </c>
      <c r="AF67" s="929"/>
      <c r="AG67" s="929" t="s">
        <v>151</v>
      </c>
      <c r="AH67" s="928"/>
      <c r="AI67" s="928"/>
      <c r="AJ67" s="1034"/>
    </row>
    <row r="68" spans="1:36" ht="12.75" customHeight="1" outlineLevel="2">
      <c r="A68" s="553">
        <v>59</v>
      </c>
      <c r="B68" s="16" t="str">
        <f>'D-Standardauslastung'!C$9</f>
        <v>Référence</v>
      </c>
      <c r="C68" s="12" t="str">
        <f>'D-Standardauslastung'!D$9</f>
        <v>fh</v>
      </c>
      <c r="D68" s="31" t="str">
        <f>'D-Standardauslastung'!E$9</f>
        <v>Tendance MFP</v>
      </c>
      <c r="E68" s="16" t="s">
        <v>10</v>
      </c>
      <c r="F68" s="907">
        <f>'D-Bestand Kapazität'!G9</f>
        <v>0</v>
      </c>
      <c r="G68" s="907">
        <f>'D-Bestand Kapazität'!H9</f>
        <v>0</v>
      </c>
      <c r="H68" s="907">
        <f>'D-Bestand Kapazität'!I9</f>
        <v>0</v>
      </c>
      <c r="I68" s="907">
        <f>'D-Bestand Kapazität'!J9</f>
        <v>0</v>
      </c>
      <c r="J68" s="907">
        <f>'D-Bestand Kapazität'!K9</f>
        <v>3.3985000000000001E-2</v>
      </c>
      <c r="K68" s="907">
        <f>'D-Bestand Kapazität'!L9</f>
        <v>3.3985000000000001E-2</v>
      </c>
      <c r="L68" s="907">
        <f>'D-Bestand Kapazität'!M9</f>
        <v>3.3985000000000001E-2</v>
      </c>
      <c r="M68" s="907">
        <f>'D-Bestand Kapazität'!N9</f>
        <v>3.3985000000000001E-2</v>
      </c>
      <c r="N68" s="908">
        <f>'D-Bestand Kapazität'!O9</f>
        <v>3.3985000000000001E-2</v>
      </c>
      <c r="O68" s="909">
        <f>'D-Bestand Kapazität'!P9</f>
        <v>3.3985000000000001E-2</v>
      </c>
      <c r="P68" s="907">
        <f>'D-Bestand Kapazität'!Q9</f>
        <v>3.3985000000000001E-2</v>
      </c>
      <c r="Q68" s="907">
        <f>'D-Bestand Kapazität'!R9</f>
        <v>3.3985000000000001E-2</v>
      </c>
      <c r="R68" s="907">
        <f>'D-Bestand Kapazität'!S9</f>
        <v>3.3985000000000001E-2</v>
      </c>
      <c r="S68" s="907">
        <f>'D-Bestand Kapazität'!T9</f>
        <v>3.3985000000000001E-2</v>
      </c>
      <c r="T68" s="907">
        <f>'D-Bestand Kapazität'!U9</f>
        <v>3.3985000000000001E-2</v>
      </c>
      <c r="U68" s="907">
        <f>'D-Bestand Kapazität'!V9</f>
        <v>3.3765000000000003E-2</v>
      </c>
      <c r="V68" s="907">
        <f>'D-Bestand Kapazität'!W9</f>
        <v>3.3765000000000003E-2</v>
      </c>
      <c r="W68" s="907">
        <f>'D-Bestand Kapazität'!X9</f>
        <v>3.3765000000000003E-2</v>
      </c>
      <c r="X68" s="907">
        <f>'D-Bestand Kapazität'!Y9</f>
        <v>3.0765000000000001E-2</v>
      </c>
      <c r="Y68" s="907">
        <f>'D-Bestand Kapazität'!Z9</f>
        <v>3.0765000000000001E-2</v>
      </c>
      <c r="Z68" s="907">
        <f>'D-Bestand Kapazität'!AA9</f>
        <v>2.6615000000000003E-2</v>
      </c>
      <c r="AA68" s="907">
        <f>'D-Bestand Kapazität'!AB9</f>
        <v>2.6615000000000003E-2</v>
      </c>
      <c r="AB68" s="907">
        <f>'D-Bestand Kapazität'!AC9</f>
        <v>2.6615000000000003E-2</v>
      </c>
      <c r="AC68" s="907">
        <f>'D-Bestand Kapazität'!AD9</f>
        <v>1.4815E-2</v>
      </c>
      <c r="AD68" s="907">
        <f>'D-Bestand Kapazität'!AE9</f>
        <v>3.5000000000000001E-3</v>
      </c>
      <c r="AE68" s="908">
        <f>'D-Bestand Kapazität'!AF9</f>
        <v>0</v>
      </c>
      <c r="AF68" s="929"/>
      <c r="AG68" s="929" t="s">
        <v>151</v>
      </c>
      <c r="AH68" s="928"/>
      <c r="AI68" s="928"/>
      <c r="AJ68" s="1034"/>
    </row>
    <row r="69" spans="1:36" ht="12.75" customHeight="1" outlineLevel="2">
      <c r="A69" s="553">
        <v>60</v>
      </c>
      <c r="B69" s="16" t="str">
        <f>'D-Standardauslastung'!C$10</f>
        <v>Référence</v>
      </c>
      <c r="C69" s="12" t="str">
        <f>'D-Standardauslastung'!D$10</f>
        <v>fh</v>
      </c>
      <c r="D69" s="31" t="str">
        <f>'D-Standardauslastung'!E$10</f>
        <v>Augmentation à 2600h en 2035</v>
      </c>
      <c r="E69" s="16" t="s">
        <v>339</v>
      </c>
      <c r="F69" s="907">
        <f>'D-Bestand Kapazität'!G10</f>
        <v>0</v>
      </c>
      <c r="G69" s="907">
        <f>'D-Bestand Kapazität'!H10</f>
        <v>0</v>
      </c>
      <c r="H69" s="907">
        <f>'D-Bestand Kapazität'!I10</f>
        <v>0</v>
      </c>
      <c r="I69" s="907">
        <f>'D-Bestand Kapazität'!J10</f>
        <v>0</v>
      </c>
      <c r="J69" s="907">
        <f>'D-Bestand Kapazität'!K10</f>
        <v>37.464569480000002</v>
      </c>
      <c r="K69" s="907">
        <f>'D-Bestand Kapazität'!L10</f>
        <v>37.464569480000002</v>
      </c>
      <c r="L69" s="907">
        <f>'D-Bestand Kapazität'!M10</f>
        <v>37.164569479999997</v>
      </c>
      <c r="M69" s="907">
        <f>'D-Bestand Kapazität'!N10</f>
        <v>36.764569479999999</v>
      </c>
      <c r="N69" s="908">
        <f>'D-Bestand Kapazität'!O10</f>
        <v>36.264569479999999</v>
      </c>
      <c r="O69" s="909">
        <f>'D-Bestand Kapazität'!P10</f>
        <v>35.664569479999997</v>
      </c>
      <c r="P69" s="907">
        <f>'D-Bestand Kapazität'!Q10</f>
        <v>34.964569480000002</v>
      </c>
      <c r="Q69" s="907">
        <f>'D-Bestand Kapazität'!R10</f>
        <v>33.158776369999998</v>
      </c>
      <c r="R69" s="907">
        <f>'D-Bestand Kapazität'!S10</f>
        <v>30.565102570000001</v>
      </c>
      <c r="S69" s="907">
        <f>'D-Bestand Kapazität'!T10</f>
        <v>27.51489948</v>
      </c>
      <c r="T69" s="907">
        <f>'D-Bestand Kapazität'!U10</f>
        <v>24.797031480000001</v>
      </c>
      <c r="U69" s="907">
        <f>'D-Bestand Kapazität'!V10</f>
        <v>22.74326048</v>
      </c>
      <c r="V69" s="907">
        <f>'D-Bestand Kapazität'!W10</f>
        <v>20.92921698</v>
      </c>
      <c r="W69" s="907">
        <f>'D-Bestand Kapazität'!X10</f>
        <v>18.699378980000002</v>
      </c>
      <c r="X69" s="907">
        <f>'D-Bestand Kapazität'!Y10</f>
        <v>17.013132779999999</v>
      </c>
      <c r="Y69" s="907">
        <f>'D-Bestand Kapazität'!Z10</f>
        <v>16.241268779999999</v>
      </c>
      <c r="Z69" s="907">
        <f>'D-Bestand Kapazität'!AA10</f>
        <v>13.541928859999999</v>
      </c>
      <c r="AA69" s="907">
        <f>'D-Bestand Kapazität'!AB10</f>
        <v>12.115269209999999</v>
      </c>
      <c r="AB69" s="907">
        <f>'D-Bestand Kapazität'!AC10</f>
        <v>10.238786949999998</v>
      </c>
      <c r="AC69" s="907">
        <f>'D-Bestand Kapazität'!AD10</f>
        <v>7.8176624199999987</v>
      </c>
      <c r="AD69" s="907">
        <f>'D-Bestand Kapazität'!AE10</f>
        <v>4.7852306299999992</v>
      </c>
      <c r="AE69" s="908">
        <f>'D-Bestand Kapazität'!AF10</f>
        <v>0</v>
      </c>
      <c r="AF69" s="929"/>
      <c r="AG69" s="929" t="s">
        <v>151</v>
      </c>
      <c r="AH69" s="929"/>
      <c r="AI69" s="929"/>
      <c r="AJ69" s="1034"/>
    </row>
    <row r="70" spans="1:36" ht="12.75" customHeight="1" outlineLevel="2">
      <c r="A70" s="553">
        <v>61</v>
      </c>
      <c r="B70" s="16" t="str">
        <f>'D-Standardauslastung'!C$11</f>
        <v>Référence</v>
      </c>
      <c r="C70" s="12" t="str">
        <f>'D-Standardauslastung'!D$11</f>
        <v>as/pl/fh</v>
      </c>
      <c r="D70" s="31" t="str">
        <f>'D-Standardauslastung'!E$11</f>
        <v>Augmentation à 4700 h en 2035</v>
      </c>
      <c r="E70" s="16" t="s">
        <v>340</v>
      </c>
      <c r="F70" s="907">
        <f>'D-Bestand Kapazität'!G11</f>
        <v>0</v>
      </c>
      <c r="G70" s="907">
        <f>'D-Bestand Kapazität'!H11</f>
        <v>0</v>
      </c>
      <c r="H70" s="907">
        <f>'D-Bestand Kapazität'!I11</f>
        <v>0</v>
      </c>
      <c r="I70" s="907">
        <f>'D-Bestand Kapazität'!J11</f>
        <v>0</v>
      </c>
      <c r="J70" s="907">
        <f>'D-Bestand Kapazität'!K11</f>
        <v>0.99719999999999998</v>
      </c>
      <c r="K70" s="907">
        <f>'D-Bestand Kapazität'!L11</f>
        <v>0.99719999999999998</v>
      </c>
      <c r="L70" s="907">
        <f>'D-Bestand Kapazität'!M11</f>
        <v>0.99719999999999998</v>
      </c>
      <c r="M70" s="907">
        <f>'D-Bestand Kapazität'!N11</f>
        <v>0.99719999999999998</v>
      </c>
      <c r="N70" s="908">
        <f>'D-Bestand Kapazität'!O11</f>
        <v>0.99719999999999998</v>
      </c>
      <c r="O70" s="909">
        <f>'D-Bestand Kapazität'!P11</f>
        <v>0.99719999999999998</v>
      </c>
      <c r="P70" s="907">
        <f>'D-Bestand Kapazität'!Q11</f>
        <v>0.99719999999999998</v>
      </c>
      <c r="Q70" s="907">
        <f>'D-Bestand Kapazität'!R11</f>
        <v>0.99719999999999998</v>
      </c>
      <c r="R70" s="907">
        <f>'D-Bestand Kapazität'!S11</f>
        <v>0.99719999999999998</v>
      </c>
      <c r="S70" s="907">
        <f>'D-Bestand Kapazität'!T11</f>
        <v>0.99719999999999998</v>
      </c>
      <c r="T70" s="907">
        <f>'D-Bestand Kapazität'!U11</f>
        <v>0.99719999999999998</v>
      </c>
      <c r="U70" s="907">
        <f>'D-Bestand Kapazität'!V11</f>
        <v>0.99719999999999998</v>
      </c>
      <c r="V70" s="907">
        <f>'D-Bestand Kapazität'!W11</f>
        <v>0.99719999999999998</v>
      </c>
      <c r="W70" s="907">
        <f>'D-Bestand Kapazität'!X11</f>
        <v>0.99719999999999998</v>
      </c>
      <c r="X70" s="907">
        <f>'D-Bestand Kapazität'!Y11</f>
        <v>0.99719999999999998</v>
      </c>
      <c r="Y70" s="907">
        <f>'D-Bestand Kapazität'!Z11</f>
        <v>0.99719999999999998</v>
      </c>
      <c r="Z70" s="907">
        <f>'D-Bestand Kapazität'!AA11</f>
        <v>0.96219999999999994</v>
      </c>
      <c r="AA70" s="907">
        <f>'D-Bestand Kapazität'!AB11</f>
        <v>0.9171999999999999</v>
      </c>
      <c r="AB70" s="907">
        <f>'D-Bestand Kapazität'!AC11</f>
        <v>0.80889999999999995</v>
      </c>
      <c r="AC70" s="907">
        <f>'D-Bestand Kapazität'!AD11</f>
        <v>0.72889999999999999</v>
      </c>
      <c r="AD70" s="907">
        <f>'D-Bestand Kapazität'!AE11</f>
        <v>0.4889</v>
      </c>
      <c r="AE70" s="908">
        <f>'D-Bestand Kapazität'!AF11</f>
        <v>0</v>
      </c>
      <c r="AF70" s="929"/>
      <c r="AG70" s="929" t="s">
        <v>151</v>
      </c>
      <c r="AH70" s="929"/>
      <c r="AI70" s="929"/>
      <c r="AJ70" s="1034"/>
    </row>
    <row r="71" spans="1:36" ht="12.75" customHeight="1" outlineLevel="2">
      <c r="A71" s="553">
        <v>62</v>
      </c>
      <c r="B71" s="296" t="str">
        <f>'D-Standardauslastung'!C$12</f>
        <v>Référence</v>
      </c>
      <c r="C71" s="24" t="str">
        <f>'D-Standardauslastung'!D$12</f>
        <v>fh</v>
      </c>
      <c r="D71" s="32" t="str">
        <f>'D-Standardauslastung'!E$12</f>
        <v>Augmentation à 950h en 2035</v>
      </c>
      <c r="E71" s="296" t="s">
        <v>530</v>
      </c>
      <c r="F71" s="912">
        <f>'D-Bestand Kapazität'!G12</f>
        <v>0</v>
      </c>
      <c r="G71" s="912">
        <f>'D-Bestand Kapazität'!H12</f>
        <v>0</v>
      </c>
      <c r="H71" s="912">
        <f>'D-Bestand Kapazität'!I12</f>
        <v>0</v>
      </c>
      <c r="I71" s="912">
        <f>'D-Bestand Kapazität'!J12</f>
        <v>0</v>
      </c>
      <c r="J71" s="912">
        <f>'D-Bestand Kapazität'!K12</f>
        <v>37.849889986000065</v>
      </c>
      <c r="K71" s="912">
        <f>'D-Bestand Kapazität'!L12</f>
        <v>37.849889986000065</v>
      </c>
      <c r="L71" s="912">
        <f>'D-Bestand Kapazität'!M12</f>
        <v>37.849889986000065</v>
      </c>
      <c r="M71" s="912">
        <f>'D-Bestand Kapazität'!N12</f>
        <v>37.849889986000065</v>
      </c>
      <c r="N71" s="913">
        <f>'D-Bestand Kapazität'!O12</f>
        <v>37.849889986000065</v>
      </c>
      <c r="O71" s="914">
        <f>'D-Bestand Kapazität'!P12</f>
        <v>37.849889986000065</v>
      </c>
      <c r="P71" s="912">
        <f>'D-Bestand Kapazität'!Q12</f>
        <v>37.849889986000065</v>
      </c>
      <c r="Q71" s="912">
        <f>'D-Bestand Kapazität'!R12</f>
        <v>37.776027506000062</v>
      </c>
      <c r="R71" s="912">
        <f>'D-Bestand Kapazität'!S12</f>
        <v>37.667388816000063</v>
      </c>
      <c r="S71" s="912">
        <f>'D-Bestand Kapazität'!T12</f>
        <v>37.557167266000064</v>
      </c>
      <c r="T71" s="912">
        <f>'D-Bestand Kapazität'!U12</f>
        <v>37.414720716000062</v>
      </c>
      <c r="U71" s="912">
        <f>'D-Bestand Kapazität'!V12</f>
        <v>36.758691416000062</v>
      </c>
      <c r="V71" s="912">
        <f>'D-Bestand Kapazität'!W12</f>
        <v>35.834089356000064</v>
      </c>
      <c r="W71" s="912">
        <f>'D-Bestand Kapazität'!X12</f>
        <v>34.989494406000063</v>
      </c>
      <c r="X71" s="912">
        <f>'D-Bestand Kapazität'!Y12</f>
        <v>33.735743280000058</v>
      </c>
      <c r="Y71" s="912">
        <f>'D-Bestand Kapazität'!Z12</f>
        <v>31.75620017000006</v>
      </c>
      <c r="Z71" s="912">
        <f>'D-Bestand Kapazität'!AA12</f>
        <v>27.317740330000046</v>
      </c>
      <c r="AA71" s="912">
        <f>'D-Bestand Kapazität'!AB12</f>
        <v>19.723863990000012</v>
      </c>
      <c r="AB71" s="912">
        <f>'D-Bestand Kapazität'!AC12</f>
        <v>11.723473930000008</v>
      </c>
      <c r="AC71" s="912">
        <f>'D-Bestand Kapazität'!AD12</f>
        <v>4.8811800499999842</v>
      </c>
      <c r="AD71" s="912">
        <f>'D-Bestand Kapazität'!AE12</f>
        <v>1.7455592899999977</v>
      </c>
      <c r="AE71" s="913">
        <f>'D-Bestand Kapazität'!AF12</f>
        <v>0</v>
      </c>
      <c r="AF71" s="929"/>
      <c r="AG71" s="929" t="s">
        <v>151</v>
      </c>
      <c r="AH71" s="929"/>
      <c r="AI71" s="929"/>
      <c r="AJ71" s="1034"/>
    </row>
    <row r="72" spans="1:36" ht="12.75" customHeight="1" outlineLevel="1">
      <c r="A72" s="553">
        <v>63</v>
      </c>
      <c r="B72" s="10"/>
      <c r="E72" s="10"/>
      <c r="AF72" s="929"/>
      <c r="AG72" s="929" t="s">
        <v>151</v>
      </c>
      <c r="AH72" s="929"/>
      <c r="AI72" s="929"/>
      <c r="AJ72" s="1034"/>
    </row>
    <row r="73" spans="1:36" ht="12.75" customHeight="1" outlineLevel="1">
      <c r="A73" s="553">
        <v>64</v>
      </c>
      <c r="B73" s="10"/>
      <c r="E73" s="315" t="s">
        <v>511</v>
      </c>
      <c r="N73" s="342"/>
      <c r="O73" s="289"/>
      <c r="AF73" s="929"/>
      <c r="AG73" s="929" t="s">
        <v>151</v>
      </c>
      <c r="AH73" s="929"/>
      <c r="AI73" s="929"/>
      <c r="AJ73" s="1034"/>
    </row>
    <row r="74" spans="1:36" ht="12.75" customHeight="1" outlineLevel="1">
      <c r="A74" s="553">
        <v>65</v>
      </c>
      <c r="B74" s="10"/>
      <c r="E74" s="314" t="s">
        <v>529</v>
      </c>
      <c r="F74" s="904">
        <f>'D-Bestand Strommenge'!G6</f>
        <v>0</v>
      </c>
      <c r="G74" s="904">
        <f>'D-Bestand Strommenge'!H6</f>
        <v>0</v>
      </c>
      <c r="H74" s="904">
        <f>'D-Bestand Strommenge'!I6</f>
        <v>0</v>
      </c>
      <c r="I74" s="904">
        <f>'D-Bestand Strommenge'!J6</f>
        <v>0</v>
      </c>
      <c r="J74" s="904">
        <f>'D-Bestand Strommenge'!K6</f>
        <v>6.3400577197004209</v>
      </c>
      <c r="K74" s="904">
        <f>'D-Bestand Strommenge'!L6</f>
        <v>6.3653839009576823</v>
      </c>
      <c r="L74" s="904">
        <f>'D-Bestand Strommenge'!M6</f>
        <v>6.3653839009576823</v>
      </c>
      <c r="M74" s="911">
        <f>'D-Bestand Strommenge'!N6</f>
        <v>6.3653839009576823</v>
      </c>
      <c r="N74" s="905">
        <f>'D-Bestand Strommenge'!O6</f>
        <v>6.3653839009576823</v>
      </c>
      <c r="O74" s="906">
        <f>'D-Bestand Strommenge'!P6</f>
        <v>6.3653839009576823</v>
      </c>
      <c r="P74" s="904">
        <f>'D-Bestand Strommenge'!Q6</f>
        <v>6.3653839009576823</v>
      </c>
      <c r="Q74" s="904">
        <f>'D-Bestand Strommenge'!R6</f>
        <v>6.3653839009576823</v>
      </c>
      <c r="R74" s="904">
        <f>'D-Bestand Strommenge'!S6</f>
        <v>6.3653839009576823</v>
      </c>
      <c r="S74" s="904">
        <f>'D-Bestand Strommenge'!T6</f>
        <v>6.3653839009576823</v>
      </c>
      <c r="T74" s="904">
        <f>'D-Bestand Strommenge'!U6</f>
        <v>6.3653839009576823</v>
      </c>
      <c r="U74" s="904">
        <f>'D-Bestand Strommenge'!V6</f>
        <v>6.3653839009576823</v>
      </c>
      <c r="V74" s="904">
        <f>'D-Bestand Strommenge'!W6</f>
        <v>6.3653839009576823</v>
      </c>
      <c r="W74" s="904">
        <f>'D-Bestand Strommenge'!X6</f>
        <v>6.3653839009576823</v>
      </c>
      <c r="X74" s="904">
        <f>'D-Bestand Strommenge'!Y6</f>
        <v>6.3653839009576823</v>
      </c>
      <c r="Y74" s="904">
        <f>'D-Bestand Strommenge'!Z6</f>
        <v>6.3653839009576823</v>
      </c>
      <c r="Z74" s="904">
        <f>'D-Bestand Strommenge'!AA6</f>
        <v>5.8264018677620077</v>
      </c>
      <c r="AA74" s="904">
        <f>'D-Bestand Strommenge'!AB6</f>
        <v>5.3606672290276043</v>
      </c>
      <c r="AB74" s="904">
        <f>'D-Bestand Strommenge'!AC6</f>
        <v>5.0397223665748268</v>
      </c>
      <c r="AC74" s="904">
        <f>'D-Bestand Strommenge'!AD6</f>
        <v>4.8537221589924613</v>
      </c>
      <c r="AD74" s="904">
        <f>'D-Bestand Strommenge'!AE6</f>
        <v>4.2530569317466336</v>
      </c>
      <c r="AE74" s="905">
        <f>'D-Bestand Strommenge'!AF6</f>
        <v>4.2024045692321126</v>
      </c>
      <c r="AF74" s="929"/>
      <c r="AG74" s="929" t="s">
        <v>151</v>
      </c>
      <c r="AH74" s="549"/>
      <c r="AI74" s="928"/>
      <c r="AJ74" s="1034"/>
    </row>
    <row r="75" spans="1:36" ht="12.75" customHeight="1" outlineLevel="1">
      <c r="A75" s="553">
        <v>66</v>
      </c>
      <c r="B75" s="10"/>
      <c r="E75" s="16" t="s">
        <v>349</v>
      </c>
      <c r="F75" s="907">
        <f>'D-Bestand Strommenge'!G7</f>
        <v>0</v>
      </c>
      <c r="G75" s="907">
        <f>'D-Bestand Strommenge'!H7</f>
        <v>0</v>
      </c>
      <c r="H75" s="907">
        <f>'D-Bestand Strommenge'!I7</f>
        <v>0</v>
      </c>
      <c r="I75" s="907">
        <f>'D-Bestand Strommenge'!J7</f>
        <v>0</v>
      </c>
      <c r="J75" s="907">
        <f>'D-Bestand Strommenge'!K7</f>
        <v>1.4340048917520307</v>
      </c>
      <c r="K75" s="907">
        <f>'D-Bestand Strommenge'!L7</f>
        <v>1.4380650412409677</v>
      </c>
      <c r="L75" s="907">
        <f>'D-Bestand Strommenge'!M7</f>
        <v>1.4380650412409677</v>
      </c>
      <c r="M75" s="1080">
        <f>'D-Bestand Strommenge'!N7</f>
        <v>1.4380650412409677</v>
      </c>
      <c r="N75" s="908">
        <f>'D-Bestand Strommenge'!O7</f>
        <v>1.4380650412409677</v>
      </c>
      <c r="O75" s="909">
        <f>'D-Bestand Strommenge'!P7</f>
        <v>1.4380650412409677</v>
      </c>
      <c r="P75" s="907">
        <f>'D-Bestand Strommenge'!Q7</f>
        <v>1.4380650412409677</v>
      </c>
      <c r="Q75" s="907">
        <f>'D-Bestand Strommenge'!R7</f>
        <v>1.1116422809573945</v>
      </c>
      <c r="R75" s="907">
        <f>'D-Bestand Strommenge'!S7</f>
        <v>1.0106083811612576</v>
      </c>
      <c r="S75" s="907">
        <f>'D-Bestand Strommenge'!T7</f>
        <v>0.74197769522039103</v>
      </c>
      <c r="T75" s="907">
        <f>'D-Bestand Strommenge'!U7</f>
        <v>0.43927686747089773</v>
      </c>
      <c r="U75" s="907">
        <f>'D-Bestand Strommenge'!V7</f>
        <v>0.15582886179697539</v>
      </c>
      <c r="V75" s="907">
        <f>'D-Bestand Strommenge'!W7</f>
        <v>0.12537230832477717</v>
      </c>
      <c r="W75" s="907">
        <f>'D-Bestand Strommenge'!X7</f>
        <v>0.10047524852672238</v>
      </c>
      <c r="X75" s="907">
        <f>'D-Bestand Strommenge'!Y7</f>
        <v>9.6752700738409095E-2</v>
      </c>
      <c r="Y75" s="907">
        <f>'D-Bestand Strommenge'!Z7</f>
        <v>9.3619703214801536E-2</v>
      </c>
      <c r="Z75" s="907">
        <f>'D-Bestand Strommenge'!AA7</f>
        <v>5.5079993384563354E-2</v>
      </c>
      <c r="AA75" s="907">
        <f>'D-Bestand Strommenge'!AB7</f>
        <v>4.8352437199624974E-2</v>
      </c>
      <c r="AB75" s="907">
        <f>'D-Bestand Strommenge'!AC7</f>
        <v>1.5104555416539968E-2</v>
      </c>
      <c r="AC75" s="907">
        <f>'D-Bestand Strommenge'!AD7</f>
        <v>1.2367230452041226E-2</v>
      </c>
      <c r="AD75" s="907">
        <f>'D-Bestand Strommenge'!AE7</f>
        <v>8.1202989778740627E-3</v>
      </c>
      <c r="AE75" s="908">
        <f>'D-Bestand Strommenge'!AF7</f>
        <v>0</v>
      </c>
      <c r="AF75" s="929"/>
      <c r="AG75" s="929" t="s">
        <v>151</v>
      </c>
      <c r="AH75" s="929"/>
      <c r="AI75" s="929"/>
      <c r="AJ75" s="1034"/>
    </row>
    <row r="76" spans="1:36" ht="12.75" customHeight="1" outlineLevel="1">
      <c r="A76" s="553">
        <v>67</v>
      </c>
      <c r="B76" s="10"/>
      <c r="E76" s="16" t="s">
        <v>11</v>
      </c>
      <c r="F76" s="907">
        <f>'D-Bestand Strommenge'!G8</f>
        <v>0</v>
      </c>
      <c r="G76" s="907">
        <f>'D-Bestand Strommenge'!H8</f>
        <v>0</v>
      </c>
      <c r="H76" s="907">
        <f>'D-Bestand Strommenge'!I8</f>
        <v>0</v>
      </c>
      <c r="I76" s="907">
        <f>'D-Bestand Strommenge'!J8</f>
        <v>0</v>
      </c>
      <c r="J76" s="907">
        <f>'D-Bestand Strommenge'!K8</f>
        <v>40.915066042624225</v>
      </c>
      <c r="K76" s="907">
        <f>'D-Bestand Strommenge'!L8</f>
        <v>41.469756491772493</v>
      </c>
      <c r="L76" s="907">
        <f>'D-Bestand Strommenge'!M8</f>
        <v>41.469756491772493</v>
      </c>
      <c r="M76" s="1080">
        <f>'D-Bestand Strommenge'!N8</f>
        <v>41.469756491772493</v>
      </c>
      <c r="N76" s="908">
        <f>'D-Bestand Strommenge'!O8</f>
        <v>41.469756491772493</v>
      </c>
      <c r="O76" s="909">
        <f>'D-Bestand Strommenge'!P8</f>
        <v>41.469756491772493</v>
      </c>
      <c r="P76" s="907">
        <f>'D-Bestand Strommenge'!Q8</f>
        <v>41.469756491772493</v>
      </c>
      <c r="Q76" s="907">
        <f>'D-Bestand Strommenge'!R8</f>
        <v>39.812821991692502</v>
      </c>
      <c r="R76" s="907">
        <f>'D-Bestand Strommenge'!S8</f>
        <v>38.829714281829894</v>
      </c>
      <c r="S76" s="907">
        <f>'D-Bestand Strommenge'!T8</f>
        <v>38.049447462908155</v>
      </c>
      <c r="T76" s="907">
        <f>'D-Bestand Strommenge'!U8</f>
        <v>36.913188946941609</v>
      </c>
      <c r="U76" s="907">
        <f>'D-Bestand Strommenge'!V8</f>
        <v>33.879601480015921</v>
      </c>
      <c r="V76" s="907">
        <f>'D-Bestand Strommenge'!W8</f>
        <v>29.979942877482884</v>
      </c>
      <c r="W76" s="907">
        <f>'D-Bestand Strommenge'!X8</f>
        <v>24.884416561314495</v>
      </c>
      <c r="X76" s="907">
        <f>'D-Bestand Strommenge'!Y8</f>
        <v>20.958547637788435</v>
      </c>
      <c r="Y76" s="907">
        <f>'D-Bestand Strommenge'!Z8</f>
        <v>18.738437533081804</v>
      </c>
      <c r="Z76" s="907">
        <f>'D-Bestand Strommenge'!AA8</f>
        <v>15.850866075480793</v>
      </c>
      <c r="AA76" s="907">
        <f>'D-Bestand Strommenge'!AB8</f>
        <v>11.467408760352546</v>
      </c>
      <c r="AB76" s="907">
        <f>'D-Bestand Strommenge'!AC8</f>
        <v>4.2173214392664056</v>
      </c>
      <c r="AC76" s="907">
        <f>'D-Bestand Strommenge'!AD8</f>
        <v>2.5538934635614163</v>
      </c>
      <c r="AD76" s="907">
        <f>'D-Bestand Strommenge'!AE8</f>
        <v>1.1093808982965405</v>
      </c>
      <c r="AE76" s="908">
        <f>'D-Bestand Strommenge'!AF8</f>
        <v>0</v>
      </c>
      <c r="AF76" s="929"/>
      <c r="AG76" s="929" t="s">
        <v>151</v>
      </c>
      <c r="AH76" s="929"/>
      <c r="AI76" s="929"/>
      <c r="AJ76" s="1034"/>
    </row>
    <row r="77" spans="1:36" ht="12.75" customHeight="1" outlineLevel="1">
      <c r="A77" s="553">
        <v>68</v>
      </c>
      <c r="B77" s="10"/>
      <c r="E77" s="16" t="s">
        <v>10</v>
      </c>
      <c r="F77" s="907">
        <f>'D-Bestand Strommenge'!G9</f>
        <v>0</v>
      </c>
      <c r="G77" s="907">
        <f>'D-Bestand Strommenge'!H9</f>
        <v>0</v>
      </c>
      <c r="H77" s="907">
        <f>'D-Bestand Strommenge'!I9</f>
        <v>0</v>
      </c>
      <c r="I77" s="907">
        <f>'D-Bestand Strommenge'!J9</f>
        <v>0</v>
      </c>
      <c r="J77" s="907">
        <f>'D-Bestand Strommenge'!K9</f>
        <v>0.14134193593954347</v>
      </c>
      <c r="K77" s="907">
        <f>'D-Bestand Strommenge'!L9</f>
        <v>0.14968884020373421</v>
      </c>
      <c r="L77" s="907">
        <f>'D-Bestand Strommenge'!M9</f>
        <v>0.14968884020373421</v>
      </c>
      <c r="M77" s="1080">
        <f>'D-Bestand Strommenge'!N9</f>
        <v>0.14968884020373421</v>
      </c>
      <c r="N77" s="908">
        <f>'D-Bestand Strommenge'!O9</f>
        <v>0.14968884020373421</v>
      </c>
      <c r="O77" s="909">
        <f>'D-Bestand Strommenge'!P9</f>
        <v>0.14968884020373421</v>
      </c>
      <c r="P77" s="907">
        <f>'D-Bestand Strommenge'!Q9</f>
        <v>0.14968884020373421</v>
      </c>
      <c r="Q77" s="907">
        <f>'D-Bestand Strommenge'!R9</f>
        <v>0.14968884020373421</v>
      </c>
      <c r="R77" s="907">
        <f>'D-Bestand Strommenge'!S9</f>
        <v>0.14968884020373421</v>
      </c>
      <c r="S77" s="907">
        <f>'D-Bestand Strommenge'!T9</f>
        <v>0.14968884020373421</v>
      </c>
      <c r="T77" s="907">
        <f>'D-Bestand Strommenge'!U9</f>
        <v>0.14968884020373421</v>
      </c>
      <c r="U77" s="907">
        <f>'D-Bestand Strommenge'!V9</f>
        <v>0.14968884020373421</v>
      </c>
      <c r="V77" s="907">
        <f>'D-Bestand Strommenge'!W9</f>
        <v>0.14968884020373421</v>
      </c>
      <c r="W77" s="907">
        <f>'D-Bestand Strommenge'!X9</f>
        <v>0.14968884020373421</v>
      </c>
      <c r="X77" s="907">
        <f>'D-Bestand Strommenge'!Y9</f>
        <v>0.14968884020373421</v>
      </c>
      <c r="Y77" s="907">
        <f>'D-Bestand Strommenge'!Z9</f>
        <v>0.14968884020373421</v>
      </c>
      <c r="Z77" s="907">
        <f>'D-Bestand Strommenge'!AA9</f>
        <v>0.14027279747116281</v>
      </c>
      <c r="AA77" s="907">
        <f>'D-Bestand Strommenge'!AB9</f>
        <v>0.14027279747116281</v>
      </c>
      <c r="AB77" s="907">
        <f>'D-Bestand Strommenge'!AC9</f>
        <v>0.14027279747116281</v>
      </c>
      <c r="AC77" s="907">
        <f>'D-Bestand Strommenge'!AD9</f>
        <v>8.0174710482014119E-2</v>
      </c>
      <c r="AD77" s="907">
        <f>'D-Bestand Strommenge'!AE9</f>
        <v>1.6693808528381489E-2</v>
      </c>
      <c r="AE77" s="908">
        <f>'D-Bestand Strommenge'!AF9</f>
        <v>0</v>
      </c>
      <c r="AF77" s="929"/>
      <c r="AG77" s="929" t="s">
        <v>151</v>
      </c>
      <c r="AH77" s="929"/>
      <c r="AI77" s="929"/>
      <c r="AJ77" s="1034"/>
    </row>
    <row r="78" spans="1:36" ht="12.75" customHeight="1" outlineLevel="1">
      <c r="A78" s="553">
        <v>69</v>
      </c>
      <c r="B78" s="10"/>
      <c r="E78" s="16" t="s">
        <v>339</v>
      </c>
      <c r="F78" s="907">
        <f>'D-Bestand Strommenge'!G10</f>
        <v>0</v>
      </c>
      <c r="G78" s="907">
        <f>'D-Bestand Strommenge'!H10</f>
        <v>0</v>
      </c>
      <c r="H78" s="907">
        <f>'D-Bestand Strommenge'!I10</f>
        <v>0</v>
      </c>
      <c r="I78" s="907">
        <f>'D-Bestand Strommenge'!J10</f>
        <v>0</v>
      </c>
      <c r="J78" s="907">
        <f>'D-Bestand Strommenge'!K10</f>
        <v>57.653383999388126</v>
      </c>
      <c r="K78" s="907">
        <f>'D-Bestand Strommenge'!L10</f>
        <v>62.502124577836618</v>
      </c>
      <c r="L78" s="907">
        <f>'D-Bestand Strommenge'!M10</f>
        <v>62.110842784472524</v>
      </c>
      <c r="M78" s="1080">
        <f>'D-Bestand Strommenge'!N10</f>
        <v>61.589133726653721</v>
      </c>
      <c r="N78" s="908">
        <f>'D-Bestand Strommenge'!O10</f>
        <v>60.936997404380229</v>
      </c>
      <c r="O78" s="909">
        <f>'D-Bestand Strommenge'!P10</f>
        <v>60.154433817652034</v>
      </c>
      <c r="P78" s="907">
        <f>'D-Bestand Strommenge'!Q10</f>
        <v>59.241442966469144</v>
      </c>
      <c r="Q78" s="907">
        <f>'D-Bestand Strommenge'!R10</f>
        <v>56.886196411384716</v>
      </c>
      <c r="R78" s="907">
        <f>'D-Bestand Strommenge'!S10</f>
        <v>53.273860613123752</v>
      </c>
      <c r="S78" s="907">
        <f>'D-Bestand Strommenge'!T10</f>
        <v>48.985144127866754</v>
      </c>
      <c r="T78" s="907">
        <f>'D-Bestand Strommenge'!U10</f>
        <v>44.953859251545786</v>
      </c>
      <c r="U78" s="907">
        <f>'D-Bestand Strommenge'!V10</f>
        <v>41.695299693943618</v>
      </c>
      <c r="V78" s="907">
        <f>'D-Bestand Strommenge'!W10</f>
        <v>38.889800126336475</v>
      </c>
      <c r="W78" s="907">
        <f>'D-Bestand Strommenge'!X10</f>
        <v>35.265691742050741</v>
      </c>
      <c r="X78" s="907">
        <f>'D-Bestand Strommenge'!Y10</f>
        <v>32.453041205988214</v>
      </c>
      <c r="Y78" s="907">
        <f>'D-Bestand Strommenge'!Z10</f>
        <v>31.191017671164577</v>
      </c>
      <c r="Z78" s="907">
        <f>'D-Bestand Strommenge'!AA10</f>
        <v>26.534990416467974</v>
      </c>
      <c r="AA78" s="907">
        <f>'D-Bestand Strommenge'!AB10</f>
        <v>23.848804711831974</v>
      </c>
      <c r="AB78" s="907">
        <f>'D-Bestand Strommenge'!AC10</f>
        <v>20.453990621840415</v>
      </c>
      <c r="AC78" s="907">
        <f>'D-Bestand Strommenge'!AD10</f>
        <v>15.896470455695573</v>
      </c>
      <c r="AD78" s="907">
        <f>'D-Bestand Strommenge'!AE10</f>
        <v>9.6974811568969788</v>
      </c>
      <c r="AE78" s="908">
        <f>'D-Bestand Strommenge'!AF10</f>
        <v>0</v>
      </c>
      <c r="AF78" s="929"/>
      <c r="AG78" s="929" t="s">
        <v>151</v>
      </c>
      <c r="AH78" s="929"/>
      <c r="AI78" s="929"/>
      <c r="AJ78" s="1034"/>
    </row>
    <row r="79" spans="1:36" ht="12.75" customHeight="1" outlineLevel="1">
      <c r="A79" s="553">
        <v>70</v>
      </c>
      <c r="B79" s="10"/>
      <c r="E79" s="16" t="s">
        <v>340</v>
      </c>
      <c r="F79" s="907">
        <f>'D-Bestand Strommenge'!G11</f>
        <v>0</v>
      </c>
      <c r="G79" s="907">
        <f>'D-Bestand Strommenge'!H11</f>
        <v>0</v>
      </c>
      <c r="H79" s="907">
        <f>'D-Bestand Strommenge'!I11</f>
        <v>0</v>
      </c>
      <c r="I79" s="907">
        <f>'D-Bestand Strommenge'!J11</f>
        <v>0</v>
      </c>
      <c r="J79" s="907">
        <f>'D-Bestand Strommenge'!K11</f>
        <v>3.0914397264392286</v>
      </c>
      <c r="K79" s="907">
        <f>'D-Bestand Strommenge'!L11</f>
        <v>4.110547332443411</v>
      </c>
      <c r="L79" s="907">
        <f>'D-Bestand Strommenge'!M11</f>
        <v>4.110547332443411</v>
      </c>
      <c r="M79" s="1080">
        <f>'D-Bestand Strommenge'!N11</f>
        <v>4.110547332443411</v>
      </c>
      <c r="N79" s="908">
        <f>'D-Bestand Strommenge'!O11</f>
        <v>4.110547332443411</v>
      </c>
      <c r="O79" s="909">
        <f>'D-Bestand Strommenge'!P11</f>
        <v>4.110547332443411</v>
      </c>
      <c r="P79" s="907">
        <f>'D-Bestand Strommenge'!Q11</f>
        <v>4.110547332443411</v>
      </c>
      <c r="Q79" s="907">
        <f>'D-Bestand Strommenge'!R11</f>
        <v>4.110547332443411</v>
      </c>
      <c r="R79" s="907">
        <f>'D-Bestand Strommenge'!S11</f>
        <v>4.110547332443411</v>
      </c>
      <c r="S79" s="907">
        <f>'D-Bestand Strommenge'!T11</f>
        <v>4.110547332443411</v>
      </c>
      <c r="T79" s="907">
        <f>'D-Bestand Strommenge'!U11</f>
        <v>4.110547332443411</v>
      </c>
      <c r="U79" s="907">
        <f>'D-Bestand Strommenge'!V11</f>
        <v>4.110547332443411</v>
      </c>
      <c r="V79" s="907">
        <f>'D-Bestand Strommenge'!W11</f>
        <v>4.110547332443411</v>
      </c>
      <c r="W79" s="907">
        <f>'D-Bestand Strommenge'!X11</f>
        <v>4.110547332443411</v>
      </c>
      <c r="X79" s="907">
        <f>'D-Bestand Strommenge'!Y11</f>
        <v>4.110547332443411</v>
      </c>
      <c r="Y79" s="907">
        <f>'D-Bestand Strommenge'!Z11</f>
        <v>4.110547332443411</v>
      </c>
      <c r="Z79" s="907">
        <f>'D-Bestand Strommenge'!AA11</f>
        <v>3.9601506745242956</v>
      </c>
      <c r="AA79" s="907">
        <f>'D-Bestand Strommenge'!AB11</f>
        <v>3.7744742876370232</v>
      </c>
      <c r="AB79" s="907">
        <f>'D-Bestand Strommenge'!AC11</f>
        <v>3.3082822149057258</v>
      </c>
      <c r="AC79" s="907">
        <f>'D-Bestand Strommenge'!AD11</f>
        <v>2.9793310655848093</v>
      </c>
      <c r="AD79" s="907">
        <f>'D-Bestand Strommenge'!AE11</f>
        <v>2.0382152120083648</v>
      </c>
      <c r="AE79" s="908">
        <f>'D-Bestand Strommenge'!AF11</f>
        <v>0</v>
      </c>
      <c r="AF79" s="929"/>
      <c r="AG79" s="929" t="s">
        <v>151</v>
      </c>
      <c r="AH79" s="929"/>
      <c r="AI79" s="929"/>
      <c r="AJ79" s="1034"/>
    </row>
    <row r="80" spans="1:36" ht="12.75" customHeight="1" outlineLevel="1">
      <c r="A80" s="553">
        <v>71</v>
      </c>
      <c r="B80" s="10"/>
      <c r="E80" s="296" t="s">
        <v>530</v>
      </c>
      <c r="F80" s="912">
        <f>'D-Bestand Strommenge'!G12</f>
        <v>0</v>
      </c>
      <c r="G80" s="912">
        <f>'D-Bestand Strommenge'!H12</f>
        <v>0</v>
      </c>
      <c r="H80" s="912">
        <f>'D-Bestand Strommenge'!I12</f>
        <v>0</v>
      </c>
      <c r="I80" s="912">
        <f>'D-Bestand Strommenge'!J12</f>
        <v>0</v>
      </c>
      <c r="J80" s="912">
        <f>'D-Bestand Strommenge'!K12</f>
        <v>32.345105654434903</v>
      </c>
      <c r="K80" s="912">
        <f>'D-Bestand Strommenge'!L12</f>
        <v>33.019049930170183</v>
      </c>
      <c r="L80" s="912">
        <f>'D-Bestand Strommenge'!M12</f>
        <v>33.019049930170183</v>
      </c>
      <c r="M80" s="1081">
        <f>'D-Bestand Strommenge'!N12</f>
        <v>33.019049930170183</v>
      </c>
      <c r="N80" s="913">
        <f>'D-Bestand Strommenge'!O12</f>
        <v>33.019049930170183</v>
      </c>
      <c r="O80" s="914">
        <f>'D-Bestand Strommenge'!P12</f>
        <v>33.019049930170183</v>
      </c>
      <c r="P80" s="912">
        <f>'D-Bestand Strommenge'!Q12</f>
        <v>33.019049930170183</v>
      </c>
      <c r="Q80" s="912">
        <f>'D-Bestand Strommenge'!R12</f>
        <v>32.96986412434994</v>
      </c>
      <c r="R80" s="912">
        <f>'D-Bestand Strommenge'!S12</f>
        <v>32.889992363151684</v>
      </c>
      <c r="S80" s="912">
        <f>'D-Bestand Strommenge'!T12</f>
        <v>32.802643428256573</v>
      </c>
      <c r="T80" s="912">
        <f>'D-Bestand Strommenge'!U12</f>
        <v>32.682146189674363</v>
      </c>
      <c r="U80" s="912">
        <f>'D-Bestand Strommenge'!V12</f>
        <v>32.118403998686745</v>
      </c>
      <c r="V80" s="912">
        <f>'D-Bestand Strommenge'!W12</f>
        <v>31.31927480670873</v>
      </c>
      <c r="W80" s="912">
        <f>'D-Bestand Strommenge'!X12</f>
        <v>30.581886338374783</v>
      </c>
      <c r="X80" s="912">
        <f>'D-Bestand Strommenge'!Y12</f>
        <v>29.468001652940707</v>
      </c>
      <c r="Y80" s="912">
        <f>'D-Bestand Strommenge'!Z12</f>
        <v>27.712738361025213</v>
      </c>
      <c r="Z80" s="912">
        <f>'D-Bestand Strommenge'!AA12</f>
        <v>23.700450799975101</v>
      </c>
      <c r="AA80" s="912">
        <f>'D-Bestand Strommenge'!AB12</f>
        <v>16.920444701113084</v>
      </c>
      <c r="AB80" s="912">
        <f>'D-Bestand Strommenge'!AC12</f>
        <v>9.8246758626833426</v>
      </c>
      <c r="AC80" s="912">
        <f>'D-Bestand Strommenge'!AD12</f>
        <v>3.8973169441729065</v>
      </c>
      <c r="AD80" s="912">
        <f>'D-Bestand Strommenge'!AE12</f>
        <v>1.3478885514705552</v>
      </c>
      <c r="AE80" s="913">
        <f>'D-Bestand Strommenge'!AF12</f>
        <v>0</v>
      </c>
      <c r="AF80" s="929"/>
      <c r="AG80" s="929" t="s">
        <v>151</v>
      </c>
      <c r="AH80" s="929"/>
      <c r="AI80" s="929"/>
      <c r="AJ80" s="1034"/>
    </row>
    <row r="81" spans="1:36" ht="12.75" customHeight="1" outlineLevel="1">
      <c r="A81" s="553">
        <v>72</v>
      </c>
      <c r="B81" s="10"/>
      <c r="E81" s="10"/>
      <c r="AF81" s="929"/>
      <c r="AG81" s="929" t="s">
        <v>151</v>
      </c>
      <c r="AH81" s="929"/>
      <c r="AI81" s="929"/>
      <c r="AJ81" s="1034"/>
    </row>
    <row r="82" spans="1:36" ht="12.75" customHeight="1" outlineLevel="1">
      <c r="A82" s="553">
        <v>73</v>
      </c>
      <c r="B82" s="10"/>
      <c r="E82" s="315" t="s">
        <v>512</v>
      </c>
      <c r="N82" s="342"/>
      <c r="O82" s="289"/>
      <c r="AF82" s="929"/>
      <c r="AG82" s="929" t="s">
        <v>151</v>
      </c>
      <c r="AH82" s="929"/>
      <c r="AI82" s="929"/>
      <c r="AJ82" s="1034"/>
    </row>
    <row r="83" spans="1:36" ht="12.75" customHeight="1" outlineLevel="1">
      <c r="A83" s="553">
        <v>74</v>
      </c>
      <c r="B83" s="10"/>
      <c r="E83" s="314" t="s">
        <v>529</v>
      </c>
      <c r="F83" s="904">
        <f>'D-Bestand Zahlungen'!G6</f>
        <v>0</v>
      </c>
      <c r="G83" s="904">
        <f>'D-Bestand Zahlungen'!H6</f>
        <v>0</v>
      </c>
      <c r="H83" s="904">
        <f>'D-Bestand Zahlungen'!I6</f>
        <v>0</v>
      </c>
      <c r="I83" s="904">
        <f>'D-Bestand Zahlungen'!J6</f>
        <v>0</v>
      </c>
      <c r="J83" s="904">
        <f>'D-Bestand Zahlungen'!K6</f>
        <v>0.59286870539361292</v>
      </c>
      <c r="K83" s="904">
        <f>'D-Bestand Zahlungen'!L6</f>
        <v>0.59589834152286625</v>
      </c>
      <c r="L83" s="904">
        <f>'D-Bestand Zahlungen'!M6</f>
        <v>0.59589834152286625</v>
      </c>
      <c r="M83" s="904">
        <f>'D-Bestand Zahlungen'!N6</f>
        <v>0.59589834152286625</v>
      </c>
      <c r="N83" s="905">
        <f>'D-Bestand Zahlungen'!O6</f>
        <v>0.59589834152286625</v>
      </c>
      <c r="O83" s="906">
        <f>'D-Bestand Zahlungen'!P6</f>
        <v>0.59589834152286625</v>
      </c>
      <c r="P83" s="904">
        <f>'D-Bestand Zahlungen'!Q6</f>
        <v>0.59589834152286625</v>
      </c>
      <c r="Q83" s="904">
        <f>'D-Bestand Zahlungen'!R6</f>
        <v>0.59589834152286625</v>
      </c>
      <c r="R83" s="904">
        <f>'D-Bestand Zahlungen'!S6</f>
        <v>0.59589834152286625</v>
      </c>
      <c r="S83" s="904">
        <f>'D-Bestand Zahlungen'!T6</f>
        <v>0.59589834152286625</v>
      </c>
      <c r="T83" s="904">
        <f>'D-Bestand Zahlungen'!U6</f>
        <v>0.59589834152286625</v>
      </c>
      <c r="U83" s="904">
        <f>'D-Bestand Zahlungen'!V6</f>
        <v>0.59589834152286625</v>
      </c>
      <c r="V83" s="904">
        <f>'D-Bestand Zahlungen'!W6</f>
        <v>0.59589834152286625</v>
      </c>
      <c r="W83" s="904">
        <f>'D-Bestand Zahlungen'!X6</f>
        <v>0.59589834152286625</v>
      </c>
      <c r="X83" s="904">
        <f>'D-Bestand Zahlungen'!Y6</f>
        <v>0.59589834152286625</v>
      </c>
      <c r="Y83" s="904">
        <f>'D-Bestand Zahlungen'!Z6</f>
        <v>0.59589834152286625</v>
      </c>
      <c r="Z83" s="904">
        <f>'D-Bestand Zahlungen'!AA6</f>
        <v>0.54195695216777517</v>
      </c>
      <c r="AA83" s="904">
        <f>'D-Bestand Zahlungen'!AB6</f>
        <v>0.50533948832503828</v>
      </c>
      <c r="AB83" s="904">
        <f>'D-Bestand Zahlungen'!AC6</f>
        <v>0.47262537548595118</v>
      </c>
      <c r="AC83" s="904">
        <f>'D-Bestand Zahlungen'!AD6</f>
        <v>0.45094447604902621</v>
      </c>
      <c r="AD83" s="904">
        <f>'D-Bestand Zahlungen'!AE6</f>
        <v>0.4038898480789026</v>
      </c>
      <c r="AE83" s="905">
        <f>'D-Bestand Zahlungen'!AF6</f>
        <v>0.39783057582039583</v>
      </c>
      <c r="AF83" s="929"/>
      <c r="AG83" s="929" t="s">
        <v>151</v>
      </c>
      <c r="AH83" s="549"/>
      <c r="AI83" s="928"/>
      <c r="AJ83" s="1034"/>
    </row>
    <row r="84" spans="1:36" ht="12.75" customHeight="1" outlineLevel="1">
      <c r="A84" s="553">
        <v>75</v>
      </c>
      <c r="B84" s="10"/>
      <c r="E84" s="16" t="s">
        <v>349</v>
      </c>
      <c r="F84" s="907">
        <f>'D-Bestand Zahlungen'!G7</f>
        <v>0</v>
      </c>
      <c r="G84" s="907">
        <f>'D-Bestand Zahlungen'!H7</f>
        <v>0</v>
      </c>
      <c r="H84" s="907">
        <f>'D-Bestand Zahlungen'!I7</f>
        <v>0</v>
      </c>
      <c r="I84" s="907">
        <f>'D-Bestand Zahlungen'!J7</f>
        <v>0</v>
      </c>
      <c r="J84" s="907">
        <f>'D-Bestand Zahlungen'!K7</f>
        <v>0.10088070045763398</v>
      </c>
      <c r="K84" s="907">
        <f>'D-Bestand Zahlungen'!L7</f>
        <v>0.10116121574165485</v>
      </c>
      <c r="L84" s="907">
        <f>'D-Bestand Zahlungen'!M7</f>
        <v>0.10116121574165485</v>
      </c>
      <c r="M84" s="907">
        <f>'D-Bestand Zahlungen'!N7</f>
        <v>0.10116121574165485</v>
      </c>
      <c r="N84" s="908">
        <f>'D-Bestand Zahlungen'!O7</f>
        <v>0.10116121574165485</v>
      </c>
      <c r="O84" s="909">
        <f>'D-Bestand Zahlungen'!P7</f>
        <v>0.10116121574165485</v>
      </c>
      <c r="P84" s="907">
        <f>'D-Bestand Zahlungen'!Q7</f>
        <v>0.10116121574165485</v>
      </c>
      <c r="Q84" s="907">
        <f>'D-Bestand Zahlungen'!R7</f>
        <v>7.9133545585612253E-2</v>
      </c>
      <c r="R84" s="907">
        <f>'D-Bestand Zahlungen'!S7</f>
        <v>7.1727150881228011E-2</v>
      </c>
      <c r="S84" s="907">
        <f>'D-Bestand Zahlungen'!T7</f>
        <v>5.2864086060311559E-2</v>
      </c>
      <c r="T84" s="907">
        <f>'D-Bestand Zahlungen'!U7</f>
        <v>3.1357929537542545E-2</v>
      </c>
      <c r="U84" s="907">
        <f>'D-Bestand Zahlungen'!V7</f>
        <v>1.1322285335139877E-2</v>
      </c>
      <c r="V84" s="907">
        <f>'D-Bestand Zahlungen'!W7</f>
        <v>9.0650761329917826E-3</v>
      </c>
      <c r="W84" s="907">
        <f>'D-Bestand Zahlungen'!X7</f>
        <v>7.2445750895866442E-3</v>
      </c>
      <c r="X84" s="907">
        <f>'D-Bestand Zahlungen'!Y7</f>
        <v>6.9699990613540114E-3</v>
      </c>
      <c r="Y84" s="907">
        <f>'D-Bestand Zahlungen'!Z7</f>
        <v>6.741430146899088E-3</v>
      </c>
      <c r="Z84" s="907">
        <f>'D-Bestand Zahlungen'!AA7</f>
        <v>3.8404013457238352E-3</v>
      </c>
      <c r="AA84" s="907">
        <f>'D-Bestand Zahlungen'!AB7</f>
        <v>3.1931576106920346E-3</v>
      </c>
      <c r="AB84" s="907">
        <f>'D-Bestand Zahlungen'!AC7</f>
        <v>1.0846120363654757E-3</v>
      </c>
      <c r="AC84" s="907">
        <f>'D-Bestand Zahlungen'!AD7</f>
        <v>8.5736373947492247E-4</v>
      </c>
      <c r="AD84" s="907">
        <f>'D-Bestand Zahlungen'!AE7</f>
        <v>5.6103056804173075E-4</v>
      </c>
      <c r="AE84" s="908">
        <f>'D-Bestand Zahlungen'!AF7</f>
        <v>0</v>
      </c>
      <c r="AF84" s="929"/>
      <c r="AG84" s="929" t="s">
        <v>151</v>
      </c>
      <c r="AH84" s="929"/>
      <c r="AI84" s="929"/>
      <c r="AJ84" s="1034"/>
    </row>
    <row r="85" spans="1:36" ht="12.75" customHeight="1" outlineLevel="1">
      <c r="A85" s="553">
        <v>76</v>
      </c>
      <c r="B85" s="10"/>
      <c r="E85" s="16" t="s">
        <v>11</v>
      </c>
      <c r="F85" s="907">
        <f>'D-Bestand Zahlungen'!G8</f>
        <v>0</v>
      </c>
      <c r="G85" s="907">
        <f>'D-Bestand Zahlungen'!H8</f>
        <v>0</v>
      </c>
      <c r="H85" s="907">
        <f>'D-Bestand Zahlungen'!I8</f>
        <v>0</v>
      </c>
      <c r="I85" s="907">
        <f>'D-Bestand Zahlungen'!J8</f>
        <v>0</v>
      </c>
      <c r="J85" s="907">
        <f>'D-Bestand Zahlungen'!K8</f>
        <v>7.8161642331714543</v>
      </c>
      <c r="K85" s="907">
        <f>'D-Bestand Zahlungen'!L8</f>
        <v>7.9245390822727533</v>
      </c>
      <c r="L85" s="907">
        <f>'D-Bestand Zahlungen'!M8</f>
        <v>7.9245390822727533</v>
      </c>
      <c r="M85" s="907">
        <f>'D-Bestand Zahlungen'!N8</f>
        <v>7.9245390822727533</v>
      </c>
      <c r="N85" s="908">
        <f>'D-Bestand Zahlungen'!O8</f>
        <v>7.9245390822727533</v>
      </c>
      <c r="O85" s="909">
        <f>'D-Bestand Zahlungen'!P8</f>
        <v>7.9245390822727533</v>
      </c>
      <c r="P85" s="907">
        <f>'D-Bestand Zahlungen'!Q8</f>
        <v>7.9245390822727533</v>
      </c>
      <c r="Q85" s="907">
        <f>'D-Bestand Zahlungen'!R8</f>
        <v>7.7040643280932235</v>
      </c>
      <c r="R85" s="907">
        <f>'D-Bestand Zahlungen'!S8</f>
        <v>7.5428740510054375</v>
      </c>
      <c r="S85" s="907">
        <f>'D-Bestand Zahlungen'!T8</f>
        <v>7.4288216250548311</v>
      </c>
      <c r="T85" s="907">
        <f>'D-Bestand Zahlungen'!U8</f>
        <v>7.2918533006053305</v>
      </c>
      <c r="U85" s="907">
        <f>'D-Bestand Zahlungen'!V8</f>
        <v>6.8725383217574079</v>
      </c>
      <c r="V85" s="907">
        <f>'D-Bestand Zahlungen'!W8</f>
        <v>6.1092320442362009</v>
      </c>
      <c r="W85" s="907">
        <f>'D-Bestand Zahlungen'!X8</f>
        <v>5.1199079506909477</v>
      </c>
      <c r="X85" s="907">
        <f>'D-Bestand Zahlungen'!Y8</f>
        <v>4.3311546587347163</v>
      </c>
      <c r="Y85" s="907">
        <f>'D-Bestand Zahlungen'!Z8</f>
        <v>3.9042756106600809</v>
      </c>
      <c r="Z85" s="907">
        <f>'D-Bestand Zahlungen'!AA8</f>
        <v>3.3236133815912274</v>
      </c>
      <c r="AA85" s="907">
        <f>'D-Bestand Zahlungen'!AB8</f>
        <v>2.3853568935530132</v>
      </c>
      <c r="AB85" s="907">
        <f>'D-Bestand Zahlungen'!AC8</f>
        <v>0.84162987310065895</v>
      </c>
      <c r="AC85" s="907">
        <f>'D-Bestand Zahlungen'!AD8</f>
        <v>0.50688730032510243</v>
      </c>
      <c r="AD85" s="907">
        <f>'D-Bestand Zahlungen'!AE8</f>
        <v>0.21674969820259962</v>
      </c>
      <c r="AE85" s="908">
        <f>'D-Bestand Zahlungen'!AF8</f>
        <v>0</v>
      </c>
      <c r="AF85" s="929"/>
      <c r="AG85" s="929" t="s">
        <v>151</v>
      </c>
      <c r="AH85" s="929"/>
      <c r="AI85" s="929"/>
      <c r="AJ85" s="1034"/>
    </row>
    <row r="86" spans="1:36" ht="12.75" customHeight="1" outlineLevel="1">
      <c r="A86" s="553">
        <v>77</v>
      </c>
      <c r="B86" s="10"/>
      <c r="E86" s="16" t="s">
        <v>10</v>
      </c>
      <c r="F86" s="907">
        <f>'D-Bestand Zahlungen'!G9</f>
        <v>0</v>
      </c>
      <c r="G86" s="907">
        <f>'D-Bestand Zahlungen'!H9</f>
        <v>0</v>
      </c>
      <c r="H86" s="907">
        <f>'D-Bestand Zahlungen'!I9</f>
        <v>0</v>
      </c>
      <c r="I86" s="907">
        <f>'D-Bestand Zahlungen'!J9</f>
        <v>0</v>
      </c>
      <c r="J86" s="907">
        <f>'D-Bestand Zahlungen'!K9</f>
        <v>3.5347562923361824E-2</v>
      </c>
      <c r="K86" s="907">
        <f>'D-Bestand Zahlungen'!L9</f>
        <v>3.7412390998028656E-2</v>
      </c>
      <c r="L86" s="907">
        <f>'D-Bestand Zahlungen'!M9</f>
        <v>3.7412390998028656E-2</v>
      </c>
      <c r="M86" s="907">
        <f>'D-Bestand Zahlungen'!N9</f>
        <v>3.7412390998028656E-2</v>
      </c>
      <c r="N86" s="908">
        <f>'D-Bestand Zahlungen'!O9</f>
        <v>3.7412390998028656E-2</v>
      </c>
      <c r="O86" s="909">
        <f>'D-Bestand Zahlungen'!P9</f>
        <v>3.7412390998028656E-2</v>
      </c>
      <c r="P86" s="907">
        <f>'D-Bestand Zahlungen'!Q9</f>
        <v>3.7412390998028656E-2</v>
      </c>
      <c r="Q86" s="907">
        <f>'D-Bestand Zahlungen'!R9</f>
        <v>3.7412390998028656E-2</v>
      </c>
      <c r="R86" s="907">
        <f>'D-Bestand Zahlungen'!S9</f>
        <v>3.7412390998028656E-2</v>
      </c>
      <c r="S86" s="907">
        <f>'D-Bestand Zahlungen'!T9</f>
        <v>3.7412390998028656E-2</v>
      </c>
      <c r="T86" s="907">
        <f>'D-Bestand Zahlungen'!U9</f>
        <v>3.7412390998028656E-2</v>
      </c>
      <c r="U86" s="907">
        <f>'D-Bestand Zahlungen'!V9</f>
        <v>3.7412390998028656E-2</v>
      </c>
      <c r="V86" s="907">
        <f>'D-Bestand Zahlungen'!W9</f>
        <v>3.7412390998028656E-2</v>
      </c>
      <c r="W86" s="907">
        <f>'D-Bestand Zahlungen'!X9</f>
        <v>3.7412390998028656E-2</v>
      </c>
      <c r="X86" s="907">
        <f>'D-Bestand Zahlungen'!Y9</f>
        <v>3.7412390998028656E-2</v>
      </c>
      <c r="Y86" s="907">
        <f>'D-Bestand Zahlungen'!Z9</f>
        <v>3.7412390998028656E-2</v>
      </c>
      <c r="Z86" s="907">
        <f>'D-Bestand Zahlungen'!AA9</f>
        <v>3.5255721675931898E-2</v>
      </c>
      <c r="AA86" s="907">
        <f>'D-Bestand Zahlungen'!AB9</f>
        <v>3.5255721675931898E-2</v>
      </c>
      <c r="AB86" s="907">
        <f>'D-Bestand Zahlungen'!AC9</f>
        <v>3.5255721675931898E-2</v>
      </c>
      <c r="AC86" s="907">
        <f>'D-Bestand Zahlungen'!AD9</f>
        <v>2.0118844946834122E-2</v>
      </c>
      <c r="AD86" s="907">
        <f>'D-Bestand Zahlungen'!AE9</f>
        <v>4.1296561493336659E-3</v>
      </c>
      <c r="AE86" s="908">
        <f>'D-Bestand Zahlungen'!AF9</f>
        <v>0</v>
      </c>
      <c r="AF86" s="929"/>
      <c r="AG86" s="929" t="s">
        <v>151</v>
      </c>
      <c r="AH86" s="929"/>
      <c r="AI86" s="929"/>
      <c r="AJ86" s="1034"/>
    </row>
    <row r="87" spans="1:36" ht="12.75" customHeight="1" outlineLevel="1">
      <c r="A87" s="553">
        <v>78</v>
      </c>
      <c r="B87" s="10"/>
      <c r="E87" s="16" t="s">
        <v>339</v>
      </c>
      <c r="F87" s="907">
        <f>'D-Bestand Zahlungen'!G10</f>
        <v>0</v>
      </c>
      <c r="G87" s="907">
        <f>'D-Bestand Zahlungen'!H10</f>
        <v>0</v>
      </c>
      <c r="H87" s="907">
        <f>'D-Bestand Zahlungen'!I10</f>
        <v>0</v>
      </c>
      <c r="I87" s="907">
        <f>'D-Bestand Zahlungen'!J10</f>
        <v>0</v>
      </c>
      <c r="J87" s="907">
        <f>'D-Bestand Zahlungen'!K10</f>
        <v>5.5361763968660895</v>
      </c>
      <c r="K87" s="907">
        <f>'D-Bestand Zahlungen'!L10</f>
        <v>6.0139168669547871</v>
      </c>
      <c r="L87" s="907">
        <f>'D-Bestand Zahlungen'!M10</f>
        <v>5.9784568806193468</v>
      </c>
      <c r="M87" s="907">
        <f>'D-Bestand Zahlungen'!N10</f>
        <v>5.9311768988387614</v>
      </c>
      <c r="N87" s="908">
        <f>'D-Bestand Zahlungen'!O10</f>
        <v>5.8720769216130293</v>
      </c>
      <c r="O87" s="909">
        <f>'D-Bestand Zahlungen'!P10</f>
        <v>5.7072762129233041</v>
      </c>
      <c r="P87" s="907">
        <f>'D-Bestand Zahlungen'!Q10</f>
        <v>5.5322549090503328</v>
      </c>
      <c r="Q87" s="907">
        <f>'D-Bestand Zahlungen'!R10</f>
        <v>5.2442237337911122</v>
      </c>
      <c r="R87" s="907">
        <f>'D-Bestand Zahlungen'!S10</f>
        <v>4.8907078366197974</v>
      </c>
      <c r="S87" s="907">
        <f>'D-Bestand Zahlungen'!T10</f>
        <v>4.5021302757619548</v>
      </c>
      <c r="T87" s="907">
        <f>'D-Bestand Zahlungen'!U10</f>
        <v>4.1498757420585815</v>
      </c>
      <c r="U87" s="907">
        <f>'D-Bestand Zahlungen'!V10</f>
        <v>3.8471909163520843</v>
      </c>
      <c r="V87" s="907">
        <f>'D-Bestand Zahlungen'!W10</f>
        <v>3.6009016566231895</v>
      </c>
      <c r="W87" s="907">
        <f>'D-Bestand Zahlungen'!X10</f>
        <v>3.362416669808018</v>
      </c>
      <c r="X87" s="907">
        <f>'D-Bestand Zahlungen'!Y10</f>
        <v>2.9646729463510626</v>
      </c>
      <c r="Y87" s="907">
        <f>'D-Bestand Zahlungen'!Z10</f>
        <v>2.755600394248884</v>
      </c>
      <c r="Z87" s="907">
        <f>'D-Bestand Zahlungen'!AA10</f>
        <v>2.3480851114899872</v>
      </c>
      <c r="AA87" s="907">
        <f>'D-Bestand Zahlungen'!AB10</f>
        <v>1.9718168299157017</v>
      </c>
      <c r="AB87" s="907">
        <f>'D-Bestand Zahlungen'!AC10</f>
        <v>1.4793229511201422</v>
      </c>
      <c r="AC87" s="907">
        <f>'D-Bestand Zahlungen'!AD10</f>
        <v>0.78191609611789203</v>
      </c>
      <c r="AD87" s="907">
        <f>'D-Bestand Zahlungen'!AE10</f>
        <v>0.48002531726640046</v>
      </c>
      <c r="AE87" s="908">
        <f>'D-Bestand Zahlungen'!AF10</f>
        <v>0</v>
      </c>
      <c r="AF87" s="929"/>
      <c r="AG87" s="929" t="s">
        <v>151</v>
      </c>
      <c r="AH87" s="929"/>
      <c r="AI87" s="929"/>
      <c r="AJ87" s="1034"/>
    </row>
    <row r="88" spans="1:36" ht="12.75" customHeight="1" outlineLevel="1">
      <c r="A88" s="553">
        <v>79</v>
      </c>
      <c r="B88" s="10"/>
      <c r="E88" s="16" t="s">
        <v>340</v>
      </c>
      <c r="F88" s="907">
        <f>'D-Bestand Zahlungen'!G11</f>
        <v>0</v>
      </c>
      <c r="G88" s="907">
        <f>'D-Bestand Zahlungen'!H11</f>
        <v>0</v>
      </c>
      <c r="H88" s="907">
        <f>'D-Bestand Zahlungen'!I11</f>
        <v>0</v>
      </c>
      <c r="I88" s="907">
        <f>'D-Bestand Zahlungen'!J11</f>
        <v>0</v>
      </c>
      <c r="J88" s="907">
        <f>'D-Bestand Zahlungen'!K11</f>
        <v>0.54544930183620921</v>
      </c>
      <c r="K88" s="907">
        <f>'D-Bestand Zahlungen'!L11</f>
        <v>0.72095677622526411</v>
      </c>
      <c r="L88" s="907">
        <f>'D-Bestand Zahlungen'!M11</f>
        <v>0.72095677622526411</v>
      </c>
      <c r="M88" s="907">
        <f>'D-Bestand Zahlungen'!N11</f>
        <v>0.72095677622526411</v>
      </c>
      <c r="N88" s="908">
        <f>'D-Bestand Zahlungen'!O11</f>
        <v>0.72095677622526411</v>
      </c>
      <c r="O88" s="909">
        <f>'D-Bestand Zahlungen'!P11</f>
        <v>0.72095677622526411</v>
      </c>
      <c r="P88" s="907">
        <f>'D-Bestand Zahlungen'!Q11</f>
        <v>0.72095677622526411</v>
      </c>
      <c r="Q88" s="907">
        <f>'D-Bestand Zahlungen'!R11</f>
        <v>0.70779873025242745</v>
      </c>
      <c r="R88" s="907">
        <f>'D-Bestand Zahlungen'!S11</f>
        <v>0.67015409610936971</v>
      </c>
      <c r="S88" s="907">
        <f>'D-Bestand Zahlungen'!T11</f>
        <v>0.5886254876290351</v>
      </c>
      <c r="T88" s="907">
        <f>'D-Bestand Zahlungen'!U11</f>
        <v>0.54948030085984612</v>
      </c>
      <c r="U88" s="907">
        <f>'D-Bestand Zahlungen'!V11</f>
        <v>0.41959031199187452</v>
      </c>
      <c r="V88" s="907">
        <f>'D-Bestand Zahlungen'!W11</f>
        <v>0.18563002464811498</v>
      </c>
      <c r="W88" s="907">
        <f>'D-Bestand Zahlungen'!X11</f>
        <v>0.13008602678610678</v>
      </c>
      <c r="X88" s="907">
        <f>'D-Bestand Zahlungen'!Y11</f>
        <v>0.12996373387338628</v>
      </c>
      <c r="Y88" s="907">
        <f>'D-Bestand Zahlungen'!Z11</f>
        <v>0.12978628925492908</v>
      </c>
      <c r="Z88" s="907">
        <f>'D-Bestand Zahlungen'!AA11</f>
        <v>0.12428980987762621</v>
      </c>
      <c r="AA88" s="907">
        <f>'D-Bestand Zahlungen'!AB11</f>
        <v>0.1175033883274389</v>
      </c>
      <c r="AB88" s="907">
        <f>'D-Bestand Zahlungen'!AC11</f>
        <v>0.10084376585622522</v>
      </c>
      <c r="AC88" s="907">
        <f>'D-Bestand Zahlungen'!AD11</f>
        <v>8.893242401487135E-2</v>
      </c>
      <c r="AD88" s="907">
        <f>'D-Bestand Zahlungen'!AE11</f>
        <v>5.5540165577103229E-2</v>
      </c>
      <c r="AE88" s="908">
        <f>'D-Bestand Zahlungen'!AF11</f>
        <v>0</v>
      </c>
      <c r="AF88" s="929"/>
      <c r="AG88" s="929" t="s">
        <v>151</v>
      </c>
      <c r="AH88" s="929"/>
      <c r="AI88" s="929"/>
      <c r="AJ88" s="1034"/>
    </row>
    <row r="89" spans="1:36" ht="12.75" customHeight="1" outlineLevel="1">
      <c r="A89" s="553">
        <v>80</v>
      </c>
      <c r="B89" s="10"/>
      <c r="E89" s="296" t="s">
        <v>530</v>
      </c>
      <c r="F89" s="912">
        <f>'D-Bestand Zahlungen'!G12</f>
        <v>0</v>
      </c>
      <c r="G89" s="912">
        <f>'D-Bestand Zahlungen'!H12</f>
        <v>0</v>
      </c>
      <c r="H89" s="912">
        <f>'D-Bestand Zahlungen'!I12</f>
        <v>0</v>
      </c>
      <c r="I89" s="912">
        <f>'D-Bestand Zahlungen'!J12</f>
        <v>0</v>
      </c>
      <c r="J89" s="912">
        <f>'D-Bestand Zahlungen'!K12</f>
        <v>9.8381674794365797</v>
      </c>
      <c r="K89" s="912">
        <f>'D-Bestand Zahlungen'!L12</f>
        <v>9.8992046007707302</v>
      </c>
      <c r="L89" s="912">
        <f>'D-Bestand Zahlungen'!M12</f>
        <v>9.8992046007707302</v>
      </c>
      <c r="M89" s="912">
        <f>'D-Bestand Zahlungen'!N12</f>
        <v>9.8992046007707302</v>
      </c>
      <c r="N89" s="913">
        <f>'D-Bestand Zahlungen'!O12</f>
        <v>9.8992046007707302</v>
      </c>
      <c r="O89" s="914">
        <f>'D-Bestand Zahlungen'!P12</f>
        <v>9.8992046007707302</v>
      </c>
      <c r="P89" s="912">
        <f>'D-Bestand Zahlungen'!Q12</f>
        <v>9.8992046007707302</v>
      </c>
      <c r="Q89" s="912">
        <f>'D-Bestand Zahlungen'!R12</f>
        <v>9.8743231184046909</v>
      </c>
      <c r="R89" s="912">
        <f>'D-Bestand Zahlungen'!S12</f>
        <v>9.8339025269570541</v>
      </c>
      <c r="S89" s="912">
        <f>'D-Bestand Zahlungen'!T12</f>
        <v>9.7918998861958393</v>
      </c>
      <c r="T89" s="912">
        <f>'D-Bestand Zahlungen'!U12</f>
        <v>9.7368305315089039</v>
      </c>
      <c r="U89" s="912">
        <f>'D-Bestand Zahlungen'!V12</f>
        <v>9.4203080911896588</v>
      </c>
      <c r="V89" s="912">
        <f>'D-Bestand Zahlungen'!W12</f>
        <v>8.9956933481227033</v>
      </c>
      <c r="W89" s="912">
        <f>'D-Bestand Zahlungen'!X12</f>
        <v>8.6231614633896339</v>
      </c>
      <c r="X89" s="912">
        <f>'D-Bestand Zahlungen'!Y12</f>
        <v>8.0972890432583959</v>
      </c>
      <c r="Y89" s="912">
        <f>'D-Bestand Zahlungen'!Z12</f>
        <v>7.306332544077935</v>
      </c>
      <c r="Z89" s="912">
        <f>'D-Bestand Zahlungen'!AA12</f>
        <v>5.6871387273907796</v>
      </c>
      <c r="AA89" s="912">
        <f>'D-Bestand Zahlungen'!AB12</f>
        <v>3.344398325548267</v>
      </c>
      <c r="AB89" s="912">
        <f>'D-Bestand Zahlungen'!AC12</f>
        <v>1.5096140003144618</v>
      </c>
      <c r="AC89" s="912">
        <f>'D-Bestand Zahlungen'!AD12</f>
        <v>0.41258647705966339</v>
      </c>
      <c r="AD89" s="912">
        <f>'D-Bestand Zahlungen'!AE12</f>
        <v>0.12207424266830158</v>
      </c>
      <c r="AE89" s="913">
        <f>'D-Bestand Zahlungen'!AF12</f>
        <v>0</v>
      </c>
      <c r="AF89" s="929"/>
      <c r="AG89" s="929" t="s">
        <v>151</v>
      </c>
      <c r="AH89" s="929"/>
      <c r="AI89" s="929"/>
      <c r="AJ89" s="1034"/>
    </row>
    <row r="90" spans="1:36" ht="12.75" customHeight="1" outlineLevel="1">
      <c r="A90" s="553">
        <v>81</v>
      </c>
      <c r="B90" s="10"/>
      <c r="N90" s="342"/>
      <c r="O90" s="289"/>
      <c r="AF90" s="929"/>
      <c r="AG90" s="929" t="s">
        <v>151</v>
      </c>
      <c r="AH90" s="929"/>
      <c r="AI90" s="929"/>
      <c r="AJ90" s="1034"/>
    </row>
    <row r="91" spans="1:36" ht="12.75" customHeight="1" outlineLevel="1">
      <c r="A91" s="553">
        <v>82</v>
      </c>
      <c r="B91" s="10"/>
      <c r="E91" s="315" t="s">
        <v>513</v>
      </c>
      <c r="N91" s="342"/>
      <c r="O91" s="289"/>
      <c r="AF91" s="929"/>
      <c r="AG91" s="929"/>
      <c r="AH91" s="929"/>
      <c r="AI91" s="929"/>
      <c r="AJ91" s="1034"/>
    </row>
    <row r="92" spans="1:36" ht="12.75" customHeight="1" outlineLevel="2">
      <c r="A92" s="553">
        <v>83</v>
      </c>
      <c r="B92" s="314" t="str">
        <f>'D-Standardauslastung'!C$6</f>
        <v>Référence</v>
      </c>
      <c r="C92" s="22" t="str">
        <f>'D-Standardauslastung'!D$6</f>
        <v>fh</v>
      </c>
      <c r="D92" s="30" t="str">
        <f>'D-Standardauslastung'!E$6</f>
        <v>Tendance MFP</v>
      </c>
      <c r="E92" s="314" t="s">
        <v>529</v>
      </c>
      <c r="F92" s="918">
        <f>'D-Standardauslastung'!G$6</f>
        <v>0</v>
      </c>
      <c r="G92" s="918">
        <f>'D-Standardauslastung'!H$6</f>
        <v>0</v>
      </c>
      <c r="H92" s="918">
        <f>'D-Standardauslastung'!I$6</f>
        <v>0</v>
      </c>
      <c r="I92" s="918">
        <f>'D-Standardauslastung'!J$6</f>
        <v>0</v>
      </c>
      <c r="J92" s="918">
        <f>'D-Standardauslastung'!K$6</f>
        <v>0</v>
      </c>
      <c r="K92" s="918">
        <f>'D-Standardauslastung'!L$6</f>
        <v>0</v>
      </c>
      <c r="L92" s="918">
        <f>'D-Standardauslastung'!M$6</f>
        <v>0</v>
      </c>
      <c r="M92" s="918">
        <f>'D-Standardauslastung'!N$6</f>
        <v>0</v>
      </c>
      <c r="N92" s="919">
        <f>'D-Standardauslastung'!O$6</f>
        <v>0</v>
      </c>
      <c r="O92" s="920">
        <f>'D-Standardauslastung'!P$6</f>
        <v>0</v>
      </c>
      <c r="P92" s="918">
        <f>'D-Standardauslastung'!Q$6</f>
        <v>3956</v>
      </c>
      <c r="Q92" s="918">
        <f>'D-Standardauslastung'!R$6</f>
        <v>3950</v>
      </c>
      <c r="R92" s="918">
        <f>'D-Standardauslastung'!S$6</f>
        <v>3950</v>
      </c>
      <c r="S92" s="918">
        <f>'D-Standardauslastung'!T$6</f>
        <v>3950</v>
      </c>
      <c r="T92" s="918">
        <f>'D-Standardauslastung'!U$6</f>
        <v>3960</v>
      </c>
      <c r="U92" s="918">
        <f>'D-Standardauslastung'!V$6</f>
        <v>3950</v>
      </c>
      <c r="V92" s="918">
        <f>'D-Standardauslastung'!W$6</f>
        <v>3950</v>
      </c>
      <c r="W92" s="918">
        <f>'D-Standardauslastung'!X$6</f>
        <v>3950</v>
      </c>
      <c r="X92" s="918">
        <f>'D-Standardauslastung'!Y$6</f>
        <v>3950</v>
      </c>
      <c r="Y92" s="918">
        <f>'D-Standardauslastung'!Z$6</f>
        <v>3950</v>
      </c>
      <c r="Z92" s="918">
        <f>'D-Standardauslastung'!AA$6</f>
        <v>3950</v>
      </c>
      <c r="AA92" s="918">
        <f>'D-Standardauslastung'!AB$6</f>
        <v>3950</v>
      </c>
      <c r="AB92" s="918">
        <f>'D-Standardauslastung'!AC$6</f>
        <v>3950</v>
      </c>
      <c r="AC92" s="918">
        <f>'D-Standardauslastung'!AD$6</f>
        <v>3950</v>
      </c>
      <c r="AD92" s="918">
        <f>'D-Standardauslastung'!AE$6</f>
        <v>3950</v>
      </c>
      <c r="AE92" s="919">
        <f>'D-Standardauslastung'!AF$6</f>
        <v>3950</v>
      </c>
      <c r="AF92" s="929"/>
      <c r="AG92" s="929"/>
      <c r="AH92" s="1034"/>
      <c r="AI92" s="929"/>
      <c r="AJ92" s="1034"/>
    </row>
    <row r="93" spans="1:36" ht="12.75" customHeight="1" outlineLevel="2">
      <c r="A93" s="553">
        <v>84</v>
      </c>
      <c r="B93" s="16" t="str">
        <f>'D-Standardauslastung'!C$7</f>
        <v>Référence</v>
      </c>
      <c r="C93" s="12" t="str">
        <f>'D-Standardauslastung'!D$7</f>
        <v>fh</v>
      </c>
      <c r="D93" s="31" t="str">
        <f>'D-Standardauslastung'!E$7</f>
        <v>Tendance MFP</v>
      </c>
      <c r="E93" s="16" t="s">
        <v>349</v>
      </c>
      <c r="F93" s="921">
        <f>'D-Standardauslastung'!G$7</f>
        <v>0</v>
      </c>
      <c r="G93" s="921">
        <f>'D-Standardauslastung'!H$7</f>
        <v>0</v>
      </c>
      <c r="H93" s="921">
        <f>'D-Standardauslastung'!I$7</f>
        <v>0</v>
      </c>
      <c r="I93" s="921">
        <f>'D-Standardauslastung'!J$7</f>
        <v>0</v>
      </c>
      <c r="J93" s="921">
        <f>'D-Standardauslastung'!K$7</f>
        <v>0</v>
      </c>
      <c r="K93" s="921">
        <f>'D-Standardauslastung'!L$7</f>
        <v>2901</v>
      </c>
      <c r="L93" s="921">
        <f>'D-Standardauslastung'!M$7</f>
        <v>2901</v>
      </c>
      <c r="M93" s="921">
        <f>'D-Standardauslastung'!N$7</f>
        <v>3944</v>
      </c>
      <c r="N93" s="922">
        <f>'D-Standardauslastung'!O$7</f>
        <v>3767</v>
      </c>
      <c r="O93" s="923">
        <f>'D-Standardauslastung'!P$7</f>
        <v>3685</v>
      </c>
      <c r="P93" s="921">
        <f>'D-Standardauslastung'!Q$7</f>
        <v>3372.3653395784545</v>
      </c>
      <c r="Q93" s="921">
        <f>'D-Standardauslastung'!R$7</f>
        <v>4128.712871287129</v>
      </c>
      <c r="R93" s="921">
        <f>'D-Standardauslastung'!S$7</f>
        <v>4306.8592057761734</v>
      </c>
      <c r="S93" s="921">
        <f>'D-Standardauslastung'!T$7</f>
        <v>5080.7174887892379</v>
      </c>
      <c r="T93" s="921">
        <f>'D-Standardauslastung'!U$7</f>
        <v>5776.3975155279504</v>
      </c>
      <c r="U93" s="921">
        <f>'D-Standardauslastung'!V$7</f>
        <v>5222.2222222222226</v>
      </c>
      <c r="V93" s="921">
        <f>'D-Standardauslastung'!W$7</f>
        <v>5222.2222222222226</v>
      </c>
      <c r="W93" s="921">
        <f>'D-Standardauslastung'!X$7</f>
        <v>5222.2222222222226</v>
      </c>
      <c r="X93" s="921">
        <f>'D-Standardauslastung'!Y$7</f>
        <v>5222.2222222222226</v>
      </c>
      <c r="Y93" s="921">
        <f>'D-Standardauslastung'!Z$7</f>
        <v>5222.2222222222226</v>
      </c>
      <c r="Z93" s="921">
        <f>'D-Standardauslastung'!AA$7</f>
        <v>5222.2222222222226</v>
      </c>
      <c r="AA93" s="921">
        <f>'D-Standardauslastung'!AB$7</f>
        <v>5222.2222222222226</v>
      </c>
      <c r="AB93" s="921">
        <f>'D-Standardauslastung'!AC$7</f>
        <v>5222.2222222222226</v>
      </c>
      <c r="AC93" s="921">
        <f>'D-Standardauslastung'!AD$7</f>
        <v>5222.2222222222226</v>
      </c>
      <c r="AD93" s="921">
        <f>'D-Standardauslastung'!AE$7</f>
        <v>5222.2222222222226</v>
      </c>
      <c r="AE93" s="922">
        <f>'D-Standardauslastung'!AF$7</f>
        <v>5222.2222222222226</v>
      </c>
      <c r="AF93" s="929"/>
      <c r="AG93" s="929"/>
      <c r="AH93" s="1034"/>
      <c r="AI93" s="929"/>
      <c r="AJ93" s="1034"/>
    </row>
    <row r="94" spans="1:36" ht="12.75" customHeight="1" outlineLevel="2">
      <c r="A94" s="553">
        <v>85</v>
      </c>
      <c r="B94" s="16" t="str">
        <f>'D-Standardauslastung'!C$8</f>
        <v>Référence</v>
      </c>
      <c r="C94" s="12" t="str">
        <f>'D-Standardauslastung'!D$8</f>
        <v>fh</v>
      </c>
      <c r="D94" s="31" t="str">
        <f>'D-Standardauslastung'!E$8</f>
        <v>Tendance MFP</v>
      </c>
      <c r="E94" s="16" t="s">
        <v>11</v>
      </c>
      <c r="F94" s="921">
        <f>'D-Standardauslastung'!G$8</f>
        <v>0</v>
      </c>
      <c r="G94" s="921">
        <f>'D-Standardauslastung'!H$8</f>
        <v>0</v>
      </c>
      <c r="H94" s="921">
        <f>'D-Standardauslastung'!I$8</f>
        <v>0</v>
      </c>
      <c r="I94" s="921">
        <f>'D-Standardauslastung'!J$8</f>
        <v>0</v>
      </c>
      <c r="J94" s="921">
        <f>'D-Standardauslastung'!K$8</f>
        <v>0</v>
      </c>
      <c r="K94" s="921">
        <f>'D-Standardauslastung'!L$8</f>
        <v>5957</v>
      </c>
      <c r="L94" s="921">
        <f>'D-Standardauslastung'!M$8</f>
        <v>5957</v>
      </c>
      <c r="M94" s="921">
        <f>'D-Standardauslastung'!N$8</f>
        <v>5641</v>
      </c>
      <c r="N94" s="922">
        <f>'D-Standardauslastung'!O$8</f>
        <v>5541</v>
      </c>
      <c r="O94" s="923">
        <f>'D-Standardauslastung'!P$8</f>
        <v>5148</v>
      </c>
      <c r="P94" s="921">
        <f>'D-Standardauslastung'!Q$8</f>
        <v>5402</v>
      </c>
      <c r="Q94" s="921">
        <f>'D-Standardauslastung'!R$8</f>
        <v>5223</v>
      </c>
      <c r="R94" s="921">
        <f>'D-Standardauslastung'!S$8</f>
        <v>5202</v>
      </c>
      <c r="S94" s="921">
        <f>'D-Standardauslastung'!T$8</f>
        <v>5199</v>
      </c>
      <c r="T94" s="921">
        <f>'D-Standardauslastung'!U$8</f>
        <v>5177</v>
      </c>
      <c r="U94" s="921">
        <f>'D-Standardauslastung'!V$8</f>
        <v>5181</v>
      </c>
      <c r="V94" s="921">
        <f>'D-Standardauslastung'!W$8</f>
        <v>5181</v>
      </c>
      <c r="W94" s="921">
        <f>'D-Standardauslastung'!X$8</f>
        <v>5181</v>
      </c>
      <c r="X94" s="921">
        <f>'D-Standardauslastung'!Y$8</f>
        <v>5181</v>
      </c>
      <c r="Y94" s="921">
        <f>'D-Standardauslastung'!Z$8</f>
        <v>5181</v>
      </c>
      <c r="Z94" s="921">
        <f>'D-Standardauslastung'!AA$8</f>
        <v>5181</v>
      </c>
      <c r="AA94" s="921">
        <f>'D-Standardauslastung'!AB$8</f>
        <v>5181</v>
      </c>
      <c r="AB94" s="921">
        <f>'D-Standardauslastung'!AC$8</f>
        <v>5181</v>
      </c>
      <c r="AC94" s="921">
        <f>'D-Standardauslastung'!AD$8</f>
        <v>5181</v>
      </c>
      <c r="AD94" s="921">
        <f>'D-Standardauslastung'!AE$8</f>
        <v>5181</v>
      </c>
      <c r="AE94" s="922">
        <f>'D-Standardauslastung'!AF$8</f>
        <v>5181</v>
      </c>
      <c r="AF94" s="929"/>
      <c r="AG94" s="929"/>
      <c r="AH94" s="1034"/>
      <c r="AI94" s="929"/>
      <c r="AJ94" s="1034"/>
    </row>
    <row r="95" spans="1:36" ht="12.75" customHeight="1" outlineLevel="2">
      <c r="A95" s="553">
        <v>86</v>
      </c>
      <c r="B95" s="16" t="str">
        <f>'D-Standardauslastung'!C$9</f>
        <v>Référence</v>
      </c>
      <c r="C95" s="12" t="str">
        <f>'D-Standardauslastung'!D$9</f>
        <v>fh</v>
      </c>
      <c r="D95" s="31" t="str">
        <f>'D-Standardauslastung'!E$9</f>
        <v>Tendance MFP</v>
      </c>
      <c r="E95" s="16" t="s">
        <v>10</v>
      </c>
      <c r="F95" s="921">
        <f>'D-Standardauslastung'!G$9</f>
        <v>0</v>
      </c>
      <c r="G95" s="921">
        <f>'D-Standardauslastung'!H$9</f>
        <v>0</v>
      </c>
      <c r="H95" s="921">
        <f>'D-Standardauslastung'!I$9</f>
        <v>0</v>
      </c>
      <c r="I95" s="921">
        <f>'D-Standardauslastung'!J$9</f>
        <v>0</v>
      </c>
      <c r="J95" s="921">
        <f>'D-Standardauslastung'!K$9</f>
        <v>0</v>
      </c>
      <c r="K95" s="921">
        <f>'D-Standardauslastung'!L$9</f>
        <v>4341</v>
      </c>
      <c r="L95" s="921">
        <f>'D-Standardauslastung'!M$9</f>
        <v>4341</v>
      </c>
      <c r="M95" s="921">
        <f>'D-Standardauslastung'!N$9</f>
        <v>6304</v>
      </c>
      <c r="N95" s="922">
        <f>'D-Standardauslastung'!O$9</f>
        <v>6304</v>
      </c>
      <c r="O95" s="923">
        <f>'D-Standardauslastung'!P$9</f>
        <v>6406</v>
      </c>
      <c r="P95" s="921">
        <f>'D-Standardauslastung'!Q$9</f>
        <v>5457</v>
      </c>
      <c r="Q95" s="921">
        <f>'D-Standardauslastung'!R$9</f>
        <v>5797</v>
      </c>
      <c r="R95" s="921">
        <f>'D-Standardauslastung'!S$9</f>
        <v>5797</v>
      </c>
      <c r="S95" s="921">
        <f>'D-Standardauslastung'!T$9</f>
        <v>5797</v>
      </c>
      <c r="T95" s="921">
        <f>'D-Standardauslastung'!U$9</f>
        <v>5815</v>
      </c>
      <c r="U95" s="921">
        <f>'D-Standardauslastung'!V$9</f>
        <v>5797</v>
      </c>
      <c r="V95" s="921">
        <f>'D-Standardauslastung'!W$9</f>
        <v>5797</v>
      </c>
      <c r="W95" s="921">
        <f>'D-Standardauslastung'!X$9</f>
        <v>5797</v>
      </c>
      <c r="X95" s="921">
        <f>'D-Standardauslastung'!Y$9</f>
        <v>5797</v>
      </c>
      <c r="Y95" s="921">
        <f>'D-Standardauslastung'!Z$9</f>
        <v>5797</v>
      </c>
      <c r="Z95" s="921">
        <f>'D-Standardauslastung'!AA$9</f>
        <v>5797</v>
      </c>
      <c r="AA95" s="921">
        <f>'D-Standardauslastung'!AB$9</f>
        <v>5797</v>
      </c>
      <c r="AB95" s="921">
        <f>'D-Standardauslastung'!AC$9</f>
        <v>5797</v>
      </c>
      <c r="AC95" s="921">
        <f>'D-Standardauslastung'!AD$9</f>
        <v>5797</v>
      </c>
      <c r="AD95" s="921">
        <f>'D-Standardauslastung'!AE$9</f>
        <v>5797</v>
      </c>
      <c r="AE95" s="922">
        <f>'D-Standardauslastung'!AF$9</f>
        <v>5797</v>
      </c>
      <c r="AF95" s="929"/>
      <c r="AG95" s="929"/>
      <c r="AH95" s="1034"/>
      <c r="AI95" s="929"/>
      <c r="AJ95" s="1034"/>
    </row>
    <row r="96" spans="1:36" ht="12.75" customHeight="1" outlineLevel="2">
      <c r="A96" s="553">
        <v>87</v>
      </c>
      <c r="B96" s="16" t="str">
        <f>'D-Standardauslastung'!C$10</f>
        <v>Référence</v>
      </c>
      <c r="C96" s="12" t="str">
        <f>'D-Standardauslastung'!D$10</f>
        <v>fh</v>
      </c>
      <c r="D96" s="31" t="str">
        <f>'D-Standardauslastung'!E$10</f>
        <v>Augmentation à 2600h en 2035</v>
      </c>
      <c r="E96" s="16" t="s">
        <v>339</v>
      </c>
      <c r="F96" s="921">
        <f>'D-Standardauslastung'!G$10</f>
        <v>0</v>
      </c>
      <c r="G96" s="921">
        <f>'D-Standardauslastung'!H$10</f>
        <v>0</v>
      </c>
      <c r="H96" s="921">
        <f>'D-Standardauslastung'!I$10</f>
        <v>0</v>
      </c>
      <c r="I96" s="921">
        <f>'D-Standardauslastung'!J$10</f>
        <v>0</v>
      </c>
      <c r="J96" s="921">
        <f>'D-Standardauslastung'!K$10</f>
        <v>0</v>
      </c>
      <c r="K96" s="921">
        <f>'D-Standardauslastung'!L$10</f>
        <v>1768</v>
      </c>
      <c r="L96" s="921">
        <f>'D-Standardauslastung'!M$10</f>
        <v>1768</v>
      </c>
      <c r="M96" s="921">
        <f>'D-Standardauslastung'!N$10</f>
        <v>1806</v>
      </c>
      <c r="N96" s="922">
        <f>'D-Standardauslastung'!O$10</f>
        <v>1810</v>
      </c>
      <c r="O96" s="923">
        <f>'D-Standardauslastung'!P$10</f>
        <v>1886</v>
      </c>
      <c r="P96" s="921">
        <f>'D-Standardauslastung'!Q$10</f>
        <v>2056</v>
      </c>
      <c r="Q96" s="921">
        <f>'D-Standardauslastung'!R$10</f>
        <v>2082</v>
      </c>
      <c r="R96" s="921">
        <f>'D-Standardauslastung'!S$10</f>
        <v>2133</v>
      </c>
      <c r="S96" s="921">
        <f>'D-Standardauslastung'!T$10</f>
        <v>2186</v>
      </c>
      <c r="T96" s="921">
        <f>'D-Standardauslastung'!U$10</f>
        <v>2246</v>
      </c>
      <c r="U96" s="921">
        <f>'D-Standardauslastung'!V$10</f>
        <v>2364</v>
      </c>
      <c r="V96" s="921">
        <f>'D-Standardauslastung'!W$10</f>
        <v>2423</v>
      </c>
      <c r="W96" s="921">
        <f>'D-Standardauslastung'!X$10</f>
        <v>2458.4</v>
      </c>
      <c r="X96" s="921">
        <f>'D-Standardauslastung'!Y$10</f>
        <v>2482</v>
      </c>
      <c r="Y96" s="921">
        <f>'D-Standardauslastung'!Z$10</f>
        <v>2498.8571428571427</v>
      </c>
      <c r="Z96" s="921">
        <f>'D-Standardauslastung'!AA$10</f>
        <v>2511.5</v>
      </c>
      <c r="AA96" s="921">
        <f>'D-Standardauslastung'!AB$10</f>
        <v>2521.3333333333335</v>
      </c>
      <c r="AB96" s="921">
        <f>'D-Standardauslastung'!AC$10</f>
        <v>2529.2000000000003</v>
      </c>
      <c r="AC96" s="921">
        <f>'D-Standardauslastung'!AD$10</f>
        <v>2535.636363636364</v>
      </c>
      <c r="AD96" s="921">
        <f>'D-Standardauslastung'!AE$10</f>
        <v>2541.0000000000005</v>
      </c>
      <c r="AE96" s="922">
        <f>'D-Standardauslastung'!AF$10</f>
        <v>2600</v>
      </c>
      <c r="AF96" s="929"/>
      <c r="AG96" s="929"/>
      <c r="AH96" s="1034"/>
      <c r="AI96" s="929"/>
      <c r="AJ96" s="1034"/>
    </row>
    <row r="97" spans="1:36" ht="12.75" customHeight="1" outlineLevel="2">
      <c r="A97" s="553">
        <v>88</v>
      </c>
      <c r="B97" s="16" t="str">
        <f>'D-Standardauslastung'!C$11</f>
        <v>Référence</v>
      </c>
      <c r="C97" s="12" t="str">
        <f>'D-Standardauslastung'!D$11</f>
        <v>as/pl/fh</v>
      </c>
      <c r="D97" s="31" t="str">
        <f>'D-Standardauslastung'!E$11</f>
        <v>Augmentation à 4700 h en 2035</v>
      </c>
      <c r="E97" s="16" t="s">
        <v>340</v>
      </c>
      <c r="F97" s="921">
        <f>'D-Standardauslastung'!G$11</f>
        <v>0</v>
      </c>
      <c r="G97" s="921">
        <f>'D-Standardauslastung'!H$11</f>
        <v>0</v>
      </c>
      <c r="H97" s="921">
        <f>'D-Standardauslastung'!I$11</f>
        <v>0</v>
      </c>
      <c r="I97" s="921">
        <f>'D-Standardauslastung'!J$11</f>
        <v>0</v>
      </c>
      <c r="J97" s="921">
        <f>'D-Standardauslastung'!K$11</f>
        <v>0</v>
      </c>
      <c r="K97" s="921">
        <f>'D-Standardauslastung'!L$11</f>
        <v>3280</v>
      </c>
      <c r="L97" s="921">
        <f>'D-Standardauslastung'!M$11</f>
        <v>3280</v>
      </c>
      <c r="M97" s="921">
        <f>'D-Standardauslastung'!N$11</f>
        <v>3658</v>
      </c>
      <c r="N97" s="922">
        <f>'D-Standardauslastung'!O$11</f>
        <v>3600</v>
      </c>
      <c r="O97" s="923">
        <f>'D-Standardauslastung'!P$11</f>
        <v>3518</v>
      </c>
      <c r="P97" s="921">
        <f>'D-Standardauslastung'!Q$11</f>
        <v>4278</v>
      </c>
      <c r="Q97" s="921">
        <f>'D-Standardauslastung'!R$11</f>
        <v>4259</v>
      </c>
      <c r="R97" s="921">
        <f>'D-Standardauslastung'!S$11</f>
        <v>4270</v>
      </c>
      <c r="S97" s="921">
        <f>'D-Standardauslastung'!T$11</f>
        <v>4302</v>
      </c>
      <c r="T97" s="921">
        <f>'D-Standardauslastung'!U$11</f>
        <v>4360</v>
      </c>
      <c r="U97" s="921">
        <f>'D-Standardauslastung'!V$11</f>
        <v>4473.333333333333</v>
      </c>
      <c r="V97" s="921">
        <f>'D-Standardauslastung'!W$11</f>
        <v>4530</v>
      </c>
      <c r="W97" s="921">
        <f>'D-Standardauslastung'!X$11</f>
        <v>4564</v>
      </c>
      <c r="X97" s="921">
        <f>'D-Standardauslastung'!Y$11</f>
        <v>4586.666666666667</v>
      </c>
      <c r="Y97" s="921">
        <f>'D-Standardauslastung'!Z$11</f>
        <v>4602.8571428571431</v>
      </c>
      <c r="Z97" s="921">
        <f>'D-Standardauslastung'!AA$11</f>
        <v>4615</v>
      </c>
      <c r="AA97" s="921">
        <f>'D-Standardauslastung'!AB$11</f>
        <v>4624.4444444444443</v>
      </c>
      <c r="AB97" s="921">
        <f>'D-Standardauslastung'!AC$11</f>
        <v>4632</v>
      </c>
      <c r="AC97" s="921">
        <f>'D-Standardauslastung'!AD$11</f>
        <v>4638.181818181818</v>
      </c>
      <c r="AD97" s="921">
        <f>'D-Standardauslastung'!AE$11</f>
        <v>4643.333333333333</v>
      </c>
      <c r="AE97" s="922">
        <f>'D-Standardauslastung'!AF$11</f>
        <v>4700</v>
      </c>
      <c r="AF97" s="929"/>
      <c r="AG97" s="929"/>
      <c r="AH97" s="1034"/>
      <c r="AI97" s="1037"/>
      <c r="AJ97" s="1034"/>
    </row>
    <row r="98" spans="1:36" ht="12.75" customHeight="1" outlineLevel="2">
      <c r="A98" s="553">
        <v>89</v>
      </c>
      <c r="B98" s="296" t="str">
        <f>'D-Standardauslastung'!C$12</f>
        <v>Référence</v>
      </c>
      <c r="C98" s="24" t="str">
        <f>'D-Standardauslastung'!D$12</f>
        <v>fh</v>
      </c>
      <c r="D98" s="32" t="str">
        <f>'D-Standardauslastung'!E$12</f>
        <v>Augmentation à 950h en 2035</v>
      </c>
      <c r="E98" s="296" t="s">
        <v>530</v>
      </c>
      <c r="F98" s="924">
        <f>'D-Standardauslastung'!G$12</f>
        <v>0</v>
      </c>
      <c r="G98" s="924">
        <f>'D-Standardauslastung'!H$12</f>
        <v>0</v>
      </c>
      <c r="H98" s="924">
        <f>'D-Standardauslastung'!I$12</f>
        <v>0</v>
      </c>
      <c r="I98" s="924">
        <f>'D-Standardauslastung'!J$12</f>
        <v>0</v>
      </c>
      <c r="J98" s="924">
        <f>'D-Standardauslastung'!K$12</f>
        <v>0</v>
      </c>
      <c r="K98" s="924">
        <f>'D-Standardauslastung'!L$12</f>
        <v>941</v>
      </c>
      <c r="L98" s="924">
        <f>'D-Standardauslastung'!M$12</f>
        <v>941</v>
      </c>
      <c r="M98" s="924">
        <f>'D-Standardauslastung'!N$12</f>
        <v>932</v>
      </c>
      <c r="N98" s="925">
        <f>'D-Standardauslastung'!O$12</f>
        <v>981</v>
      </c>
      <c r="O98" s="926">
        <f>'D-Standardauslastung'!P$12</f>
        <v>927</v>
      </c>
      <c r="P98" s="924">
        <f>'D-Standardauslastung'!Q$12</f>
        <v>886.06344148903997</v>
      </c>
      <c r="Q98" s="924">
        <f>'D-Standardauslastung'!R$12</f>
        <v>867.49529719941631</v>
      </c>
      <c r="R98" s="924">
        <f>'D-Standardauslastung'!S$12</f>
        <v>884.96877931993924</v>
      </c>
      <c r="S98" s="924">
        <f>'D-Standardauslastung'!T$12</f>
        <v>899.03187575995446</v>
      </c>
      <c r="T98" s="924">
        <f>'D-Standardauslastung'!U$12</f>
        <v>900.07794920065294</v>
      </c>
      <c r="U98" s="924">
        <f>'D-Standardauslastung'!V$12</f>
        <v>900.01687241641127</v>
      </c>
      <c r="V98" s="924">
        <f>'D-Standardauslastung'!W$12</f>
        <v>904.26421610308171</v>
      </c>
      <c r="W98" s="924">
        <f>'D-Standardauslastung'!X$12</f>
        <v>908.51155978975214</v>
      </c>
      <c r="X98" s="924">
        <f>'D-Standardauslastung'!Y$12</f>
        <v>912.75890347642257</v>
      </c>
      <c r="Y98" s="924">
        <f>'D-Standardauslastung'!Z$12</f>
        <v>917.00624716309301</v>
      </c>
      <c r="Z98" s="924">
        <f>'D-Standardauslastung'!AA$12</f>
        <v>921.25359084976344</v>
      </c>
      <c r="AA98" s="924">
        <f>'D-Standardauslastung'!AB$12</f>
        <v>925.50093453643387</v>
      </c>
      <c r="AB98" s="924">
        <f>'D-Standardauslastung'!AC$12</f>
        <v>929.74827822310431</v>
      </c>
      <c r="AC98" s="924">
        <f>'D-Standardauslastung'!AD$12</f>
        <v>933.99562190977474</v>
      </c>
      <c r="AD98" s="924">
        <f>'D-Standardauslastung'!AE$12</f>
        <v>938.24296559644517</v>
      </c>
      <c r="AE98" s="925">
        <f>'D-Standardauslastung'!AF$12</f>
        <v>950</v>
      </c>
      <c r="AF98" s="929"/>
      <c r="AG98" s="929"/>
      <c r="AH98" s="929"/>
      <c r="AI98" s="929"/>
      <c r="AJ98" s="1034"/>
    </row>
    <row r="99" spans="1:36" ht="12.75" customHeight="1" outlineLevel="1">
      <c r="A99" s="553">
        <v>90</v>
      </c>
      <c r="B99" s="10"/>
      <c r="N99" s="342"/>
      <c r="O99" s="289"/>
      <c r="AF99" s="929"/>
      <c r="AG99" s="929"/>
      <c r="AH99" s="1034"/>
      <c r="AI99" s="1034"/>
      <c r="AJ99" s="1034"/>
    </row>
    <row r="100" spans="1:36" ht="12.75" customHeight="1" outlineLevel="1">
      <c r="A100" s="553">
        <v>91</v>
      </c>
      <c r="B100" s="10"/>
      <c r="E100" s="315" t="s">
        <v>514</v>
      </c>
      <c r="N100" s="342"/>
      <c r="O100" s="289"/>
      <c r="AF100" s="929"/>
      <c r="AG100" s="929"/>
      <c r="AH100" s="1034"/>
      <c r="AI100" s="1034"/>
      <c r="AJ100" s="1034"/>
    </row>
    <row r="101" spans="1:36" ht="12.75" customHeight="1" outlineLevel="2">
      <c r="A101" s="553">
        <v>92</v>
      </c>
      <c r="B101" s="314" t="str">
        <f>'D-Strommenge ges.'!C$6</f>
        <v>Historique</v>
      </c>
      <c r="C101" s="22" t="str">
        <f>'D-Strommenge ges.'!D$6</f>
        <v>fh</v>
      </c>
      <c r="D101" s="30" t="str">
        <f>'D-Strommenge ges.'!E$6</f>
        <v>Prévisions annuelles GRT</v>
      </c>
      <c r="E101" s="314" t="s">
        <v>529</v>
      </c>
      <c r="F101" s="904">
        <f>'D-Strommenge ges.'!G$6</f>
        <v>5.444</v>
      </c>
      <c r="G101" s="904">
        <f>'D-Strommenge ges.'!H$6</f>
        <v>6.0667459999999993</v>
      </c>
      <c r="H101" s="904">
        <f>'D-Strommenge ges.'!I$6</f>
        <v>5.8298559999999995</v>
      </c>
      <c r="I101" s="904">
        <f>'D-Strommenge ges.'!J$6</f>
        <v>6.2952879999999993</v>
      </c>
      <c r="J101" s="904">
        <f>'D-Strommenge ges.'!K$6</f>
        <v>6.154331</v>
      </c>
      <c r="K101" s="904">
        <f>'D-Strommenge ges.'!L$6</f>
        <v>6.0918529999999995</v>
      </c>
      <c r="L101" s="904">
        <f>'D-Strommenge ges.'!M$6</f>
        <v>6.2462140000000002</v>
      </c>
      <c r="M101" s="904">
        <f>'D-Strommenge ges.'!N$6</f>
        <v>6.2808169999999999</v>
      </c>
      <c r="N101" s="905">
        <f>'D-Strommenge ges.'!O$6</f>
        <v>5.9237959999999994</v>
      </c>
      <c r="O101" s="906">
        <f>'D-Strommenge ges.'!P$6</f>
        <v>6.5145869999999997</v>
      </c>
      <c r="P101" s="904">
        <f>'D-Strommenge ges.'!Q$6</f>
        <v>6.250337</v>
      </c>
      <c r="Q101" s="904">
        <f>'D-Strommenge ges.'!R$6</f>
        <v>6.378431</v>
      </c>
      <c r="R101" s="904">
        <f>'D-Strommenge ges.'!S$6</f>
        <v>0</v>
      </c>
      <c r="S101" s="904">
        <f>'D-Strommenge ges.'!T$6</f>
        <v>0</v>
      </c>
      <c r="T101" s="904">
        <f>'D-Strommenge ges.'!U$6</f>
        <v>0</v>
      </c>
      <c r="U101" s="904">
        <f>'D-Strommenge ges.'!V$6</f>
        <v>0</v>
      </c>
      <c r="V101" s="904">
        <f>'D-Strommenge ges.'!W$6</f>
        <v>0</v>
      </c>
      <c r="W101" s="904">
        <f>'D-Strommenge ges.'!X$6</f>
        <v>0</v>
      </c>
      <c r="X101" s="904">
        <f>'D-Strommenge ges.'!Y$6</f>
        <v>0</v>
      </c>
      <c r="Y101" s="904">
        <f>'D-Strommenge ges.'!Z$6</f>
        <v>0</v>
      </c>
      <c r="Z101" s="904">
        <f>'D-Strommenge ges.'!AA$6</f>
        <v>0</v>
      </c>
      <c r="AA101" s="904">
        <f>'D-Strommenge ges.'!AB$6</f>
        <v>0</v>
      </c>
      <c r="AB101" s="904">
        <f>'D-Strommenge ges.'!AC$6</f>
        <v>0</v>
      </c>
      <c r="AC101" s="904">
        <f>'D-Strommenge ges.'!AD$6</f>
        <v>0</v>
      </c>
      <c r="AD101" s="904">
        <f>'D-Strommenge ges.'!AE$6</f>
        <v>0</v>
      </c>
      <c r="AE101" s="905">
        <f>'D-Strommenge ges.'!AF$6</f>
        <v>0</v>
      </c>
      <c r="AF101" s="929"/>
      <c r="AG101" s="929"/>
      <c r="AH101" s="1034"/>
      <c r="AI101" s="1034"/>
      <c r="AJ101" s="1034"/>
    </row>
    <row r="102" spans="1:36" ht="12.75" customHeight="1" outlineLevel="2">
      <c r="A102" s="553">
        <v>93</v>
      </c>
      <c r="B102" s="16" t="str">
        <f>'D-Strommenge ges.'!C$7</f>
        <v>Historique</v>
      </c>
      <c r="C102" s="12" t="str">
        <f>'D-Strommenge ges.'!D$7</f>
        <v>fh</v>
      </c>
      <c r="D102" s="31" t="str">
        <f>'D-Strommenge ges.'!E$7</f>
        <v>Prévisions annuelles GRT</v>
      </c>
      <c r="E102" s="16" t="s">
        <v>349</v>
      </c>
      <c r="F102" s="907">
        <f>'D-Strommenge ges.'!G$7</f>
        <v>1.835</v>
      </c>
      <c r="G102" s="907">
        <f>'D-Strommenge ges.'!H$7</f>
        <v>1.993012</v>
      </c>
      <c r="H102" s="907">
        <f>'D-Strommenge ges.'!I$7</f>
        <v>1.667049</v>
      </c>
      <c r="I102" s="907">
        <f>'D-Strommenge ges.'!J$7</f>
        <v>1.9069669999999999</v>
      </c>
      <c r="J102" s="907">
        <f>'D-Strommenge ges.'!K$7</f>
        <v>1.824149</v>
      </c>
      <c r="K102" s="907">
        <f>'D-Strommenge ges.'!L$7</f>
        <v>1.6785699999999999</v>
      </c>
      <c r="L102" s="907">
        <f>'D-Strommenge ges.'!M$7</f>
        <v>1.607626</v>
      </c>
      <c r="M102" s="907">
        <f>'D-Strommenge ges.'!N$7</f>
        <v>1.3880729999999999</v>
      </c>
      <c r="N102" s="908">
        <f>'D-Strommenge ges.'!O$7</f>
        <v>1.6777449999999998</v>
      </c>
      <c r="O102" s="909">
        <f>'D-Strommenge ges.'!P$7</f>
        <v>1.7078559999999998</v>
      </c>
      <c r="P102" s="907">
        <f>'D-Strommenge ges.'!Q$7</f>
        <v>1.4397339999999998</v>
      </c>
      <c r="Q102" s="907">
        <f>'D-Strommenge ges.'!R$7</f>
        <v>1.2507809999999999</v>
      </c>
      <c r="R102" s="907">
        <f>'D-Strommenge ges.'!S$7</f>
        <v>0</v>
      </c>
      <c r="S102" s="907">
        <f>'D-Strommenge ges.'!T$7</f>
        <v>0</v>
      </c>
      <c r="T102" s="907">
        <f>'D-Strommenge ges.'!U$7</f>
        <v>0</v>
      </c>
      <c r="U102" s="907">
        <f>'D-Strommenge ges.'!V$7</f>
        <v>0</v>
      </c>
      <c r="V102" s="907">
        <f>'D-Strommenge ges.'!W$7</f>
        <v>0</v>
      </c>
      <c r="W102" s="907">
        <f>'D-Strommenge ges.'!X$7</f>
        <v>0</v>
      </c>
      <c r="X102" s="907">
        <f>'D-Strommenge ges.'!Y$7</f>
        <v>0</v>
      </c>
      <c r="Y102" s="907">
        <f>'D-Strommenge ges.'!Z$7</f>
        <v>0</v>
      </c>
      <c r="Z102" s="907">
        <f>'D-Strommenge ges.'!AA$7</f>
        <v>0</v>
      </c>
      <c r="AA102" s="907">
        <f>'D-Strommenge ges.'!AB$7</f>
        <v>0</v>
      </c>
      <c r="AB102" s="907">
        <f>'D-Strommenge ges.'!AC$7</f>
        <v>0</v>
      </c>
      <c r="AC102" s="907">
        <f>'D-Strommenge ges.'!AD$7</f>
        <v>0</v>
      </c>
      <c r="AD102" s="907">
        <f>'D-Strommenge ges.'!AE$7</f>
        <v>0</v>
      </c>
      <c r="AE102" s="908">
        <f>'D-Strommenge ges.'!AF$7</f>
        <v>0</v>
      </c>
      <c r="AF102" s="929"/>
      <c r="AG102" s="929"/>
      <c r="AH102" s="1034"/>
      <c r="AI102" s="1034"/>
      <c r="AJ102" s="1034"/>
    </row>
    <row r="103" spans="1:36" ht="12.75" customHeight="1" outlineLevel="2">
      <c r="A103" s="553">
        <v>94</v>
      </c>
      <c r="B103" s="16" t="str">
        <f>'D-Strommenge ges.'!C$8</f>
        <v>Historique</v>
      </c>
      <c r="C103" s="12" t="str">
        <f>'D-Strommenge ges.'!D$8</f>
        <v>fh</v>
      </c>
      <c r="D103" s="31" t="str">
        <f>'D-Strommenge ges.'!E$8</f>
        <v>Prévisions annuelles GRT</v>
      </c>
      <c r="E103" s="16" t="s">
        <v>11</v>
      </c>
      <c r="F103" s="907">
        <f>'D-Strommenge ges.'!G$8</f>
        <v>26.262</v>
      </c>
      <c r="G103" s="907">
        <f>'D-Strommenge ges.'!H$8</f>
        <v>27.776935999999999</v>
      </c>
      <c r="H103" s="907">
        <f>'D-Strommenge ges.'!I$8</f>
        <v>30.355590999999997</v>
      </c>
      <c r="I103" s="907">
        <f>'D-Strommenge ges.'!J$8</f>
        <v>33.165135999999997</v>
      </c>
      <c r="J103" s="907">
        <f>'D-Strommenge ges.'!K$8</f>
        <v>34.944730999999997</v>
      </c>
      <c r="K103" s="907">
        <f>'D-Strommenge ges.'!L$8</f>
        <v>38.357603999999995</v>
      </c>
      <c r="L103" s="907">
        <f>'D-Strommenge ges.'!M$8</f>
        <v>40.238844999999998</v>
      </c>
      <c r="M103" s="907">
        <f>'D-Strommenge ges.'!N$8</f>
        <v>40.770392999999999</v>
      </c>
      <c r="N103" s="908">
        <f>'D-Strommenge ges.'!O$8</f>
        <v>41.554488999999997</v>
      </c>
      <c r="O103" s="909">
        <f>'D-Strommenge ges.'!P$8</f>
        <v>41.351619999999997</v>
      </c>
      <c r="P103" s="907">
        <f>'D-Strommenge ges.'!Q$8</f>
        <v>41.746690000000001</v>
      </c>
      <c r="Q103" s="907">
        <f>'D-Strommenge ges.'!R$8</f>
        <v>40.206693999999999</v>
      </c>
      <c r="R103" s="907">
        <f>'D-Strommenge ges.'!S$8</f>
        <v>0</v>
      </c>
      <c r="S103" s="907">
        <f>'D-Strommenge ges.'!T$8</f>
        <v>0</v>
      </c>
      <c r="T103" s="907">
        <f>'D-Strommenge ges.'!U$8</f>
        <v>0</v>
      </c>
      <c r="U103" s="907">
        <f>'D-Strommenge ges.'!V$8</f>
        <v>0</v>
      </c>
      <c r="V103" s="907">
        <f>'D-Strommenge ges.'!W$8</f>
        <v>0</v>
      </c>
      <c r="W103" s="907">
        <f>'D-Strommenge ges.'!X$8</f>
        <v>0</v>
      </c>
      <c r="X103" s="907">
        <f>'D-Strommenge ges.'!Y$8</f>
        <v>0</v>
      </c>
      <c r="Y103" s="907">
        <f>'D-Strommenge ges.'!Z$8</f>
        <v>0</v>
      </c>
      <c r="Z103" s="907">
        <f>'D-Strommenge ges.'!AA$8</f>
        <v>0</v>
      </c>
      <c r="AA103" s="907">
        <f>'D-Strommenge ges.'!AB$8</f>
        <v>0</v>
      </c>
      <c r="AB103" s="907">
        <f>'D-Strommenge ges.'!AC$8</f>
        <v>0</v>
      </c>
      <c r="AC103" s="907">
        <f>'D-Strommenge ges.'!AD$8</f>
        <v>0</v>
      </c>
      <c r="AD103" s="907">
        <f>'D-Strommenge ges.'!AE$8</f>
        <v>0</v>
      </c>
      <c r="AE103" s="908">
        <f>'D-Strommenge ges.'!AF$8</f>
        <v>0</v>
      </c>
      <c r="AF103" s="929"/>
      <c r="AG103" s="929"/>
      <c r="AH103" s="1034"/>
      <c r="AI103" s="1034"/>
      <c r="AJ103" s="1034"/>
    </row>
    <row r="104" spans="1:36" ht="12.75" customHeight="1" outlineLevel="2">
      <c r="A104" s="553">
        <v>95</v>
      </c>
      <c r="B104" s="16" t="str">
        <f>'D-Strommenge ges.'!C$9</f>
        <v>Historique</v>
      </c>
      <c r="C104" s="12" t="str">
        <f>'D-Strommenge ges.'!D$9</f>
        <v>fh</v>
      </c>
      <c r="D104" s="31" t="str">
        <f>'D-Strommenge ges.'!E$9</f>
        <v>Prévisions annuelles GRT</v>
      </c>
      <c r="E104" s="16" t="s">
        <v>10</v>
      </c>
      <c r="F104" s="907">
        <f>'D-Strommenge ges.'!G$9</f>
        <v>3.5999999999999997E-2</v>
      </c>
      <c r="G104" s="907">
        <f>'D-Strommenge ges.'!H$9</f>
        <v>6.1612E-2</v>
      </c>
      <c r="H104" s="907">
        <f>'D-Strommenge ges.'!I$9</f>
        <v>0.10724</v>
      </c>
      <c r="I104" s="907">
        <f>'D-Strommenge ges.'!J$9</f>
        <v>7.6874999999999999E-2</v>
      </c>
      <c r="J104" s="907">
        <f>'D-Strommenge ges.'!K$9</f>
        <v>0.130407</v>
      </c>
      <c r="K104" s="907">
        <f>'D-Strommenge ges.'!L$9</f>
        <v>0.15870499999999998</v>
      </c>
      <c r="L104" s="907">
        <f>'D-Strommenge ges.'!M$9</f>
        <v>0.18035599999999999</v>
      </c>
      <c r="M104" s="907">
        <f>'D-Strommenge ges.'!N$9</f>
        <v>0.189524</v>
      </c>
      <c r="N104" s="908">
        <f>'D-Strommenge ges.'!O$9</f>
        <v>0.25728000000000001</v>
      </c>
      <c r="O104" s="909">
        <f>'D-Strommenge ges.'!P$9</f>
        <v>0.28638599999999997</v>
      </c>
      <c r="P104" s="907">
        <f>'D-Strommenge ges.'!Q$9</f>
        <v>0.214729</v>
      </c>
      <c r="Q104" s="907">
        <f>'D-Strommenge ges.'!R$9</f>
        <v>0.26771400000000001</v>
      </c>
      <c r="R104" s="907">
        <f>'D-Strommenge ges.'!S$9</f>
        <v>0</v>
      </c>
      <c r="S104" s="907">
        <f>'D-Strommenge ges.'!T$9</f>
        <v>0</v>
      </c>
      <c r="T104" s="907">
        <f>'D-Strommenge ges.'!U$9</f>
        <v>0</v>
      </c>
      <c r="U104" s="907">
        <f>'D-Strommenge ges.'!V$9</f>
        <v>0</v>
      </c>
      <c r="V104" s="907">
        <f>'D-Strommenge ges.'!W$9</f>
        <v>0</v>
      </c>
      <c r="W104" s="907">
        <f>'D-Strommenge ges.'!X$9</f>
        <v>0</v>
      </c>
      <c r="X104" s="907">
        <f>'D-Strommenge ges.'!Y$9</f>
        <v>0</v>
      </c>
      <c r="Y104" s="907">
        <f>'D-Strommenge ges.'!Z$9</f>
        <v>0</v>
      </c>
      <c r="Z104" s="907">
        <f>'D-Strommenge ges.'!AA$9</f>
        <v>0</v>
      </c>
      <c r="AA104" s="907">
        <f>'D-Strommenge ges.'!AB$9</f>
        <v>0</v>
      </c>
      <c r="AB104" s="907">
        <f>'D-Strommenge ges.'!AC$9</f>
        <v>0</v>
      </c>
      <c r="AC104" s="907">
        <f>'D-Strommenge ges.'!AD$9</f>
        <v>0</v>
      </c>
      <c r="AD104" s="907">
        <f>'D-Strommenge ges.'!AE$9</f>
        <v>0</v>
      </c>
      <c r="AE104" s="908">
        <f>'D-Strommenge ges.'!AF$9</f>
        <v>0</v>
      </c>
      <c r="AF104" s="929"/>
      <c r="AG104" s="929"/>
      <c r="AH104" s="1034"/>
      <c r="AI104" s="1034"/>
      <c r="AJ104" s="1034"/>
    </row>
    <row r="105" spans="1:36" ht="12.75" customHeight="1" outlineLevel="2">
      <c r="A105" s="553">
        <v>96</v>
      </c>
      <c r="B105" s="16" t="str">
        <f>'D-Strommenge ges.'!C$10</f>
        <v>Historique</v>
      </c>
      <c r="C105" s="12" t="str">
        <f>'D-Strommenge ges.'!D$10</f>
        <v>fh</v>
      </c>
      <c r="D105" s="31" t="str">
        <f>'D-Strommenge ges.'!E$10</f>
        <v>Prévisions annuelles GRT</v>
      </c>
      <c r="E105" s="16" t="s">
        <v>339</v>
      </c>
      <c r="F105" s="907">
        <f>'D-Strommenge ges.'!G$10</f>
        <v>47.704000000000001</v>
      </c>
      <c r="G105" s="907">
        <f>'D-Strommenge ges.'!H$10</f>
        <v>53.882748999999997</v>
      </c>
      <c r="H105" s="907">
        <f>'D-Strommenge ges.'!I$10</f>
        <v>50.125189999999996</v>
      </c>
      <c r="I105" s="907">
        <f>'D-Strommenge ges.'!J$10</f>
        <v>55.830889999999997</v>
      </c>
      <c r="J105" s="907">
        <f>'D-Strommenge ges.'!K$10</f>
        <v>62.190390000000001</v>
      </c>
      <c r="K105" s="907">
        <f>'D-Strommenge ges.'!L$10</f>
        <v>66.872687999999997</v>
      </c>
      <c r="L105" s="907">
        <f>'D-Strommenge ges.'!M$10</f>
        <v>75.948886000000002</v>
      </c>
      <c r="M105" s="907">
        <f>'D-Strommenge ges.'!N$10</f>
        <v>82.001902999999999</v>
      </c>
      <c r="N105" s="908">
        <f>'D-Strommenge ges.'!O$10</f>
        <v>92.724075999999997</v>
      </c>
      <c r="O105" s="909">
        <f>'D-Strommenge ges.'!P$10</f>
        <v>98.799182999999999</v>
      </c>
      <c r="P105" s="907">
        <f>'D-Strommenge ges.'!Q$10</f>
        <v>102.08820399999999</v>
      </c>
      <c r="Q105" s="907">
        <f>'D-Strommenge ges.'!R$10</f>
        <v>101.185739</v>
      </c>
      <c r="R105" s="907">
        <f>'D-Strommenge ges.'!S$10</f>
        <v>0</v>
      </c>
      <c r="S105" s="907">
        <f>'D-Strommenge ges.'!T$10</f>
        <v>0</v>
      </c>
      <c r="T105" s="907">
        <f>'D-Strommenge ges.'!U$10</f>
        <v>0</v>
      </c>
      <c r="U105" s="907">
        <f>'D-Strommenge ges.'!V$10</f>
        <v>0</v>
      </c>
      <c r="V105" s="907">
        <f>'D-Strommenge ges.'!W$10</f>
        <v>0</v>
      </c>
      <c r="W105" s="907">
        <f>'D-Strommenge ges.'!X$10</f>
        <v>0</v>
      </c>
      <c r="X105" s="907">
        <f>'D-Strommenge ges.'!Y$10</f>
        <v>0</v>
      </c>
      <c r="Y105" s="907">
        <f>'D-Strommenge ges.'!Z$10</f>
        <v>0</v>
      </c>
      <c r="Z105" s="907">
        <f>'D-Strommenge ges.'!AA$10</f>
        <v>0</v>
      </c>
      <c r="AA105" s="907">
        <f>'D-Strommenge ges.'!AB$10</f>
        <v>0</v>
      </c>
      <c r="AB105" s="907">
        <f>'D-Strommenge ges.'!AC$10</f>
        <v>0</v>
      </c>
      <c r="AC105" s="907">
        <f>'D-Strommenge ges.'!AD$10</f>
        <v>0</v>
      </c>
      <c r="AD105" s="907">
        <f>'D-Strommenge ges.'!AE$10</f>
        <v>0</v>
      </c>
      <c r="AE105" s="908">
        <f>'D-Strommenge ges.'!AF$10</f>
        <v>0</v>
      </c>
      <c r="AF105" s="929"/>
      <c r="AG105" s="929"/>
      <c r="AH105" s="1034"/>
      <c r="AI105" s="1034"/>
      <c r="AJ105" s="1034"/>
    </row>
    <row r="106" spans="1:36" ht="12.75" customHeight="1" outlineLevel="2">
      <c r="A106" s="553">
        <v>97</v>
      </c>
      <c r="B106" s="16" t="str">
        <f>'D-Strommenge ges.'!C$11</f>
        <v>Historique</v>
      </c>
      <c r="C106" s="12" t="str">
        <f>'D-Strommenge ges.'!D$11</f>
        <v>fh</v>
      </c>
      <c r="D106" s="31" t="str">
        <f>'D-Strommenge ges.'!E$11</f>
        <v>Prévisions annuelles GRT</v>
      </c>
      <c r="E106" s="16" t="s">
        <v>340</v>
      </c>
      <c r="F106" s="907">
        <f>'D-Strommenge ges.'!G$11</f>
        <v>0.65400000000000003</v>
      </c>
      <c r="G106" s="907">
        <f>'D-Strommenge ges.'!H$11</f>
        <v>1.1467909999999999</v>
      </c>
      <c r="H106" s="907">
        <f>'D-Strommenge ges.'!I$11</f>
        <v>1.361415</v>
      </c>
      <c r="I106" s="907">
        <f>'D-Strommenge ges.'!J$11</f>
        <v>2.4940419999999999</v>
      </c>
      <c r="J106" s="907">
        <f>'D-Strommenge ges.'!K$11</f>
        <v>7.397958</v>
      </c>
      <c r="K106" s="907">
        <f>'D-Strommenge ges.'!L$11</f>
        <v>11.231204</v>
      </c>
      <c r="L106" s="907">
        <f>'D-Strommenge ges.'!M$11</f>
        <v>15.379543999999999</v>
      </c>
      <c r="M106" s="907">
        <f>'D-Strommenge ges.'!N$11</f>
        <v>20.033355</v>
      </c>
      <c r="N106" s="908">
        <f>'D-Strommenge ges.'!O$11</f>
        <v>22.564405999999998</v>
      </c>
      <c r="O106" s="909">
        <f>'D-Strommenge ges.'!P$11</f>
        <v>26.466161</v>
      </c>
      <c r="P106" s="907">
        <f>'D-Strommenge ges.'!Q$11</f>
        <v>29.940075999999998</v>
      </c>
      <c r="Q106" s="907">
        <f>'D-Strommenge ges.'!R$11</f>
        <v>29.638939999999998</v>
      </c>
      <c r="R106" s="907">
        <f>'D-Strommenge ges.'!S$11</f>
        <v>0</v>
      </c>
      <c r="S106" s="907">
        <f>'D-Strommenge ges.'!T$11</f>
        <v>0</v>
      </c>
      <c r="T106" s="907">
        <f>'D-Strommenge ges.'!U$11</f>
        <v>0</v>
      </c>
      <c r="U106" s="907">
        <f>'D-Strommenge ges.'!V$11</f>
        <v>0</v>
      </c>
      <c r="V106" s="907">
        <f>'D-Strommenge ges.'!W$11</f>
        <v>0</v>
      </c>
      <c r="W106" s="907">
        <f>'D-Strommenge ges.'!X$11</f>
        <v>0</v>
      </c>
      <c r="X106" s="907">
        <f>'D-Strommenge ges.'!Y$11</f>
        <v>0</v>
      </c>
      <c r="Y106" s="907">
        <f>'D-Strommenge ges.'!Z$11</f>
        <v>0</v>
      </c>
      <c r="Z106" s="907">
        <f>'D-Strommenge ges.'!AA$11</f>
        <v>0</v>
      </c>
      <c r="AA106" s="907">
        <f>'D-Strommenge ges.'!AB$11</f>
        <v>0</v>
      </c>
      <c r="AB106" s="907">
        <f>'D-Strommenge ges.'!AC$11</f>
        <v>0</v>
      </c>
      <c r="AC106" s="907">
        <f>'D-Strommenge ges.'!AD$11</f>
        <v>0</v>
      </c>
      <c r="AD106" s="907">
        <f>'D-Strommenge ges.'!AE$11</f>
        <v>0</v>
      </c>
      <c r="AE106" s="908">
        <f>'D-Strommenge ges.'!AF$11</f>
        <v>0</v>
      </c>
      <c r="AF106" s="929"/>
      <c r="AG106" s="929"/>
      <c r="AH106" s="1034"/>
      <c r="AI106" s="1034"/>
      <c r="AJ106" s="1034"/>
    </row>
    <row r="107" spans="1:36" ht="12.75" customHeight="1" outlineLevel="2">
      <c r="A107" s="553">
        <v>98</v>
      </c>
      <c r="B107" s="296" t="str">
        <f>'D-Strommenge ges.'!C$12</f>
        <v>Historique</v>
      </c>
      <c r="C107" s="24" t="str">
        <f>'D-Strommenge ges.'!D$12</f>
        <v>fh</v>
      </c>
      <c r="D107" s="32" t="str">
        <f>'D-Strommenge ges.'!E$12</f>
        <v>Prévisions annuelles GRT</v>
      </c>
      <c r="E107" s="296" t="s">
        <v>530</v>
      </c>
      <c r="F107" s="912">
        <f>'D-Strommenge ges.'!G$12</f>
        <v>8.2959999999999994</v>
      </c>
      <c r="G107" s="912">
        <f>'D-Strommenge ges.'!H$12</f>
        <v>19.399286999999998</v>
      </c>
      <c r="H107" s="912">
        <f>'D-Strommenge ges.'!I$12</f>
        <v>24.072319</v>
      </c>
      <c r="I107" s="912">
        <f>'D-Strommenge ges.'!J$12</f>
        <v>34.673694999999995</v>
      </c>
      <c r="J107" s="912">
        <f>'D-Strommenge ges.'!K$12</f>
        <v>36.594586999999997</v>
      </c>
      <c r="K107" s="912">
        <f>'D-Strommenge ges.'!L$12</f>
        <v>36.096958000000001</v>
      </c>
      <c r="L107" s="912">
        <f>'D-Strommenge ges.'!M$12</f>
        <v>36.82555</v>
      </c>
      <c r="M107" s="912">
        <f>'D-Strommenge ges.'!N$12</f>
        <v>36.562143999999996</v>
      </c>
      <c r="N107" s="913">
        <f>'D-Strommenge ges.'!O$12</f>
        <v>39.173614999999998</v>
      </c>
      <c r="O107" s="914">
        <f>'D-Strommenge ges.'!P$12</f>
        <v>41.877699</v>
      </c>
      <c r="P107" s="912">
        <f>'D-Strommenge ges.'!Q$12</f>
        <v>43.939245999999997</v>
      </c>
      <c r="Q107" s="912">
        <f>'D-Strommenge ges.'!R$12</f>
        <v>49.344335000000001</v>
      </c>
      <c r="R107" s="912">
        <f>'D-Strommenge ges.'!S$12</f>
        <v>0</v>
      </c>
      <c r="S107" s="912">
        <f>'D-Strommenge ges.'!T$12</f>
        <v>0</v>
      </c>
      <c r="T107" s="912">
        <f>'D-Strommenge ges.'!U$12</f>
        <v>0</v>
      </c>
      <c r="U107" s="912">
        <f>'D-Strommenge ges.'!V$12</f>
        <v>0</v>
      </c>
      <c r="V107" s="912">
        <f>'D-Strommenge ges.'!W$12</f>
        <v>0</v>
      </c>
      <c r="W107" s="912">
        <f>'D-Strommenge ges.'!X$12</f>
        <v>0</v>
      </c>
      <c r="X107" s="912">
        <f>'D-Strommenge ges.'!Y$12</f>
        <v>0</v>
      </c>
      <c r="Y107" s="912">
        <f>'D-Strommenge ges.'!Z$12</f>
        <v>0</v>
      </c>
      <c r="Z107" s="912">
        <f>'D-Strommenge ges.'!AA$12</f>
        <v>0</v>
      </c>
      <c r="AA107" s="912">
        <f>'D-Strommenge ges.'!AB$12</f>
        <v>0</v>
      </c>
      <c r="AB107" s="912">
        <f>'D-Strommenge ges.'!AC$12</f>
        <v>0</v>
      </c>
      <c r="AC107" s="912">
        <f>'D-Strommenge ges.'!AD$12</f>
        <v>0</v>
      </c>
      <c r="AD107" s="912">
        <f>'D-Strommenge ges.'!AE$12</f>
        <v>0</v>
      </c>
      <c r="AE107" s="913">
        <f>'D-Strommenge ges.'!AF$12</f>
        <v>0</v>
      </c>
      <c r="AF107" s="929"/>
      <c r="AG107" s="929"/>
      <c r="AH107" s="1034"/>
      <c r="AI107" s="1034"/>
      <c r="AJ107" s="1034"/>
    </row>
    <row r="108" spans="1:36" s="294" customFormat="1" ht="12.75" customHeight="1" outlineLevel="1">
      <c r="A108" s="553">
        <v>99</v>
      </c>
      <c r="C108" s="10"/>
      <c r="D108" s="33"/>
      <c r="E108" s="27" t="s">
        <v>42</v>
      </c>
      <c r="F108" s="339">
        <f t="shared" ref="F108:N108" si="0">SUM(F101:F107)</f>
        <v>90.230999999999995</v>
      </c>
      <c r="G108" s="339">
        <f t="shared" si="0"/>
        <v>110.32713299999998</v>
      </c>
      <c r="H108" s="339">
        <f t="shared" si="0"/>
        <v>113.51865999999998</v>
      </c>
      <c r="I108" s="339">
        <f t="shared" si="0"/>
        <v>134.44289299999997</v>
      </c>
      <c r="J108" s="339">
        <f t="shared" si="0"/>
        <v>149.23655299999999</v>
      </c>
      <c r="K108" s="339">
        <f t="shared" si="0"/>
        <v>160.48758199999997</v>
      </c>
      <c r="L108" s="339">
        <f t="shared" si="0"/>
        <v>176.427021</v>
      </c>
      <c r="M108" s="339">
        <f t="shared" si="0"/>
        <v>187.22620899999998</v>
      </c>
      <c r="N108" s="344">
        <f t="shared" si="0"/>
        <v>203.875407</v>
      </c>
      <c r="O108" s="339">
        <f>SUM(O101:O107)</f>
        <v>217.00349199999999</v>
      </c>
      <c r="P108" s="339">
        <f>SUM(P101:P107)</f>
        <v>225.61901599999999</v>
      </c>
      <c r="Q108" s="339">
        <f t="shared" ref="Q108:AE108" si="1">SUM(Q101:Q107)</f>
        <v>228.27263399999998</v>
      </c>
      <c r="R108" s="339">
        <f t="shared" si="1"/>
        <v>0</v>
      </c>
      <c r="S108" s="339">
        <f t="shared" si="1"/>
        <v>0</v>
      </c>
      <c r="T108" s="339">
        <f t="shared" si="1"/>
        <v>0</v>
      </c>
      <c r="U108" s="339">
        <f t="shared" si="1"/>
        <v>0</v>
      </c>
      <c r="V108" s="339">
        <f t="shared" si="1"/>
        <v>0</v>
      </c>
      <c r="W108" s="344">
        <f t="shared" si="1"/>
        <v>0</v>
      </c>
      <c r="X108" s="339">
        <f t="shared" si="1"/>
        <v>0</v>
      </c>
      <c r="Y108" s="339">
        <f t="shared" si="1"/>
        <v>0</v>
      </c>
      <c r="Z108" s="339">
        <f t="shared" si="1"/>
        <v>0</v>
      </c>
      <c r="AA108" s="339">
        <f t="shared" si="1"/>
        <v>0</v>
      </c>
      <c r="AB108" s="339">
        <f t="shared" si="1"/>
        <v>0</v>
      </c>
      <c r="AC108" s="339">
        <f t="shared" si="1"/>
        <v>0</v>
      </c>
      <c r="AD108" s="339">
        <f t="shared" si="1"/>
        <v>0</v>
      </c>
      <c r="AE108" s="339">
        <f t="shared" si="1"/>
        <v>0</v>
      </c>
      <c r="AF108" s="929"/>
      <c r="AG108" s="929"/>
      <c r="AH108" s="1034"/>
      <c r="AI108" s="1034"/>
      <c r="AJ108" s="1034"/>
    </row>
    <row r="109" spans="1:36" ht="12.75" customHeight="1" outlineLevel="1">
      <c r="A109" s="553">
        <v>100</v>
      </c>
      <c r="B109" s="10"/>
      <c r="C109" s="26"/>
      <c r="D109" s="34"/>
      <c r="E109" s="10"/>
      <c r="N109" s="342"/>
      <c r="O109" s="289"/>
      <c r="AF109" s="929"/>
      <c r="AG109" s="929"/>
      <c r="AH109" s="1034"/>
      <c r="AI109" s="1034"/>
      <c r="AJ109" s="1034"/>
    </row>
    <row r="110" spans="1:36" s="294" customFormat="1" ht="12.75" customHeight="1" outlineLevel="1">
      <c r="A110" s="553">
        <v>101</v>
      </c>
      <c r="C110" s="10"/>
      <c r="D110" s="33"/>
      <c r="E110" s="315" t="s">
        <v>515</v>
      </c>
      <c r="F110" s="324"/>
      <c r="G110" s="324"/>
      <c r="H110" s="324"/>
      <c r="I110" s="324"/>
      <c r="J110" s="324"/>
      <c r="K110" s="324"/>
      <c r="L110" s="324"/>
      <c r="M110" s="324"/>
      <c r="N110" s="342"/>
      <c r="O110" s="289"/>
      <c r="P110" s="324"/>
      <c r="Q110" s="324"/>
      <c r="R110" s="324"/>
      <c r="S110" s="324"/>
      <c r="T110" s="324"/>
      <c r="U110" s="324"/>
      <c r="V110" s="324"/>
      <c r="W110" s="324"/>
      <c r="X110" s="324"/>
      <c r="Y110" s="324"/>
      <c r="Z110" s="324"/>
      <c r="AA110" s="324"/>
      <c r="AB110" s="324"/>
      <c r="AC110" s="324"/>
      <c r="AD110" s="324"/>
      <c r="AE110" s="324"/>
      <c r="AF110" s="929"/>
      <c r="AG110" s="929"/>
      <c r="AH110" s="1034"/>
      <c r="AI110" s="1034"/>
      <c r="AJ110" s="1040" t="s">
        <v>577</v>
      </c>
    </row>
    <row r="111" spans="1:36" s="294" customFormat="1" ht="12.75" customHeight="1" outlineLevel="2">
      <c r="A111" s="553">
        <v>102</v>
      </c>
      <c r="B111" s="314" t="str">
        <f>'D-Strommenge FV+DM'!C6</f>
        <v>Historique</v>
      </c>
      <c r="C111" s="22" t="str">
        <f>'D-Strommenge FV+DM'!D6</f>
        <v>fh</v>
      </c>
      <c r="D111" s="30" t="str">
        <f>'D-Strommenge FV+DM'!E6</f>
        <v>Prévisions annuelles GRT</v>
      </c>
      <c r="E111" s="314" t="s">
        <v>529</v>
      </c>
      <c r="F111" s="904">
        <f>'D-Strommenge FV+DM'!G6</f>
        <v>5.444</v>
      </c>
      <c r="G111" s="904">
        <f>'D-Strommenge FV+DM'!H6</f>
        <v>2.0696829999999999</v>
      </c>
      <c r="H111" s="904">
        <f>'D-Strommenge FV+DM'!I6</f>
        <v>2.6419329999999999</v>
      </c>
      <c r="I111" s="904">
        <f>'D-Strommenge FV+DM'!J6</f>
        <v>1.4335309999999999</v>
      </c>
      <c r="J111" s="904">
        <f>'D-Strommenge FV+DM'!K6</f>
        <v>2.6266479999999999</v>
      </c>
      <c r="K111" s="904">
        <f>'D-Strommenge FV+DM'!L6</f>
        <v>2.5155029999999998</v>
      </c>
      <c r="L111" s="904">
        <f>'D-Strommenge FV+DM'!M6</f>
        <v>2.4509639999999999</v>
      </c>
      <c r="M111" s="904">
        <f>'D-Strommenge FV+DM'!N6</f>
        <v>3.2915449999999997</v>
      </c>
      <c r="N111" s="905">
        <f>'D-Strommenge FV+DM'!O6</f>
        <v>2.4494499999999997</v>
      </c>
      <c r="O111" s="906">
        <f>'D-Strommenge FV+DM'!P6</f>
        <v>2.4839579999999999</v>
      </c>
      <c r="P111" s="904">
        <f>'D-Strommenge FV+DM'!Q6</f>
        <v>2.2986149999999999</v>
      </c>
      <c r="Q111" s="904">
        <f>'D-Strommenge FV+DM'!R6</f>
        <v>2.250448</v>
      </c>
      <c r="R111" s="904">
        <f>'D-Strommenge FV+DM'!S6</f>
        <v>0</v>
      </c>
      <c r="S111" s="904">
        <f>'D-Strommenge FV+DM'!T6</f>
        <v>0</v>
      </c>
      <c r="T111" s="904">
        <f>'D-Strommenge FV+DM'!U6</f>
        <v>0</v>
      </c>
      <c r="U111" s="904">
        <f>'D-Strommenge FV+DM'!V6</f>
        <v>0</v>
      </c>
      <c r="V111" s="904">
        <f>'D-Strommenge FV+DM'!W6</f>
        <v>0</v>
      </c>
      <c r="W111" s="904">
        <f>'D-Strommenge FV+DM'!X6</f>
        <v>0</v>
      </c>
      <c r="X111" s="904">
        <f>'D-Strommenge FV+DM'!Y6</f>
        <v>0</v>
      </c>
      <c r="Y111" s="904">
        <f>'D-Strommenge FV+DM'!Z6</f>
        <v>0</v>
      </c>
      <c r="Z111" s="904">
        <f>'D-Strommenge FV+DM'!AA6</f>
        <v>0</v>
      </c>
      <c r="AA111" s="904">
        <f>'D-Strommenge FV+DM'!AB6</f>
        <v>0</v>
      </c>
      <c r="AB111" s="904">
        <f>'D-Strommenge FV+DM'!AC6</f>
        <v>0</v>
      </c>
      <c r="AC111" s="904">
        <f>'D-Strommenge FV+DM'!AD6</f>
        <v>0</v>
      </c>
      <c r="AD111" s="904">
        <f>'D-Strommenge FV+DM'!AE6</f>
        <v>0</v>
      </c>
      <c r="AE111" s="905">
        <f>'D-Strommenge FV+DM'!AF6</f>
        <v>0</v>
      </c>
      <c r="AF111" s="929"/>
      <c r="AG111" s="929"/>
      <c r="AH111" s="1034"/>
      <c r="AI111" s="1034"/>
      <c r="AJ111" s="1040" t="s">
        <v>577</v>
      </c>
    </row>
    <row r="112" spans="1:36" s="294" customFormat="1" ht="12.75" customHeight="1" outlineLevel="2">
      <c r="A112" s="553">
        <v>103</v>
      </c>
      <c r="B112" s="16" t="str">
        <f>'D-Strommenge FV+DM'!C7</f>
        <v>Historique</v>
      </c>
      <c r="C112" s="12" t="str">
        <f>'D-Strommenge FV+DM'!D7</f>
        <v>fh</v>
      </c>
      <c r="D112" s="31" t="str">
        <f>'D-Strommenge FV+DM'!E7</f>
        <v>Prévisions annuelles GRT</v>
      </c>
      <c r="E112" s="16" t="s">
        <v>349</v>
      </c>
      <c r="F112" s="907">
        <f>'D-Strommenge FV+DM'!G7</f>
        <v>1.835</v>
      </c>
      <c r="G112" s="907">
        <f>'D-Strommenge FV+DM'!H7</f>
        <v>0.19930099999999998</v>
      </c>
      <c r="H112" s="907">
        <f>'D-Strommenge FV+DM'!I7</f>
        <v>0.434035</v>
      </c>
      <c r="I112" s="907">
        <f>'D-Strommenge FV+DM'!J7</f>
        <v>0.26808399999999999</v>
      </c>
      <c r="J112" s="907">
        <f>'D-Strommenge FV+DM'!K7</f>
        <v>0.274088</v>
      </c>
      <c r="K112" s="907">
        <f>'D-Strommenge FV+DM'!L7</f>
        <v>0.72458999999999996</v>
      </c>
      <c r="L112" s="907">
        <f>'D-Strommenge FV+DM'!M7</f>
        <v>0.67505300000000001</v>
      </c>
      <c r="M112" s="907">
        <f>'D-Strommenge FV+DM'!N7</f>
        <v>0.48945699999999998</v>
      </c>
      <c r="N112" s="908">
        <f>'D-Strommenge FV+DM'!O7</f>
        <v>0.40027299999999999</v>
      </c>
      <c r="O112" s="909">
        <f>'D-Strommenge FV+DM'!P7</f>
        <v>0.30525099999999999</v>
      </c>
      <c r="P112" s="907">
        <f>'D-Strommenge FV+DM'!Q7</f>
        <v>0.23846799999999999</v>
      </c>
      <c r="Q112" s="907">
        <f>'D-Strommenge FV+DM'!R7</f>
        <v>0.12540099999999998</v>
      </c>
      <c r="R112" s="907">
        <f>'D-Strommenge FV+DM'!S7</f>
        <v>0</v>
      </c>
      <c r="S112" s="907">
        <f>'D-Strommenge FV+DM'!T7</f>
        <v>0</v>
      </c>
      <c r="T112" s="907">
        <f>'D-Strommenge FV+DM'!U7</f>
        <v>0</v>
      </c>
      <c r="U112" s="907">
        <f>'D-Strommenge FV+DM'!V7</f>
        <v>0</v>
      </c>
      <c r="V112" s="907">
        <f>'D-Strommenge FV+DM'!W7</f>
        <v>0</v>
      </c>
      <c r="W112" s="907">
        <f>'D-Strommenge FV+DM'!X7</f>
        <v>0</v>
      </c>
      <c r="X112" s="907">
        <f>'D-Strommenge FV+DM'!Y7</f>
        <v>0</v>
      </c>
      <c r="Y112" s="907">
        <f>'D-Strommenge FV+DM'!Z7</f>
        <v>0</v>
      </c>
      <c r="Z112" s="907">
        <f>'D-Strommenge FV+DM'!AA7</f>
        <v>0</v>
      </c>
      <c r="AA112" s="907">
        <f>'D-Strommenge FV+DM'!AB7</f>
        <v>0</v>
      </c>
      <c r="AB112" s="907">
        <f>'D-Strommenge FV+DM'!AC7</f>
        <v>0</v>
      </c>
      <c r="AC112" s="907">
        <f>'D-Strommenge FV+DM'!AD7</f>
        <v>0</v>
      </c>
      <c r="AD112" s="907">
        <f>'D-Strommenge FV+DM'!AE7</f>
        <v>0</v>
      </c>
      <c r="AE112" s="908">
        <f>'D-Strommenge FV+DM'!AF7</f>
        <v>0</v>
      </c>
      <c r="AF112" s="929"/>
      <c r="AG112" s="929"/>
      <c r="AH112" s="1034"/>
      <c r="AI112" s="1034"/>
      <c r="AJ112" s="1040" t="s">
        <v>577</v>
      </c>
    </row>
    <row r="113" spans="1:36" s="294" customFormat="1" ht="12.75" customHeight="1" outlineLevel="2">
      <c r="A113" s="553">
        <v>104</v>
      </c>
      <c r="B113" s="16" t="str">
        <f>'D-Strommenge FV+DM'!C8</f>
        <v>Historique</v>
      </c>
      <c r="C113" s="12" t="str">
        <f>'D-Strommenge FV+DM'!D8</f>
        <v>fh</v>
      </c>
      <c r="D113" s="31" t="str">
        <f>'D-Strommenge FV+DM'!E8</f>
        <v>Prévisions annuelles GRT</v>
      </c>
      <c r="E113" s="16" t="s">
        <v>11</v>
      </c>
      <c r="F113" s="907">
        <f>'D-Strommenge FV+DM'!G8</f>
        <v>26.262</v>
      </c>
      <c r="G113" s="907">
        <f>'D-Strommenge FV+DM'!H8</f>
        <v>24.314577</v>
      </c>
      <c r="H113" s="907">
        <f>'D-Strommenge FV+DM'!I8</f>
        <v>23.696601999999999</v>
      </c>
      <c r="I113" s="907">
        <f>'D-Strommenge FV+DM'!J8</f>
        <v>11.950588999999999</v>
      </c>
      <c r="J113" s="907">
        <f>'D-Strommenge FV+DM'!K8</f>
        <v>12.996518</v>
      </c>
      <c r="K113" s="907">
        <f>'D-Strommenge FV+DM'!L8</f>
        <v>9.971876</v>
      </c>
      <c r="L113" s="907">
        <f>'D-Strommenge FV+DM'!M8</f>
        <v>11.098848</v>
      </c>
      <c r="M113" s="907">
        <f>'D-Strommenge FV+DM'!N8</f>
        <v>9.7514399999999988</v>
      </c>
      <c r="N113" s="908">
        <f>'D-Strommenge FV+DM'!O8</f>
        <v>10.333107999999999</v>
      </c>
      <c r="O113" s="909">
        <f>'D-Strommenge FV+DM'!P8</f>
        <v>9.4306009999999993</v>
      </c>
      <c r="P113" s="907">
        <f>'D-Strommenge FV+DM'!Q8</f>
        <v>7.5909040000000001</v>
      </c>
      <c r="Q113" s="907">
        <f>'D-Strommenge FV+DM'!R8</f>
        <v>6.6323159999999994</v>
      </c>
      <c r="R113" s="907">
        <f>'D-Strommenge FV+DM'!S8</f>
        <v>0</v>
      </c>
      <c r="S113" s="907">
        <f>'D-Strommenge FV+DM'!T8</f>
        <v>0</v>
      </c>
      <c r="T113" s="907">
        <f>'D-Strommenge FV+DM'!U8</f>
        <v>0</v>
      </c>
      <c r="U113" s="907">
        <f>'D-Strommenge FV+DM'!V8</f>
        <v>0</v>
      </c>
      <c r="V113" s="907">
        <f>'D-Strommenge FV+DM'!W8</f>
        <v>0</v>
      </c>
      <c r="W113" s="907">
        <f>'D-Strommenge FV+DM'!X8</f>
        <v>0</v>
      </c>
      <c r="X113" s="907">
        <f>'D-Strommenge FV+DM'!Y8</f>
        <v>0</v>
      </c>
      <c r="Y113" s="907">
        <f>'D-Strommenge FV+DM'!Z8</f>
        <v>0</v>
      </c>
      <c r="Z113" s="907">
        <f>'D-Strommenge FV+DM'!AA8</f>
        <v>0</v>
      </c>
      <c r="AA113" s="907">
        <f>'D-Strommenge FV+DM'!AB8</f>
        <v>0</v>
      </c>
      <c r="AB113" s="907">
        <f>'D-Strommenge FV+DM'!AC8</f>
        <v>0</v>
      </c>
      <c r="AC113" s="907">
        <f>'D-Strommenge FV+DM'!AD8</f>
        <v>0</v>
      </c>
      <c r="AD113" s="907">
        <f>'D-Strommenge FV+DM'!AE8</f>
        <v>0</v>
      </c>
      <c r="AE113" s="908">
        <f>'D-Strommenge FV+DM'!AF8</f>
        <v>0</v>
      </c>
      <c r="AF113" s="929"/>
      <c r="AG113" s="929"/>
      <c r="AH113" s="1034"/>
      <c r="AI113" s="1034"/>
      <c r="AJ113" s="1040" t="s">
        <v>577</v>
      </c>
    </row>
    <row r="114" spans="1:36" s="294" customFormat="1" ht="12.75" customHeight="1" outlineLevel="2">
      <c r="A114" s="553">
        <v>105</v>
      </c>
      <c r="B114" s="16" t="str">
        <f>'D-Strommenge FV+DM'!C9</f>
        <v>Historique</v>
      </c>
      <c r="C114" s="12" t="str">
        <f>'D-Strommenge FV+DM'!D9</f>
        <v>fh</v>
      </c>
      <c r="D114" s="31" t="str">
        <f>'D-Strommenge FV+DM'!E9</f>
        <v>Prévisions annuelles GRT</v>
      </c>
      <c r="E114" s="16" t="s">
        <v>10</v>
      </c>
      <c r="F114" s="907">
        <f>'D-Strommenge FV+DM'!G9</f>
        <v>3.5999999999999997E-2</v>
      </c>
      <c r="G114" s="907">
        <f>'D-Strommenge FV+DM'!H9</f>
        <v>6.1612E-2</v>
      </c>
      <c r="H114" s="907">
        <f>'D-Strommenge FV+DM'!I9</f>
        <v>9.0604999999999991E-2</v>
      </c>
      <c r="I114" s="907">
        <f>'D-Strommenge FV+DM'!J9</f>
        <v>7.6874999999999999E-2</v>
      </c>
      <c r="J114" s="907">
        <f>'D-Strommenge FV+DM'!K9</f>
        <v>0.113607</v>
      </c>
      <c r="K114" s="907">
        <f>'D-Strommenge FV+DM'!L9</f>
        <v>7.9647999999999997E-2</v>
      </c>
      <c r="L114" s="907">
        <f>'D-Strommenge FV+DM'!M9</f>
        <v>8.2011000000000001E-2</v>
      </c>
      <c r="M114" s="907">
        <f>'D-Strommenge FV+DM'!N9</f>
        <v>8.3442999999999989E-2</v>
      </c>
      <c r="N114" s="908">
        <f>'D-Strommenge FV+DM'!O9</f>
        <v>3.2674000000000002E-2</v>
      </c>
      <c r="O114" s="909">
        <f>'D-Strommenge FV+DM'!P9</f>
        <v>5.3082999999999998E-2</v>
      </c>
      <c r="P114" s="907">
        <f>'D-Strommenge FV+DM'!Q9</f>
        <v>7.8399999999999997E-3</v>
      </c>
      <c r="Q114" s="907">
        <f>'D-Strommenge FV+DM'!R9</f>
        <v>1.1445E-2</v>
      </c>
      <c r="R114" s="907">
        <f>'D-Strommenge FV+DM'!S9</f>
        <v>0</v>
      </c>
      <c r="S114" s="907">
        <f>'D-Strommenge FV+DM'!T9</f>
        <v>0</v>
      </c>
      <c r="T114" s="907">
        <f>'D-Strommenge FV+DM'!U9</f>
        <v>0</v>
      </c>
      <c r="U114" s="907">
        <f>'D-Strommenge FV+DM'!V9</f>
        <v>0</v>
      </c>
      <c r="V114" s="907">
        <f>'D-Strommenge FV+DM'!W9</f>
        <v>0</v>
      </c>
      <c r="W114" s="907">
        <f>'D-Strommenge FV+DM'!X9</f>
        <v>0</v>
      </c>
      <c r="X114" s="907">
        <f>'D-Strommenge FV+DM'!Y9</f>
        <v>0</v>
      </c>
      <c r="Y114" s="907">
        <f>'D-Strommenge FV+DM'!Z9</f>
        <v>0</v>
      </c>
      <c r="Z114" s="907">
        <f>'D-Strommenge FV+DM'!AA9</f>
        <v>0</v>
      </c>
      <c r="AA114" s="907">
        <f>'D-Strommenge FV+DM'!AB9</f>
        <v>0</v>
      </c>
      <c r="AB114" s="907">
        <f>'D-Strommenge FV+DM'!AC9</f>
        <v>0</v>
      </c>
      <c r="AC114" s="907">
        <f>'D-Strommenge FV+DM'!AD9</f>
        <v>0</v>
      </c>
      <c r="AD114" s="907">
        <f>'D-Strommenge FV+DM'!AE9</f>
        <v>0</v>
      </c>
      <c r="AE114" s="908">
        <f>'D-Strommenge FV+DM'!AF9</f>
        <v>0</v>
      </c>
      <c r="AF114" s="929"/>
      <c r="AG114" s="929"/>
      <c r="AH114" s="1034"/>
      <c r="AI114" s="1034"/>
      <c r="AJ114" s="1040" t="s">
        <v>577</v>
      </c>
    </row>
    <row r="115" spans="1:36" s="294" customFormat="1" ht="12.75" customHeight="1" outlineLevel="2">
      <c r="A115" s="553">
        <v>106</v>
      </c>
      <c r="B115" s="16" t="str">
        <f>'D-Strommenge FV+DM'!C10</f>
        <v>Historique</v>
      </c>
      <c r="C115" s="12" t="str">
        <f>'D-Strommenge FV+DM'!D10</f>
        <v>fh</v>
      </c>
      <c r="D115" s="31" t="str">
        <f>'D-Strommenge FV+DM'!E10</f>
        <v>Prévisions annuelles GRT</v>
      </c>
      <c r="E115" s="16" t="s">
        <v>339</v>
      </c>
      <c r="F115" s="907">
        <f>'D-Strommenge FV+DM'!G10</f>
        <v>47.704000000000001</v>
      </c>
      <c r="G115" s="907">
        <f>'D-Strommenge FV+DM'!H10</f>
        <v>50.803851999999999</v>
      </c>
      <c r="H115" s="907">
        <f>'D-Strommenge FV+DM'!I10</f>
        <v>41.210659</v>
      </c>
      <c r="I115" s="907">
        <f>'D-Strommenge FV+DM'!J10</f>
        <v>8.037706</v>
      </c>
      <c r="J115" s="907">
        <f>'D-Strommenge FV+DM'!K10</f>
        <v>8.9237459999999995</v>
      </c>
      <c r="K115" s="907">
        <f>'D-Strommenge FV+DM'!L10</f>
        <v>9.3738069999999993</v>
      </c>
      <c r="L115" s="907">
        <f>'D-Strommenge FV+DM'!M10</f>
        <v>8.1825499999999991</v>
      </c>
      <c r="M115" s="907">
        <f>'D-Strommenge FV+DM'!N10</f>
        <v>6.2020169999999997</v>
      </c>
      <c r="N115" s="908">
        <f>'D-Strommenge FV+DM'!O10</f>
        <v>4.9509549999999996</v>
      </c>
      <c r="O115" s="909">
        <f>'D-Strommenge FV+DM'!P10</f>
        <v>3.3705379999999998</v>
      </c>
      <c r="P115" s="907">
        <f>'D-Strommenge FV+DM'!Q10</f>
        <v>3.5940459999999996</v>
      </c>
      <c r="Q115" s="907">
        <f>'D-Strommenge FV+DM'!R10</f>
        <v>2.3290289999999998</v>
      </c>
      <c r="R115" s="907">
        <f>'D-Strommenge FV+DM'!S10</f>
        <v>0</v>
      </c>
      <c r="S115" s="907">
        <f>'D-Strommenge FV+DM'!T10</f>
        <v>0</v>
      </c>
      <c r="T115" s="907">
        <f>'D-Strommenge FV+DM'!U10</f>
        <v>0</v>
      </c>
      <c r="U115" s="907">
        <f>'D-Strommenge FV+DM'!V10</f>
        <v>0</v>
      </c>
      <c r="V115" s="907">
        <f>'D-Strommenge FV+DM'!W10</f>
        <v>0</v>
      </c>
      <c r="W115" s="907">
        <f>'D-Strommenge FV+DM'!X10</f>
        <v>0</v>
      </c>
      <c r="X115" s="907">
        <f>'D-Strommenge FV+DM'!Y10</f>
        <v>0</v>
      </c>
      <c r="Y115" s="907">
        <f>'D-Strommenge FV+DM'!Z10</f>
        <v>0</v>
      </c>
      <c r="Z115" s="907">
        <f>'D-Strommenge FV+DM'!AA10</f>
        <v>0</v>
      </c>
      <c r="AA115" s="907">
        <f>'D-Strommenge FV+DM'!AB10</f>
        <v>0</v>
      </c>
      <c r="AB115" s="907">
        <f>'D-Strommenge FV+DM'!AC10</f>
        <v>0</v>
      </c>
      <c r="AC115" s="907">
        <f>'D-Strommenge FV+DM'!AD10</f>
        <v>0</v>
      </c>
      <c r="AD115" s="907">
        <f>'D-Strommenge FV+DM'!AE10</f>
        <v>0</v>
      </c>
      <c r="AE115" s="908">
        <f>'D-Strommenge FV+DM'!AF10</f>
        <v>0</v>
      </c>
      <c r="AF115" s="929"/>
      <c r="AG115" s="929"/>
      <c r="AH115" s="1034"/>
      <c r="AI115" s="1034"/>
      <c r="AJ115" s="1040" t="s">
        <v>577</v>
      </c>
    </row>
    <row r="116" spans="1:36" s="294" customFormat="1" ht="12.75" customHeight="1" outlineLevel="2">
      <c r="A116" s="553">
        <v>107</v>
      </c>
      <c r="B116" s="16" t="str">
        <f>'D-Strommenge FV+DM'!C11</f>
        <v>Historique</v>
      </c>
      <c r="C116" s="12" t="str">
        <f>'D-Strommenge FV+DM'!D11</f>
        <v>fh</v>
      </c>
      <c r="D116" s="31" t="str">
        <f>'D-Strommenge FV+DM'!E11</f>
        <v>Prévisions annuelles GRT</v>
      </c>
      <c r="E116" s="16" t="s">
        <v>340</v>
      </c>
      <c r="F116" s="907">
        <f>'D-Strommenge FV+DM'!G11</f>
        <v>0.65400000000000003</v>
      </c>
      <c r="G116" s="907">
        <f>'D-Strommenge FV+DM'!H11</f>
        <v>1.1467909999999999</v>
      </c>
      <c r="H116" s="907">
        <f>'D-Strommenge FV+DM'!I11</f>
        <v>0.91880899999999999</v>
      </c>
      <c r="I116" s="907">
        <f>'D-Strommenge FV+DM'!J11</f>
        <v>0</v>
      </c>
      <c r="J116" s="907">
        <f>'D-Strommenge FV+DM'!K11</f>
        <v>0</v>
      </c>
      <c r="K116" s="907">
        <f>'D-Strommenge FV+DM'!L11</f>
        <v>0</v>
      </c>
      <c r="L116" s="907">
        <f>'D-Strommenge FV+DM'!M11</f>
        <v>0</v>
      </c>
      <c r="M116" s="907">
        <f>'D-Strommenge FV+DM'!N11</f>
        <v>0</v>
      </c>
      <c r="N116" s="908">
        <f>'D-Strommenge FV+DM'!O11</f>
        <v>0</v>
      </c>
      <c r="O116" s="909">
        <f>'D-Strommenge FV+DM'!P11</f>
        <v>0</v>
      </c>
      <c r="P116" s="907">
        <f>'D-Strommenge FV+DM'!Q11</f>
        <v>0</v>
      </c>
      <c r="Q116" s="907">
        <f>'D-Strommenge FV+DM'!R11</f>
        <v>0</v>
      </c>
      <c r="R116" s="907">
        <f>'D-Strommenge FV+DM'!S11</f>
        <v>0</v>
      </c>
      <c r="S116" s="907">
        <f>'D-Strommenge FV+DM'!T11</f>
        <v>0</v>
      </c>
      <c r="T116" s="907">
        <f>'D-Strommenge FV+DM'!U11</f>
        <v>0</v>
      </c>
      <c r="U116" s="907">
        <f>'D-Strommenge FV+DM'!V11</f>
        <v>0</v>
      </c>
      <c r="V116" s="907">
        <f>'D-Strommenge FV+DM'!W11</f>
        <v>0</v>
      </c>
      <c r="W116" s="907">
        <f>'D-Strommenge FV+DM'!X11</f>
        <v>0</v>
      </c>
      <c r="X116" s="907">
        <f>'D-Strommenge FV+DM'!Y11</f>
        <v>0</v>
      </c>
      <c r="Y116" s="907">
        <f>'D-Strommenge FV+DM'!Z11</f>
        <v>0</v>
      </c>
      <c r="Z116" s="907">
        <f>'D-Strommenge FV+DM'!AA11</f>
        <v>0</v>
      </c>
      <c r="AA116" s="907">
        <f>'D-Strommenge FV+DM'!AB11</f>
        <v>0</v>
      </c>
      <c r="AB116" s="907">
        <f>'D-Strommenge FV+DM'!AC11</f>
        <v>0</v>
      </c>
      <c r="AC116" s="907">
        <f>'D-Strommenge FV+DM'!AD11</f>
        <v>0</v>
      </c>
      <c r="AD116" s="907">
        <f>'D-Strommenge FV+DM'!AE11</f>
        <v>0</v>
      </c>
      <c r="AE116" s="908">
        <f>'D-Strommenge FV+DM'!AF11</f>
        <v>0</v>
      </c>
      <c r="AF116" s="929"/>
      <c r="AG116" s="929"/>
      <c r="AH116" s="1034"/>
      <c r="AI116" s="1034"/>
      <c r="AJ116" s="1040" t="s">
        <v>577</v>
      </c>
    </row>
    <row r="117" spans="1:36" s="294" customFormat="1" ht="12.75" customHeight="1" outlineLevel="2">
      <c r="A117" s="553">
        <v>108</v>
      </c>
      <c r="B117" s="296" t="str">
        <f>'D-Strommenge FV+DM'!C12</f>
        <v>Historique</v>
      </c>
      <c r="C117" s="24" t="str">
        <f>'D-Strommenge FV+DM'!D12</f>
        <v>fh</v>
      </c>
      <c r="D117" s="32" t="str">
        <f>'D-Strommenge FV+DM'!E12</f>
        <v>Prévisions annuelles GRT</v>
      </c>
      <c r="E117" s="296" t="s">
        <v>530</v>
      </c>
      <c r="F117" s="912">
        <f>'D-Strommenge FV+DM'!G12</f>
        <v>8.2959999999999994</v>
      </c>
      <c r="G117" s="912">
        <f>'D-Strommenge FV+DM'!H12</f>
        <v>19.399286999999998</v>
      </c>
      <c r="H117" s="912">
        <f>'D-Strommenge FV+DM'!I12</f>
        <v>22.864761999999999</v>
      </c>
      <c r="I117" s="912">
        <f>'D-Strommenge FV+DM'!J12</f>
        <v>29.414850999999999</v>
      </c>
      <c r="J117" s="912">
        <f>'D-Strommenge FV+DM'!K12</f>
        <v>28.987663999999999</v>
      </c>
      <c r="K117" s="912">
        <f>'D-Strommenge FV+DM'!L12</f>
        <v>27.794584999999998</v>
      </c>
      <c r="L117" s="912">
        <f>'D-Strommenge FV+DM'!M12</f>
        <v>27.602309999999999</v>
      </c>
      <c r="M117" s="912">
        <f>'D-Strommenge FV+DM'!N12</f>
        <v>26.451788999999998</v>
      </c>
      <c r="N117" s="913">
        <f>'D-Strommenge FV+DM'!O12</f>
        <v>27.684709999999999</v>
      </c>
      <c r="O117" s="914">
        <f>'D-Strommenge FV+DM'!P12</f>
        <v>26.884110999999997</v>
      </c>
      <c r="P117" s="912">
        <f>'D-Strommenge FV+DM'!Q12</f>
        <v>27.468408</v>
      </c>
      <c r="Q117" s="912">
        <f>'D-Strommenge FV+DM'!R12</f>
        <v>28.536632999999998</v>
      </c>
      <c r="R117" s="912">
        <f>'D-Strommenge FV+DM'!S12</f>
        <v>0</v>
      </c>
      <c r="S117" s="912">
        <f>'D-Strommenge FV+DM'!T12</f>
        <v>0</v>
      </c>
      <c r="T117" s="912">
        <f>'D-Strommenge FV+DM'!U12</f>
        <v>0</v>
      </c>
      <c r="U117" s="912">
        <f>'D-Strommenge FV+DM'!V12</f>
        <v>0</v>
      </c>
      <c r="V117" s="912">
        <f>'D-Strommenge FV+DM'!W12</f>
        <v>0</v>
      </c>
      <c r="W117" s="912">
        <f>'D-Strommenge FV+DM'!X12</f>
        <v>0</v>
      </c>
      <c r="X117" s="912">
        <f>'D-Strommenge FV+DM'!Y12</f>
        <v>0</v>
      </c>
      <c r="Y117" s="912">
        <f>'D-Strommenge FV+DM'!Z12</f>
        <v>0</v>
      </c>
      <c r="Z117" s="912">
        <f>'D-Strommenge FV+DM'!AA12</f>
        <v>0</v>
      </c>
      <c r="AA117" s="912">
        <f>'D-Strommenge FV+DM'!AB12</f>
        <v>0</v>
      </c>
      <c r="AB117" s="912">
        <f>'D-Strommenge FV+DM'!AC12</f>
        <v>0</v>
      </c>
      <c r="AC117" s="912">
        <f>'D-Strommenge FV+DM'!AD12</f>
        <v>0</v>
      </c>
      <c r="AD117" s="912">
        <f>'D-Strommenge FV+DM'!AE12</f>
        <v>0</v>
      </c>
      <c r="AE117" s="913">
        <f>'D-Strommenge FV+DM'!AF12</f>
        <v>0</v>
      </c>
      <c r="AF117" s="929"/>
      <c r="AG117" s="929"/>
      <c r="AH117" s="1034"/>
      <c r="AI117" s="1034"/>
      <c r="AJ117" s="1040" t="s">
        <v>577</v>
      </c>
    </row>
    <row r="118" spans="1:36" s="294" customFormat="1" ht="12.75" customHeight="1" outlineLevel="1">
      <c r="A118" s="553">
        <v>109</v>
      </c>
      <c r="C118" s="10"/>
      <c r="D118" s="33"/>
      <c r="E118" s="27" t="s">
        <v>42</v>
      </c>
      <c r="F118" s="339">
        <f t="shared" ref="F118:M118" si="2">SUM(F111:F117)</f>
        <v>90.230999999999995</v>
      </c>
      <c r="G118" s="339">
        <f t="shared" si="2"/>
        <v>97.995103</v>
      </c>
      <c r="H118" s="339">
        <f t="shared" si="2"/>
        <v>91.857405</v>
      </c>
      <c r="I118" s="339">
        <f t="shared" si="2"/>
        <v>51.181635999999997</v>
      </c>
      <c r="J118" s="339">
        <f t="shared" si="2"/>
        <v>53.922270999999995</v>
      </c>
      <c r="K118" s="339">
        <f t="shared" si="2"/>
        <v>50.460008999999999</v>
      </c>
      <c r="L118" s="339">
        <f t="shared" si="2"/>
        <v>50.091735999999997</v>
      </c>
      <c r="M118" s="339">
        <f t="shared" si="2"/>
        <v>46.269690999999995</v>
      </c>
      <c r="N118" s="344">
        <f>SUM(N111:N117)</f>
        <v>45.851169999999996</v>
      </c>
      <c r="O118" s="339">
        <f>SUM(O111:O117)</f>
        <v>42.527541999999997</v>
      </c>
      <c r="P118" s="339">
        <f>SUM(P111:P117)</f>
        <v>41.198281000000001</v>
      </c>
      <c r="Q118" s="339">
        <f t="shared" ref="Q118:AE118" si="3">SUM(Q111:Q117)</f>
        <v>39.885272000000001</v>
      </c>
      <c r="R118" s="339">
        <f t="shared" si="3"/>
        <v>0</v>
      </c>
      <c r="S118" s="339">
        <f t="shared" si="3"/>
        <v>0</v>
      </c>
      <c r="T118" s="339">
        <f t="shared" si="3"/>
        <v>0</v>
      </c>
      <c r="U118" s="339">
        <f t="shared" si="3"/>
        <v>0</v>
      </c>
      <c r="V118" s="339">
        <f t="shared" si="3"/>
        <v>0</v>
      </c>
      <c r="W118" s="344">
        <f t="shared" si="3"/>
        <v>0</v>
      </c>
      <c r="X118" s="339">
        <f t="shared" si="3"/>
        <v>0</v>
      </c>
      <c r="Y118" s="339">
        <f t="shared" si="3"/>
        <v>0</v>
      </c>
      <c r="Z118" s="339">
        <f t="shared" si="3"/>
        <v>0</v>
      </c>
      <c r="AA118" s="339">
        <f t="shared" si="3"/>
        <v>0</v>
      </c>
      <c r="AB118" s="339">
        <f t="shared" si="3"/>
        <v>0</v>
      </c>
      <c r="AC118" s="339">
        <f t="shared" si="3"/>
        <v>0</v>
      </c>
      <c r="AD118" s="339">
        <f t="shared" si="3"/>
        <v>0</v>
      </c>
      <c r="AE118" s="339">
        <f t="shared" si="3"/>
        <v>0</v>
      </c>
      <c r="AF118" s="929"/>
      <c r="AG118" s="929"/>
      <c r="AH118" s="1034"/>
      <c r="AI118" s="1034"/>
      <c r="AJ118" s="1040" t="s">
        <v>577</v>
      </c>
    </row>
    <row r="119" spans="1:36" s="294" customFormat="1" ht="12.75" customHeight="1" outlineLevel="1">
      <c r="A119" s="553">
        <v>110</v>
      </c>
      <c r="C119" s="10"/>
      <c r="D119" s="33"/>
      <c r="F119" s="324"/>
      <c r="G119" s="324"/>
      <c r="H119" s="324"/>
      <c r="I119" s="324"/>
      <c r="J119" s="324"/>
      <c r="K119" s="324"/>
      <c r="L119" s="324"/>
      <c r="M119" s="324"/>
      <c r="N119" s="342"/>
      <c r="O119" s="289"/>
      <c r="P119" s="324"/>
      <c r="Q119" s="324"/>
      <c r="R119" s="324"/>
      <c r="S119" s="324"/>
      <c r="T119" s="324"/>
      <c r="U119" s="324"/>
      <c r="V119" s="324"/>
      <c r="W119" s="324"/>
      <c r="X119" s="324"/>
      <c r="Y119" s="324"/>
      <c r="Z119" s="324"/>
      <c r="AA119" s="324"/>
      <c r="AB119" s="324"/>
      <c r="AC119" s="324"/>
      <c r="AD119" s="324"/>
      <c r="AE119" s="324"/>
      <c r="AF119" s="929"/>
      <c r="AG119" s="929"/>
      <c r="AH119" s="1034"/>
      <c r="AI119" s="1034"/>
      <c r="AJ119" s="1034"/>
    </row>
    <row r="120" spans="1:36" s="294" customFormat="1" ht="12.75" customHeight="1" outlineLevel="1">
      <c r="A120" s="553" t="s">
        <v>284</v>
      </c>
      <c r="C120" s="10"/>
      <c r="D120" s="33"/>
      <c r="E120" s="315" t="s">
        <v>516</v>
      </c>
      <c r="F120" s="324"/>
      <c r="G120" s="324"/>
      <c r="H120" s="324"/>
      <c r="I120" s="324"/>
      <c r="J120" s="324"/>
      <c r="K120" s="324"/>
      <c r="L120" s="324"/>
      <c r="M120" s="324"/>
      <c r="N120" s="342"/>
      <c r="O120" s="289"/>
      <c r="P120" s="324"/>
      <c r="Q120" s="324"/>
      <c r="R120" s="324"/>
      <c r="S120" s="324"/>
      <c r="T120" s="324"/>
      <c r="U120" s="324"/>
      <c r="V120" s="324"/>
      <c r="W120" s="324"/>
      <c r="X120" s="324"/>
      <c r="Y120" s="324"/>
      <c r="Z120" s="324"/>
      <c r="AA120" s="324"/>
      <c r="AB120" s="324"/>
      <c r="AC120" s="324"/>
      <c r="AD120" s="324"/>
      <c r="AE120" s="324"/>
      <c r="AF120" s="929"/>
      <c r="AG120" s="929"/>
      <c r="AH120" s="1034"/>
      <c r="AI120" s="1034"/>
      <c r="AJ120" s="1034"/>
    </row>
    <row r="121" spans="1:36" s="294" customFormat="1" ht="12.75" customHeight="1" outlineLevel="2">
      <c r="A121" s="553" t="s">
        <v>285</v>
      </c>
      <c r="B121" s="314">
        <f>'D-Strommenge FV+DM'!C26</f>
        <v>0</v>
      </c>
      <c r="C121" s="22">
        <f>'D-Strommenge FV+DM'!D26</f>
        <v>0</v>
      </c>
      <c r="D121" s="30">
        <f>'D-Strommenge FV+DM'!E26</f>
        <v>0</v>
      </c>
      <c r="E121" s="314" t="s">
        <v>529</v>
      </c>
      <c r="F121" s="904">
        <f>'D-Strommenge FV+DM'!G19</f>
        <v>0</v>
      </c>
      <c r="G121" s="904">
        <f>'D-Strommenge FV+DM'!H19</f>
        <v>0</v>
      </c>
      <c r="H121" s="904">
        <f>'D-Strommenge FV+DM'!I19</f>
        <v>2.1817889999999998</v>
      </c>
      <c r="I121" s="904">
        <f>'D-Strommenge FV+DM'!J19</f>
        <v>4.2967389999999996</v>
      </c>
      <c r="J121" s="904">
        <f>'D-Strommenge FV+DM'!K19</f>
        <v>2.8318239999999997</v>
      </c>
      <c r="K121" s="904">
        <f>'D-Strommenge FV+DM'!L19</f>
        <v>3.5763499999999997</v>
      </c>
      <c r="L121" s="904">
        <f>'D-Strommenge FV+DM'!M19</f>
        <v>3.7087819999999998</v>
      </c>
      <c r="M121" s="904">
        <f>'D-Strommenge FV+DM'!N19</f>
        <v>2.8920019999999997</v>
      </c>
      <c r="N121" s="905">
        <f>'D-Strommenge FV+DM'!O19</f>
        <v>3.0121289999999998</v>
      </c>
      <c r="O121" s="906">
        <f>'D-Strommenge FV+DM'!P19</f>
        <v>3.465357</v>
      </c>
      <c r="P121" s="904">
        <f>'D-Strommenge FV+DM'!Q19</f>
        <v>3.2058839999999997</v>
      </c>
      <c r="Q121" s="904">
        <f>'D-Strommenge FV+DM'!R19</f>
        <v>3.3938739999999998</v>
      </c>
      <c r="R121" s="904">
        <f>'D-Strommenge FV+DM'!S19</f>
        <v>0</v>
      </c>
      <c r="S121" s="904">
        <f>'D-Strommenge FV+DM'!T19</f>
        <v>0</v>
      </c>
      <c r="T121" s="904">
        <f>'D-Strommenge FV+DM'!U19</f>
        <v>0</v>
      </c>
      <c r="U121" s="904">
        <f>'D-Strommenge FV+DM'!V19</f>
        <v>0</v>
      </c>
      <c r="V121" s="904">
        <f>'D-Strommenge FV+DM'!W19</f>
        <v>0</v>
      </c>
      <c r="W121" s="904">
        <f>'D-Strommenge FV+DM'!X19</f>
        <v>0</v>
      </c>
      <c r="X121" s="904">
        <f>'D-Strommenge FV+DM'!Y19</f>
        <v>0</v>
      </c>
      <c r="Y121" s="904">
        <f>'D-Strommenge FV+DM'!Z19</f>
        <v>0</v>
      </c>
      <c r="Z121" s="904">
        <f>'D-Strommenge FV+DM'!AA19</f>
        <v>0</v>
      </c>
      <c r="AA121" s="904">
        <f>'D-Strommenge FV+DM'!AB19</f>
        <v>0</v>
      </c>
      <c r="AB121" s="904">
        <f>'D-Strommenge FV+DM'!AC19</f>
        <v>0</v>
      </c>
      <c r="AC121" s="904">
        <f>'D-Strommenge FV+DM'!AD19</f>
        <v>0</v>
      </c>
      <c r="AD121" s="904">
        <f>'D-Strommenge FV+DM'!AE19</f>
        <v>0</v>
      </c>
      <c r="AE121" s="905">
        <f>'D-Strommenge FV+DM'!AF19</f>
        <v>0</v>
      </c>
      <c r="AF121" s="929"/>
      <c r="AG121" s="929"/>
      <c r="AH121" s="1034"/>
      <c r="AI121" s="1034"/>
      <c r="AJ121" s="1040" t="s">
        <v>576</v>
      </c>
    </row>
    <row r="122" spans="1:36" s="294" customFormat="1" ht="12.75" customHeight="1" outlineLevel="2">
      <c r="A122" s="553" t="s">
        <v>286</v>
      </c>
      <c r="B122" s="16">
        <f>'D-Strommenge FV+DM'!C27</f>
        <v>0</v>
      </c>
      <c r="C122" s="12">
        <f>'D-Strommenge FV+DM'!D27</f>
        <v>0</v>
      </c>
      <c r="D122" s="31">
        <f>'D-Strommenge FV+DM'!E27</f>
        <v>0</v>
      </c>
      <c r="E122" s="16" t="s">
        <v>349</v>
      </c>
      <c r="F122" s="907">
        <f>'D-Strommenge FV+DM'!G20</f>
        <v>0</v>
      </c>
      <c r="G122" s="907">
        <f>'D-Strommenge FV+DM'!H20</f>
        <v>0</v>
      </c>
      <c r="H122" s="907">
        <f>'D-Strommenge FV+DM'!I20</f>
        <v>0.29039300000000001</v>
      </c>
      <c r="I122" s="907">
        <f>'D-Strommenge FV+DM'!J20</f>
        <v>1.1700359999999999</v>
      </c>
      <c r="J122" s="907">
        <f>'D-Strommenge FV+DM'!K20</f>
        <v>0.52149199999999996</v>
      </c>
      <c r="K122" s="907">
        <f>'D-Strommenge FV+DM'!L20</f>
        <v>0.95397999999999994</v>
      </c>
      <c r="L122" s="907">
        <f>'D-Strommenge FV+DM'!M20</f>
        <v>0.9315199999999999</v>
      </c>
      <c r="M122" s="907">
        <f>'D-Strommenge FV+DM'!N20</f>
        <v>0.88699699999999992</v>
      </c>
      <c r="N122" s="908">
        <f>'D-Strommenge FV+DM'!O20</f>
        <v>0.90645399999999998</v>
      </c>
      <c r="O122" s="909">
        <f>'D-Strommenge FV+DM'!P20</f>
        <v>0.92375699999999994</v>
      </c>
      <c r="P122" s="907">
        <f>'D-Strommenge FV+DM'!Q20</f>
        <v>0.75774799999999998</v>
      </c>
      <c r="Q122" s="907">
        <f>'D-Strommenge FV+DM'!R20</f>
        <v>0.72676399999999997</v>
      </c>
      <c r="R122" s="907">
        <f>'D-Strommenge FV+DM'!S20</f>
        <v>0</v>
      </c>
      <c r="S122" s="907">
        <f>'D-Strommenge FV+DM'!T20</f>
        <v>0</v>
      </c>
      <c r="T122" s="907">
        <f>'D-Strommenge FV+DM'!U20</f>
        <v>0</v>
      </c>
      <c r="U122" s="907">
        <f>'D-Strommenge FV+DM'!V20</f>
        <v>0</v>
      </c>
      <c r="V122" s="907">
        <f>'D-Strommenge FV+DM'!W20</f>
        <v>0</v>
      </c>
      <c r="W122" s="907">
        <f>'D-Strommenge FV+DM'!X20</f>
        <v>0</v>
      </c>
      <c r="X122" s="907">
        <f>'D-Strommenge FV+DM'!Y20</f>
        <v>0</v>
      </c>
      <c r="Y122" s="907">
        <f>'D-Strommenge FV+DM'!Z20</f>
        <v>0</v>
      </c>
      <c r="Z122" s="907">
        <f>'D-Strommenge FV+DM'!AA20</f>
        <v>0</v>
      </c>
      <c r="AA122" s="907">
        <f>'D-Strommenge FV+DM'!AB20</f>
        <v>0</v>
      </c>
      <c r="AB122" s="907">
        <f>'D-Strommenge FV+DM'!AC20</f>
        <v>0</v>
      </c>
      <c r="AC122" s="907">
        <f>'D-Strommenge FV+DM'!AD20</f>
        <v>0</v>
      </c>
      <c r="AD122" s="907">
        <f>'D-Strommenge FV+DM'!AE20</f>
        <v>0</v>
      </c>
      <c r="AE122" s="908">
        <f>'D-Strommenge FV+DM'!AF20</f>
        <v>0</v>
      </c>
      <c r="AF122" s="929"/>
      <c r="AG122" s="929"/>
      <c r="AH122" s="1034"/>
      <c r="AI122" s="1034"/>
      <c r="AJ122" s="1040" t="s">
        <v>576</v>
      </c>
    </row>
    <row r="123" spans="1:36" s="294" customFormat="1" ht="12.75" customHeight="1" outlineLevel="2">
      <c r="A123" s="553" t="s">
        <v>287</v>
      </c>
      <c r="B123" s="16">
        <f>'D-Strommenge FV+DM'!C28</f>
        <v>0</v>
      </c>
      <c r="C123" s="12">
        <f>'D-Strommenge FV+DM'!D28</f>
        <v>0</v>
      </c>
      <c r="D123" s="31">
        <f>'D-Strommenge FV+DM'!E28</f>
        <v>0</v>
      </c>
      <c r="E123" s="16" t="s">
        <v>11</v>
      </c>
      <c r="F123" s="907">
        <f>'D-Strommenge FV+DM'!G21</f>
        <v>0</v>
      </c>
      <c r="G123" s="907">
        <f>'D-Strommenge FV+DM'!H21</f>
        <v>0</v>
      </c>
      <c r="H123" s="907">
        <f>'D-Strommenge FV+DM'!I21</f>
        <v>5.9434979999999999</v>
      </c>
      <c r="I123" s="907">
        <f>'D-Strommenge FV+DM'!J21</f>
        <v>21.214547</v>
      </c>
      <c r="J123" s="907">
        <f>'D-Strommenge FV+DM'!K21</f>
        <v>21.925464999999999</v>
      </c>
      <c r="K123" s="907">
        <f>'D-Strommenge FV+DM'!L21</f>
        <v>28.385728</v>
      </c>
      <c r="L123" s="907">
        <f>'D-Strommenge FV+DM'!M21</f>
        <v>29.123989999999999</v>
      </c>
      <c r="M123" s="907">
        <f>'D-Strommenge FV+DM'!N21</f>
        <v>31.014032999999998</v>
      </c>
      <c r="N123" s="908">
        <f>'D-Strommenge FV+DM'!O21</f>
        <v>31.204751999999999</v>
      </c>
      <c r="O123" s="909">
        <f>'D-Strommenge FV+DM'!P21</f>
        <v>31.842124999999999</v>
      </c>
      <c r="P123" s="907">
        <f>'D-Strommenge FV+DM'!Q21</f>
        <v>34.123956</v>
      </c>
      <c r="Q123" s="907">
        <f>'D-Strommenge FV+DM'!R21</f>
        <v>33.524949999999997</v>
      </c>
      <c r="R123" s="907">
        <f>'D-Strommenge FV+DM'!S21</f>
        <v>0</v>
      </c>
      <c r="S123" s="907">
        <f>'D-Strommenge FV+DM'!T21</f>
        <v>0</v>
      </c>
      <c r="T123" s="907">
        <f>'D-Strommenge FV+DM'!U21</f>
        <v>0</v>
      </c>
      <c r="U123" s="907">
        <f>'D-Strommenge FV+DM'!V21</f>
        <v>0</v>
      </c>
      <c r="V123" s="907">
        <f>'D-Strommenge FV+DM'!W21</f>
        <v>0</v>
      </c>
      <c r="W123" s="907">
        <f>'D-Strommenge FV+DM'!X21</f>
        <v>0</v>
      </c>
      <c r="X123" s="907">
        <f>'D-Strommenge FV+DM'!Y21</f>
        <v>0</v>
      </c>
      <c r="Y123" s="907">
        <f>'D-Strommenge FV+DM'!Z21</f>
        <v>0</v>
      </c>
      <c r="Z123" s="907">
        <f>'D-Strommenge FV+DM'!AA21</f>
        <v>0</v>
      </c>
      <c r="AA123" s="907">
        <f>'D-Strommenge FV+DM'!AB21</f>
        <v>0</v>
      </c>
      <c r="AB123" s="907">
        <f>'D-Strommenge FV+DM'!AC21</f>
        <v>0</v>
      </c>
      <c r="AC123" s="907">
        <f>'D-Strommenge FV+DM'!AD21</f>
        <v>0</v>
      </c>
      <c r="AD123" s="907">
        <f>'D-Strommenge FV+DM'!AE21</f>
        <v>0</v>
      </c>
      <c r="AE123" s="908">
        <f>'D-Strommenge FV+DM'!AF21</f>
        <v>0</v>
      </c>
      <c r="AF123" s="929"/>
      <c r="AG123" s="929"/>
      <c r="AH123" s="1034"/>
      <c r="AI123" s="1034"/>
      <c r="AJ123" s="1040" t="s">
        <v>576</v>
      </c>
    </row>
    <row r="124" spans="1:36" s="294" customFormat="1" ht="12.75" customHeight="1" outlineLevel="2">
      <c r="A124" s="553" t="s">
        <v>288</v>
      </c>
      <c r="B124" s="16">
        <f>'D-Strommenge FV+DM'!C29</f>
        <v>0</v>
      </c>
      <c r="C124" s="12">
        <f>'D-Strommenge FV+DM'!D29</f>
        <v>0</v>
      </c>
      <c r="D124" s="31">
        <f>'D-Strommenge FV+DM'!E29</f>
        <v>0</v>
      </c>
      <c r="E124" s="16" t="s">
        <v>10</v>
      </c>
      <c r="F124" s="907">
        <f>'D-Strommenge FV+DM'!G22</f>
        <v>0</v>
      </c>
      <c r="G124" s="907">
        <f>'D-Strommenge FV+DM'!H22</f>
        <v>0</v>
      </c>
      <c r="H124" s="907">
        <f>'D-Strommenge FV+DM'!I22</f>
        <v>1.6635E-2</v>
      </c>
      <c r="I124" s="907">
        <f>'D-Strommenge FV+DM'!J22</f>
        <v>0</v>
      </c>
      <c r="J124" s="907">
        <f>'D-Strommenge FV+DM'!K22</f>
        <v>1.6799999999999999E-2</v>
      </c>
      <c r="K124" s="907">
        <f>'D-Strommenge FV+DM'!L22</f>
        <v>7.9057000000000002E-2</v>
      </c>
      <c r="L124" s="907">
        <f>'D-Strommenge FV+DM'!M22</f>
        <v>9.8345000000000002E-2</v>
      </c>
      <c r="M124" s="907">
        <f>'D-Strommenge FV+DM'!N22</f>
        <v>0.10608099999999999</v>
      </c>
      <c r="N124" s="908">
        <f>'D-Strommenge FV+DM'!O22</f>
        <v>0.17315</v>
      </c>
      <c r="O124" s="909">
        <f>'D-Strommenge FV+DM'!P22</f>
        <v>0.17602599999999999</v>
      </c>
      <c r="P124" s="907">
        <f>'D-Strommenge FV+DM'!Q22</f>
        <v>0.16394300000000001</v>
      </c>
      <c r="Q124" s="907">
        <f>'D-Strommenge FV+DM'!R22</f>
        <v>0.20272599999999999</v>
      </c>
      <c r="R124" s="907">
        <f>'D-Strommenge FV+DM'!S22</f>
        <v>0</v>
      </c>
      <c r="S124" s="907">
        <f>'D-Strommenge FV+DM'!T22</f>
        <v>0</v>
      </c>
      <c r="T124" s="907">
        <f>'D-Strommenge FV+DM'!U22</f>
        <v>0</v>
      </c>
      <c r="U124" s="907">
        <f>'D-Strommenge FV+DM'!V22</f>
        <v>0</v>
      </c>
      <c r="V124" s="907">
        <f>'D-Strommenge FV+DM'!W22</f>
        <v>0</v>
      </c>
      <c r="W124" s="907">
        <f>'D-Strommenge FV+DM'!X22</f>
        <v>0</v>
      </c>
      <c r="X124" s="907">
        <f>'D-Strommenge FV+DM'!Y22</f>
        <v>0</v>
      </c>
      <c r="Y124" s="907">
        <f>'D-Strommenge FV+DM'!Z22</f>
        <v>0</v>
      </c>
      <c r="Z124" s="907">
        <f>'D-Strommenge FV+DM'!AA22</f>
        <v>0</v>
      </c>
      <c r="AA124" s="907">
        <f>'D-Strommenge FV+DM'!AB22</f>
        <v>0</v>
      </c>
      <c r="AB124" s="907">
        <f>'D-Strommenge FV+DM'!AC22</f>
        <v>0</v>
      </c>
      <c r="AC124" s="907">
        <f>'D-Strommenge FV+DM'!AD22</f>
        <v>0</v>
      </c>
      <c r="AD124" s="907">
        <f>'D-Strommenge FV+DM'!AE22</f>
        <v>0</v>
      </c>
      <c r="AE124" s="908">
        <f>'D-Strommenge FV+DM'!AF22</f>
        <v>0</v>
      </c>
      <c r="AF124" s="929"/>
      <c r="AG124" s="929"/>
      <c r="AH124" s="1034"/>
      <c r="AI124" s="1034"/>
      <c r="AJ124" s="1040" t="s">
        <v>576</v>
      </c>
    </row>
    <row r="125" spans="1:36" s="294" customFormat="1" ht="12.75" customHeight="1" outlineLevel="2">
      <c r="A125" s="553" t="s">
        <v>289</v>
      </c>
      <c r="B125" s="16">
        <f>'D-Strommenge FV+DM'!C30</f>
        <v>0</v>
      </c>
      <c r="C125" s="12">
        <f>'D-Strommenge FV+DM'!D30</f>
        <v>0</v>
      </c>
      <c r="D125" s="31">
        <f>'D-Strommenge FV+DM'!E30</f>
        <v>0</v>
      </c>
      <c r="E125" s="16" t="s">
        <v>339</v>
      </c>
      <c r="F125" s="907">
        <f>'D-Strommenge FV+DM'!G23</f>
        <v>0</v>
      </c>
      <c r="G125" s="907">
        <f>'D-Strommenge FV+DM'!H23</f>
        <v>0</v>
      </c>
      <c r="H125" s="907">
        <f>'D-Strommenge FV+DM'!I23</f>
        <v>7.3871079999999996</v>
      </c>
      <c r="I125" s="907">
        <f>'D-Strommenge FV+DM'!J23</f>
        <v>46.901826999999997</v>
      </c>
      <c r="J125" s="907">
        <f>'D-Strommenge FV+DM'!K23</f>
        <v>51.661167999999996</v>
      </c>
      <c r="K125" s="907">
        <f>'D-Strommenge FV+DM'!L23</f>
        <v>57.498880999999997</v>
      </c>
      <c r="L125" s="907">
        <f>'D-Strommenge FV+DM'!M23</f>
        <v>67.570857000000004</v>
      </c>
      <c r="M125" s="907">
        <f>'D-Strommenge FV+DM'!N23</f>
        <v>75.744242</v>
      </c>
      <c r="N125" s="908">
        <f>'D-Strommenge FV+DM'!O23</f>
        <v>87.745678999999996</v>
      </c>
      <c r="O125" s="909">
        <f>'D-Strommenge FV+DM'!P23</f>
        <v>95.400548999999998</v>
      </c>
      <c r="P125" s="907">
        <f>'D-Strommenge FV+DM'!Q23</f>
        <v>98.452184000000003</v>
      </c>
      <c r="Q125" s="907">
        <f>'D-Strommenge FV+DM'!R23</f>
        <v>97.184866999999997</v>
      </c>
      <c r="R125" s="907">
        <f>'D-Strommenge FV+DM'!S23</f>
        <v>0</v>
      </c>
      <c r="S125" s="907">
        <f>'D-Strommenge FV+DM'!T23</f>
        <v>0</v>
      </c>
      <c r="T125" s="907">
        <f>'D-Strommenge FV+DM'!U23</f>
        <v>0</v>
      </c>
      <c r="U125" s="907">
        <f>'D-Strommenge FV+DM'!V23</f>
        <v>0</v>
      </c>
      <c r="V125" s="907">
        <f>'D-Strommenge FV+DM'!W23</f>
        <v>0</v>
      </c>
      <c r="W125" s="907">
        <f>'D-Strommenge FV+DM'!X23</f>
        <v>0</v>
      </c>
      <c r="X125" s="907">
        <f>'D-Strommenge FV+DM'!Y23</f>
        <v>0</v>
      </c>
      <c r="Y125" s="907">
        <f>'D-Strommenge FV+DM'!Z23</f>
        <v>0</v>
      </c>
      <c r="Z125" s="907">
        <f>'D-Strommenge FV+DM'!AA23</f>
        <v>0</v>
      </c>
      <c r="AA125" s="907">
        <f>'D-Strommenge FV+DM'!AB23</f>
        <v>0</v>
      </c>
      <c r="AB125" s="907">
        <f>'D-Strommenge FV+DM'!AC23</f>
        <v>0</v>
      </c>
      <c r="AC125" s="907">
        <f>'D-Strommenge FV+DM'!AD23</f>
        <v>0</v>
      </c>
      <c r="AD125" s="907">
        <f>'D-Strommenge FV+DM'!AE23</f>
        <v>0</v>
      </c>
      <c r="AE125" s="908">
        <f>'D-Strommenge FV+DM'!AF23</f>
        <v>0</v>
      </c>
      <c r="AF125" s="929"/>
      <c r="AG125" s="929"/>
      <c r="AH125" s="1034"/>
      <c r="AI125" s="1034"/>
      <c r="AJ125" s="1040" t="s">
        <v>576</v>
      </c>
    </row>
    <row r="126" spans="1:36" s="294" customFormat="1" ht="12.75" customHeight="1" outlineLevel="2">
      <c r="A126" s="553" t="s">
        <v>290</v>
      </c>
      <c r="B126" s="16">
        <f>'D-Strommenge FV+DM'!C31</f>
        <v>0</v>
      </c>
      <c r="C126" s="12">
        <f>'D-Strommenge FV+DM'!D31</f>
        <v>0</v>
      </c>
      <c r="D126" s="31">
        <f>'D-Strommenge FV+DM'!E31</f>
        <v>0</v>
      </c>
      <c r="E126" s="16" t="s">
        <v>340</v>
      </c>
      <c r="F126" s="907">
        <f>'D-Strommenge FV+DM'!G24</f>
        <v>0</v>
      </c>
      <c r="G126" s="907">
        <f>'D-Strommenge FV+DM'!H24</f>
        <v>0</v>
      </c>
      <c r="H126" s="907">
        <f>'D-Strommenge FV+DM'!I24</f>
        <v>0.442606</v>
      </c>
      <c r="I126" s="907">
        <f>'D-Strommenge FV+DM'!J24</f>
        <v>2.4940419999999999</v>
      </c>
      <c r="J126" s="907">
        <f>'D-Strommenge FV+DM'!K24</f>
        <v>7.397958</v>
      </c>
      <c r="K126" s="907">
        <f>'D-Strommenge FV+DM'!L24</f>
        <v>11.231204</v>
      </c>
      <c r="L126" s="907">
        <f>'D-Strommenge FV+DM'!M24</f>
        <v>15.379543999999999</v>
      </c>
      <c r="M126" s="907">
        <f>'D-Strommenge FV+DM'!N24</f>
        <v>20.033355</v>
      </c>
      <c r="N126" s="908">
        <f>'D-Strommenge FV+DM'!O24</f>
        <v>22.564405999999998</v>
      </c>
      <c r="O126" s="909">
        <f>'D-Strommenge FV+DM'!P24</f>
        <v>26.466161</v>
      </c>
      <c r="P126" s="907">
        <f>'D-Strommenge FV+DM'!Q24</f>
        <v>29.940075999999998</v>
      </c>
      <c r="Q126" s="907">
        <f>'D-Strommenge FV+DM'!R24</f>
        <v>29.638939999999998</v>
      </c>
      <c r="R126" s="907">
        <f>'D-Strommenge FV+DM'!S24</f>
        <v>0</v>
      </c>
      <c r="S126" s="907">
        <f>'D-Strommenge FV+DM'!T24</f>
        <v>0</v>
      </c>
      <c r="T126" s="907">
        <f>'D-Strommenge FV+DM'!U24</f>
        <v>0</v>
      </c>
      <c r="U126" s="907">
        <f>'D-Strommenge FV+DM'!V24</f>
        <v>0</v>
      </c>
      <c r="V126" s="907">
        <f>'D-Strommenge FV+DM'!W24</f>
        <v>0</v>
      </c>
      <c r="W126" s="907">
        <f>'D-Strommenge FV+DM'!X24</f>
        <v>0</v>
      </c>
      <c r="X126" s="907">
        <f>'D-Strommenge FV+DM'!Y24</f>
        <v>0</v>
      </c>
      <c r="Y126" s="907">
        <f>'D-Strommenge FV+DM'!Z24</f>
        <v>0</v>
      </c>
      <c r="Z126" s="907">
        <f>'D-Strommenge FV+DM'!AA24</f>
        <v>0</v>
      </c>
      <c r="AA126" s="907">
        <f>'D-Strommenge FV+DM'!AB24</f>
        <v>0</v>
      </c>
      <c r="AB126" s="907">
        <f>'D-Strommenge FV+DM'!AC24</f>
        <v>0</v>
      </c>
      <c r="AC126" s="907">
        <f>'D-Strommenge FV+DM'!AD24</f>
        <v>0</v>
      </c>
      <c r="AD126" s="907">
        <f>'D-Strommenge FV+DM'!AE24</f>
        <v>0</v>
      </c>
      <c r="AE126" s="908">
        <f>'D-Strommenge FV+DM'!AF24</f>
        <v>0</v>
      </c>
      <c r="AF126" s="929"/>
      <c r="AG126" s="929"/>
      <c r="AH126" s="1034"/>
      <c r="AI126" s="1034"/>
      <c r="AJ126" s="1040" t="s">
        <v>576</v>
      </c>
    </row>
    <row r="127" spans="1:36" s="294" customFormat="1" ht="12.75" customHeight="1" outlineLevel="2">
      <c r="A127" s="553" t="s">
        <v>291</v>
      </c>
      <c r="B127" s="296">
        <f>'D-Strommenge FV+DM'!C32</f>
        <v>0</v>
      </c>
      <c r="C127" s="24">
        <f>'D-Strommenge FV+DM'!D32</f>
        <v>0</v>
      </c>
      <c r="D127" s="32">
        <f>'D-Strommenge FV+DM'!E32</f>
        <v>0</v>
      </c>
      <c r="E127" s="296" t="s">
        <v>530</v>
      </c>
      <c r="F127" s="912">
        <f>'D-Strommenge FV+DM'!G25</f>
        <v>0</v>
      </c>
      <c r="G127" s="912">
        <f>'D-Strommenge FV+DM'!H25</f>
        <v>0</v>
      </c>
      <c r="H127" s="912">
        <f>'D-Strommenge FV+DM'!I25</f>
        <v>0.63546899999999995</v>
      </c>
      <c r="I127" s="912">
        <f>'D-Strommenge FV+DM'!J25</f>
        <v>2.9213830000000001</v>
      </c>
      <c r="J127" s="912">
        <f>'D-Strommenge FV+DM'!K25</f>
        <v>4.8185699999999994</v>
      </c>
      <c r="K127" s="912">
        <f>'D-Strommenge FV+DM'!L25</f>
        <v>6.293679</v>
      </c>
      <c r="L127" s="912">
        <f>'D-Strommenge FV+DM'!M25</f>
        <v>6.9605349999999993</v>
      </c>
      <c r="M127" s="912">
        <f>'D-Strommenge FV+DM'!N25</f>
        <v>8.0043569999999988</v>
      </c>
      <c r="N127" s="913">
        <f>'D-Strommenge FV+DM'!O25</f>
        <v>9.0451540000000001</v>
      </c>
      <c r="O127" s="914">
        <f>'D-Strommenge FV+DM'!P25</f>
        <v>11.590814</v>
      </c>
      <c r="P127" s="912">
        <f>'D-Strommenge FV+DM'!Q25</f>
        <v>12.871558</v>
      </c>
      <c r="Q127" s="912">
        <f>'D-Strommenge FV+DM'!R25</f>
        <v>15.710374999999999</v>
      </c>
      <c r="R127" s="912">
        <f>'D-Strommenge FV+DM'!S25</f>
        <v>0</v>
      </c>
      <c r="S127" s="912">
        <f>'D-Strommenge FV+DM'!T25</f>
        <v>0</v>
      </c>
      <c r="T127" s="912">
        <f>'D-Strommenge FV+DM'!U25</f>
        <v>0</v>
      </c>
      <c r="U127" s="912">
        <f>'D-Strommenge FV+DM'!V25</f>
        <v>0</v>
      </c>
      <c r="V127" s="912">
        <f>'D-Strommenge FV+DM'!W25</f>
        <v>0</v>
      </c>
      <c r="W127" s="912">
        <f>'D-Strommenge FV+DM'!X25</f>
        <v>0</v>
      </c>
      <c r="X127" s="912">
        <f>'D-Strommenge FV+DM'!Y25</f>
        <v>0</v>
      </c>
      <c r="Y127" s="912">
        <f>'D-Strommenge FV+DM'!Z25</f>
        <v>0</v>
      </c>
      <c r="Z127" s="912">
        <f>'D-Strommenge FV+DM'!AA25</f>
        <v>0</v>
      </c>
      <c r="AA127" s="912">
        <f>'D-Strommenge FV+DM'!AB25</f>
        <v>0</v>
      </c>
      <c r="AB127" s="912">
        <f>'D-Strommenge FV+DM'!AC25</f>
        <v>0</v>
      </c>
      <c r="AC127" s="912">
        <f>'D-Strommenge FV+DM'!AD25</f>
        <v>0</v>
      </c>
      <c r="AD127" s="912">
        <f>'D-Strommenge FV+DM'!AE25</f>
        <v>0</v>
      </c>
      <c r="AE127" s="913">
        <f>'D-Strommenge FV+DM'!AF25</f>
        <v>0</v>
      </c>
      <c r="AF127" s="929"/>
      <c r="AG127" s="929"/>
      <c r="AH127" s="1034"/>
      <c r="AI127" s="1034"/>
      <c r="AJ127" s="1040" t="s">
        <v>576</v>
      </c>
    </row>
    <row r="128" spans="1:36" s="294" customFormat="1" ht="12.75" customHeight="1" outlineLevel="1">
      <c r="A128" s="553" t="s">
        <v>292</v>
      </c>
      <c r="C128" s="10"/>
      <c r="D128" s="33"/>
      <c r="E128" s="27" t="s">
        <v>42</v>
      </c>
      <c r="F128" s="339">
        <f t="shared" ref="F128:AE128" si="4">SUM(F121:F127)</f>
        <v>0</v>
      </c>
      <c r="G128" s="339">
        <f t="shared" si="4"/>
        <v>0</v>
      </c>
      <c r="H128" s="339">
        <f t="shared" si="4"/>
        <v>16.897498000000002</v>
      </c>
      <c r="I128" s="339">
        <f t="shared" si="4"/>
        <v>78.998573999999991</v>
      </c>
      <c r="J128" s="339">
        <f t="shared" si="4"/>
        <v>89.173276999999999</v>
      </c>
      <c r="K128" s="339">
        <f t="shared" si="4"/>
        <v>108.018879</v>
      </c>
      <c r="L128" s="339">
        <f t="shared" si="4"/>
        <v>123.77357299999998</v>
      </c>
      <c r="M128" s="339">
        <f t="shared" si="4"/>
        <v>138.68106700000001</v>
      </c>
      <c r="N128" s="344">
        <f t="shared" si="4"/>
        <v>154.65172399999997</v>
      </c>
      <c r="O128" s="339">
        <f t="shared" si="4"/>
        <v>169.864789</v>
      </c>
      <c r="P128" s="339">
        <f t="shared" si="4"/>
        <v>179.51534899999999</v>
      </c>
      <c r="Q128" s="339">
        <f t="shared" si="4"/>
        <v>180.38249599999997</v>
      </c>
      <c r="R128" s="339">
        <f t="shared" si="4"/>
        <v>0</v>
      </c>
      <c r="S128" s="339">
        <f t="shared" si="4"/>
        <v>0</v>
      </c>
      <c r="T128" s="339">
        <f t="shared" si="4"/>
        <v>0</v>
      </c>
      <c r="U128" s="339">
        <f t="shared" si="4"/>
        <v>0</v>
      </c>
      <c r="V128" s="339">
        <f t="shared" si="4"/>
        <v>0</v>
      </c>
      <c r="W128" s="344">
        <f t="shared" si="4"/>
        <v>0</v>
      </c>
      <c r="X128" s="339">
        <f t="shared" si="4"/>
        <v>0</v>
      </c>
      <c r="Y128" s="339">
        <f t="shared" si="4"/>
        <v>0</v>
      </c>
      <c r="Z128" s="339">
        <f t="shared" si="4"/>
        <v>0</v>
      </c>
      <c r="AA128" s="339">
        <f t="shared" si="4"/>
        <v>0</v>
      </c>
      <c r="AB128" s="339">
        <f t="shared" si="4"/>
        <v>0</v>
      </c>
      <c r="AC128" s="339">
        <f t="shared" si="4"/>
        <v>0</v>
      </c>
      <c r="AD128" s="339">
        <f t="shared" si="4"/>
        <v>0</v>
      </c>
      <c r="AE128" s="339">
        <f t="shared" si="4"/>
        <v>0</v>
      </c>
      <c r="AF128" s="929"/>
      <c r="AG128" s="929"/>
      <c r="AH128" s="1034"/>
      <c r="AI128" s="1034"/>
      <c r="AJ128" s="1040" t="s">
        <v>576</v>
      </c>
    </row>
    <row r="129" spans="1:36" s="294" customFormat="1" ht="12.75" customHeight="1" outlineLevel="1">
      <c r="A129" s="553" t="s">
        <v>293</v>
      </c>
      <c r="C129" s="10"/>
      <c r="D129" s="33"/>
      <c r="F129" s="324"/>
      <c r="G129" s="324"/>
      <c r="H129" s="324"/>
      <c r="I129" s="324"/>
      <c r="J129" s="324"/>
      <c r="K129" s="324"/>
      <c r="L129" s="324"/>
      <c r="M129" s="324"/>
      <c r="N129" s="342"/>
      <c r="O129" s="289"/>
      <c r="P129" s="324"/>
      <c r="Q129" s="324"/>
      <c r="R129" s="324"/>
      <c r="S129" s="324"/>
      <c r="T129" s="324"/>
      <c r="U129" s="324"/>
      <c r="V129" s="324"/>
      <c r="W129" s="324"/>
      <c r="X129" s="324"/>
      <c r="Y129" s="324"/>
      <c r="Z129" s="324"/>
      <c r="AA129" s="324"/>
      <c r="AB129" s="324"/>
      <c r="AC129" s="324"/>
      <c r="AD129" s="324"/>
      <c r="AE129" s="324"/>
      <c r="AF129" s="929"/>
      <c r="AG129" s="929"/>
      <c r="AH129" s="1034"/>
      <c r="AI129" s="1034"/>
      <c r="AJ129" s="1034"/>
    </row>
    <row r="130" spans="1:36" ht="12.75" customHeight="1" outlineLevel="1">
      <c r="A130" s="553">
        <v>111</v>
      </c>
      <c r="B130" s="10"/>
      <c r="E130" s="315" t="s">
        <v>517</v>
      </c>
      <c r="N130" s="342"/>
      <c r="O130" s="289"/>
      <c r="AF130" s="929"/>
      <c r="AG130" s="929"/>
      <c r="AH130" s="1034"/>
      <c r="AI130" s="1034"/>
      <c r="AJ130" s="1034"/>
    </row>
    <row r="131" spans="1:36" ht="12.75" customHeight="1" outlineLevel="2">
      <c r="A131" s="553">
        <v>112</v>
      </c>
      <c r="B131" s="314" t="str">
        <f>'D-Anteil Eigenverbrauch EE neu'!C$6</f>
        <v>Référence</v>
      </c>
      <c r="C131" s="22" t="str">
        <f>'D-Anteil Eigenverbrauch EE neu'!D$6</f>
        <v>cl</v>
      </c>
      <c r="D131" s="30">
        <f>'D-Anteil Eigenverbrauch EE neu'!E$6</f>
        <v>0</v>
      </c>
      <c r="E131" s="314" t="s">
        <v>529</v>
      </c>
      <c r="F131" s="904">
        <f>'D-Anteil Eigenverbrauch EE neu'!G$6</f>
        <v>0</v>
      </c>
      <c r="G131" s="904">
        <f>'D-Anteil Eigenverbrauch EE neu'!H$6</f>
        <v>0</v>
      </c>
      <c r="H131" s="904">
        <f>'D-Anteil Eigenverbrauch EE neu'!I$6</f>
        <v>0</v>
      </c>
      <c r="I131" s="904">
        <f>'D-Anteil Eigenverbrauch EE neu'!J$6</f>
        <v>0</v>
      </c>
      <c r="J131" s="904">
        <f>'D-Anteil Eigenverbrauch EE neu'!K$6</f>
        <v>0</v>
      </c>
      <c r="K131" s="904">
        <f>'D-Anteil Eigenverbrauch EE neu'!L$6</f>
        <v>0</v>
      </c>
      <c r="L131" s="904">
        <f>'D-Anteil Eigenverbrauch EE neu'!M$6</f>
        <v>0</v>
      </c>
      <c r="M131" s="904">
        <f>'D-Anteil Eigenverbrauch EE neu'!N$6</f>
        <v>0</v>
      </c>
      <c r="N131" s="905">
        <f>'D-Anteil Eigenverbrauch EE neu'!O$6</f>
        <v>0</v>
      </c>
      <c r="O131" s="906">
        <f>'D-Anteil Eigenverbrauch EE neu'!P$6</f>
        <v>0</v>
      </c>
      <c r="P131" s="904">
        <f>'D-Anteil Eigenverbrauch EE neu'!Q$6</f>
        <v>0</v>
      </c>
      <c r="Q131" s="904">
        <f>'D-Anteil Eigenverbrauch EE neu'!R$6</f>
        <v>0</v>
      </c>
      <c r="R131" s="904">
        <f>'D-Anteil Eigenverbrauch EE neu'!S$6</f>
        <v>0</v>
      </c>
      <c r="S131" s="904">
        <f>'D-Anteil Eigenverbrauch EE neu'!T$6</f>
        <v>0</v>
      </c>
      <c r="T131" s="904">
        <f>'D-Anteil Eigenverbrauch EE neu'!U$6</f>
        <v>0</v>
      </c>
      <c r="U131" s="904">
        <f>'D-Anteil Eigenverbrauch EE neu'!V$6</f>
        <v>0</v>
      </c>
      <c r="V131" s="904">
        <f>'D-Anteil Eigenverbrauch EE neu'!W$6</f>
        <v>0</v>
      </c>
      <c r="W131" s="904">
        <f>'D-Anteil Eigenverbrauch EE neu'!X$6</f>
        <v>0</v>
      </c>
      <c r="X131" s="904">
        <f>'D-Anteil Eigenverbrauch EE neu'!Y$6</f>
        <v>0</v>
      </c>
      <c r="Y131" s="904">
        <f>'D-Anteil Eigenverbrauch EE neu'!Z$6</f>
        <v>0</v>
      </c>
      <c r="Z131" s="904">
        <f>'D-Anteil Eigenverbrauch EE neu'!AA$6</f>
        <v>0</v>
      </c>
      <c r="AA131" s="904">
        <f>'D-Anteil Eigenverbrauch EE neu'!AB$6</f>
        <v>0</v>
      </c>
      <c r="AB131" s="904">
        <f>'D-Anteil Eigenverbrauch EE neu'!AC$6</f>
        <v>0</v>
      </c>
      <c r="AC131" s="904">
        <f>'D-Anteil Eigenverbrauch EE neu'!AD$6</f>
        <v>0</v>
      </c>
      <c r="AD131" s="904">
        <f>'D-Anteil Eigenverbrauch EE neu'!AE$6</f>
        <v>0</v>
      </c>
      <c r="AE131" s="905">
        <f>'D-Anteil Eigenverbrauch EE neu'!AF$6</f>
        <v>0</v>
      </c>
      <c r="AF131" s="929"/>
      <c r="AG131" s="929"/>
      <c r="AH131" s="1034"/>
      <c r="AI131" s="1034"/>
      <c r="AJ131" s="1034"/>
    </row>
    <row r="132" spans="1:36" ht="12.75" customHeight="1" outlineLevel="2">
      <c r="A132" s="553">
        <v>113</v>
      </c>
      <c r="B132" s="16" t="str">
        <f>'D-Anteil Eigenverbrauch EE neu'!C$7</f>
        <v>Référence</v>
      </c>
      <c r="C132" s="12" t="str">
        <f>'D-Anteil Eigenverbrauch EE neu'!D$7</f>
        <v>cl</v>
      </c>
      <c r="D132" s="31">
        <f>'D-Anteil Eigenverbrauch EE neu'!E$7</f>
        <v>0</v>
      </c>
      <c r="E132" s="16" t="s">
        <v>349</v>
      </c>
      <c r="F132" s="907">
        <f>'D-Anteil Eigenverbrauch EE neu'!G$7</f>
        <v>0</v>
      </c>
      <c r="G132" s="907">
        <f>'D-Anteil Eigenverbrauch EE neu'!H$7</f>
        <v>0</v>
      </c>
      <c r="H132" s="907">
        <f>'D-Anteil Eigenverbrauch EE neu'!I$7</f>
        <v>0</v>
      </c>
      <c r="I132" s="907">
        <f>'D-Anteil Eigenverbrauch EE neu'!J$7</f>
        <v>0</v>
      </c>
      <c r="J132" s="907">
        <f>'D-Anteil Eigenverbrauch EE neu'!K$7</f>
        <v>0</v>
      </c>
      <c r="K132" s="907">
        <f>'D-Anteil Eigenverbrauch EE neu'!L$7</f>
        <v>0</v>
      </c>
      <c r="L132" s="907">
        <f>'D-Anteil Eigenverbrauch EE neu'!M$7</f>
        <v>0</v>
      </c>
      <c r="M132" s="907">
        <f>'D-Anteil Eigenverbrauch EE neu'!N$7</f>
        <v>0</v>
      </c>
      <c r="N132" s="908">
        <f>'D-Anteil Eigenverbrauch EE neu'!O$7</f>
        <v>0</v>
      </c>
      <c r="O132" s="909">
        <f>'D-Anteil Eigenverbrauch EE neu'!P$7</f>
        <v>0</v>
      </c>
      <c r="P132" s="907">
        <f>'D-Anteil Eigenverbrauch EE neu'!Q$7</f>
        <v>0</v>
      </c>
      <c r="Q132" s="907">
        <f>'D-Anteil Eigenverbrauch EE neu'!R$7</f>
        <v>0</v>
      </c>
      <c r="R132" s="907">
        <f>'D-Anteil Eigenverbrauch EE neu'!S$7</f>
        <v>0</v>
      </c>
      <c r="S132" s="907">
        <f>'D-Anteil Eigenverbrauch EE neu'!T$7</f>
        <v>0</v>
      </c>
      <c r="T132" s="907">
        <f>'D-Anteil Eigenverbrauch EE neu'!U$7</f>
        <v>0</v>
      </c>
      <c r="U132" s="907">
        <f>'D-Anteil Eigenverbrauch EE neu'!V$7</f>
        <v>0</v>
      </c>
      <c r="V132" s="907">
        <f>'D-Anteil Eigenverbrauch EE neu'!W$7</f>
        <v>0</v>
      </c>
      <c r="W132" s="907">
        <f>'D-Anteil Eigenverbrauch EE neu'!X$7</f>
        <v>0</v>
      </c>
      <c r="X132" s="907">
        <f>'D-Anteil Eigenverbrauch EE neu'!Y$7</f>
        <v>0</v>
      </c>
      <c r="Y132" s="907">
        <f>'D-Anteil Eigenverbrauch EE neu'!Z$7</f>
        <v>0</v>
      </c>
      <c r="Z132" s="907">
        <f>'D-Anteil Eigenverbrauch EE neu'!AA$7</f>
        <v>0</v>
      </c>
      <c r="AA132" s="907">
        <f>'D-Anteil Eigenverbrauch EE neu'!AB$7</f>
        <v>0</v>
      </c>
      <c r="AB132" s="907">
        <f>'D-Anteil Eigenverbrauch EE neu'!AC$7</f>
        <v>0</v>
      </c>
      <c r="AC132" s="907">
        <f>'D-Anteil Eigenverbrauch EE neu'!AD$7</f>
        <v>0</v>
      </c>
      <c r="AD132" s="907">
        <f>'D-Anteil Eigenverbrauch EE neu'!AE$7</f>
        <v>0</v>
      </c>
      <c r="AE132" s="908">
        <f>'D-Anteil Eigenverbrauch EE neu'!AF$7</f>
        <v>0</v>
      </c>
      <c r="AF132" s="929"/>
      <c r="AG132" s="929"/>
      <c r="AH132" s="1034"/>
      <c r="AI132" s="1034"/>
      <c r="AJ132" s="1034"/>
    </row>
    <row r="133" spans="1:36" ht="12.75" customHeight="1" outlineLevel="2">
      <c r="A133" s="553">
        <v>114</v>
      </c>
      <c r="B133" s="16" t="str">
        <f>'D-Anteil Eigenverbrauch EE neu'!C$8</f>
        <v>Référence</v>
      </c>
      <c r="C133" s="12" t="str">
        <f>'D-Anteil Eigenverbrauch EE neu'!D$8</f>
        <v>cl</v>
      </c>
      <c r="D133" s="31">
        <f>'D-Anteil Eigenverbrauch EE neu'!E$8</f>
        <v>0</v>
      </c>
      <c r="E133" s="16" t="s">
        <v>11</v>
      </c>
      <c r="F133" s="907">
        <f>'D-Anteil Eigenverbrauch EE neu'!G$8</f>
        <v>0</v>
      </c>
      <c r="G133" s="907">
        <f>'D-Anteil Eigenverbrauch EE neu'!H$8</f>
        <v>0</v>
      </c>
      <c r="H133" s="907">
        <f>'D-Anteil Eigenverbrauch EE neu'!I$8</f>
        <v>0</v>
      </c>
      <c r="I133" s="907">
        <f>'D-Anteil Eigenverbrauch EE neu'!J$8</f>
        <v>0</v>
      </c>
      <c r="J133" s="907">
        <f>'D-Anteil Eigenverbrauch EE neu'!K$8</f>
        <v>0</v>
      </c>
      <c r="K133" s="907">
        <f>'D-Anteil Eigenverbrauch EE neu'!L$8</f>
        <v>0</v>
      </c>
      <c r="L133" s="907">
        <f>'D-Anteil Eigenverbrauch EE neu'!M$8</f>
        <v>0</v>
      </c>
      <c r="M133" s="907">
        <f>'D-Anteil Eigenverbrauch EE neu'!N$8</f>
        <v>0</v>
      </c>
      <c r="N133" s="908">
        <f>'D-Anteil Eigenverbrauch EE neu'!O$8</f>
        <v>0</v>
      </c>
      <c r="O133" s="909">
        <f>'D-Anteil Eigenverbrauch EE neu'!P$8</f>
        <v>0</v>
      </c>
      <c r="P133" s="907">
        <f>'D-Anteil Eigenverbrauch EE neu'!Q$8</f>
        <v>0</v>
      </c>
      <c r="Q133" s="907">
        <f>'D-Anteil Eigenverbrauch EE neu'!R$8</f>
        <v>0</v>
      </c>
      <c r="R133" s="907">
        <f>'D-Anteil Eigenverbrauch EE neu'!S$8</f>
        <v>0</v>
      </c>
      <c r="S133" s="907">
        <f>'D-Anteil Eigenverbrauch EE neu'!T$8</f>
        <v>0</v>
      </c>
      <c r="T133" s="907">
        <f>'D-Anteil Eigenverbrauch EE neu'!U$8</f>
        <v>0</v>
      </c>
      <c r="U133" s="907">
        <f>'D-Anteil Eigenverbrauch EE neu'!V$8</f>
        <v>0</v>
      </c>
      <c r="V133" s="907">
        <f>'D-Anteil Eigenverbrauch EE neu'!W$8</f>
        <v>0</v>
      </c>
      <c r="W133" s="907">
        <f>'D-Anteil Eigenverbrauch EE neu'!X$8</f>
        <v>0</v>
      </c>
      <c r="X133" s="907">
        <f>'D-Anteil Eigenverbrauch EE neu'!Y$8</f>
        <v>0</v>
      </c>
      <c r="Y133" s="907">
        <f>'D-Anteil Eigenverbrauch EE neu'!Z$8</f>
        <v>0</v>
      </c>
      <c r="Z133" s="907">
        <f>'D-Anteil Eigenverbrauch EE neu'!AA$8</f>
        <v>0</v>
      </c>
      <c r="AA133" s="907">
        <f>'D-Anteil Eigenverbrauch EE neu'!AB$8</f>
        <v>0</v>
      </c>
      <c r="AB133" s="907">
        <f>'D-Anteil Eigenverbrauch EE neu'!AC$8</f>
        <v>0</v>
      </c>
      <c r="AC133" s="907">
        <f>'D-Anteil Eigenverbrauch EE neu'!AD$8</f>
        <v>0</v>
      </c>
      <c r="AD133" s="907">
        <f>'D-Anteil Eigenverbrauch EE neu'!AE$8</f>
        <v>0</v>
      </c>
      <c r="AE133" s="908">
        <f>'D-Anteil Eigenverbrauch EE neu'!AF$8</f>
        <v>0</v>
      </c>
      <c r="AF133" s="929"/>
      <c r="AG133" s="929"/>
      <c r="AH133" s="1034"/>
      <c r="AI133" s="1034"/>
      <c r="AJ133" s="1034"/>
    </row>
    <row r="134" spans="1:36" ht="12.75" customHeight="1" outlineLevel="2">
      <c r="A134" s="553">
        <v>115</v>
      </c>
      <c r="B134" s="16" t="str">
        <f>'D-Anteil Eigenverbrauch EE neu'!C$9</f>
        <v>Référence</v>
      </c>
      <c r="C134" s="12" t="str">
        <f>'D-Anteil Eigenverbrauch EE neu'!D$9</f>
        <v>cl</v>
      </c>
      <c r="D134" s="31">
        <f>'D-Anteil Eigenverbrauch EE neu'!E$9</f>
        <v>0</v>
      </c>
      <c r="E134" s="16" t="s">
        <v>10</v>
      </c>
      <c r="F134" s="907">
        <f>'D-Anteil Eigenverbrauch EE neu'!G$9</f>
        <v>0</v>
      </c>
      <c r="G134" s="907">
        <f>'D-Anteil Eigenverbrauch EE neu'!H$9</f>
        <v>0</v>
      </c>
      <c r="H134" s="907">
        <f>'D-Anteil Eigenverbrauch EE neu'!I$9</f>
        <v>0</v>
      </c>
      <c r="I134" s="907">
        <f>'D-Anteil Eigenverbrauch EE neu'!J$9</f>
        <v>0</v>
      </c>
      <c r="J134" s="907">
        <f>'D-Anteil Eigenverbrauch EE neu'!K$9</f>
        <v>0</v>
      </c>
      <c r="K134" s="907">
        <f>'D-Anteil Eigenverbrauch EE neu'!L$9</f>
        <v>0</v>
      </c>
      <c r="L134" s="907">
        <f>'D-Anteil Eigenverbrauch EE neu'!M$9</f>
        <v>0</v>
      </c>
      <c r="M134" s="907">
        <f>'D-Anteil Eigenverbrauch EE neu'!N$9</f>
        <v>0</v>
      </c>
      <c r="N134" s="908">
        <f>'D-Anteil Eigenverbrauch EE neu'!O$9</f>
        <v>0</v>
      </c>
      <c r="O134" s="909">
        <f>'D-Anteil Eigenverbrauch EE neu'!P$9</f>
        <v>0</v>
      </c>
      <c r="P134" s="907">
        <f>'D-Anteil Eigenverbrauch EE neu'!Q$9</f>
        <v>0</v>
      </c>
      <c r="Q134" s="907">
        <f>'D-Anteil Eigenverbrauch EE neu'!R$9</f>
        <v>0</v>
      </c>
      <c r="R134" s="907">
        <f>'D-Anteil Eigenverbrauch EE neu'!S$9</f>
        <v>0</v>
      </c>
      <c r="S134" s="907">
        <f>'D-Anteil Eigenverbrauch EE neu'!T$9</f>
        <v>0</v>
      </c>
      <c r="T134" s="907">
        <f>'D-Anteil Eigenverbrauch EE neu'!U$9</f>
        <v>0</v>
      </c>
      <c r="U134" s="907">
        <f>'D-Anteil Eigenverbrauch EE neu'!V$9</f>
        <v>0</v>
      </c>
      <c r="V134" s="907">
        <f>'D-Anteil Eigenverbrauch EE neu'!W$9</f>
        <v>0</v>
      </c>
      <c r="W134" s="907">
        <f>'D-Anteil Eigenverbrauch EE neu'!X$9</f>
        <v>0</v>
      </c>
      <c r="X134" s="907">
        <f>'D-Anteil Eigenverbrauch EE neu'!Y$9</f>
        <v>0</v>
      </c>
      <c r="Y134" s="907">
        <f>'D-Anteil Eigenverbrauch EE neu'!Z$9</f>
        <v>0</v>
      </c>
      <c r="Z134" s="907">
        <f>'D-Anteil Eigenverbrauch EE neu'!AA$9</f>
        <v>0</v>
      </c>
      <c r="AA134" s="907">
        <f>'D-Anteil Eigenverbrauch EE neu'!AB$9</f>
        <v>0</v>
      </c>
      <c r="AB134" s="907">
        <f>'D-Anteil Eigenverbrauch EE neu'!AC$9</f>
        <v>0</v>
      </c>
      <c r="AC134" s="907">
        <f>'D-Anteil Eigenverbrauch EE neu'!AD$9</f>
        <v>0</v>
      </c>
      <c r="AD134" s="907">
        <f>'D-Anteil Eigenverbrauch EE neu'!AE$9</f>
        <v>0</v>
      </c>
      <c r="AE134" s="908">
        <f>'D-Anteil Eigenverbrauch EE neu'!AF$9</f>
        <v>0</v>
      </c>
      <c r="AF134" s="929"/>
      <c r="AG134" s="929"/>
      <c r="AH134" s="1034"/>
      <c r="AI134" s="1034"/>
      <c r="AJ134" s="1034"/>
    </row>
    <row r="135" spans="1:36" ht="12.75" customHeight="1" outlineLevel="2">
      <c r="A135" s="553">
        <v>116</v>
      </c>
      <c r="B135" s="16" t="str">
        <f>'D-Anteil Eigenverbrauch EE neu'!C$10</f>
        <v>Référence</v>
      </c>
      <c r="C135" s="12" t="str">
        <f>'D-Anteil Eigenverbrauch EE neu'!D$10</f>
        <v>cl</v>
      </c>
      <c r="D135" s="31">
        <f>'D-Anteil Eigenverbrauch EE neu'!E$10</f>
        <v>0</v>
      </c>
      <c r="E135" s="16" t="s">
        <v>339</v>
      </c>
      <c r="F135" s="907">
        <f>'D-Anteil Eigenverbrauch EE neu'!G$10</f>
        <v>0</v>
      </c>
      <c r="G135" s="907">
        <f>'D-Anteil Eigenverbrauch EE neu'!H$10</f>
        <v>0</v>
      </c>
      <c r="H135" s="907">
        <f>'D-Anteil Eigenverbrauch EE neu'!I$10</f>
        <v>0</v>
      </c>
      <c r="I135" s="907">
        <f>'D-Anteil Eigenverbrauch EE neu'!J$10</f>
        <v>0</v>
      </c>
      <c r="J135" s="907">
        <f>'D-Anteil Eigenverbrauch EE neu'!K$10</f>
        <v>0</v>
      </c>
      <c r="K135" s="907">
        <f>'D-Anteil Eigenverbrauch EE neu'!L$10</f>
        <v>0</v>
      </c>
      <c r="L135" s="907">
        <f>'D-Anteil Eigenverbrauch EE neu'!M$10</f>
        <v>0</v>
      </c>
      <c r="M135" s="907">
        <f>'D-Anteil Eigenverbrauch EE neu'!N$10</f>
        <v>0</v>
      </c>
      <c r="N135" s="908">
        <f>'D-Anteil Eigenverbrauch EE neu'!O$10</f>
        <v>0</v>
      </c>
      <c r="O135" s="909">
        <f>'D-Anteil Eigenverbrauch EE neu'!P$10</f>
        <v>0</v>
      </c>
      <c r="P135" s="907">
        <f>'D-Anteil Eigenverbrauch EE neu'!Q$10</f>
        <v>0</v>
      </c>
      <c r="Q135" s="907">
        <f>'D-Anteil Eigenverbrauch EE neu'!R$10</f>
        <v>0</v>
      </c>
      <c r="R135" s="907">
        <f>'D-Anteil Eigenverbrauch EE neu'!S$10</f>
        <v>0</v>
      </c>
      <c r="S135" s="907">
        <f>'D-Anteil Eigenverbrauch EE neu'!T$10</f>
        <v>0</v>
      </c>
      <c r="T135" s="907">
        <f>'D-Anteil Eigenverbrauch EE neu'!U$10</f>
        <v>0</v>
      </c>
      <c r="U135" s="907">
        <f>'D-Anteil Eigenverbrauch EE neu'!V$10</f>
        <v>0</v>
      </c>
      <c r="V135" s="907">
        <f>'D-Anteil Eigenverbrauch EE neu'!W$10</f>
        <v>0</v>
      </c>
      <c r="W135" s="907">
        <f>'D-Anteil Eigenverbrauch EE neu'!X$10</f>
        <v>0</v>
      </c>
      <c r="X135" s="907">
        <f>'D-Anteil Eigenverbrauch EE neu'!Y$10</f>
        <v>0</v>
      </c>
      <c r="Y135" s="907">
        <f>'D-Anteil Eigenverbrauch EE neu'!Z$10</f>
        <v>0</v>
      </c>
      <c r="Z135" s="907">
        <f>'D-Anteil Eigenverbrauch EE neu'!AA$10</f>
        <v>0</v>
      </c>
      <c r="AA135" s="907">
        <f>'D-Anteil Eigenverbrauch EE neu'!AB$10</f>
        <v>0</v>
      </c>
      <c r="AB135" s="907">
        <f>'D-Anteil Eigenverbrauch EE neu'!AC$10</f>
        <v>0</v>
      </c>
      <c r="AC135" s="907">
        <f>'D-Anteil Eigenverbrauch EE neu'!AD$10</f>
        <v>0</v>
      </c>
      <c r="AD135" s="907">
        <f>'D-Anteil Eigenverbrauch EE neu'!AE$10</f>
        <v>0</v>
      </c>
      <c r="AE135" s="908">
        <f>'D-Anteil Eigenverbrauch EE neu'!AF$10</f>
        <v>0</v>
      </c>
      <c r="AF135" s="929"/>
      <c r="AG135" s="929"/>
      <c r="AH135" s="1034"/>
      <c r="AI135" s="1034"/>
      <c r="AJ135" s="1034"/>
    </row>
    <row r="136" spans="1:36" ht="12.75" customHeight="1" outlineLevel="2">
      <c r="A136" s="553">
        <v>117</v>
      </c>
      <c r="B136" s="16" t="str">
        <f>'D-Anteil Eigenverbrauch EE neu'!C$11</f>
        <v>Référence</v>
      </c>
      <c r="C136" s="12" t="str">
        <f>'D-Anteil Eigenverbrauch EE neu'!D$11</f>
        <v>cl</v>
      </c>
      <c r="D136" s="31">
        <f>'D-Anteil Eigenverbrauch EE neu'!E$11</f>
        <v>0</v>
      </c>
      <c r="E136" s="16" t="s">
        <v>340</v>
      </c>
      <c r="F136" s="907">
        <f>'D-Anteil Eigenverbrauch EE neu'!G$11</f>
        <v>0</v>
      </c>
      <c r="G136" s="907">
        <f>'D-Anteil Eigenverbrauch EE neu'!H$11</f>
        <v>0</v>
      </c>
      <c r="H136" s="907">
        <f>'D-Anteil Eigenverbrauch EE neu'!I$11</f>
        <v>0</v>
      </c>
      <c r="I136" s="907">
        <f>'D-Anteil Eigenverbrauch EE neu'!J$11</f>
        <v>0</v>
      </c>
      <c r="J136" s="907">
        <f>'D-Anteil Eigenverbrauch EE neu'!K$11</f>
        <v>0</v>
      </c>
      <c r="K136" s="907">
        <f>'D-Anteil Eigenverbrauch EE neu'!L$11</f>
        <v>0</v>
      </c>
      <c r="L136" s="907">
        <f>'D-Anteil Eigenverbrauch EE neu'!M$11</f>
        <v>0</v>
      </c>
      <c r="M136" s="907">
        <f>'D-Anteil Eigenverbrauch EE neu'!N$11</f>
        <v>0</v>
      </c>
      <c r="N136" s="908">
        <f>'D-Anteil Eigenverbrauch EE neu'!O$11</f>
        <v>0</v>
      </c>
      <c r="O136" s="909">
        <f>'D-Anteil Eigenverbrauch EE neu'!P$11</f>
        <v>0</v>
      </c>
      <c r="P136" s="907">
        <f>'D-Anteil Eigenverbrauch EE neu'!Q$11</f>
        <v>0</v>
      </c>
      <c r="Q136" s="907">
        <f>'D-Anteil Eigenverbrauch EE neu'!R$11</f>
        <v>0</v>
      </c>
      <c r="R136" s="907">
        <f>'D-Anteil Eigenverbrauch EE neu'!S$11</f>
        <v>0</v>
      </c>
      <c r="S136" s="907">
        <f>'D-Anteil Eigenverbrauch EE neu'!T$11</f>
        <v>0</v>
      </c>
      <c r="T136" s="907">
        <f>'D-Anteil Eigenverbrauch EE neu'!U$11</f>
        <v>0</v>
      </c>
      <c r="U136" s="907">
        <f>'D-Anteil Eigenverbrauch EE neu'!V$11</f>
        <v>0</v>
      </c>
      <c r="V136" s="907">
        <f>'D-Anteil Eigenverbrauch EE neu'!W$11</f>
        <v>0</v>
      </c>
      <c r="W136" s="907">
        <f>'D-Anteil Eigenverbrauch EE neu'!X$11</f>
        <v>0</v>
      </c>
      <c r="X136" s="907">
        <f>'D-Anteil Eigenverbrauch EE neu'!Y$11</f>
        <v>0</v>
      </c>
      <c r="Y136" s="907">
        <f>'D-Anteil Eigenverbrauch EE neu'!Z$11</f>
        <v>0</v>
      </c>
      <c r="Z136" s="907">
        <f>'D-Anteil Eigenverbrauch EE neu'!AA$11</f>
        <v>0</v>
      </c>
      <c r="AA136" s="907">
        <f>'D-Anteil Eigenverbrauch EE neu'!AB$11</f>
        <v>0</v>
      </c>
      <c r="AB136" s="907">
        <f>'D-Anteil Eigenverbrauch EE neu'!AC$11</f>
        <v>0</v>
      </c>
      <c r="AC136" s="907">
        <f>'D-Anteil Eigenverbrauch EE neu'!AD$11</f>
        <v>0</v>
      </c>
      <c r="AD136" s="907">
        <f>'D-Anteil Eigenverbrauch EE neu'!AE$11</f>
        <v>0</v>
      </c>
      <c r="AE136" s="908">
        <f>'D-Anteil Eigenverbrauch EE neu'!AF$11</f>
        <v>0</v>
      </c>
      <c r="AF136" s="929"/>
      <c r="AG136" s="929"/>
      <c r="AH136" s="1034"/>
      <c r="AI136" s="1034"/>
      <c r="AJ136" s="1034"/>
    </row>
    <row r="137" spans="1:36" ht="12.75" customHeight="1" outlineLevel="2">
      <c r="A137" s="553">
        <v>118</v>
      </c>
      <c r="B137" s="296" t="str">
        <f>'D-Anteil Eigenverbrauch EE neu'!C$12</f>
        <v>Référence</v>
      </c>
      <c r="C137" s="24" t="str">
        <f>'D-Anteil Eigenverbrauch EE neu'!D$12</f>
        <v>fh</v>
      </c>
      <c r="D137" s="32" t="str">
        <f>'D-Anteil Eigenverbrauch EE neu'!E$12</f>
        <v>6%</v>
      </c>
      <c r="E137" s="296" t="s">
        <v>530</v>
      </c>
      <c r="F137" s="912">
        <f>'D-Anteil Eigenverbrauch EE neu'!G$12</f>
        <v>0</v>
      </c>
      <c r="G137" s="912">
        <f>'D-Anteil Eigenverbrauch EE neu'!H$12</f>
        <v>0</v>
      </c>
      <c r="H137" s="912">
        <f>'D-Anteil Eigenverbrauch EE neu'!I$12</f>
        <v>0</v>
      </c>
      <c r="I137" s="912">
        <f>'D-Anteil Eigenverbrauch EE neu'!J$12</f>
        <v>0</v>
      </c>
      <c r="J137" s="912">
        <f>'D-Anteil Eigenverbrauch EE neu'!K$12</f>
        <v>0</v>
      </c>
      <c r="K137" s="912">
        <f>'D-Anteil Eigenverbrauch EE neu'!L$12</f>
        <v>0.20025000000000001</v>
      </c>
      <c r="L137" s="912">
        <f>'D-Anteil Eigenverbrauch EE neu'!M$12</f>
        <v>0.26</v>
      </c>
      <c r="M137" s="912">
        <f>'D-Anteil Eigenverbrauch EE neu'!N$12</f>
        <v>0.123</v>
      </c>
      <c r="N137" s="913">
        <f>'D-Anteil Eigenverbrauch EE neu'!O$12</f>
        <v>0.123</v>
      </c>
      <c r="O137" s="914">
        <f>'D-Anteil Eigenverbrauch EE neu'!P$12</f>
        <v>8.6282704209457411E-2</v>
      </c>
      <c r="P137" s="912">
        <f>'D-Anteil Eigenverbrauch EE neu'!Q$12</f>
        <v>5.896218016593225E-2</v>
      </c>
      <c r="Q137" s="912">
        <f>'D-Anteil Eigenverbrauch EE neu'!R$12</f>
        <v>6.7386075190170966E-2</v>
      </c>
      <c r="R137" s="912">
        <f>'D-Anteil Eigenverbrauch EE neu'!S$12</f>
        <v>6.7386075190170966E-2</v>
      </c>
      <c r="S137" s="912">
        <f>'D-Anteil Eigenverbrauch EE neu'!T$12</f>
        <v>6.7386075190170966E-2</v>
      </c>
      <c r="T137" s="912">
        <f>'D-Anteil Eigenverbrauch EE neu'!U$12</f>
        <v>6.7386075190170966E-2</v>
      </c>
      <c r="U137" s="912">
        <f>'D-Anteil Eigenverbrauch EE neu'!V$12</f>
        <v>6.7386075190170966E-2</v>
      </c>
      <c r="V137" s="912">
        <f>'D-Anteil Eigenverbrauch EE neu'!W$12</f>
        <v>6.7386075190170966E-2</v>
      </c>
      <c r="W137" s="912">
        <f>'D-Anteil Eigenverbrauch EE neu'!X$12</f>
        <v>6.7386075190170966E-2</v>
      </c>
      <c r="X137" s="912">
        <f>'D-Anteil Eigenverbrauch EE neu'!Y$12</f>
        <v>6.7386075190170966E-2</v>
      </c>
      <c r="Y137" s="912">
        <f>'D-Anteil Eigenverbrauch EE neu'!Z$12</f>
        <v>6.7386075190170966E-2</v>
      </c>
      <c r="Z137" s="912">
        <f>'D-Anteil Eigenverbrauch EE neu'!AA$12</f>
        <v>6.7386075190170966E-2</v>
      </c>
      <c r="AA137" s="912">
        <f>'D-Anteil Eigenverbrauch EE neu'!AB$12</f>
        <v>6.7386075190170966E-2</v>
      </c>
      <c r="AB137" s="912">
        <f>'D-Anteil Eigenverbrauch EE neu'!AC$12</f>
        <v>6.7386075190170966E-2</v>
      </c>
      <c r="AC137" s="912">
        <f>'D-Anteil Eigenverbrauch EE neu'!AD$12</f>
        <v>6.7386075190170966E-2</v>
      </c>
      <c r="AD137" s="912">
        <f>'D-Anteil Eigenverbrauch EE neu'!AE$12</f>
        <v>6.7386075190170966E-2</v>
      </c>
      <c r="AE137" s="913">
        <f>'D-Anteil Eigenverbrauch EE neu'!AF$12</f>
        <v>6.7386075190170966E-2</v>
      </c>
      <c r="AF137" s="929"/>
      <c r="AG137" s="929"/>
      <c r="AH137" s="1034"/>
      <c r="AI137" s="1034"/>
      <c r="AJ137" s="1034"/>
    </row>
    <row r="138" spans="1:36" ht="12.75" customHeight="1" outlineLevel="1">
      <c r="A138" s="553">
        <v>119</v>
      </c>
      <c r="B138" s="10"/>
      <c r="N138" s="342"/>
      <c r="O138" s="289"/>
      <c r="AF138" s="929"/>
      <c r="AG138" s="929"/>
      <c r="AH138" s="1034"/>
      <c r="AI138" s="1034"/>
      <c r="AJ138" s="1034"/>
    </row>
    <row r="139" spans="1:36" s="294" customFormat="1" ht="12.75" customHeight="1" outlineLevel="1">
      <c r="A139" s="553">
        <v>120</v>
      </c>
      <c r="B139" s="10"/>
      <c r="D139" s="33"/>
      <c r="E139" s="315" t="s">
        <v>518</v>
      </c>
      <c r="F139" s="324"/>
      <c r="G139" s="324"/>
      <c r="H139" s="324"/>
      <c r="I139" s="324"/>
      <c r="J139" s="324"/>
      <c r="K139" s="324"/>
      <c r="L139" s="324"/>
      <c r="M139" s="324"/>
      <c r="N139" s="342"/>
      <c r="O139" s="289"/>
      <c r="P139" s="324"/>
      <c r="Q139" s="324"/>
      <c r="R139" s="324"/>
      <c r="S139" s="324"/>
      <c r="T139" s="324"/>
      <c r="U139" s="324"/>
      <c r="V139" s="324"/>
      <c r="W139" s="324"/>
      <c r="X139" s="324"/>
      <c r="Y139" s="324"/>
      <c r="Z139" s="324"/>
      <c r="AA139" s="324"/>
      <c r="AB139" s="324"/>
      <c r="AC139" s="324"/>
      <c r="AD139" s="324"/>
      <c r="AE139" s="324"/>
      <c r="AF139" s="929"/>
      <c r="AG139" s="929"/>
      <c r="AH139" s="1034"/>
      <c r="AI139" s="1034"/>
      <c r="AJ139" s="1034"/>
    </row>
    <row r="140" spans="1:36" s="294" customFormat="1" ht="12.75" customHeight="1" outlineLevel="2">
      <c r="A140" s="553">
        <v>121</v>
      </c>
      <c r="B140" s="314" t="str">
        <f>'D-Mittlerer Vergütungssatz'!C$6</f>
        <v>Historique</v>
      </c>
      <c r="C140" s="22" t="str">
        <f>'D-Mittlerer Vergütungssatz'!D$6</f>
        <v>fh</v>
      </c>
      <c r="D140" s="30" t="str">
        <f>'D-Mittlerer Vergütungssatz'!E$6</f>
        <v>Dérivé des prévisions annuelles du GRT</v>
      </c>
      <c r="E140" s="314" t="s">
        <v>529</v>
      </c>
      <c r="F140" s="904">
        <f>'D-Mittlerer Vergütungssatz'!G$6</f>
        <v>76.040000000000006</v>
      </c>
      <c r="G140" s="904">
        <f>'D-Mittlerer Vergütungssatz'!H$6</f>
        <v>78.580579248126398</v>
      </c>
      <c r="H140" s="904">
        <f>'D-Mittlerer Vergütungssatz'!I$6</f>
        <v>85.426349075311549</v>
      </c>
      <c r="I140" s="904">
        <f>'D-Mittlerer Vergütungssatz'!J$6</f>
        <v>84.973326885251481</v>
      </c>
      <c r="J140" s="904">
        <f>'D-Mittlerer Vergütungssatz'!K$6</f>
        <v>93.580358696572972</v>
      </c>
      <c r="K140" s="904">
        <f>'D-Mittlerer Vergütungssatz'!L$6</f>
        <v>90.888126814616172</v>
      </c>
      <c r="L140" s="904">
        <f>'D-Mittlerer Vergütungssatz'!M$6</f>
        <v>94.021995549816509</v>
      </c>
      <c r="M140" s="904">
        <f>'D-Mittlerer Vergütungssatz'!N$6</f>
        <v>95.471944662181755</v>
      </c>
      <c r="N140" s="905">
        <f>'D-Mittlerer Vergütungssatz'!O$6</f>
        <v>93.257752565695739</v>
      </c>
      <c r="O140" s="906">
        <f>'D-Mittlerer Vergütungssatz'!P$6</f>
        <v>94.128858532452895</v>
      </c>
      <c r="P140" s="904">
        <f>'D-Mittlerer Vergütungssatz'!Q$6</f>
        <v>94.824277922477592</v>
      </c>
      <c r="Q140" s="904">
        <f>'D-Mittlerer Vergütungssatz'!R$6</f>
        <v>96.066608000039679</v>
      </c>
      <c r="R140" s="904">
        <f>'D-Mittlerer Vergütungssatz'!S$6</f>
        <v>0</v>
      </c>
      <c r="S140" s="904">
        <f>'D-Mittlerer Vergütungssatz'!T$6</f>
        <v>0</v>
      </c>
      <c r="T140" s="904">
        <f>'D-Mittlerer Vergütungssatz'!U$6</f>
        <v>0</v>
      </c>
      <c r="U140" s="904">
        <f>'D-Mittlerer Vergütungssatz'!V$6</f>
        <v>0</v>
      </c>
      <c r="V140" s="904">
        <f>'D-Mittlerer Vergütungssatz'!W$6</f>
        <v>0</v>
      </c>
      <c r="W140" s="904">
        <f>'D-Mittlerer Vergütungssatz'!X$6</f>
        <v>0</v>
      </c>
      <c r="X140" s="904">
        <f>'D-Mittlerer Vergütungssatz'!Y$6</f>
        <v>0</v>
      </c>
      <c r="Y140" s="904">
        <f>'D-Mittlerer Vergütungssatz'!Z$6</f>
        <v>0</v>
      </c>
      <c r="Z140" s="904">
        <f>'D-Mittlerer Vergütungssatz'!AA$6</f>
        <v>0</v>
      </c>
      <c r="AA140" s="904">
        <f>'D-Mittlerer Vergütungssatz'!AB$6</f>
        <v>0</v>
      </c>
      <c r="AB140" s="904">
        <f>'D-Mittlerer Vergütungssatz'!AC$6</f>
        <v>0</v>
      </c>
      <c r="AC140" s="904">
        <f>'D-Mittlerer Vergütungssatz'!AD$6</f>
        <v>0</v>
      </c>
      <c r="AD140" s="904">
        <f>'D-Mittlerer Vergütungssatz'!AE$6</f>
        <v>0</v>
      </c>
      <c r="AE140" s="905">
        <f>'D-Mittlerer Vergütungssatz'!AF$6</f>
        <v>0</v>
      </c>
      <c r="AF140" s="929"/>
      <c r="AG140" s="929"/>
      <c r="AH140" s="1034"/>
      <c r="AI140" s="1034"/>
      <c r="AJ140" s="1034"/>
    </row>
    <row r="141" spans="1:36" s="294" customFormat="1" ht="12.75" customHeight="1" outlineLevel="2">
      <c r="A141" s="553">
        <v>122</v>
      </c>
      <c r="B141" s="16" t="str">
        <f>'D-Mittlerer Vergütungssatz'!C$7</f>
        <v>Historique</v>
      </c>
      <c r="C141" s="12" t="str">
        <f>'D-Mittlerer Vergütungssatz'!D$7</f>
        <v>fh</v>
      </c>
      <c r="D141" s="31" t="str">
        <f>'D-Mittlerer Vergütungssatz'!E$7</f>
        <v>Dérivé des prévisions annuelles du GRT</v>
      </c>
      <c r="E141" s="16" t="s">
        <v>349</v>
      </c>
      <c r="F141" s="907">
        <f>'D-Mittlerer Vergütungssatz'!G$7</f>
        <v>70.59</v>
      </c>
      <c r="G141" s="907">
        <f>'D-Mittlerer Vergütungssatz'!H$7</f>
        <v>70.623810216707398</v>
      </c>
      <c r="H141" s="907">
        <f>'D-Mittlerer Vergütungssatz'!I$7</f>
        <v>72.333594863809779</v>
      </c>
      <c r="I141" s="907">
        <f>'D-Mittlerer Vergütungssatz'!J$7</f>
        <v>75.078609851750898</v>
      </c>
      <c r="J141" s="907">
        <f>'D-Mittlerer Vergütungssatz'!K$7</f>
        <v>80.301227083888492</v>
      </c>
      <c r="K141" s="907">
        <f>'D-Mittlerer Vergütungssatz'!L$7</f>
        <v>69.689921182911647</v>
      </c>
      <c r="L141" s="907">
        <f>'D-Mittlerer Vergütungssatz'!M$7</f>
        <v>70.331521816935805</v>
      </c>
      <c r="M141" s="907">
        <f>'D-Mittlerer Vergütungssatz'!N$7</f>
        <v>69.72914314608407</v>
      </c>
      <c r="N141" s="908">
        <f>'D-Mittlerer Vergütungssatz'!O$7</f>
        <v>69.58740425505863</v>
      </c>
      <c r="O141" s="909">
        <f>'D-Mittlerer Vergütungssatz'!P$7</f>
        <v>71.700386816033742</v>
      </c>
      <c r="P141" s="907">
        <f>'D-Mittlerer Vergütungssatz'!Q$7</f>
        <v>69.098674383868556</v>
      </c>
      <c r="Q141" s="907">
        <f>'D-Mittlerer Vergütungssatz'!R$7</f>
        <v>71.292092493824555</v>
      </c>
      <c r="R141" s="907">
        <f>'D-Mittlerer Vergütungssatz'!S$7</f>
        <v>0</v>
      </c>
      <c r="S141" s="907">
        <f>'D-Mittlerer Vergütungssatz'!T$7</f>
        <v>0</v>
      </c>
      <c r="T141" s="907">
        <f>'D-Mittlerer Vergütungssatz'!U$7</f>
        <v>0</v>
      </c>
      <c r="U141" s="907">
        <f>'D-Mittlerer Vergütungssatz'!V$7</f>
        <v>0</v>
      </c>
      <c r="V141" s="907">
        <f>'D-Mittlerer Vergütungssatz'!W$7</f>
        <v>0</v>
      </c>
      <c r="W141" s="907">
        <f>'D-Mittlerer Vergütungssatz'!X$7</f>
        <v>0</v>
      </c>
      <c r="X141" s="907">
        <f>'D-Mittlerer Vergütungssatz'!Y$7</f>
        <v>0</v>
      </c>
      <c r="Y141" s="907">
        <f>'D-Mittlerer Vergütungssatz'!Z$7</f>
        <v>0</v>
      </c>
      <c r="Z141" s="907">
        <f>'D-Mittlerer Vergütungssatz'!AA$7</f>
        <v>0</v>
      </c>
      <c r="AA141" s="907">
        <f>'D-Mittlerer Vergütungssatz'!AB$7</f>
        <v>0</v>
      </c>
      <c r="AB141" s="907">
        <f>'D-Mittlerer Vergütungssatz'!AC$7</f>
        <v>0</v>
      </c>
      <c r="AC141" s="907">
        <f>'D-Mittlerer Vergütungssatz'!AD$7</f>
        <v>0</v>
      </c>
      <c r="AD141" s="907">
        <f>'D-Mittlerer Vergütungssatz'!AE$7</f>
        <v>0</v>
      </c>
      <c r="AE141" s="908">
        <f>'D-Mittlerer Vergütungssatz'!AF$7</f>
        <v>0</v>
      </c>
      <c r="AF141" s="929"/>
      <c r="AG141" s="929"/>
      <c r="AH141" s="1034"/>
      <c r="AI141" s="1034"/>
      <c r="AJ141" s="1034"/>
    </row>
    <row r="142" spans="1:36" s="294" customFormat="1" ht="12.75" customHeight="1" outlineLevel="2">
      <c r="A142" s="553">
        <v>123</v>
      </c>
      <c r="B142" s="16" t="str">
        <f>'D-Mittlerer Vergütungssatz'!C$8</f>
        <v>Historique</v>
      </c>
      <c r="C142" s="12" t="str">
        <f>'D-Mittlerer Vergütungssatz'!D$8</f>
        <v>fh</v>
      </c>
      <c r="D142" s="31" t="str">
        <f>'D-Mittlerer Vergütungssatz'!E$8</f>
        <v>Dérivé des prévisions annuelles du GRT</v>
      </c>
      <c r="E142" s="16" t="s">
        <v>11</v>
      </c>
      <c r="F142" s="907">
        <f>'D-Mittlerer Vergütungssatz'!G$8</f>
        <v>150.44</v>
      </c>
      <c r="G142" s="907">
        <f>'D-Mittlerer Vergütungssatz'!H$8</f>
        <v>174.78292585554749</v>
      </c>
      <c r="H142" s="907">
        <f>'D-Mittlerer Vergütungssatz'!I$8</f>
        <v>171.71219457964042</v>
      </c>
      <c r="I142" s="907">
        <f>'D-Mittlerer Vergütungssatz'!J$8</f>
        <v>182.43185910801026</v>
      </c>
      <c r="J142" s="907">
        <f>'D-Mittlerer Vergütungssatz'!K$8</f>
        <v>184.3941182048568</v>
      </c>
      <c r="K142" s="907">
        <f>'D-Mittlerer Vergütungssatz'!L$8</f>
        <v>185.81088443376183</v>
      </c>
      <c r="L142" s="907">
        <f>'D-Mittlerer Vergütungssatz'!M$8</f>
        <v>187.10187197631356</v>
      </c>
      <c r="M142" s="907">
        <f>'D-Mittlerer Vergütungssatz'!N$8</f>
        <v>188.59316836578836</v>
      </c>
      <c r="N142" s="908">
        <f>'D-Mittlerer Vergütungssatz'!O$8</f>
        <v>191.10109988815023</v>
      </c>
      <c r="O142" s="909">
        <f>'D-Mittlerer Vergütungssatz'!P$8</f>
        <v>196.13070462077062</v>
      </c>
      <c r="P142" s="907">
        <f>'D-Mittlerer Vergütungssatz'!Q$8</f>
        <v>192.3639566092275</v>
      </c>
      <c r="Q142" s="907">
        <f>'D-Mittlerer Vergütungssatz'!R$8</f>
        <v>197.60807852307477</v>
      </c>
      <c r="R142" s="907">
        <f>'D-Mittlerer Vergütungssatz'!S$8</f>
        <v>0</v>
      </c>
      <c r="S142" s="907">
        <f>'D-Mittlerer Vergütungssatz'!T$8</f>
        <v>0</v>
      </c>
      <c r="T142" s="907">
        <f>'D-Mittlerer Vergütungssatz'!U$8</f>
        <v>0</v>
      </c>
      <c r="U142" s="907">
        <f>'D-Mittlerer Vergütungssatz'!V$8</f>
        <v>0</v>
      </c>
      <c r="V142" s="907">
        <f>'D-Mittlerer Vergütungssatz'!W$8</f>
        <v>0</v>
      </c>
      <c r="W142" s="907">
        <f>'D-Mittlerer Vergütungssatz'!X$8</f>
        <v>0</v>
      </c>
      <c r="X142" s="907">
        <f>'D-Mittlerer Vergütungssatz'!Y$8</f>
        <v>0</v>
      </c>
      <c r="Y142" s="907">
        <f>'D-Mittlerer Vergütungssatz'!Z$8</f>
        <v>0</v>
      </c>
      <c r="Z142" s="907">
        <f>'D-Mittlerer Vergütungssatz'!AA$8</f>
        <v>0</v>
      </c>
      <c r="AA142" s="907">
        <f>'D-Mittlerer Vergütungssatz'!AB$8</f>
        <v>0</v>
      </c>
      <c r="AB142" s="907">
        <f>'D-Mittlerer Vergütungssatz'!AC$8</f>
        <v>0</v>
      </c>
      <c r="AC142" s="907">
        <f>'D-Mittlerer Vergütungssatz'!AD$8</f>
        <v>0</v>
      </c>
      <c r="AD142" s="907">
        <f>'D-Mittlerer Vergütungssatz'!AE$8</f>
        <v>0</v>
      </c>
      <c r="AE142" s="908">
        <f>'D-Mittlerer Vergütungssatz'!AF$8</f>
        <v>0</v>
      </c>
      <c r="AF142" s="929"/>
      <c r="AG142" s="929"/>
      <c r="AH142" s="1034"/>
      <c r="AI142" s="1034"/>
      <c r="AJ142" s="1034"/>
    </row>
    <row r="143" spans="1:36" s="294" customFormat="1" ht="12.75" customHeight="1" outlineLevel="2">
      <c r="A143" s="553">
        <v>124</v>
      </c>
      <c r="B143" s="16" t="str">
        <f>'D-Mittlerer Vergütungssatz'!C$9</f>
        <v>Historique</v>
      </c>
      <c r="C143" s="12" t="str">
        <f>'D-Mittlerer Vergütungssatz'!D$9</f>
        <v>fh</v>
      </c>
      <c r="D143" s="31" t="str">
        <f>'D-Mittlerer Vergütungssatz'!E$9</f>
        <v>Dérivé des prévisions annuelles du GRT</v>
      </c>
      <c r="E143" s="16" t="s">
        <v>10</v>
      </c>
      <c r="F143" s="907">
        <f>'D-Mittlerer Vergütungssatz'!G$9</f>
        <v>150</v>
      </c>
      <c r="G143" s="907">
        <f>'D-Mittlerer Vergütungssatz'!H$9</f>
        <v>212.46439005388561</v>
      </c>
      <c r="H143" s="907">
        <f>'D-Mittlerer Vergütungssatz'!I$9</f>
        <v>221.27270328235733</v>
      </c>
      <c r="I143" s="907">
        <f>'D-Mittlerer Vergütungssatz'!J$9</f>
        <v>235.75585040650407</v>
      </c>
      <c r="J143" s="907">
        <f>'D-Mittlerer Vergütungssatz'!K$9</f>
        <v>243.3346397049238</v>
      </c>
      <c r="K143" s="907">
        <f>'D-Mittlerer Vergütungssatz'!L$9</f>
        <v>245.37903027629881</v>
      </c>
      <c r="L143" s="907">
        <f>'D-Mittlerer Vergütungssatz'!M$9</f>
        <v>243.88965712257979</v>
      </c>
      <c r="M143" s="907">
        <f>'D-Mittlerer Vergütungssatz'!N$9</f>
        <v>247.41502395474978</v>
      </c>
      <c r="N143" s="908">
        <f>'D-Mittlerer Vergütungssatz'!O$9</f>
        <v>241.0595654539801</v>
      </c>
      <c r="O143" s="909">
        <f>'D-Mittlerer Vergütungssatz'!P$9</f>
        <v>251.13132613734075</v>
      </c>
      <c r="P143" s="907">
        <f>'D-Mittlerer Vergütungssatz'!Q$9</f>
        <v>245.91407182317226</v>
      </c>
      <c r="Q143" s="907">
        <f>'D-Mittlerer Vergütungssatz'!R$9</f>
        <v>248.65452372169901</v>
      </c>
      <c r="R143" s="907">
        <f>'D-Mittlerer Vergütungssatz'!S$9</f>
        <v>0</v>
      </c>
      <c r="S143" s="907">
        <f>'D-Mittlerer Vergütungssatz'!T$9</f>
        <v>0</v>
      </c>
      <c r="T143" s="907">
        <f>'D-Mittlerer Vergütungssatz'!U$9</f>
        <v>0</v>
      </c>
      <c r="U143" s="907">
        <f>'D-Mittlerer Vergütungssatz'!V$9</f>
        <v>0</v>
      </c>
      <c r="V143" s="907">
        <f>'D-Mittlerer Vergütungssatz'!W$9</f>
        <v>0</v>
      </c>
      <c r="W143" s="907">
        <f>'D-Mittlerer Vergütungssatz'!X$9</f>
        <v>0</v>
      </c>
      <c r="X143" s="907">
        <f>'D-Mittlerer Vergütungssatz'!Y$9</f>
        <v>0</v>
      </c>
      <c r="Y143" s="907">
        <f>'D-Mittlerer Vergütungssatz'!Z$9</f>
        <v>0</v>
      </c>
      <c r="Z143" s="907">
        <f>'D-Mittlerer Vergütungssatz'!AA$9</f>
        <v>0</v>
      </c>
      <c r="AA143" s="907">
        <f>'D-Mittlerer Vergütungssatz'!AB$9</f>
        <v>0</v>
      </c>
      <c r="AB143" s="907">
        <f>'D-Mittlerer Vergütungssatz'!AC$9</f>
        <v>0</v>
      </c>
      <c r="AC143" s="907">
        <f>'D-Mittlerer Vergütungssatz'!AD$9</f>
        <v>0</v>
      </c>
      <c r="AD143" s="907">
        <f>'D-Mittlerer Vergütungssatz'!AE$9</f>
        <v>0</v>
      </c>
      <c r="AE143" s="908">
        <f>'D-Mittlerer Vergütungssatz'!AF$9</f>
        <v>0</v>
      </c>
      <c r="AF143" s="929"/>
      <c r="AG143" s="929"/>
      <c r="AH143" s="1034"/>
      <c r="AI143" s="1034"/>
      <c r="AJ143" s="1034"/>
    </row>
    <row r="144" spans="1:36" s="294" customFormat="1" ht="12.75" customHeight="1" outlineLevel="2">
      <c r="A144" s="553">
        <v>125</v>
      </c>
      <c r="B144" s="16" t="str">
        <f>'D-Mittlerer Vergütungssatz'!C$10</f>
        <v>Historique</v>
      </c>
      <c r="C144" s="12" t="str">
        <f>'D-Mittlerer Vergütungssatz'!D$10</f>
        <v>fh</v>
      </c>
      <c r="D144" s="31" t="str">
        <f>'D-Mittlerer Vergütungssatz'!E$10</f>
        <v>Dérivé des prévisions annuelles du GRT</v>
      </c>
      <c r="E144" s="16" t="s">
        <v>339</v>
      </c>
      <c r="F144" s="907">
        <f>'D-Mittlerer Vergütungssatz'!G$10</f>
        <v>87.77</v>
      </c>
      <c r="G144" s="907">
        <f>'D-Mittlerer Vergütungssatz'!H$10</f>
        <v>88.470056975207314</v>
      </c>
      <c r="H144" s="907">
        <f>'D-Mittlerer Vergütungssatz'!I$10</f>
        <v>89.579894563937472</v>
      </c>
      <c r="I144" s="907">
        <f>'D-Mittlerer Vergütungssatz'!J$10</f>
        <v>97.55029244575941</v>
      </c>
      <c r="J144" s="907">
        <f>'D-Mittlerer Vergütungssatz'!K$10</f>
        <v>100.74631823317601</v>
      </c>
      <c r="K144" s="907">
        <f>'D-Mittlerer Vergütungssatz'!L$10</f>
        <v>92.874953538580655</v>
      </c>
      <c r="L144" s="907">
        <f>'D-Mittlerer Vergütungssatz'!M$10</f>
        <v>91.555496018812718</v>
      </c>
      <c r="M144" s="907">
        <f>'D-Mittlerer Vergütungssatz'!N$10</f>
        <v>88.105159748659176</v>
      </c>
      <c r="N144" s="908">
        <f>'D-Mittlerer Vergütungssatz'!O$10</f>
        <v>85.970286785170643</v>
      </c>
      <c r="O144" s="909">
        <f>'D-Mittlerer Vergütungssatz'!P$10</f>
        <v>88.681513062623281</v>
      </c>
      <c r="P144" s="907">
        <f>'D-Mittlerer Vergütungssatz'!Q$10</f>
        <v>84.943185603231001</v>
      </c>
      <c r="Q144" s="907">
        <f>'D-Mittlerer Vergütungssatz'!R$10</f>
        <v>87.658156173485565</v>
      </c>
      <c r="R144" s="907">
        <f>'D-Mittlerer Vergütungssatz'!S$10</f>
        <v>0</v>
      </c>
      <c r="S144" s="907">
        <f>'D-Mittlerer Vergütungssatz'!T$10</f>
        <v>0</v>
      </c>
      <c r="T144" s="907">
        <f>'D-Mittlerer Vergütungssatz'!U$10</f>
        <v>0</v>
      </c>
      <c r="U144" s="907">
        <f>'D-Mittlerer Vergütungssatz'!V$10</f>
        <v>0</v>
      </c>
      <c r="V144" s="907">
        <f>'D-Mittlerer Vergütungssatz'!W$10</f>
        <v>0</v>
      </c>
      <c r="W144" s="907">
        <f>'D-Mittlerer Vergütungssatz'!X$10</f>
        <v>0</v>
      </c>
      <c r="X144" s="907">
        <f>'D-Mittlerer Vergütungssatz'!Y$10</f>
        <v>0</v>
      </c>
      <c r="Y144" s="907">
        <f>'D-Mittlerer Vergütungssatz'!Z$10</f>
        <v>0</v>
      </c>
      <c r="Z144" s="907">
        <f>'D-Mittlerer Vergütungssatz'!AA$10</f>
        <v>0</v>
      </c>
      <c r="AA144" s="907">
        <f>'D-Mittlerer Vergütungssatz'!AB$10</f>
        <v>0</v>
      </c>
      <c r="AB144" s="907">
        <f>'D-Mittlerer Vergütungssatz'!AC$10</f>
        <v>0</v>
      </c>
      <c r="AC144" s="907">
        <f>'D-Mittlerer Vergütungssatz'!AD$10</f>
        <v>0</v>
      </c>
      <c r="AD144" s="907">
        <f>'D-Mittlerer Vergütungssatz'!AE$10</f>
        <v>0</v>
      </c>
      <c r="AE144" s="908">
        <f>'D-Mittlerer Vergütungssatz'!AF$10</f>
        <v>0</v>
      </c>
      <c r="AF144" s="929"/>
      <c r="AG144" s="929"/>
      <c r="AH144" s="1034"/>
      <c r="AI144" s="1034"/>
      <c r="AJ144" s="1034"/>
    </row>
    <row r="145" spans="1:36" s="294" customFormat="1" ht="12.75" customHeight="1" outlineLevel="2">
      <c r="A145" s="553">
        <v>126</v>
      </c>
      <c r="B145" s="16" t="str">
        <f>'D-Mittlerer Vergütungssatz'!C$11</f>
        <v>Historique</v>
      </c>
      <c r="C145" s="12" t="str">
        <f>'D-Mittlerer Vergütungssatz'!D$11</f>
        <v>fh</v>
      </c>
      <c r="D145" s="31" t="str">
        <f>'D-Mittlerer Vergütungssatz'!E$11</f>
        <v>Dérivé des prévisions annuelles du GRT</v>
      </c>
      <c r="E145" s="16" t="s">
        <v>340</v>
      </c>
      <c r="F145" s="907">
        <f>'D-Mittlerer Vergütungssatz'!G$11</f>
        <v>150</v>
      </c>
      <c r="G145" s="907">
        <f>'D-Mittlerer Vergütungssatz'!H$11</f>
        <v>150.00002964794805</v>
      </c>
      <c r="H145" s="907">
        <f>'D-Mittlerer Vergütungssatz'!I$11</f>
        <v>159.55374326447114</v>
      </c>
      <c r="I145" s="907">
        <f>'D-Mittlerer Vergütungssatz'!J$11</f>
        <v>189.09737949685689</v>
      </c>
      <c r="J145" s="907">
        <f>'D-Mittlerer Vergütungssatz'!K$11</f>
        <v>191.11269267192381</v>
      </c>
      <c r="K145" s="907">
        <f>'D-Mittlerer Vergütungssatz'!L$11</f>
        <v>182.24269170072949</v>
      </c>
      <c r="L145" s="907">
        <f>'D-Mittlerer Vergütungssatz'!M$11</f>
        <v>183.62361985504901</v>
      </c>
      <c r="M145" s="907">
        <f>'D-Mittlerer Vergütungssatz'!N$11</f>
        <v>181.73716679008584</v>
      </c>
      <c r="N145" s="908">
        <f>'D-Mittlerer Vergütungssatz'!O$11</f>
        <v>185.91972037730574</v>
      </c>
      <c r="O145" s="909">
        <f>'D-Mittlerer Vergütungssatz'!P$11</f>
        <v>187.42134928446933</v>
      </c>
      <c r="P145" s="907">
        <f>'D-Mittlerer Vergütungssatz'!Q$11</f>
        <v>184.61609509608459</v>
      </c>
      <c r="Q145" s="907">
        <f>'D-Mittlerer Vergütungssatz'!R$11</f>
        <v>185.38314339176773</v>
      </c>
      <c r="R145" s="907">
        <f>'D-Mittlerer Vergütungssatz'!S$11</f>
        <v>0</v>
      </c>
      <c r="S145" s="907">
        <f>'D-Mittlerer Vergütungssatz'!T$11</f>
        <v>0</v>
      </c>
      <c r="T145" s="907">
        <f>'D-Mittlerer Vergütungssatz'!U$11</f>
        <v>0</v>
      </c>
      <c r="U145" s="907">
        <f>'D-Mittlerer Vergütungssatz'!V$11</f>
        <v>0</v>
      </c>
      <c r="V145" s="907">
        <f>'D-Mittlerer Vergütungssatz'!W$11</f>
        <v>0</v>
      </c>
      <c r="W145" s="907">
        <f>'D-Mittlerer Vergütungssatz'!X$11</f>
        <v>0</v>
      </c>
      <c r="X145" s="907">
        <f>'D-Mittlerer Vergütungssatz'!Y$11</f>
        <v>0</v>
      </c>
      <c r="Y145" s="907">
        <f>'D-Mittlerer Vergütungssatz'!Z$11</f>
        <v>0</v>
      </c>
      <c r="Z145" s="907">
        <f>'D-Mittlerer Vergütungssatz'!AA$11</f>
        <v>0</v>
      </c>
      <c r="AA145" s="907">
        <f>'D-Mittlerer Vergütungssatz'!AB$11</f>
        <v>0</v>
      </c>
      <c r="AB145" s="907">
        <f>'D-Mittlerer Vergütungssatz'!AC$11</f>
        <v>0</v>
      </c>
      <c r="AC145" s="907">
        <f>'D-Mittlerer Vergütungssatz'!AD$11</f>
        <v>0</v>
      </c>
      <c r="AD145" s="907">
        <f>'D-Mittlerer Vergütungssatz'!AE$11</f>
        <v>0</v>
      </c>
      <c r="AE145" s="908">
        <f>'D-Mittlerer Vergütungssatz'!AF$11</f>
        <v>0</v>
      </c>
      <c r="AF145" s="929"/>
      <c r="AG145" s="929"/>
      <c r="AH145" s="1034"/>
      <c r="AI145" s="1034"/>
      <c r="AJ145" s="1034"/>
    </row>
    <row r="146" spans="1:36" s="294" customFormat="1" ht="12.75" customHeight="1" outlineLevel="2">
      <c r="A146" s="553">
        <v>127</v>
      </c>
      <c r="B146" s="296" t="str">
        <f>'D-Mittlerer Vergütungssatz'!C$12</f>
        <v>Historique</v>
      </c>
      <c r="C146" s="24" t="str">
        <f>'D-Mittlerer Vergütungssatz'!D$12</f>
        <v>fh</v>
      </c>
      <c r="D146" s="32" t="str">
        <f>'D-Mittlerer Vergütungssatz'!E$12</f>
        <v>Dérivé des prévisions annuelles du GRT</v>
      </c>
      <c r="E146" s="296" t="s">
        <v>530</v>
      </c>
      <c r="F146" s="912">
        <f>'D-Mittlerer Vergütungssatz'!G$12</f>
        <v>468.01</v>
      </c>
      <c r="G146" s="912">
        <f>'D-Mittlerer Vergütungssatz'!H$12</f>
        <v>413.44926826434391</v>
      </c>
      <c r="H146" s="912">
        <f>'D-Mittlerer Vergütungssatz'!I$12</f>
        <v>371.1522047462546</v>
      </c>
      <c r="I146" s="912">
        <f>'D-Mittlerer Vergütungssatz'!J$12</f>
        <v>315.53756947644092</v>
      </c>
      <c r="J146" s="912">
        <f>'D-Mittlerer Vergütungssatz'!K$12</f>
        <v>313.88797913696925</v>
      </c>
      <c r="K146" s="912">
        <f>'D-Mittlerer Vergütungssatz'!L$12</f>
        <v>316.55085116684148</v>
      </c>
      <c r="L146" s="912">
        <f>'D-Mittlerer Vergütungssatz'!M$12</f>
        <v>306.12648368500913</v>
      </c>
      <c r="M146" s="912">
        <f>'D-Mittlerer Vergütungssatz'!N$12</f>
        <v>292.27348099233154</v>
      </c>
      <c r="N146" s="913">
        <f>'D-Mittlerer Vergütungssatz'!O$12</f>
        <v>288.19142295217864</v>
      </c>
      <c r="O146" s="914">
        <f>'D-Mittlerer Vergütungssatz'!P$12</f>
        <v>273.54643342384685</v>
      </c>
      <c r="P146" s="912">
        <f>'D-Mittlerer Vergütungssatz'!Q$12</f>
        <v>264.37474625040585</v>
      </c>
      <c r="Q146" s="912">
        <f>'D-Mittlerer Vergütungssatz'!R$12</f>
        <v>249.07864310282855</v>
      </c>
      <c r="R146" s="912">
        <f>'D-Mittlerer Vergütungssatz'!S$12</f>
        <v>0</v>
      </c>
      <c r="S146" s="912">
        <f>'D-Mittlerer Vergütungssatz'!T$12</f>
        <v>0</v>
      </c>
      <c r="T146" s="912">
        <f>'D-Mittlerer Vergütungssatz'!U$12</f>
        <v>0</v>
      </c>
      <c r="U146" s="912">
        <f>'D-Mittlerer Vergütungssatz'!V$12</f>
        <v>0</v>
      </c>
      <c r="V146" s="912">
        <f>'D-Mittlerer Vergütungssatz'!W$12</f>
        <v>0</v>
      </c>
      <c r="W146" s="912">
        <f>'D-Mittlerer Vergütungssatz'!X$12</f>
        <v>0</v>
      </c>
      <c r="X146" s="912">
        <f>'D-Mittlerer Vergütungssatz'!Y$12</f>
        <v>0</v>
      </c>
      <c r="Y146" s="912">
        <f>'D-Mittlerer Vergütungssatz'!Z$12</f>
        <v>0</v>
      </c>
      <c r="Z146" s="912">
        <f>'D-Mittlerer Vergütungssatz'!AA$12</f>
        <v>0</v>
      </c>
      <c r="AA146" s="912">
        <f>'D-Mittlerer Vergütungssatz'!AB$12</f>
        <v>0</v>
      </c>
      <c r="AB146" s="912">
        <f>'D-Mittlerer Vergütungssatz'!AC$12</f>
        <v>0</v>
      </c>
      <c r="AC146" s="912">
        <f>'D-Mittlerer Vergütungssatz'!AD$12</f>
        <v>0</v>
      </c>
      <c r="AD146" s="912">
        <f>'D-Mittlerer Vergütungssatz'!AE$12</f>
        <v>0</v>
      </c>
      <c r="AE146" s="913">
        <f>'D-Mittlerer Vergütungssatz'!AF$12</f>
        <v>0</v>
      </c>
      <c r="AF146" s="929"/>
      <c r="AG146" s="929"/>
      <c r="AH146" s="928"/>
      <c r="AI146" s="928"/>
      <c r="AJ146" s="1034"/>
    </row>
    <row r="147" spans="1:36" s="294" customFormat="1" ht="12.75" customHeight="1" outlineLevel="1">
      <c r="A147" s="553">
        <v>128</v>
      </c>
      <c r="C147" s="26"/>
      <c r="D147" s="34"/>
      <c r="F147" s="300"/>
      <c r="G147" s="300"/>
      <c r="H147" s="300"/>
      <c r="I147" s="300"/>
      <c r="J147" s="300"/>
      <c r="K147" s="300"/>
      <c r="L147" s="300"/>
      <c r="M147" s="300"/>
      <c r="N147" s="343"/>
      <c r="O147" s="291"/>
      <c r="P147" s="300"/>
      <c r="Q147" s="300"/>
      <c r="R147" s="300"/>
      <c r="S147" s="300"/>
      <c r="T147" s="300"/>
      <c r="U147" s="300"/>
      <c r="V147" s="300"/>
      <c r="W147" s="300"/>
      <c r="X147" s="300"/>
      <c r="Y147" s="300"/>
      <c r="Z147" s="300"/>
      <c r="AA147" s="300"/>
      <c r="AB147" s="300"/>
      <c r="AC147" s="300"/>
      <c r="AD147" s="300"/>
      <c r="AE147" s="300"/>
      <c r="AF147" s="929"/>
      <c r="AG147" s="929"/>
      <c r="AH147" s="928"/>
      <c r="AI147" s="928"/>
      <c r="AJ147" s="1034"/>
    </row>
    <row r="148" spans="1:36" s="294" customFormat="1" ht="12.75" customHeight="1" outlineLevel="1">
      <c r="A148" s="553">
        <v>129</v>
      </c>
      <c r="C148" s="26"/>
      <c r="D148" s="34"/>
      <c r="E148" s="315" t="s">
        <v>519</v>
      </c>
      <c r="F148" s="324"/>
      <c r="G148" s="324"/>
      <c r="H148" s="324"/>
      <c r="I148" s="324"/>
      <c r="J148" s="324"/>
      <c r="K148" s="324"/>
      <c r="L148" s="324"/>
      <c r="M148" s="324"/>
      <c r="N148" s="342"/>
      <c r="O148" s="289"/>
      <c r="P148" s="324"/>
      <c r="Q148" s="324"/>
      <c r="R148" s="324"/>
      <c r="S148" s="324"/>
      <c r="T148" s="324"/>
      <c r="U148" s="324"/>
      <c r="V148" s="324"/>
      <c r="W148" s="324"/>
      <c r="X148" s="324"/>
      <c r="Y148" s="324"/>
      <c r="Z148" s="324"/>
      <c r="AA148" s="324"/>
      <c r="AB148" s="324"/>
      <c r="AC148" s="324"/>
      <c r="AD148" s="324"/>
      <c r="AE148" s="324"/>
      <c r="AF148" s="929"/>
      <c r="AG148" s="929"/>
      <c r="AH148" s="928"/>
      <c r="AI148" s="928"/>
      <c r="AJ148" s="1034"/>
    </row>
    <row r="149" spans="1:36" s="294" customFormat="1" ht="12.75" customHeight="1" outlineLevel="2">
      <c r="A149" s="553">
        <v>130</v>
      </c>
      <c r="B149" s="314" t="str">
        <f>'D-Vergütungssatz Neuanlagen'!C$6</f>
        <v>Référence</v>
      </c>
      <c r="C149" s="22" t="str">
        <f>'D-Vergütungssatz Neuanlagen'!D$6</f>
        <v>dr</v>
      </c>
      <c r="D149" s="30" t="str">
        <f>'D-Vergütungssatz Neuanlagen'!E$6</f>
        <v>EEG 2017</v>
      </c>
      <c r="E149" s="314" t="s">
        <v>529</v>
      </c>
      <c r="F149" s="904">
        <f>'D-Vergütungssatz Neuanlagen'!G$6</f>
        <v>0</v>
      </c>
      <c r="G149" s="904">
        <f>'D-Vergütungssatz Neuanlagen'!H$6</f>
        <v>0</v>
      </c>
      <c r="H149" s="904">
        <f>'D-Vergütungssatz Neuanlagen'!I$6</f>
        <v>0</v>
      </c>
      <c r="I149" s="904">
        <f>'D-Vergütungssatz Neuanlagen'!J$6</f>
        <v>0</v>
      </c>
      <c r="J149" s="904">
        <f>'D-Vergütungssatz Neuanlagen'!K$6</f>
        <v>0</v>
      </c>
      <c r="K149" s="904">
        <f>'D-Vergütungssatz Neuanlagen'!L$6</f>
        <v>115.67111231527093</v>
      </c>
      <c r="L149" s="904">
        <f>'D-Vergütungssatz Neuanlagen'!M$6</f>
        <v>118.57143532657497</v>
      </c>
      <c r="M149" s="904">
        <f>'D-Vergütungssatz Neuanlagen'!N$6</f>
        <v>119.06888980183719</v>
      </c>
      <c r="N149" s="904">
        <f>'D-Vergütungssatz Neuanlagen'!O$6</f>
        <v>116.72270478111133</v>
      </c>
      <c r="O149" s="904">
        <f>'D-Vergütungssatz Neuanlagen'!P$6</f>
        <v>114.42275000709931</v>
      </c>
      <c r="P149" s="904">
        <f>'D-Vergütungssatz Neuanlagen'!Q$6</f>
        <v>112.16811453897915</v>
      </c>
      <c r="Q149" s="904">
        <f>'D-Vergütungssatz Neuanlagen'!R$6</f>
        <v>109.95790538550175</v>
      </c>
      <c r="R149" s="904">
        <f>'D-Vergütungssatz Neuanlagen'!S$6</f>
        <v>107.79124715130467</v>
      </c>
      <c r="S149" s="904">
        <f>'D-Vergütungssatz Neuanlagen'!T$6</f>
        <v>105.66728169019525</v>
      </c>
      <c r="T149" s="904">
        <f>'D-Vergütungssatz Neuanlagen'!U$6</f>
        <v>103.58516776526531</v>
      </c>
      <c r="U149" s="904">
        <f>'D-Vergütungssatz Neuanlagen'!V$6</f>
        <v>101.54408071570344</v>
      </c>
      <c r="V149" s="904">
        <f>'D-Vergütungssatz Neuanlagen'!W$6</f>
        <v>99.54321213017235</v>
      </c>
      <c r="W149" s="904">
        <f>'D-Vergütungssatz Neuanlagen'!X$6</f>
        <v>97.581769526622168</v>
      </c>
      <c r="X149" s="904">
        <f>'D-Vergütungssatz Neuanlagen'!Y$6</f>
        <v>95.658976038412874</v>
      </c>
      <c r="Y149" s="904">
        <f>'D-Vergütungssatz Neuanlagen'!Z$6</f>
        <v>93.774070106621494</v>
      </c>
      <c r="Z149" s="904">
        <f>'D-Vergütungssatz Neuanlagen'!AA$6</f>
        <v>91.926305178412207</v>
      </c>
      <c r="AA149" s="904">
        <f>'D-Vergütungssatz Neuanlagen'!AB$6</f>
        <v>90.114949411349897</v>
      </c>
      <c r="AB149" s="904">
        <f>'D-Vergütungssatz Neuanlagen'!AC$6</f>
        <v>88.339285383540059</v>
      </c>
      <c r="AC149" s="904">
        <f>'D-Vergütungssatz Neuanlagen'!AD$6</f>
        <v>86.598609809480166</v>
      </c>
      <c r="AD149" s="904">
        <f>'D-Vergütungssatz Neuanlagen'!AE$6</f>
        <v>84.892233261510128</v>
      </c>
      <c r="AE149" s="904">
        <f>'D-Vergütungssatz Neuanlagen'!AF$6</f>
        <v>83.219479896751309</v>
      </c>
      <c r="AF149" s="929"/>
      <c r="AG149" s="929"/>
      <c r="AH149" s="928"/>
      <c r="AI149" s="928"/>
      <c r="AJ149" s="1034"/>
    </row>
    <row r="150" spans="1:36" s="294" customFormat="1" ht="12.75" customHeight="1" outlineLevel="2">
      <c r="A150" s="553">
        <v>131</v>
      </c>
      <c r="B150" s="16" t="str">
        <f>'D-Vergütungssatz Neuanlagen'!C$7</f>
        <v>Référence</v>
      </c>
      <c r="C150" s="12" t="str">
        <f>'D-Vergütungssatz Neuanlagen'!D$7</f>
        <v>dr</v>
      </c>
      <c r="D150" s="31" t="str">
        <f>'D-Vergütungssatz Neuanlagen'!E$7</f>
        <v>EEG 2017</v>
      </c>
      <c r="E150" s="16" t="s">
        <v>349</v>
      </c>
      <c r="F150" s="907">
        <f>'D-Vergütungssatz Neuanlagen'!G$7</f>
        <v>0</v>
      </c>
      <c r="G150" s="907">
        <f>'D-Vergütungssatz Neuanlagen'!H$7</f>
        <v>0</v>
      </c>
      <c r="H150" s="907">
        <f>'D-Vergütungssatz Neuanlagen'!I$7</f>
        <v>0</v>
      </c>
      <c r="I150" s="907">
        <f>'D-Vergütungssatz Neuanlagen'!J$7</f>
        <v>0</v>
      </c>
      <c r="J150" s="907">
        <f>'D-Vergütungssatz Neuanlagen'!K$7</f>
        <v>0</v>
      </c>
      <c r="K150" s="907">
        <f>'D-Vergütungssatz Neuanlagen'!L$7</f>
        <v>80.973162315270926</v>
      </c>
      <c r="L150" s="907">
        <f>'D-Vergütungssatz Neuanlagen'!M$7</f>
        <v>82.169267504056208</v>
      </c>
      <c r="M150" s="907">
        <f>'D-Vergütungssatz Neuanlagen'!N$7</f>
        <v>66.755592908240772</v>
      </c>
      <c r="N150" s="907">
        <f>'D-Vergütungssatz Neuanlagen'!O$7</f>
        <v>64.782521196667162</v>
      </c>
      <c r="O150" s="907">
        <f>'D-Vergütungssatz Neuanlagen'!P$7</f>
        <v>62.867766875583413</v>
      </c>
      <c r="P150" s="907">
        <f>'D-Vergütungssatz Neuanlagen'!Q$7</f>
        <v>61.009606278275527</v>
      </c>
      <c r="Q150" s="907">
        <f>'D-Vergütungssatz Neuanlagen'!R$7</f>
        <v>59.206366683843747</v>
      </c>
      <c r="R150" s="907">
        <f>'D-Vergütungssatz Neuanlagen'!S$7</f>
        <v>57.456424811414877</v>
      </c>
      <c r="S150" s="907">
        <f>'D-Vergütungssatz Neuanlagen'!T$7</f>
        <v>55.758205358860749</v>
      </c>
      <c r="T150" s="907">
        <f>'D-Vergütungssatz Neuanlagen'!U$7</f>
        <v>54.110179584707232</v>
      </c>
      <c r="U150" s="907">
        <f>'D-Vergütungssatz Neuanlagen'!V$7</f>
        <v>52.510863931957267</v>
      </c>
      <c r="V150" s="907">
        <f>'D-Vergütungssatz Neuanlagen'!W$7</f>
        <v>50.958818692589077</v>
      </c>
      <c r="W150" s="907">
        <f>'D-Vergütungssatz Neuanlagen'!X$7</f>
        <v>49.452646711527336</v>
      </c>
      <c r="X150" s="907">
        <f>'D-Vergütungssatz Neuanlagen'!Y$7</f>
        <v>47.990992128920624</v>
      </c>
      <c r="Y150" s="907">
        <f>'D-Vergütungssatz Neuanlagen'!Z$7</f>
        <v>46.572539159592914</v>
      </c>
      <c r="Z150" s="907">
        <f>'D-Vergütungssatz Neuanlagen'!AA$7</f>
        <v>45.196010908570464</v>
      </c>
      <c r="AA150" s="907">
        <f>'D-Vergütungssatz Neuanlagen'!AB$7</f>
        <v>43.860168221617648</v>
      </c>
      <c r="AB150" s="907">
        <f>'D-Vergütungssatz Neuanlagen'!AC$7</f>
        <v>42.563808569747181</v>
      </c>
      <c r="AC150" s="907">
        <f>'D-Vergütungssatz Neuanlagen'!AD$7</f>
        <v>41.305764966700472</v>
      </c>
      <c r="AD150" s="907">
        <f>'D-Vergütungssatz Neuanlagen'!AE$7</f>
        <v>40.084904918423611</v>
      </c>
      <c r="AE150" s="907">
        <f>'D-Vergütungssatz Neuanlagen'!AF$7</f>
        <v>38.900129403593361</v>
      </c>
      <c r="AF150" s="929"/>
      <c r="AG150" s="929"/>
      <c r="AH150" s="928"/>
      <c r="AI150" s="928"/>
      <c r="AJ150" s="1034"/>
    </row>
    <row r="151" spans="1:36" s="294" customFormat="1" ht="12.75" customHeight="1" outlineLevel="2">
      <c r="A151" s="553">
        <v>132</v>
      </c>
      <c r="B151" s="16" t="str">
        <f>'D-Vergütungssatz Neuanlagen'!C$8</f>
        <v>Référence</v>
      </c>
      <c r="C151" s="12" t="str">
        <f>'D-Vergütungssatz Neuanlagen'!D$8</f>
        <v>dr</v>
      </c>
      <c r="D151" s="31" t="str">
        <f>'D-Vergütungssatz Neuanlagen'!E$8</f>
        <v>EEG 2017</v>
      </c>
      <c r="E151" s="16" t="s">
        <v>11</v>
      </c>
      <c r="F151" s="907">
        <f>'D-Vergütungssatz Neuanlagen'!G$8</f>
        <v>0</v>
      </c>
      <c r="G151" s="907">
        <f>'D-Vergütungssatz Neuanlagen'!H$8</f>
        <v>0</v>
      </c>
      <c r="H151" s="907">
        <f>'D-Vergütungssatz Neuanlagen'!I$8</f>
        <v>0</v>
      </c>
      <c r="I151" s="907">
        <f>'D-Vergütungssatz Neuanlagen'!J$8</f>
        <v>0</v>
      </c>
      <c r="J151" s="907">
        <f>'D-Vergütungssatz Neuanlagen'!K$8</f>
        <v>0</v>
      </c>
      <c r="K151" s="907">
        <f>'D-Vergütungssatz Neuanlagen'!L$8</f>
        <v>174.76190476190482</v>
      </c>
      <c r="L151" s="907">
        <f>'D-Vergütungssatz Neuanlagen'!M$8</f>
        <v>178.24364250000005</v>
      </c>
      <c r="M151" s="907">
        <f>'D-Vergütungssatz Neuanlagen'!N$8</f>
        <v>153.77000000000001</v>
      </c>
      <c r="N151" s="907">
        <f>'D-Vergütungssatz Neuanlagen'!O$8</f>
        <v>149.9914941707718</v>
      </c>
      <c r="O151" s="907">
        <f>'D-Vergütungssatz Neuanlagen'!P$8</f>
        <v>146.29623580770996</v>
      </c>
      <c r="P151" s="907">
        <f>'D-Vergütungssatz Neuanlagen'!Q$8</f>
        <v>138.99746124695602</v>
      </c>
      <c r="Q151" s="907">
        <f>'D-Vergütungssatz Neuanlagen'!R$8</f>
        <v>142.45904886967196</v>
      </c>
      <c r="R151" s="907">
        <f>'D-Vergütungssatz Neuanlagen'!S$8</f>
        <v>137.90967883577406</v>
      </c>
      <c r="S151" s="907">
        <f>'D-Vergütungssatz Neuanlagen'!T$8</f>
        <v>132.74871581588312</v>
      </c>
      <c r="T151" s="907">
        <f>'D-Vergütungssatz Neuanlagen'!U$8</f>
        <v>128.6261172129752</v>
      </c>
      <c r="U151" s="907">
        <f>'D-Vergütungssatz Neuanlagen'!V$8</f>
        <v>129.53996861454175</v>
      </c>
      <c r="V151" s="907">
        <f>'D-Vergütungssatz Neuanlagen'!W$8</f>
        <v>126.33045913970172</v>
      </c>
      <c r="W151" s="907">
        <f>'D-Vergütungssatz Neuanlagen'!X$8</f>
        <v>123.19758113514828</v>
      </c>
      <c r="X151" s="907">
        <f>'D-Vergütungssatz Neuanlagen'!Y$8</f>
        <v>120.13952287204474</v>
      </c>
      <c r="Y151" s="907">
        <f>'D-Vergütungssatz Neuanlagen'!Z$8</f>
        <v>117.15451553321103</v>
      </c>
      <c r="Z151" s="907">
        <f>'D-Vergütungssatz Neuanlagen'!AA$8</f>
        <v>114.24083219030085</v>
      </c>
      <c r="AA151" s="907">
        <f>'D-Vergütungssatz Neuanlagen'!AB$8</f>
        <v>111.39678680553604</v>
      </c>
      <c r="AB151" s="907">
        <f>'D-Vergütungssatz Neuanlagen'!AC$8</f>
        <v>108.62073325740459</v>
      </c>
      <c r="AC151" s="907">
        <f>'D-Vergütungssatz Neuanlagen'!AD$8</f>
        <v>105.91106438974299</v>
      </c>
      <c r="AD151" s="907">
        <f>'D-Vergütungssatz Neuanlagen'!AE$8</f>
        <v>103.26621108363823</v>
      </c>
      <c r="AE151" s="907">
        <f>'D-Vergütungssatz Neuanlagen'!AF$8</f>
        <v>103.20178107568667</v>
      </c>
      <c r="AF151" s="929"/>
      <c r="AG151" s="929"/>
      <c r="AH151" s="928"/>
      <c r="AI151" s="928"/>
      <c r="AJ151" s="1034"/>
    </row>
    <row r="152" spans="1:36" s="294" customFormat="1" ht="12.75" customHeight="1" outlineLevel="2">
      <c r="A152" s="553">
        <v>133</v>
      </c>
      <c r="B152" s="16" t="str">
        <f>'D-Vergütungssatz Neuanlagen'!C$9</f>
        <v>Référence</v>
      </c>
      <c r="C152" s="12" t="str">
        <f>'D-Vergütungssatz Neuanlagen'!D$9</f>
        <v>dr</v>
      </c>
      <c r="D152" s="31" t="str">
        <f>'D-Vergütungssatz Neuanlagen'!E$9</f>
        <v>EEG 2017</v>
      </c>
      <c r="E152" s="16" t="s">
        <v>10</v>
      </c>
      <c r="F152" s="907">
        <f>'D-Vergütungssatz Neuanlagen'!G$9</f>
        <v>0</v>
      </c>
      <c r="G152" s="907">
        <f>'D-Vergütungssatz Neuanlagen'!H$9</f>
        <v>0</v>
      </c>
      <c r="H152" s="907">
        <f>'D-Vergütungssatz Neuanlagen'!I$9</f>
        <v>0</v>
      </c>
      <c r="I152" s="907">
        <f>'D-Vergütungssatz Neuanlagen'!J$9</f>
        <v>0</v>
      </c>
      <c r="J152" s="907">
        <f>'D-Vergütungssatz Neuanlagen'!K$9</f>
        <v>0</v>
      </c>
      <c r="K152" s="907">
        <f>'D-Vergütungssatz Neuanlagen'!L$9</f>
        <v>248.27586206896555</v>
      </c>
      <c r="L152" s="907">
        <f>'D-Vergütungssatz Neuanlagen'!M$9</f>
        <v>249.38549999999995</v>
      </c>
      <c r="M152" s="907">
        <f>'D-Vergütungssatz Neuanlagen'!N$9</f>
        <v>252</v>
      </c>
      <c r="N152" s="907">
        <f>'D-Vergütungssatz Neuanlagen'!O$9</f>
        <v>248.27586206896555</v>
      </c>
      <c r="O152" s="907">
        <f>'D-Vergütungssatz Neuanlagen'!P$9</f>
        <v>244.60676065907938</v>
      </c>
      <c r="P152" s="907">
        <f>'D-Vergütungssatz Neuanlagen'!Q$9</f>
        <v>240.99188242273834</v>
      </c>
      <c r="Q152" s="907">
        <f>'D-Vergütungssatz Neuanlagen'!R$9</f>
        <v>225.55890473064181</v>
      </c>
      <c r="R152" s="907">
        <f>'D-Vergütungssatz Neuanlagen'!S$9</f>
        <v>211.11424580700469</v>
      </c>
      <c r="S152" s="907">
        <f>'D-Vergütungssatz Neuanlagen'!T$9</f>
        <v>197.59461430212264</v>
      </c>
      <c r="T152" s="907">
        <f>'D-Vergütungssatz Neuanlagen'!U$9</f>
        <v>184.94077200691282</v>
      </c>
      <c r="U152" s="907">
        <f>'D-Vergütungssatz Neuanlagen'!V$9</f>
        <v>173.09727429218444</v>
      </c>
      <c r="V152" s="907">
        <f>'D-Vergütungssatz Neuanlagen'!W$9</f>
        <v>162.01222717002486</v>
      </c>
      <c r="W152" s="907">
        <f>'D-Vergütungssatz Neuanlagen'!X$9</f>
        <v>151.63705991283115</v>
      </c>
      <c r="X152" s="907">
        <f>'D-Vergütungssatz Neuanlagen'!Y$9</f>
        <v>141.92631223368434</v>
      </c>
      <c r="Y152" s="907">
        <f>'D-Vergütungssatz Neuanlagen'!Z$9</f>
        <v>132.83743509556663</v>
      </c>
      <c r="Z152" s="907">
        <f>'D-Vergütungssatz Neuanlagen'!AA$9</f>
        <v>124.33060427663872</v>
      </c>
      <c r="AA152" s="907">
        <f>'D-Vergütungssatz Neuanlagen'!AB$9</f>
        <v>116.3685458746865</v>
      </c>
      <c r="AB152" s="907">
        <f>'D-Vergütungssatz Neuanlagen'!AC$9</f>
        <v>108.91637298615977</v>
      </c>
      <c r="AC152" s="907">
        <f>'D-Vergütungssatz Neuanlagen'!AD$9</f>
        <v>101.94143284418897</v>
      </c>
      <c r="AD152" s="907">
        <f>'D-Vergütungssatz Neuanlagen'!AE$9</f>
        <v>95.41316374579263</v>
      </c>
      <c r="AE152" s="907">
        <f>'D-Vergütungssatz Neuanlagen'!AF$9</f>
        <v>89.302961141382269</v>
      </c>
      <c r="AF152" s="929"/>
      <c r="AG152" s="929"/>
      <c r="AH152" s="928"/>
      <c r="AI152" s="928"/>
      <c r="AJ152" s="1034"/>
    </row>
    <row r="153" spans="1:36" s="294" customFormat="1" ht="12.75" customHeight="1" outlineLevel="2">
      <c r="A153" s="553">
        <v>134</v>
      </c>
      <c r="B153" s="16" t="str">
        <f>'D-Vergütungssatz Neuanlagen'!C$10</f>
        <v>Référence</v>
      </c>
      <c r="C153" s="12" t="str">
        <f>'D-Vergütungssatz Neuanlagen'!D$10</f>
        <v>dr</v>
      </c>
      <c r="D153" s="31" t="str">
        <f>'D-Vergütungssatz Neuanlagen'!E$10</f>
        <v>Baisse de 4 ct/kWh in 2035</v>
      </c>
      <c r="E153" s="16" t="s">
        <v>339</v>
      </c>
      <c r="F153" s="907">
        <f>'D-Vergütungssatz Neuanlagen'!G$10</f>
        <v>0</v>
      </c>
      <c r="G153" s="907">
        <f>'D-Vergütungssatz Neuanlagen'!H$10</f>
        <v>0</v>
      </c>
      <c r="H153" s="907">
        <f>'D-Vergütungssatz Neuanlagen'!I$10</f>
        <v>0</v>
      </c>
      <c r="I153" s="907">
        <f>'D-Vergütungssatz Neuanlagen'!J$10</f>
        <v>0</v>
      </c>
      <c r="J153" s="907">
        <f>'D-Vergütungssatz Neuanlagen'!K$10</f>
        <v>0</v>
      </c>
      <c r="K153" s="907">
        <f>'D-Vergütungssatz Neuanlagen'!L$10</f>
        <v>87.684729064039445</v>
      </c>
      <c r="L153" s="907">
        <f>'D-Vergütungssatz Neuanlagen'!M$10</f>
        <v>88.277074028919984</v>
      </c>
      <c r="M153" s="907">
        <f>'D-Vergütungssatz Neuanlagen'!N$10</f>
        <v>80.650000000000006</v>
      </c>
      <c r="N153" s="907">
        <f>'D-Vergütungssatz Neuanlagen'!O$10</f>
        <v>74.50738916256158</v>
      </c>
      <c r="O153" s="907">
        <f>'D-Vergütungssatz Neuanlagen'!P$10</f>
        <v>62.153413089373693</v>
      </c>
      <c r="P153" s="907">
        <f>'D-Vergütungssatz Neuanlagen'!Q$10</f>
        <v>60.181028416122707</v>
      </c>
      <c r="Q153" s="907">
        <f>'D-Vergütungssatz Neuanlagen'!R$10</f>
        <v>58.253366590167602</v>
      </c>
      <c r="R153" s="907">
        <f>'D-Vergütungssatz Neuanlagen'!S$10</f>
        <v>56.369536520582891</v>
      </c>
      <c r="S153" s="907">
        <f>'D-Vergütungssatz Neuanlagen'!T$10</f>
        <v>54.528663686685597</v>
      </c>
      <c r="T153" s="907">
        <f>'D-Vergütungssatz Neuanlagen'!U$10</f>
        <v>52.729889842887602</v>
      </c>
      <c r="U153" s="907">
        <f>'D-Vergütungssatz Neuanlagen'!V$10</f>
        <v>50.972372728652694</v>
      </c>
      <c r="V153" s="907">
        <f>'D-Vergütungssatz Neuanlagen'!W$10</f>
        <v>49.255285783471933</v>
      </c>
      <c r="W153" s="907">
        <f>'D-Vergütungssatz Neuanlagen'!X$10</f>
        <v>47.577817866772151</v>
      </c>
      <c r="X153" s="907">
        <f>'D-Vergütungssatz Neuanlagen'!Y$10</f>
        <v>45.939172982674187</v>
      </c>
      <c r="Y153" s="907">
        <f>'D-Vergütungssatz Neuanlagen'!Z$10</f>
        <v>44.338570009518754</v>
      </c>
      <c r="Z153" s="907">
        <f>'D-Vergütungssatz Neuanlagen'!AA$10</f>
        <v>42.775242434078841</v>
      </c>
      <c r="AA153" s="907">
        <f>'D-Vergütungssatz Neuanlagen'!AB$10</f>
        <v>41.24843809037958</v>
      </c>
      <c r="AB153" s="907">
        <f>'D-Vergütungssatz Neuanlagen'!AC$10</f>
        <v>39.75741890304711</v>
      </c>
      <c r="AC153" s="907">
        <f>'D-Vergütungssatz Neuanlagen'!AD$10</f>
        <v>38.301460635109848</v>
      </c>
      <c r="AD153" s="907">
        <f>'D-Vergütungssatz Neuanlagen'!AE$10</f>
        <v>36.879852640176559</v>
      </c>
      <c r="AE153" s="907">
        <f>'D-Vergütungssatz Neuanlagen'!AF$10</f>
        <v>35.491897618916795</v>
      </c>
      <c r="AF153" s="929"/>
      <c r="AG153" s="929"/>
      <c r="AH153" s="928"/>
      <c r="AI153" s="928"/>
      <c r="AJ153" s="1034"/>
    </row>
    <row r="154" spans="1:36" s="294" customFormat="1" ht="12.75" customHeight="1" outlineLevel="2">
      <c r="A154" s="553">
        <v>135</v>
      </c>
      <c r="B154" s="16" t="str">
        <f>'D-Vergütungssatz Neuanlagen'!C$11</f>
        <v>Référence</v>
      </c>
      <c r="C154" s="12" t="str">
        <f>'D-Vergütungssatz Neuanlagen'!D$11</f>
        <v>dr</v>
      </c>
      <c r="D154" s="31" t="str">
        <f>'D-Vergütungssatz Neuanlagen'!E$11</f>
        <v>Baisse de 5 ct/kWh in 2035</v>
      </c>
      <c r="E154" s="16" t="s">
        <v>340</v>
      </c>
      <c r="F154" s="907">
        <f>'D-Vergütungssatz Neuanlagen'!G$11</f>
        <v>0</v>
      </c>
      <c r="G154" s="907">
        <f>'D-Vergütungssatz Neuanlagen'!H$11</f>
        <v>0</v>
      </c>
      <c r="H154" s="907">
        <f>'D-Vergütungssatz Neuanlagen'!I$11</f>
        <v>0</v>
      </c>
      <c r="I154" s="907">
        <f>'D-Vergütungssatz Neuanlagen'!J$11</f>
        <v>0</v>
      </c>
      <c r="J154" s="907">
        <f>'D-Vergütungssatz Neuanlagen'!K$11</f>
        <v>0</v>
      </c>
      <c r="K154" s="907">
        <f>'D-Vergütungssatz Neuanlagen'!L$11</f>
        <v>191.13300492610838</v>
      </c>
      <c r="L154" s="907">
        <f>'D-Vergütungssatz Neuanlagen'!M$11</f>
        <v>191.73349999999999</v>
      </c>
      <c r="M154" s="907">
        <f>'D-Vergütungssatz Neuanlagen'!N$11</f>
        <v>194</v>
      </c>
      <c r="N154" s="907">
        <f>'D-Vergütungssatz Neuanlagen'!O$11</f>
        <v>146.79802955665025</v>
      </c>
      <c r="O154" s="907">
        <f>'D-Vergütungssatz Neuanlagen'!P$11</f>
        <v>144.62860054842392</v>
      </c>
      <c r="P154" s="907">
        <f>'D-Vergütungssatz Neuanlagen'!Q$11</f>
        <v>137.70964709870762</v>
      </c>
      <c r="Q154" s="907">
        <f>'D-Vergütungssatz Neuanlagen'!R$11</f>
        <v>70</v>
      </c>
      <c r="R154" s="907">
        <f>'D-Vergütungssatz Neuanlagen'!S$11</f>
        <v>65</v>
      </c>
      <c r="S154" s="907">
        <f>'D-Vergütungssatz Neuanlagen'!T$11</f>
        <v>61.666666666666664</v>
      </c>
      <c r="T154" s="907">
        <f>'D-Vergütungssatz Neuanlagen'!U$11</f>
        <v>58.333333333333329</v>
      </c>
      <c r="U154" s="907">
        <f>'D-Vergütungssatz Neuanlagen'!V$11</f>
        <v>55</v>
      </c>
      <c r="V154" s="907">
        <f>'D-Vergütungssatz Neuanlagen'!W$11</f>
        <v>54</v>
      </c>
      <c r="W154" s="907">
        <f>'D-Vergütungssatz Neuanlagen'!X$11</f>
        <v>53</v>
      </c>
      <c r="X154" s="907">
        <f>'D-Vergütungssatz Neuanlagen'!Y$11</f>
        <v>52</v>
      </c>
      <c r="Y154" s="907">
        <f>'D-Vergütungssatz Neuanlagen'!Z$11</f>
        <v>51</v>
      </c>
      <c r="Z154" s="907">
        <f>'D-Vergütungssatz Neuanlagen'!AA$11</f>
        <v>50</v>
      </c>
      <c r="AA154" s="907">
        <f>'D-Vergütungssatz Neuanlagen'!AB$11</f>
        <v>49</v>
      </c>
      <c r="AB154" s="907">
        <f>'D-Vergütungssatz Neuanlagen'!AC$11</f>
        <v>48</v>
      </c>
      <c r="AC154" s="907">
        <f>'D-Vergütungssatz Neuanlagen'!AD$11</f>
        <v>47</v>
      </c>
      <c r="AD154" s="907">
        <f>'D-Vergütungssatz Neuanlagen'!AE$11</f>
        <v>46</v>
      </c>
      <c r="AE154" s="907">
        <f>'D-Vergütungssatz Neuanlagen'!AF$11</f>
        <v>45</v>
      </c>
      <c r="AF154" s="929"/>
      <c r="AG154" s="929"/>
      <c r="AH154" s="928"/>
      <c r="AI154" s="928"/>
      <c r="AJ154" s="1034"/>
    </row>
    <row r="155" spans="1:36" s="294" customFormat="1" ht="12.75" customHeight="1" outlineLevel="2">
      <c r="A155" s="553">
        <v>136</v>
      </c>
      <c r="B155" s="296" t="str">
        <f>'D-Vergütungssatz Neuanlagen'!C$12</f>
        <v>Référence</v>
      </c>
      <c r="C155" s="24" t="str">
        <f>'D-Vergütungssatz Neuanlagen'!D$12</f>
        <v>dr</v>
      </c>
      <c r="D155" s="32" t="str">
        <f>'D-Vergütungssatz Neuanlagen'!E$12</f>
        <v>EEG 2017; Proportion d'offres à partir de 2020 50%</v>
      </c>
      <c r="E155" s="296" t="s">
        <v>530</v>
      </c>
      <c r="F155" s="912">
        <f>'D-Vergütungssatz Neuanlagen'!G$12</f>
        <v>0</v>
      </c>
      <c r="G155" s="912">
        <f>'D-Vergütungssatz Neuanlagen'!H$12</f>
        <v>0</v>
      </c>
      <c r="H155" s="912">
        <f>'D-Vergütungssatz Neuanlagen'!I$12</f>
        <v>0</v>
      </c>
      <c r="I155" s="912">
        <f>'D-Vergütungssatz Neuanlagen'!J$12</f>
        <v>0</v>
      </c>
      <c r="J155" s="912">
        <f>'D-Vergütungssatz Neuanlagen'!K$12</f>
        <v>0</v>
      </c>
      <c r="K155" s="912">
        <f>'D-Vergütungssatz Neuanlagen'!L$12</f>
        <v>108.02793365944886</v>
      </c>
      <c r="L155" s="912">
        <f>'D-Vergütungssatz Neuanlagen'!M$12</f>
        <v>110.45769389560584</v>
      </c>
      <c r="M155" s="912">
        <f>'D-Vergütungssatz Neuanlagen'!N$12</f>
        <v>101.35881575680968</v>
      </c>
      <c r="N155" s="912">
        <f>'D-Vergütungssatz Neuanlagen'!O$12</f>
        <v>109.04631799757858</v>
      </c>
      <c r="O155" s="912">
        <f>'D-Vergütungssatz Neuanlagen'!P$12</f>
        <v>106.93752173913046</v>
      </c>
      <c r="P155" s="912">
        <f>'D-Vergütungssatz Neuanlagen'!Q$12</f>
        <v>89.118500000000012</v>
      </c>
      <c r="Q155" s="912">
        <f>'D-Vergütungssatz Neuanlagen'!R$12</f>
        <v>84.825000000000003</v>
      </c>
      <c r="R155" s="912">
        <f>'D-Vergütungssatz Neuanlagen'!S$12</f>
        <v>78.358541666666667</v>
      </c>
      <c r="S155" s="912">
        <f>'D-Vergütungssatz Neuanlagen'!T$12</f>
        <v>74.209166666666661</v>
      </c>
      <c r="T155" s="912">
        <f>'D-Vergütungssatz Neuanlagen'!U$12</f>
        <v>70.758208333333343</v>
      </c>
      <c r="U155" s="912">
        <f>'D-Vergütungssatz Neuanlagen'!V$12</f>
        <v>67.374750000000006</v>
      </c>
      <c r="V155" s="912">
        <f>'D-Vergütungssatz Neuanlagen'!W$12</f>
        <v>64.198750000000004</v>
      </c>
      <c r="W155" s="912">
        <f>'D-Vergütungssatz Neuanlagen'!X$12</f>
        <v>61.143458333333328</v>
      </c>
      <c r="X155" s="912">
        <f>'D-Vergütungssatz Neuanlagen'!Y$12</f>
        <v>58.260166666666649</v>
      </c>
      <c r="Y155" s="912">
        <f>'D-Vergütungssatz Neuanlagen'!Z$12</f>
        <v>55.461749999999988</v>
      </c>
      <c r="Z155" s="912">
        <f>'D-Vergütungssatz Neuanlagen'!AA$12</f>
        <v>52.840583333333328</v>
      </c>
      <c r="AA155" s="912">
        <f>'D-Vergütungssatz Neuanlagen'!AB$12</f>
        <v>50.376916666666652</v>
      </c>
      <c r="AB155" s="912">
        <f>'D-Vergütungssatz Neuanlagen'!AC$12</f>
        <v>47.916249999999991</v>
      </c>
      <c r="AC155" s="912">
        <f>'D-Vergütungssatz Neuanlagen'!AD$12</f>
        <v>45.505749999999985</v>
      </c>
      <c r="AD155" s="912">
        <f>'D-Vergütungssatz Neuanlagen'!AE$12</f>
        <v>43.285166666666655</v>
      </c>
      <c r="AE155" s="912">
        <f>'D-Vergütungssatz Neuanlagen'!AF$12</f>
        <v>41.136499999999998</v>
      </c>
      <c r="AF155" s="929"/>
      <c r="AG155" s="929"/>
      <c r="AH155" s="928"/>
      <c r="AI155" s="928"/>
      <c r="AJ155" s="1034"/>
    </row>
    <row r="156" spans="1:36" s="294" customFormat="1" ht="12.75" customHeight="1" outlineLevel="1">
      <c r="A156" s="553">
        <v>137</v>
      </c>
      <c r="C156" s="26"/>
      <c r="D156" s="34"/>
      <c r="F156" s="324"/>
      <c r="G156" s="324"/>
      <c r="H156" s="324"/>
      <c r="I156" s="324"/>
      <c r="J156" s="324"/>
      <c r="K156" s="324"/>
      <c r="L156" s="324"/>
      <c r="M156" s="324"/>
      <c r="N156" s="342"/>
      <c r="O156" s="289"/>
      <c r="P156" s="324"/>
      <c r="Q156" s="324"/>
      <c r="R156" s="324"/>
      <c r="S156" s="324"/>
      <c r="T156" s="324"/>
      <c r="U156" s="324"/>
      <c r="V156" s="324"/>
      <c r="W156" s="324"/>
      <c r="X156" s="324"/>
      <c r="Y156" s="324"/>
      <c r="Z156" s="324"/>
      <c r="AA156" s="324"/>
      <c r="AB156" s="324"/>
      <c r="AC156" s="324"/>
      <c r="AD156" s="324"/>
      <c r="AE156" s="324"/>
      <c r="AF156" s="929"/>
      <c r="AG156" s="929"/>
      <c r="AH156" s="928"/>
      <c r="AI156" s="928"/>
      <c r="AJ156" s="1034"/>
    </row>
    <row r="157" spans="1:36" s="294" customFormat="1" ht="12.75" customHeight="1" outlineLevel="1">
      <c r="A157" s="553">
        <v>138</v>
      </c>
      <c r="C157" s="26"/>
      <c r="D157" s="34"/>
      <c r="E157" s="315" t="s">
        <v>520</v>
      </c>
      <c r="F157" s="324"/>
      <c r="G157" s="324"/>
      <c r="H157" s="324"/>
      <c r="I157" s="324"/>
      <c r="J157" s="324"/>
      <c r="K157" s="324"/>
      <c r="L157" s="324"/>
      <c r="M157" s="324"/>
      <c r="N157" s="342"/>
      <c r="O157" s="289"/>
      <c r="P157" s="324"/>
      <c r="Q157" s="324"/>
      <c r="R157" s="324"/>
      <c r="S157" s="324"/>
      <c r="T157" s="324"/>
      <c r="U157" s="324"/>
      <c r="V157" s="324"/>
      <c r="W157" s="324"/>
      <c r="X157" s="324"/>
      <c r="Y157" s="324"/>
      <c r="Z157" s="324"/>
      <c r="AA157" s="324"/>
      <c r="AB157" s="324"/>
      <c r="AC157" s="324"/>
      <c r="AD157" s="324"/>
      <c r="AE157" s="324"/>
      <c r="AF157" s="929"/>
      <c r="AG157" s="929"/>
      <c r="AH157" s="928"/>
      <c r="AI157" s="928"/>
      <c r="AJ157" s="1034"/>
    </row>
    <row r="158" spans="1:36" s="294" customFormat="1" ht="12.75" customHeight="1" outlineLevel="2">
      <c r="A158" s="553">
        <v>139</v>
      </c>
      <c r="B158" s="314" t="str">
        <f>'D-Vergütung Eigenverbrauch'!C$6</f>
        <v>Référence</v>
      </c>
      <c r="C158" s="22" t="str">
        <f>'D-Vergütung Eigenverbrauch'!D$6</f>
        <v>cl</v>
      </c>
      <c r="D158" s="30">
        <f>'D-Vergütung Eigenverbrauch'!E$6</f>
        <v>0</v>
      </c>
      <c r="E158" s="314" t="s">
        <v>529</v>
      </c>
      <c r="F158" s="904">
        <f>'D-Vergütung Eigenverbrauch'!G6</f>
        <v>0</v>
      </c>
      <c r="G158" s="904">
        <f>'D-Vergütung Eigenverbrauch'!H6</f>
        <v>0</v>
      </c>
      <c r="H158" s="904">
        <f>'D-Vergütung Eigenverbrauch'!I6</f>
        <v>0</v>
      </c>
      <c r="I158" s="904">
        <f>'D-Vergütung Eigenverbrauch'!J6</f>
        <v>0</v>
      </c>
      <c r="J158" s="904">
        <f>'D-Vergütung Eigenverbrauch'!K6</f>
        <v>0</v>
      </c>
      <c r="K158" s="904">
        <f>'D-Vergütung Eigenverbrauch'!L6</f>
        <v>0</v>
      </c>
      <c r="L158" s="904">
        <f>'D-Vergütung Eigenverbrauch'!M6</f>
        <v>0</v>
      </c>
      <c r="M158" s="904">
        <f>'D-Vergütung Eigenverbrauch'!N6</f>
        <v>0</v>
      </c>
      <c r="N158" s="905">
        <f>'D-Vergütung Eigenverbrauch'!O6</f>
        <v>0</v>
      </c>
      <c r="O158" s="906">
        <f>'D-Vergütung Eigenverbrauch'!P6</f>
        <v>0</v>
      </c>
      <c r="P158" s="904">
        <f>'D-Vergütung Eigenverbrauch'!Q6</f>
        <v>0</v>
      </c>
      <c r="Q158" s="904">
        <f>'D-Vergütung Eigenverbrauch'!R6</f>
        <v>0</v>
      </c>
      <c r="R158" s="904">
        <f>'D-Vergütung Eigenverbrauch'!S6</f>
        <v>0</v>
      </c>
      <c r="S158" s="904">
        <f>'D-Vergütung Eigenverbrauch'!T6</f>
        <v>0</v>
      </c>
      <c r="T158" s="904">
        <f>'D-Vergütung Eigenverbrauch'!U6</f>
        <v>0</v>
      </c>
      <c r="U158" s="904">
        <f>'D-Vergütung Eigenverbrauch'!V6</f>
        <v>0</v>
      </c>
      <c r="V158" s="904">
        <f>'D-Vergütung Eigenverbrauch'!W6</f>
        <v>0</v>
      </c>
      <c r="W158" s="904">
        <f>'D-Vergütung Eigenverbrauch'!X6</f>
        <v>0</v>
      </c>
      <c r="X158" s="904">
        <f>'D-Vergütung Eigenverbrauch'!Y6</f>
        <v>0</v>
      </c>
      <c r="Y158" s="904">
        <f>'D-Vergütung Eigenverbrauch'!Z6</f>
        <v>0</v>
      </c>
      <c r="Z158" s="904">
        <f>'D-Vergütung Eigenverbrauch'!AA6</f>
        <v>0</v>
      </c>
      <c r="AA158" s="904">
        <f>'D-Vergütung Eigenverbrauch'!AB6</f>
        <v>0</v>
      </c>
      <c r="AB158" s="904">
        <f>'D-Vergütung Eigenverbrauch'!AC6</f>
        <v>0</v>
      </c>
      <c r="AC158" s="904">
        <f>'D-Vergütung Eigenverbrauch'!AD6</f>
        <v>0</v>
      </c>
      <c r="AD158" s="904">
        <f>'D-Vergütung Eigenverbrauch'!AE6</f>
        <v>0</v>
      </c>
      <c r="AE158" s="905">
        <f>'D-Vergütung Eigenverbrauch'!AF6</f>
        <v>0</v>
      </c>
      <c r="AF158" s="929"/>
      <c r="AG158" s="929"/>
      <c r="AH158" s="928"/>
      <c r="AI158" s="928"/>
      <c r="AJ158" s="1034"/>
    </row>
    <row r="159" spans="1:36" s="294" customFormat="1" ht="12.75" customHeight="1" outlineLevel="2">
      <c r="A159" s="553">
        <v>140</v>
      </c>
      <c r="B159" s="16" t="str">
        <f>'D-Vergütung Eigenverbrauch'!C$7</f>
        <v>Référence</v>
      </c>
      <c r="C159" s="12" t="str">
        <f>'D-Vergütung Eigenverbrauch'!D$7</f>
        <v>cl</v>
      </c>
      <c r="D159" s="31">
        <f>'D-Vergütung Eigenverbrauch'!E$7</f>
        <v>0</v>
      </c>
      <c r="E159" s="16" t="s">
        <v>349</v>
      </c>
      <c r="F159" s="907">
        <f>'D-Vergütung Eigenverbrauch'!G7</f>
        <v>0</v>
      </c>
      <c r="G159" s="907">
        <f>'D-Vergütung Eigenverbrauch'!H7</f>
        <v>0</v>
      </c>
      <c r="H159" s="907">
        <f>'D-Vergütung Eigenverbrauch'!I7</f>
        <v>0</v>
      </c>
      <c r="I159" s="907">
        <f>'D-Vergütung Eigenverbrauch'!J7</f>
        <v>0</v>
      </c>
      <c r="J159" s="907">
        <f>'D-Vergütung Eigenverbrauch'!K7</f>
        <v>0</v>
      </c>
      <c r="K159" s="907">
        <f>'D-Vergütung Eigenverbrauch'!L7</f>
        <v>0</v>
      </c>
      <c r="L159" s="907">
        <f>'D-Vergütung Eigenverbrauch'!M7</f>
        <v>0</v>
      </c>
      <c r="M159" s="907">
        <f>'D-Vergütung Eigenverbrauch'!N7</f>
        <v>0</v>
      </c>
      <c r="N159" s="908">
        <f>'D-Vergütung Eigenverbrauch'!O7</f>
        <v>0</v>
      </c>
      <c r="O159" s="909">
        <f>'D-Vergütung Eigenverbrauch'!P7</f>
        <v>0</v>
      </c>
      <c r="P159" s="907">
        <f>'D-Vergütung Eigenverbrauch'!Q7</f>
        <v>0</v>
      </c>
      <c r="Q159" s="907">
        <f>'D-Vergütung Eigenverbrauch'!R7</f>
        <v>0</v>
      </c>
      <c r="R159" s="907">
        <f>'D-Vergütung Eigenverbrauch'!S7</f>
        <v>0</v>
      </c>
      <c r="S159" s="907">
        <f>'D-Vergütung Eigenverbrauch'!T7</f>
        <v>0</v>
      </c>
      <c r="T159" s="907">
        <f>'D-Vergütung Eigenverbrauch'!U7</f>
        <v>0</v>
      </c>
      <c r="U159" s="907">
        <f>'D-Vergütung Eigenverbrauch'!V7</f>
        <v>0</v>
      </c>
      <c r="V159" s="907">
        <f>'D-Vergütung Eigenverbrauch'!W7</f>
        <v>0</v>
      </c>
      <c r="W159" s="907">
        <f>'D-Vergütung Eigenverbrauch'!X7</f>
        <v>0</v>
      </c>
      <c r="X159" s="907">
        <f>'D-Vergütung Eigenverbrauch'!Y7</f>
        <v>0</v>
      </c>
      <c r="Y159" s="907">
        <f>'D-Vergütung Eigenverbrauch'!Z7</f>
        <v>0</v>
      </c>
      <c r="Z159" s="907">
        <f>'D-Vergütung Eigenverbrauch'!AA7</f>
        <v>0</v>
      </c>
      <c r="AA159" s="907">
        <f>'D-Vergütung Eigenverbrauch'!AB7</f>
        <v>0</v>
      </c>
      <c r="AB159" s="907">
        <f>'D-Vergütung Eigenverbrauch'!AC7</f>
        <v>0</v>
      </c>
      <c r="AC159" s="907">
        <f>'D-Vergütung Eigenverbrauch'!AD7</f>
        <v>0</v>
      </c>
      <c r="AD159" s="907">
        <f>'D-Vergütung Eigenverbrauch'!AE7</f>
        <v>0</v>
      </c>
      <c r="AE159" s="908">
        <f>'D-Vergütung Eigenverbrauch'!AF7</f>
        <v>0</v>
      </c>
      <c r="AF159" s="929"/>
      <c r="AG159" s="929"/>
      <c r="AH159" s="928"/>
      <c r="AI159" s="928"/>
      <c r="AJ159" s="1034"/>
    </row>
    <row r="160" spans="1:36" s="294" customFormat="1" ht="12.75" customHeight="1" outlineLevel="2">
      <c r="A160" s="553">
        <v>141</v>
      </c>
      <c r="B160" s="16" t="str">
        <f>'D-Vergütung Eigenverbrauch'!C$8</f>
        <v>Référence</v>
      </c>
      <c r="C160" s="12" t="str">
        <f>'D-Vergütung Eigenverbrauch'!D$8</f>
        <v>cl</v>
      </c>
      <c r="D160" s="31">
        <f>'D-Vergütung Eigenverbrauch'!E$8</f>
        <v>0</v>
      </c>
      <c r="E160" s="16" t="s">
        <v>11</v>
      </c>
      <c r="F160" s="907">
        <f>'D-Vergütung Eigenverbrauch'!G8</f>
        <v>0</v>
      </c>
      <c r="G160" s="907">
        <f>'D-Vergütung Eigenverbrauch'!H8</f>
        <v>0</v>
      </c>
      <c r="H160" s="907">
        <f>'D-Vergütung Eigenverbrauch'!I8</f>
        <v>0</v>
      </c>
      <c r="I160" s="907">
        <f>'D-Vergütung Eigenverbrauch'!J8</f>
        <v>0</v>
      </c>
      <c r="J160" s="907">
        <f>'D-Vergütung Eigenverbrauch'!K8</f>
        <v>0</v>
      </c>
      <c r="K160" s="907">
        <f>'D-Vergütung Eigenverbrauch'!L8</f>
        <v>0</v>
      </c>
      <c r="L160" s="907">
        <f>'D-Vergütung Eigenverbrauch'!M8</f>
        <v>0</v>
      </c>
      <c r="M160" s="907">
        <f>'D-Vergütung Eigenverbrauch'!N8</f>
        <v>0</v>
      </c>
      <c r="N160" s="908">
        <f>'D-Vergütung Eigenverbrauch'!O8</f>
        <v>0</v>
      </c>
      <c r="O160" s="909">
        <f>'D-Vergütung Eigenverbrauch'!P8</f>
        <v>0</v>
      </c>
      <c r="P160" s="907">
        <f>'D-Vergütung Eigenverbrauch'!Q8</f>
        <v>0</v>
      </c>
      <c r="Q160" s="907">
        <f>'D-Vergütung Eigenverbrauch'!R8</f>
        <v>0</v>
      </c>
      <c r="R160" s="907">
        <f>'D-Vergütung Eigenverbrauch'!S8</f>
        <v>0</v>
      </c>
      <c r="S160" s="907">
        <f>'D-Vergütung Eigenverbrauch'!T8</f>
        <v>0</v>
      </c>
      <c r="T160" s="907">
        <f>'D-Vergütung Eigenverbrauch'!U8</f>
        <v>0</v>
      </c>
      <c r="U160" s="907">
        <f>'D-Vergütung Eigenverbrauch'!V8</f>
        <v>0</v>
      </c>
      <c r="V160" s="907">
        <f>'D-Vergütung Eigenverbrauch'!W8</f>
        <v>0</v>
      </c>
      <c r="W160" s="907">
        <f>'D-Vergütung Eigenverbrauch'!X8</f>
        <v>0</v>
      </c>
      <c r="X160" s="907">
        <f>'D-Vergütung Eigenverbrauch'!Y8</f>
        <v>0</v>
      </c>
      <c r="Y160" s="907">
        <f>'D-Vergütung Eigenverbrauch'!Z8</f>
        <v>0</v>
      </c>
      <c r="Z160" s="907">
        <f>'D-Vergütung Eigenverbrauch'!AA8</f>
        <v>0</v>
      </c>
      <c r="AA160" s="907">
        <f>'D-Vergütung Eigenverbrauch'!AB8</f>
        <v>0</v>
      </c>
      <c r="AB160" s="907">
        <f>'D-Vergütung Eigenverbrauch'!AC8</f>
        <v>0</v>
      </c>
      <c r="AC160" s="907">
        <f>'D-Vergütung Eigenverbrauch'!AD8</f>
        <v>0</v>
      </c>
      <c r="AD160" s="907">
        <f>'D-Vergütung Eigenverbrauch'!AE8</f>
        <v>0</v>
      </c>
      <c r="AE160" s="908">
        <f>'D-Vergütung Eigenverbrauch'!AF8</f>
        <v>0</v>
      </c>
      <c r="AF160" s="929"/>
      <c r="AG160" s="929"/>
      <c r="AH160" s="928"/>
      <c r="AI160" s="928"/>
      <c r="AJ160" s="1034"/>
    </row>
    <row r="161" spans="1:36" s="294" customFormat="1" ht="12.75" customHeight="1" outlineLevel="2">
      <c r="A161" s="553">
        <v>142</v>
      </c>
      <c r="B161" s="16" t="str">
        <f>'D-Vergütung Eigenverbrauch'!C$9</f>
        <v>Référence</v>
      </c>
      <c r="C161" s="12" t="str">
        <f>'D-Vergütung Eigenverbrauch'!D$9</f>
        <v>cl</v>
      </c>
      <c r="D161" s="31">
        <f>'D-Vergütung Eigenverbrauch'!E$9</f>
        <v>0</v>
      </c>
      <c r="E161" s="16" t="s">
        <v>10</v>
      </c>
      <c r="F161" s="907">
        <f>'D-Vergütung Eigenverbrauch'!G9</f>
        <v>0</v>
      </c>
      <c r="G161" s="907">
        <f>'D-Vergütung Eigenverbrauch'!H9</f>
        <v>0</v>
      </c>
      <c r="H161" s="907">
        <f>'D-Vergütung Eigenverbrauch'!I9</f>
        <v>0</v>
      </c>
      <c r="I161" s="907">
        <f>'D-Vergütung Eigenverbrauch'!J9</f>
        <v>0</v>
      </c>
      <c r="J161" s="907">
        <f>'D-Vergütung Eigenverbrauch'!K9</f>
        <v>0</v>
      </c>
      <c r="K161" s="907">
        <f>'D-Vergütung Eigenverbrauch'!L9</f>
        <v>0</v>
      </c>
      <c r="L161" s="907">
        <f>'D-Vergütung Eigenverbrauch'!M9</f>
        <v>0</v>
      </c>
      <c r="M161" s="907">
        <f>'D-Vergütung Eigenverbrauch'!N9</f>
        <v>0</v>
      </c>
      <c r="N161" s="908">
        <f>'D-Vergütung Eigenverbrauch'!O9</f>
        <v>0</v>
      </c>
      <c r="O161" s="909">
        <f>'D-Vergütung Eigenverbrauch'!P9</f>
        <v>0</v>
      </c>
      <c r="P161" s="907">
        <f>'D-Vergütung Eigenverbrauch'!Q9</f>
        <v>0</v>
      </c>
      <c r="Q161" s="907">
        <f>'D-Vergütung Eigenverbrauch'!R9</f>
        <v>0</v>
      </c>
      <c r="R161" s="907">
        <f>'D-Vergütung Eigenverbrauch'!S9</f>
        <v>0</v>
      </c>
      <c r="S161" s="907">
        <f>'D-Vergütung Eigenverbrauch'!T9</f>
        <v>0</v>
      </c>
      <c r="T161" s="907">
        <f>'D-Vergütung Eigenverbrauch'!U9</f>
        <v>0</v>
      </c>
      <c r="U161" s="907">
        <f>'D-Vergütung Eigenverbrauch'!V9</f>
        <v>0</v>
      </c>
      <c r="V161" s="907">
        <f>'D-Vergütung Eigenverbrauch'!W9</f>
        <v>0</v>
      </c>
      <c r="W161" s="907">
        <f>'D-Vergütung Eigenverbrauch'!X9</f>
        <v>0</v>
      </c>
      <c r="X161" s="907">
        <f>'D-Vergütung Eigenverbrauch'!Y9</f>
        <v>0</v>
      </c>
      <c r="Y161" s="907">
        <f>'D-Vergütung Eigenverbrauch'!Z9</f>
        <v>0</v>
      </c>
      <c r="Z161" s="907">
        <f>'D-Vergütung Eigenverbrauch'!AA9</f>
        <v>0</v>
      </c>
      <c r="AA161" s="907">
        <f>'D-Vergütung Eigenverbrauch'!AB9</f>
        <v>0</v>
      </c>
      <c r="AB161" s="907">
        <f>'D-Vergütung Eigenverbrauch'!AC9</f>
        <v>0</v>
      </c>
      <c r="AC161" s="907">
        <f>'D-Vergütung Eigenverbrauch'!AD9</f>
        <v>0</v>
      </c>
      <c r="AD161" s="907">
        <f>'D-Vergütung Eigenverbrauch'!AE9</f>
        <v>0</v>
      </c>
      <c r="AE161" s="908">
        <f>'D-Vergütung Eigenverbrauch'!AF9</f>
        <v>0</v>
      </c>
      <c r="AF161" s="929"/>
      <c r="AG161" s="929"/>
      <c r="AH161" s="928"/>
      <c r="AI161" s="928"/>
      <c r="AJ161" s="1034"/>
    </row>
    <row r="162" spans="1:36" s="294" customFormat="1" ht="12.75" customHeight="1" outlineLevel="2">
      <c r="A162" s="553">
        <v>143</v>
      </c>
      <c r="B162" s="16" t="str">
        <f>'D-Vergütung Eigenverbrauch'!C$10</f>
        <v>Référence</v>
      </c>
      <c r="C162" s="12" t="str">
        <f>'D-Vergütung Eigenverbrauch'!D$10</f>
        <v>cl</v>
      </c>
      <c r="D162" s="31">
        <f>'D-Vergütung Eigenverbrauch'!E$10</f>
        <v>0</v>
      </c>
      <c r="E162" s="16" t="s">
        <v>339</v>
      </c>
      <c r="F162" s="907">
        <f>'D-Vergütung Eigenverbrauch'!G10</f>
        <v>0</v>
      </c>
      <c r="G162" s="907">
        <f>'D-Vergütung Eigenverbrauch'!H10</f>
        <v>0</v>
      </c>
      <c r="H162" s="907">
        <f>'D-Vergütung Eigenverbrauch'!I10</f>
        <v>0</v>
      </c>
      <c r="I162" s="907">
        <f>'D-Vergütung Eigenverbrauch'!J10</f>
        <v>0</v>
      </c>
      <c r="J162" s="907">
        <f>'D-Vergütung Eigenverbrauch'!K10</f>
        <v>0</v>
      </c>
      <c r="K162" s="907">
        <f>'D-Vergütung Eigenverbrauch'!L10</f>
        <v>0</v>
      </c>
      <c r="L162" s="907">
        <f>'D-Vergütung Eigenverbrauch'!M10</f>
        <v>0</v>
      </c>
      <c r="M162" s="907">
        <f>'D-Vergütung Eigenverbrauch'!N10</f>
        <v>0</v>
      </c>
      <c r="N162" s="908">
        <f>'D-Vergütung Eigenverbrauch'!O10</f>
        <v>0</v>
      </c>
      <c r="O162" s="909">
        <f>'D-Vergütung Eigenverbrauch'!P10</f>
        <v>0</v>
      </c>
      <c r="P162" s="907">
        <f>'D-Vergütung Eigenverbrauch'!Q10</f>
        <v>0</v>
      </c>
      <c r="Q162" s="907">
        <f>'D-Vergütung Eigenverbrauch'!R10</f>
        <v>0</v>
      </c>
      <c r="R162" s="907">
        <f>'D-Vergütung Eigenverbrauch'!S10</f>
        <v>0</v>
      </c>
      <c r="S162" s="907">
        <f>'D-Vergütung Eigenverbrauch'!T10</f>
        <v>0</v>
      </c>
      <c r="T162" s="907">
        <f>'D-Vergütung Eigenverbrauch'!U10</f>
        <v>0</v>
      </c>
      <c r="U162" s="907">
        <f>'D-Vergütung Eigenverbrauch'!V10</f>
        <v>0</v>
      </c>
      <c r="V162" s="907">
        <f>'D-Vergütung Eigenverbrauch'!W10</f>
        <v>0</v>
      </c>
      <c r="W162" s="907">
        <f>'D-Vergütung Eigenverbrauch'!X10</f>
        <v>0</v>
      </c>
      <c r="X162" s="907">
        <f>'D-Vergütung Eigenverbrauch'!Y10</f>
        <v>0</v>
      </c>
      <c r="Y162" s="907">
        <f>'D-Vergütung Eigenverbrauch'!Z10</f>
        <v>0</v>
      </c>
      <c r="Z162" s="907">
        <f>'D-Vergütung Eigenverbrauch'!AA10</f>
        <v>0</v>
      </c>
      <c r="AA162" s="907">
        <f>'D-Vergütung Eigenverbrauch'!AB10</f>
        <v>0</v>
      </c>
      <c r="AB162" s="907">
        <f>'D-Vergütung Eigenverbrauch'!AC10</f>
        <v>0</v>
      </c>
      <c r="AC162" s="907">
        <f>'D-Vergütung Eigenverbrauch'!AD10</f>
        <v>0</v>
      </c>
      <c r="AD162" s="907">
        <f>'D-Vergütung Eigenverbrauch'!AE10</f>
        <v>0</v>
      </c>
      <c r="AE162" s="908">
        <f>'D-Vergütung Eigenverbrauch'!AF10</f>
        <v>0</v>
      </c>
      <c r="AF162" s="929"/>
      <c r="AG162" s="929"/>
      <c r="AH162" s="928"/>
      <c r="AI162" s="928"/>
      <c r="AJ162" s="1034"/>
    </row>
    <row r="163" spans="1:36" s="294" customFormat="1" ht="12.75" customHeight="1" outlineLevel="2">
      <c r="A163" s="553">
        <v>144</v>
      </c>
      <c r="B163" s="16" t="str">
        <f>'D-Vergütung Eigenverbrauch'!C$11</f>
        <v>Référence</v>
      </c>
      <c r="C163" s="12" t="str">
        <f>'D-Vergütung Eigenverbrauch'!D$11</f>
        <v>cl</v>
      </c>
      <c r="D163" s="31">
        <f>'D-Vergütung Eigenverbrauch'!E$11</f>
        <v>0</v>
      </c>
      <c r="E163" s="16" t="s">
        <v>340</v>
      </c>
      <c r="F163" s="907">
        <f>'D-Vergütung Eigenverbrauch'!G11</f>
        <v>0</v>
      </c>
      <c r="G163" s="907">
        <f>'D-Vergütung Eigenverbrauch'!H11</f>
        <v>0</v>
      </c>
      <c r="H163" s="907">
        <f>'D-Vergütung Eigenverbrauch'!I11</f>
        <v>0</v>
      </c>
      <c r="I163" s="907">
        <f>'D-Vergütung Eigenverbrauch'!J11</f>
        <v>0</v>
      </c>
      <c r="J163" s="907">
        <f>'D-Vergütung Eigenverbrauch'!K11</f>
        <v>0</v>
      </c>
      <c r="K163" s="907">
        <f>'D-Vergütung Eigenverbrauch'!L11</f>
        <v>0</v>
      </c>
      <c r="L163" s="907">
        <f>'D-Vergütung Eigenverbrauch'!M11</f>
        <v>0</v>
      </c>
      <c r="M163" s="907">
        <f>'D-Vergütung Eigenverbrauch'!N11</f>
        <v>0</v>
      </c>
      <c r="N163" s="908">
        <f>'D-Vergütung Eigenverbrauch'!O11</f>
        <v>0</v>
      </c>
      <c r="O163" s="909">
        <f>'D-Vergütung Eigenverbrauch'!P11</f>
        <v>0</v>
      </c>
      <c r="P163" s="907">
        <f>'D-Vergütung Eigenverbrauch'!Q11</f>
        <v>0</v>
      </c>
      <c r="Q163" s="907">
        <f>'D-Vergütung Eigenverbrauch'!R11</f>
        <v>0</v>
      </c>
      <c r="R163" s="907">
        <f>'D-Vergütung Eigenverbrauch'!S11</f>
        <v>0</v>
      </c>
      <c r="S163" s="907">
        <f>'D-Vergütung Eigenverbrauch'!T11</f>
        <v>0</v>
      </c>
      <c r="T163" s="907">
        <f>'D-Vergütung Eigenverbrauch'!U11</f>
        <v>0</v>
      </c>
      <c r="U163" s="907">
        <f>'D-Vergütung Eigenverbrauch'!V11</f>
        <v>0</v>
      </c>
      <c r="V163" s="907">
        <f>'D-Vergütung Eigenverbrauch'!W11</f>
        <v>0</v>
      </c>
      <c r="W163" s="907">
        <f>'D-Vergütung Eigenverbrauch'!X11</f>
        <v>0</v>
      </c>
      <c r="X163" s="907">
        <f>'D-Vergütung Eigenverbrauch'!Y11</f>
        <v>0</v>
      </c>
      <c r="Y163" s="907">
        <f>'D-Vergütung Eigenverbrauch'!Z11</f>
        <v>0</v>
      </c>
      <c r="Z163" s="907">
        <f>'D-Vergütung Eigenverbrauch'!AA11</f>
        <v>0</v>
      </c>
      <c r="AA163" s="907">
        <f>'D-Vergütung Eigenverbrauch'!AB11</f>
        <v>0</v>
      </c>
      <c r="AB163" s="907">
        <f>'D-Vergütung Eigenverbrauch'!AC11</f>
        <v>0</v>
      </c>
      <c r="AC163" s="907">
        <f>'D-Vergütung Eigenverbrauch'!AD11</f>
        <v>0</v>
      </c>
      <c r="AD163" s="907">
        <f>'D-Vergütung Eigenverbrauch'!AE11</f>
        <v>0</v>
      </c>
      <c r="AE163" s="908">
        <f>'D-Vergütung Eigenverbrauch'!AF11</f>
        <v>0</v>
      </c>
      <c r="AF163" s="929"/>
      <c r="AG163" s="929"/>
      <c r="AH163" s="928"/>
      <c r="AI163" s="928"/>
      <c r="AJ163" s="1034"/>
    </row>
    <row r="164" spans="1:36" s="294" customFormat="1" ht="12.75" customHeight="1" outlineLevel="2">
      <c r="A164" s="553">
        <v>145</v>
      </c>
      <c r="B164" s="296" t="str">
        <f>'D-Vergütung Eigenverbrauch'!C$12</f>
        <v>Référence</v>
      </c>
      <c r="C164" s="24" t="str">
        <f>'D-Vergütung Eigenverbrauch'!D$12</f>
        <v>fh</v>
      </c>
      <c r="D164" s="32" t="str">
        <f>'D-Vergütung Eigenverbrauch'!E$12</f>
        <v>Valeurs historiques issues des prévisions annuelles TSO. Quotient d'autoconsommation et paiements de rémunération pour l'autoconsommation</v>
      </c>
      <c r="E164" s="296" t="s">
        <v>530</v>
      </c>
      <c r="F164" s="912">
        <f>'D-Vergütung Eigenverbrauch'!G12</f>
        <v>0</v>
      </c>
      <c r="G164" s="912">
        <f>'D-Vergütung Eigenverbrauch'!H12</f>
        <v>0</v>
      </c>
      <c r="H164" s="912">
        <f>'D-Vergütung Eigenverbrauch'!I12</f>
        <v>117.34452741536268</v>
      </c>
      <c r="I164" s="912">
        <f>'D-Vergütung Eigenverbrauch'!J12</f>
        <v>42.446530658693341</v>
      </c>
      <c r="J164" s="912">
        <f>'D-Vergütung Eigenverbrauch'!K12</f>
        <v>42.446530658693341</v>
      </c>
      <c r="K164" s="912">
        <f>'D-Vergütung Eigenverbrauch'!L12</f>
        <v>61.584873056821998</v>
      </c>
      <c r="L164" s="912">
        <f>'D-Vergütung Eigenverbrauch'!M12</f>
        <v>55.353612472804969</v>
      </c>
      <c r="M164" s="912">
        <f>'D-Vergütung Eigenverbrauch'!N12</f>
        <v>116.59227181465116</v>
      </c>
      <c r="N164" s="913">
        <f>'D-Vergütung Eigenverbrauch'!O12</f>
        <v>56.297696752497401</v>
      </c>
      <c r="O164" s="914">
        <f>'D-Vergütung Eigenverbrauch'!P12</f>
        <v>41.435472923873455</v>
      </c>
      <c r="P164" s="912">
        <f>'D-Vergütung Eigenverbrauch'!Q12</f>
        <v>37.246225444316316</v>
      </c>
      <c r="Q164" s="912">
        <f>'D-Vergütung Eigenverbrauch'!R12</f>
        <v>28.583544616898731</v>
      </c>
      <c r="R164" s="912">
        <f>'D-Vergütung Eigenverbrauch'!S12</f>
        <v>0</v>
      </c>
      <c r="S164" s="912">
        <f>'D-Vergütung Eigenverbrauch'!T12</f>
        <v>0</v>
      </c>
      <c r="T164" s="912">
        <f>'D-Vergütung Eigenverbrauch'!U12</f>
        <v>0</v>
      </c>
      <c r="U164" s="912">
        <f>'D-Vergütung Eigenverbrauch'!V12</f>
        <v>0</v>
      </c>
      <c r="V164" s="912">
        <f>'D-Vergütung Eigenverbrauch'!W12</f>
        <v>0</v>
      </c>
      <c r="W164" s="912">
        <f>'D-Vergütung Eigenverbrauch'!X12</f>
        <v>0</v>
      </c>
      <c r="X164" s="912">
        <f>'D-Vergütung Eigenverbrauch'!Y12</f>
        <v>0</v>
      </c>
      <c r="Y164" s="912">
        <f>'D-Vergütung Eigenverbrauch'!Z12</f>
        <v>0</v>
      </c>
      <c r="Z164" s="912">
        <f>'D-Vergütung Eigenverbrauch'!AA12</f>
        <v>0</v>
      </c>
      <c r="AA164" s="912">
        <f>'D-Vergütung Eigenverbrauch'!AB12</f>
        <v>0</v>
      </c>
      <c r="AB164" s="912">
        <f>'D-Vergütung Eigenverbrauch'!AC12</f>
        <v>0</v>
      </c>
      <c r="AC164" s="912">
        <f>'D-Vergütung Eigenverbrauch'!AD12</f>
        <v>0</v>
      </c>
      <c r="AD164" s="912">
        <f>'D-Vergütung Eigenverbrauch'!AE12</f>
        <v>0</v>
      </c>
      <c r="AE164" s="913">
        <f>'D-Vergütung Eigenverbrauch'!AF12</f>
        <v>0</v>
      </c>
      <c r="AF164" s="929"/>
      <c r="AG164" s="929"/>
      <c r="AH164" s="1034"/>
      <c r="AI164" s="928"/>
      <c r="AJ164" s="1034"/>
    </row>
    <row r="165" spans="1:36" s="294" customFormat="1" ht="12.75" customHeight="1" outlineLevel="1">
      <c r="A165" s="553">
        <v>146</v>
      </c>
      <c r="C165" s="26"/>
      <c r="D165" s="34"/>
      <c r="F165" s="324"/>
      <c r="G165" s="324"/>
      <c r="H165" s="324"/>
      <c r="I165" s="324"/>
      <c r="J165" s="324"/>
      <c r="K165" s="324"/>
      <c r="L165" s="324"/>
      <c r="M165" s="324"/>
      <c r="N165" s="342"/>
      <c r="O165" s="289"/>
      <c r="P165" s="324"/>
      <c r="Q165" s="324"/>
      <c r="R165" s="324"/>
      <c r="S165" s="324"/>
      <c r="T165" s="324"/>
      <c r="U165" s="324"/>
      <c r="V165" s="324"/>
      <c r="W165" s="324"/>
      <c r="X165" s="324"/>
      <c r="Y165" s="324"/>
      <c r="Z165" s="324"/>
      <c r="AA165" s="324"/>
      <c r="AB165" s="324"/>
      <c r="AC165" s="324"/>
      <c r="AD165" s="324"/>
      <c r="AE165" s="324"/>
      <c r="AF165" s="929"/>
      <c r="AG165" s="929"/>
      <c r="AH165" s="928"/>
      <c r="AI165" s="928"/>
      <c r="AJ165" s="1034"/>
    </row>
    <row r="166" spans="1:36" s="294" customFormat="1" ht="37.5" customHeight="1" outlineLevel="1">
      <c r="A166" s="553">
        <v>147</v>
      </c>
      <c r="C166" s="26"/>
      <c r="D166" s="34"/>
      <c r="E166" s="315" t="s">
        <v>521</v>
      </c>
      <c r="F166" s="324"/>
      <c r="G166" s="324"/>
      <c r="H166" s="324"/>
      <c r="I166" s="324"/>
      <c r="J166" s="324"/>
      <c r="K166" s="324"/>
      <c r="L166" s="324"/>
      <c r="M166" s="324"/>
      <c r="N166" s="342"/>
      <c r="O166" s="289"/>
      <c r="P166" s="324"/>
      <c r="Q166" s="324"/>
      <c r="R166" s="324"/>
      <c r="S166" s="324"/>
      <c r="T166" s="324"/>
      <c r="U166" s="324"/>
      <c r="V166" s="324"/>
      <c r="W166" s="324"/>
      <c r="X166" s="324"/>
      <c r="Y166" s="324"/>
      <c r="Z166" s="324"/>
      <c r="AA166" s="324"/>
      <c r="AB166" s="324"/>
      <c r="AC166" s="324"/>
      <c r="AD166" s="324"/>
      <c r="AE166" s="324"/>
      <c r="AF166" s="929" t="s">
        <v>144</v>
      </c>
      <c r="AG166" s="929"/>
      <c r="AH166" s="928"/>
      <c r="AI166" s="928"/>
      <c r="AJ166" s="1034" t="s">
        <v>578</v>
      </c>
    </row>
    <row r="167" spans="1:36" s="294" customFormat="1" ht="12.75" customHeight="1" outlineLevel="1">
      <c r="A167" s="553">
        <v>148</v>
      </c>
      <c r="B167" s="314" t="e">
        <f>#REF!</f>
        <v>#REF!</v>
      </c>
      <c r="C167" s="22" t="e">
        <f>#REF!</f>
        <v>#REF!</v>
      </c>
      <c r="D167" s="30" t="e">
        <f>#REF!</f>
        <v>#REF!</v>
      </c>
      <c r="E167" s="314" t="s">
        <v>529</v>
      </c>
      <c r="F167" s="904"/>
      <c r="G167" s="904"/>
      <c r="H167" s="904"/>
      <c r="I167" s="904"/>
      <c r="J167" s="904"/>
      <c r="K167" s="904"/>
      <c r="L167" s="904"/>
      <c r="M167" s="904"/>
      <c r="N167" s="905"/>
      <c r="O167" s="906"/>
      <c r="P167" s="904"/>
      <c r="Q167" s="904"/>
      <c r="R167" s="904"/>
      <c r="S167" s="904"/>
      <c r="T167" s="904"/>
      <c r="U167" s="904"/>
      <c r="V167" s="904"/>
      <c r="W167" s="904"/>
      <c r="X167" s="904"/>
      <c r="Y167" s="904"/>
      <c r="Z167" s="904"/>
      <c r="AA167" s="904"/>
      <c r="AB167" s="904"/>
      <c r="AC167" s="904"/>
      <c r="AD167" s="904"/>
      <c r="AE167" s="905"/>
      <c r="AF167" s="929" t="s">
        <v>144</v>
      </c>
      <c r="AG167" s="929"/>
      <c r="AH167" s="929"/>
      <c r="AI167" s="929"/>
      <c r="AJ167" s="1034"/>
    </row>
    <row r="168" spans="1:36" s="294" customFormat="1" ht="12.75" customHeight="1" outlineLevel="1">
      <c r="A168" s="553">
        <v>149</v>
      </c>
      <c r="B168" s="16" t="e">
        <f>#REF!</f>
        <v>#REF!</v>
      </c>
      <c r="C168" s="12" t="e">
        <f>#REF!</f>
        <v>#REF!</v>
      </c>
      <c r="D168" s="31" t="e">
        <f>#REF!</f>
        <v>#REF!</v>
      </c>
      <c r="E168" s="16" t="s">
        <v>349</v>
      </c>
      <c r="F168" s="907"/>
      <c r="G168" s="907"/>
      <c r="H168" s="907"/>
      <c r="I168" s="907"/>
      <c r="J168" s="907"/>
      <c r="K168" s="907"/>
      <c r="L168" s="907"/>
      <c r="M168" s="907"/>
      <c r="N168" s="908"/>
      <c r="O168" s="909"/>
      <c r="P168" s="907"/>
      <c r="Q168" s="907"/>
      <c r="R168" s="907"/>
      <c r="S168" s="907"/>
      <c r="T168" s="907"/>
      <c r="U168" s="907"/>
      <c r="V168" s="907"/>
      <c r="W168" s="907"/>
      <c r="X168" s="907"/>
      <c r="Y168" s="907"/>
      <c r="Z168" s="907"/>
      <c r="AA168" s="907"/>
      <c r="AB168" s="907"/>
      <c r="AC168" s="907"/>
      <c r="AD168" s="907"/>
      <c r="AE168" s="908"/>
      <c r="AF168" s="929" t="s">
        <v>144</v>
      </c>
      <c r="AG168" s="929"/>
      <c r="AH168" s="929"/>
      <c r="AI168" s="929"/>
      <c r="AJ168" s="1034"/>
    </row>
    <row r="169" spans="1:36" s="294" customFormat="1" ht="12.75" customHeight="1" outlineLevel="1">
      <c r="A169" s="553">
        <v>150</v>
      </c>
      <c r="B169" s="16" t="e">
        <f>#REF!</f>
        <v>#REF!</v>
      </c>
      <c r="C169" s="12" t="e">
        <f>#REF!</f>
        <v>#REF!</v>
      </c>
      <c r="D169" s="31" t="e">
        <f>#REF!</f>
        <v>#REF!</v>
      </c>
      <c r="E169" s="16" t="s">
        <v>11</v>
      </c>
      <c r="F169" s="907"/>
      <c r="G169" s="907"/>
      <c r="H169" s="907"/>
      <c r="I169" s="907"/>
      <c r="J169" s="907"/>
      <c r="K169" s="907"/>
      <c r="L169" s="907"/>
      <c r="M169" s="907"/>
      <c r="N169" s="908"/>
      <c r="O169" s="909"/>
      <c r="P169" s="907"/>
      <c r="Q169" s="907"/>
      <c r="R169" s="907"/>
      <c r="S169" s="907"/>
      <c r="T169" s="907"/>
      <c r="U169" s="907"/>
      <c r="V169" s="907"/>
      <c r="W169" s="907"/>
      <c r="X169" s="907"/>
      <c r="Y169" s="907"/>
      <c r="Z169" s="907"/>
      <c r="AA169" s="907"/>
      <c r="AB169" s="907"/>
      <c r="AC169" s="907"/>
      <c r="AD169" s="907"/>
      <c r="AE169" s="908"/>
      <c r="AF169" s="929" t="s">
        <v>144</v>
      </c>
      <c r="AG169" s="929"/>
      <c r="AH169" s="929"/>
      <c r="AI169" s="929"/>
      <c r="AJ169" s="1034"/>
    </row>
    <row r="170" spans="1:36" s="294" customFormat="1" ht="12.75" customHeight="1" outlineLevel="1">
      <c r="A170" s="553">
        <v>151</v>
      </c>
      <c r="B170" s="16" t="e">
        <f>#REF!</f>
        <v>#REF!</v>
      </c>
      <c r="C170" s="12" t="e">
        <f>#REF!</f>
        <v>#REF!</v>
      </c>
      <c r="D170" s="31" t="e">
        <f>#REF!</f>
        <v>#REF!</v>
      </c>
      <c r="E170" s="16" t="s">
        <v>10</v>
      </c>
      <c r="F170" s="907"/>
      <c r="G170" s="907"/>
      <c r="H170" s="907"/>
      <c r="I170" s="907"/>
      <c r="J170" s="907"/>
      <c r="K170" s="907"/>
      <c r="L170" s="907"/>
      <c r="M170" s="907"/>
      <c r="N170" s="908"/>
      <c r="O170" s="909"/>
      <c r="P170" s="907"/>
      <c r="Q170" s="907"/>
      <c r="R170" s="907"/>
      <c r="S170" s="907"/>
      <c r="T170" s="907"/>
      <c r="U170" s="907"/>
      <c r="V170" s="907"/>
      <c r="W170" s="907"/>
      <c r="X170" s="907"/>
      <c r="Y170" s="907"/>
      <c r="Z170" s="907"/>
      <c r="AA170" s="907"/>
      <c r="AB170" s="907"/>
      <c r="AC170" s="907"/>
      <c r="AD170" s="907"/>
      <c r="AE170" s="908"/>
      <c r="AF170" s="929" t="s">
        <v>144</v>
      </c>
      <c r="AG170" s="929"/>
      <c r="AH170" s="929"/>
      <c r="AI170" s="929"/>
      <c r="AJ170" s="1034"/>
    </row>
    <row r="171" spans="1:36" s="294" customFormat="1" ht="12.75" customHeight="1" outlineLevel="1">
      <c r="A171" s="553">
        <v>152</v>
      </c>
      <c r="B171" s="16" t="e">
        <f>#REF!</f>
        <v>#REF!</v>
      </c>
      <c r="C171" s="12" t="e">
        <f>#REF!</f>
        <v>#REF!</v>
      </c>
      <c r="D171" s="31" t="e">
        <f>#REF!</f>
        <v>#REF!</v>
      </c>
      <c r="E171" s="16" t="s">
        <v>339</v>
      </c>
      <c r="F171" s="907"/>
      <c r="G171" s="907"/>
      <c r="H171" s="907"/>
      <c r="I171" s="907"/>
      <c r="J171" s="907"/>
      <c r="K171" s="907"/>
      <c r="L171" s="907"/>
      <c r="M171" s="907"/>
      <c r="N171" s="908"/>
      <c r="O171" s="909"/>
      <c r="P171" s="907"/>
      <c r="Q171" s="907"/>
      <c r="R171" s="907"/>
      <c r="S171" s="907"/>
      <c r="T171" s="907"/>
      <c r="U171" s="907"/>
      <c r="V171" s="907"/>
      <c r="W171" s="907"/>
      <c r="X171" s="907"/>
      <c r="Y171" s="907"/>
      <c r="Z171" s="907"/>
      <c r="AA171" s="907"/>
      <c r="AB171" s="907"/>
      <c r="AC171" s="907"/>
      <c r="AD171" s="907"/>
      <c r="AE171" s="908"/>
      <c r="AF171" s="929" t="s">
        <v>144</v>
      </c>
      <c r="AG171" s="929"/>
      <c r="AH171" s="929"/>
      <c r="AI171" s="929"/>
      <c r="AJ171" s="1034"/>
    </row>
    <row r="172" spans="1:36" s="294" customFormat="1" ht="12.75" customHeight="1" outlineLevel="1">
      <c r="A172" s="553">
        <v>153</v>
      </c>
      <c r="B172" s="16" t="e">
        <f>#REF!</f>
        <v>#REF!</v>
      </c>
      <c r="C172" s="12" t="e">
        <f>#REF!</f>
        <v>#REF!</v>
      </c>
      <c r="D172" s="31" t="e">
        <f>#REF!</f>
        <v>#REF!</v>
      </c>
      <c r="E172" s="16" t="s">
        <v>340</v>
      </c>
      <c r="F172" s="907"/>
      <c r="G172" s="907"/>
      <c r="H172" s="907"/>
      <c r="I172" s="907"/>
      <c r="J172" s="907"/>
      <c r="K172" s="907">
        <f>MOD_Absenkung_Wind_offshore!K11</f>
        <v>0</v>
      </c>
      <c r="L172" s="907">
        <f>MOD_Absenkung_Wind_offshore!L11</f>
        <v>0</v>
      </c>
      <c r="M172" s="907">
        <f>MOD_Absenkung_Wind_offshore!M11</f>
        <v>0</v>
      </c>
      <c r="N172" s="908">
        <f>MOD_Absenkung_Wind_offshore!N11</f>
        <v>0</v>
      </c>
      <c r="O172" s="909">
        <f>MOD_Absenkung_Wind_offshore!O11</f>
        <v>0</v>
      </c>
      <c r="P172" s="907">
        <f>MOD_Absenkung_Wind_offshore!P11</f>
        <v>0</v>
      </c>
      <c r="Q172" s="907">
        <f>MOD_Absenkung_Wind_offshore!Q11</f>
        <v>1.2109759999999999E-2</v>
      </c>
      <c r="R172" s="907">
        <f>MOD_Absenkung_Wind_offshore!R11</f>
        <v>4.3597759999999999E-2</v>
      </c>
      <c r="S172" s="907">
        <f>MOD_Absenkung_Wind_offshore!S11</f>
        <v>0.10627200000000001</v>
      </c>
      <c r="T172" s="907">
        <f>MOD_Absenkung_Wind_offshore!T11</f>
        <v>0.44087956</v>
      </c>
      <c r="U172" s="907">
        <f>MOD_Absenkung_Wind_offshore!U11</f>
        <v>0.63872916000000002</v>
      </c>
      <c r="V172" s="907">
        <f>MOD_Absenkung_Wind_offshore!V11</f>
        <v>1.02698552</v>
      </c>
      <c r="W172" s="907">
        <f>MOD_Absenkung_Wind_offshore!W11</f>
        <v>1.9296251199999996</v>
      </c>
      <c r="X172" s="907">
        <f>MOD_Absenkung_Wind_offshore!X11</f>
        <v>2.23817472</v>
      </c>
      <c r="Y172" s="907">
        <f>MOD_Absenkung_Wind_offshore!Y11</f>
        <v>2.7875697399999999</v>
      </c>
      <c r="Z172" s="907">
        <f>MOD_Absenkung_Wind_offshore!Z11</f>
        <v>2.7875697399999999</v>
      </c>
      <c r="AA172" s="907">
        <f>MOD_Absenkung_Wind_offshore!AA11</f>
        <v>2.7705957399999996</v>
      </c>
      <c r="AB172" s="907">
        <f>MOD_Absenkung_Wind_offshore!AB11</f>
        <v>2.7298581400000002</v>
      </c>
      <c r="AC172" s="907">
        <f>MOD_Absenkung_Wind_offshore!AC11</f>
        <v>2.6829328199999996</v>
      </c>
      <c r="AD172" s="907">
        <f>MOD_Absenkung_Wind_offshore!AD11</f>
        <v>2.93711682</v>
      </c>
      <c r="AE172" s="908">
        <f>MOD_Absenkung_Wind_offshore!AE11</f>
        <v>3.2395089600000002</v>
      </c>
      <c r="AF172" s="929" t="s">
        <v>144</v>
      </c>
      <c r="AG172" s="929"/>
      <c r="AH172" s="1034"/>
      <c r="AI172" s="1034"/>
      <c r="AJ172" s="1034"/>
    </row>
    <row r="173" spans="1:36" s="294" customFormat="1" ht="12.75" customHeight="1" outlineLevel="1">
      <c r="A173" s="553">
        <v>154</v>
      </c>
      <c r="B173" s="296" t="e">
        <f>#REF!</f>
        <v>#REF!</v>
      </c>
      <c r="C173" s="24" t="e">
        <f>#REF!</f>
        <v>#REF!</v>
      </c>
      <c r="D173" s="32" t="e">
        <f>#REF!</f>
        <v>#REF!</v>
      </c>
      <c r="E173" s="296" t="s">
        <v>530</v>
      </c>
      <c r="F173" s="912"/>
      <c r="G173" s="912"/>
      <c r="H173" s="912"/>
      <c r="I173" s="912"/>
      <c r="J173" s="912"/>
      <c r="K173" s="912"/>
      <c r="L173" s="912"/>
      <c r="M173" s="912"/>
      <c r="N173" s="913"/>
      <c r="O173" s="914"/>
      <c r="P173" s="912"/>
      <c r="Q173" s="912"/>
      <c r="R173" s="912"/>
      <c r="S173" s="912"/>
      <c r="T173" s="912"/>
      <c r="U173" s="912"/>
      <c r="V173" s="912"/>
      <c r="W173" s="912"/>
      <c r="X173" s="912"/>
      <c r="Y173" s="912"/>
      <c r="Z173" s="912"/>
      <c r="AA173" s="912"/>
      <c r="AB173" s="912"/>
      <c r="AC173" s="912"/>
      <c r="AD173" s="912"/>
      <c r="AE173" s="913"/>
      <c r="AF173" s="929" t="s">
        <v>144</v>
      </c>
      <c r="AG173" s="929"/>
      <c r="AH173" s="929"/>
      <c r="AI173" s="929"/>
      <c r="AJ173" s="1034"/>
    </row>
    <row r="174" spans="1:36" s="294" customFormat="1" ht="12.75" customHeight="1" outlineLevel="1">
      <c r="A174" s="553">
        <v>155</v>
      </c>
      <c r="C174" s="10"/>
      <c r="D174" s="33"/>
      <c r="E174" s="508"/>
      <c r="F174" s="324"/>
      <c r="G174" s="324"/>
      <c r="H174" s="324"/>
      <c r="I174" s="324"/>
      <c r="J174" s="324"/>
      <c r="K174" s="324"/>
      <c r="L174" s="324"/>
      <c r="M174" s="324"/>
      <c r="N174" s="342"/>
      <c r="O174" s="289"/>
      <c r="P174" s="324"/>
      <c r="Q174" s="324"/>
      <c r="R174" s="324"/>
      <c r="S174" s="324"/>
      <c r="T174" s="324"/>
      <c r="U174" s="324"/>
      <c r="V174" s="324"/>
      <c r="W174" s="324"/>
      <c r="X174" s="324"/>
      <c r="Y174" s="324"/>
      <c r="Z174" s="324"/>
      <c r="AA174" s="324"/>
      <c r="AB174" s="324"/>
      <c r="AC174" s="324"/>
      <c r="AD174" s="324"/>
      <c r="AE174" s="324"/>
      <c r="AF174" s="929"/>
      <c r="AG174" s="929"/>
      <c r="AH174" s="929"/>
      <c r="AI174" s="929"/>
      <c r="AJ174" s="1034"/>
    </row>
    <row r="175" spans="1:36" s="294" customFormat="1" ht="12.75" customHeight="1" outlineLevel="1">
      <c r="A175" s="553">
        <v>156</v>
      </c>
      <c r="C175" s="10"/>
      <c r="D175" s="33"/>
      <c r="E175" s="10"/>
      <c r="F175" s="324"/>
      <c r="G175" s="324"/>
      <c r="H175" s="324"/>
      <c r="I175" s="324"/>
      <c r="J175" s="324"/>
      <c r="K175" s="324"/>
      <c r="L175" s="324"/>
      <c r="M175" s="324"/>
      <c r="N175" s="342"/>
      <c r="O175" s="289"/>
      <c r="P175" s="324"/>
      <c r="Q175" s="324"/>
      <c r="R175" s="324"/>
      <c r="S175" s="324"/>
      <c r="T175" s="324"/>
      <c r="U175" s="324"/>
      <c r="V175" s="324"/>
      <c r="W175" s="324"/>
      <c r="X175" s="324"/>
      <c r="Y175" s="324"/>
      <c r="Z175" s="324"/>
      <c r="AA175" s="324"/>
      <c r="AB175" s="324"/>
      <c r="AC175" s="324"/>
      <c r="AD175" s="324"/>
      <c r="AE175" s="324"/>
      <c r="AF175" s="929"/>
      <c r="AG175" s="929"/>
      <c r="AH175" s="929"/>
      <c r="AI175" s="929"/>
      <c r="AJ175" s="1034"/>
    </row>
    <row r="176" spans="1:36" s="294" customFormat="1" ht="12.75" customHeight="1">
      <c r="A176" s="553">
        <v>157</v>
      </c>
      <c r="C176" s="10"/>
      <c r="D176" s="33"/>
      <c r="F176" s="324"/>
      <c r="G176" s="324"/>
      <c r="H176" s="324"/>
      <c r="I176" s="324"/>
      <c r="J176" s="324"/>
      <c r="K176" s="324"/>
      <c r="L176" s="324"/>
      <c r="M176" s="324"/>
      <c r="N176" s="342"/>
      <c r="O176" s="289"/>
      <c r="P176" s="324"/>
      <c r="Q176" s="324"/>
      <c r="R176" s="324"/>
      <c r="S176" s="324"/>
      <c r="T176" s="324"/>
      <c r="U176" s="324"/>
      <c r="V176" s="324"/>
      <c r="W176" s="324"/>
      <c r="X176" s="324"/>
      <c r="Y176" s="324"/>
      <c r="Z176" s="324"/>
      <c r="AA176" s="324"/>
      <c r="AB176" s="324"/>
      <c r="AC176" s="324"/>
      <c r="AD176" s="324"/>
      <c r="AE176" s="324"/>
      <c r="AF176" s="929"/>
      <c r="AG176" s="929"/>
      <c r="AH176" s="929"/>
      <c r="AI176" s="929"/>
      <c r="AJ176" s="1034"/>
    </row>
    <row r="177" spans="1:36" s="294" customFormat="1" ht="12.75" customHeight="1">
      <c r="A177" s="553">
        <v>158</v>
      </c>
      <c r="C177" s="10"/>
      <c r="D177" s="33"/>
      <c r="F177" s="324"/>
      <c r="G177" s="324"/>
      <c r="H177" s="324"/>
      <c r="I177" s="324"/>
      <c r="J177" s="324"/>
      <c r="K177" s="324"/>
      <c r="L177" s="324"/>
      <c r="M177" s="324"/>
      <c r="N177" s="342"/>
      <c r="O177" s="289"/>
      <c r="P177" s="324"/>
      <c r="Q177" s="324"/>
      <c r="R177" s="324"/>
      <c r="S177" s="324"/>
      <c r="T177" s="324"/>
      <c r="U177" s="324"/>
      <c r="V177" s="324"/>
      <c r="W177" s="324"/>
      <c r="X177" s="324"/>
      <c r="Y177" s="324"/>
      <c r="Z177" s="324"/>
      <c r="AA177" s="324"/>
      <c r="AB177" s="324"/>
      <c r="AC177" s="324"/>
      <c r="AD177" s="324"/>
      <c r="AE177" s="324"/>
      <c r="AF177" s="929"/>
      <c r="AG177" s="929"/>
      <c r="AH177" s="929"/>
      <c r="AI177" s="929"/>
      <c r="AJ177" s="1034"/>
    </row>
    <row r="178" spans="1:36" s="294" customFormat="1" ht="12.75" customHeight="1">
      <c r="A178" s="553">
        <v>159</v>
      </c>
      <c r="C178" s="10"/>
      <c r="D178" s="33"/>
      <c r="F178" s="324"/>
      <c r="G178" s="324"/>
      <c r="H178" s="324"/>
      <c r="I178" s="324"/>
      <c r="J178" s="324"/>
      <c r="K178" s="324"/>
      <c r="L178" s="324"/>
      <c r="M178" s="324"/>
      <c r="N178" s="342"/>
      <c r="O178" s="289"/>
      <c r="P178" s="324"/>
      <c r="Q178" s="324"/>
      <c r="R178" s="324"/>
      <c r="S178" s="324"/>
      <c r="T178" s="324"/>
      <c r="U178" s="324"/>
      <c r="V178" s="324"/>
      <c r="W178" s="324"/>
      <c r="X178" s="324"/>
      <c r="Y178" s="324"/>
      <c r="Z178" s="324"/>
      <c r="AA178" s="324"/>
      <c r="AB178" s="324"/>
      <c r="AC178" s="324"/>
      <c r="AD178" s="324"/>
      <c r="AE178" s="324"/>
      <c r="AF178" s="929"/>
      <c r="AG178" s="929"/>
      <c r="AH178" s="929"/>
      <c r="AI178" s="929"/>
      <c r="AJ178" s="1034"/>
    </row>
    <row r="179" spans="1:36" ht="12.75" customHeight="1">
      <c r="A179" s="553">
        <v>160</v>
      </c>
      <c r="D179" s="33"/>
      <c r="E179" s="103" t="s">
        <v>522</v>
      </c>
      <c r="L179" s="1088"/>
      <c r="M179" s="1088"/>
      <c r="N179" s="342"/>
      <c r="O179" s="289"/>
      <c r="AF179" s="929"/>
      <c r="AG179" s="929"/>
      <c r="AH179" s="929"/>
      <c r="AI179" s="929"/>
      <c r="AJ179" s="1034"/>
    </row>
    <row r="180" spans="1:36" s="136" customFormat="1" ht="12.75" customHeight="1">
      <c r="A180" s="553">
        <v>161</v>
      </c>
      <c r="B180" s="294"/>
      <c r="C180" s="10"/>
      <c r="D180" s="33"/>
      <c r="M180" s="222"/>
      <c r="N180" s="201"/>
      <c r="O180" s="221"/>
      <c r="AF180" s="929"/>
      <c r="AG180" s="929"/>
      <c r="AH180" s="929"/>
      <c r="AI180" s="929"/>
      <c r="AJ180" s="1034"/>
    </row>
    <row r="181" spans="1:36" s="136" customFormat="1" ht="12.75" customHeight="1">
      <c r="A181" s="553">
        <v>162</v>
      </c>
      <c r="B181" s="294"/>
      <c r="C181" s="10"/>
      <c r="D181" s="33"/>
      <c r="E181" s="287" t="s">
        <v>523</v>
      </c>
      <c r="F181" s="318">
        <f>IF(ControlPanel!$D$59&gt;F$5,F7,F7*F26)</f>
        <v>53.650480000000002</v>
      </c>
      <c r="G181" s="318">
        <f>IF(ControlPanel!$D$59&gt;G$5,G7,G7*G26)</f>
        <v>50.739089999999997</v>
      </c>
      <c r="H181" s="318">
        <f>IF(ControlPanel!$D$59&gt;H$5,H7,H7*H26)</f>
        <v>55.22</v>
      </c>
      <c r="I181" s="318">
        <f>IF(ControlPanel!$D$59&gt;I$5,I7,I7*I26)</f>
        <v>51.15</v>
      </c>
      <c r="J181" s="318">
        <f>IF(ControlPanel!$D$59&gt;J$5,J7,J7*J26)</f>
        <v>41.45</v>
      </c>
      <c r="K181" s="318">
        <f>IF(ControlPanel!$D$59&gt;K$5,K7,K7*K26)</f>
        <v>35.67</v>
      </c>
      <c r="L181" s="318">
        <f>IF(ControlPanel!$D$59&gt;L$5,L7,L7*L26)</f>
        <v>31.26</v>
      </c>
      <c r="M181" s="318">
        <f>IF(ControlPanel!$D$59&gt;M$5,M7,M7*M26)</f>
        <v>26.75</v>
      </c>
      <c r="N181" s="319">
        <f>IF(ControlPanel!$D$59&gt;N$5,N7,N7*N26)</f>
        <v>32.22</v>
      </c>
      <c r="O181" s="293">
        <f>IF(ControlPanel!$D$59&gt;O$5,O7,O7*O26)</f>
        <v>46.28</v>
      </c>
      <c r="P181" s="318">
        <f>IF(ControlPanel!$D$59&gt;P$5,P7,P7*P26)</f>
        <v>49.34</v>
      </c>
      <c r="Q181" s="318">
        <f>IF(ControlPanel!$D$59&gt;Q$5,Q7,Q7*Q26)</f>
        <v>40.74</v>
      </c>
      <c r="R181" s="318">
        <f>IF(ControlPanel!$D$59&gt;R$5,R7,R7*R26)</f>
        <v>44.938414499999986</v>
      </c>
      <c r="S181" s="318">
        <f>IF(ControlPanel!$D$59&gt;S$5,S7,S7*S26)</f>
        <v>47.526082143749989</v>
      </c>
      <c r="T181" s="318">
        <f>IF(ControlPanel!$D$59&gt;T$5,T7,T7*T26)</f>
        <v>49.525876681039037</v>
      </c>
      <c r="U181" s="318">
        <f>IF(ControlPanel!$D$59&gt;U$5,U7,U7*U26)</f>
        <v>51.574971685964421</v>
      </c>
      <c r="V181" s="318">
        <f>IF(ControlPanel!$D$59&gt;V$5,V7,V7*V26)</f>
        <v>53.674396218784331</v>
      </c>
      <c r="W181" s="318">
        <f>IF(ControlPanel!$D$59&gt;W$5,W7,W7*W26)</f>
        <v>55.825199118959496</v>
      </c>
      <c r="X181" s="318">
        <f>IF(ControlPanel!$D$59&gt;X$5,X7,X7*X26)</f>
        <v>58.028449366990685</v>
      </c>
      <c r="Y181" s="318">
        <f>IF(ControlPanel!$D$59&gt;Y$5,Y7,Y7*Y26)</f>
        <v>60.285236452661053</v>
      </c>
      <c r="Z181" s="318">
        <f>IF(ControlPanel!$D$59&gt;Z$5,Z7,Z7*Z26)</f>
        <v>62.596670749793951</v>
      </c>
      <c r="AA181" s="318">
        <f>IF(ControlPanel!$D$59&gt;AA$5,AA7,AA7*AA26)</f>
        <v>64.963883897638993</v>
      </c>
      <c r="AB181" s="318">
        <f>IF(ControlPanel!$D$59&gt;AB$5,AB7,AB7*AB26)</f>
        <v>67.38802918900069</v>
      </c>
      <c r="AC181" s="318">
        <f>IF(ControlPanel!$D$59&gt;AC$5,AC7,AC7*AC26)</f>
        <v>69.870281965226255</v>
      </c>
      <c r="AD181" s="318">
        <f>IF(ControlPanel!$D$59&gt;AD$5,AD7,AD7*AD26)</f>
        <v>72.411840018171063</v>
      </c>
      <c r="AE181" s="319">
        <f>IF(ControlPanel!$D$59&gt;AE$5,AE7,AE7*AE26)</f>
        <v>75.013923999262047</v>
      </c>
      <c r="AF181" s="929" t="s">
        <v>142</v>
      </c>
      <c r="AG181" s="929" t="s">
        <v>142</v>
      </c>
      <c r="AH181" s="929"/>
      <c r="AI181" s="929"/>
      <c r="AJ181" s="1034" t="s">
        <v>579</v>
      </c>
    </row>
    <row r="182" spans="1:36" s="136" customFormat="1" ht="12.75" customHeight="1">
      <c r="A182" s="553">
        <v>163</v>
      </c>
      <c r="B182" s="294"/>
      <c r="C182" s="10"/>
      <c r="D182" s="33"/>
      <c r="E182" s="287" t="s">
        <v>524</v>
      </c>
      <c r="F182" s="318">
        <f>IF(ControlPanel!$D$59&gt;F$5,F23,F23*F26)</f>
        <v>3.6986274118651017</v>
      </c>
      <c r="G182" s="318">
        <f>IF(ControlPanel!$D$59&gt;G$5,G23,G23*G26)</f>
        <v>3.67623039746714</v>
      </c>
      <c r="H182" s="318">
        <f>IF(ControlPanel!$D$59&gt;H$5,H23,H23*H26)</f>
        <v>3.8466309856018386</v>
      </c>
      <c r="I182" s="318">
        <f>IF(ControlPanel!$D$59&gt;I$5,I23,I23*I26)</f>
        <v>3.7273122127772123</v>
      </c>
      <c r="J182" s="318">
        <f>IF(ControlPanel!$D$59&gt;J$5,J23,J23*J26)</f>
        <v>4.6460245701332967</v>
      </c>
      <c r="K182" s="318">
        <f>IF(ControlPanel!$D$59&gt;K$5,K23,K23*K26)</f>
        <v>4.6631872317218352</v>
      </c>
      <c r="L182" s="318">
        <f>IF(ControlPanel!$D$59&gt;L$5,L23,L23*L26)</f>
        <v>4.8191604494594991</v>
      </c>
      <c r="M182" s="318">
        <f>IF(ControlPanel!$D$59&gt;M$5,M23,M23*M26)</f>
        <v>7.7231242789896131</v>
      </c>
      <c r="N182" s="319">
        <f>IF(ControlPanel!$D$59&gt;N$5,N23,N23*N26)</f>
        <v>6.3391841590858826</v>
      </c>
      <c r="O182" s="293">
        <f>IF(ControlPanel!$D$59&gt;O$5,O23,O23*O26)</f>
        <v>7.3821193026159877</v>
      </c>
      <c r="P182" s="318">
        <f>IF(ControlPanel!$D$59&gt;P$5,P23,P23*P26)</f>
        <v>7.0575324728422038</v>
      </c>
      <c r="Q182" s="318">
        <f>IF(ControlPanel!$D$59&gt;Q$5,Q23,Q23*Q26)</f>
        <v>7.1727090185728217</v>
      </c>
      <c r="R182" s="318">
        <f>IF(ControlPanel!$D$59&gt;R$5,R23,R23*R26)</f>
        <v>7.3895041486591833</v>
      </c>
      <c r="S182" s="318">
        <f>IF(ControlPanel!$D$59&gt;S$5,S23,S23*S26)</f>
        <v>7.5003467108890698</v>
      </c>
      <c r="T182" s="318">
        <f>IF(ControlPanel!$D$59&gt;T$5,T23,T23*T26)</f>
        <v>7.6128519115524051</v>
      </c>
      <c r="U182" s="318">
        <f>IF(ControlPanel!$D$59&gt;U$5,U23,U23*U26)</f>
        <v>7.7270446902256902</v>
      </c>
      <c r="V182" s="318">
        <f>IF(ControlPanel!$D$59&gt;V$5,V23,V23*V26)</f>
        <v>7.8429503605790742</v>
      </c>
      <c r="W182" s="318">
        <f>IF(ControlPanel!$D$59&gt;W$5,W23,W23*W26)</f>
        <v>7.960594615987759</v>
      </c>
      <c r="X182" s="318">
        <f>IF(ControlPanel!$D$59&gt;X$5,X23,X23*X26)</f>
        <v>8.0800035352275739</v>
      </c>
      <c r="Y182" s="318">
        <f>IF(ControlPanel!$D$59&gt;Y$5,Y23,Y23*Y26)</f>
        <v>8.2012035882559875</v>
      </c>
      <c r="Z182" s="318">
        <f>IF(ControlPanel!$D$59&gt;Z$5,Z23,Z23*Z26)</f>
        <v>8.3242216420798254</v>
      </c>
      <c r="AA182" s="318">
        <f>IF(ControlPanel!$D$59&gt;AA$5,AA23,AA23*AA26)</f>
        <v>8.4490849667110233</v>
      </c>
      <c r="AB182" s="318">
        <f>IF(ControlPanel!$D$59&gt;AB$5,AB23,AB23*AB26)</f>
        <v>8.5758212412116883</v>
      </c>
      <c r="AC182" s="318">
        <f>IF(ControlPanel!$D$59&gt;AC$5,AC23,AC23*AC26)</f>
        <v>8.7044585598298632</v>
      </c>
      <c r="AD182" s="318">
        <f>IF(ControlPanel!$D$59&gt;AD$5,AD23,AD23*AD26)</f>
        <v>8.8350254382273103</v>
      </c>
      <c r="AE182" s="319">
        <f>IF(ControlPanel!$D$59&gt;AE$5,AE23,AE23*AE26)</f>
        <v>8.9675508198007172</v>
      </c>
      <c r="AF182" s="929" t="s">
        <v>142</v>
      </c>
      <c r="AG182" s="929" t="s">
        <v>142</v>
      </c>
      <c r="AH182" s="929"/>
      <c r="AI182" s="929"/>
      <c r="AJ182" s="1034" t="s">
        <v>579</v>
      </c>
    </row>
    <row r="183" spans="1:36" s="136" customFormat="1" ht="12.75" customHeight="1">
      <c r="A183" s="553">
        <v>164</v>
      </c>
      <c r="B183" s="294"/>
      <c r="C183" s="10"/>
      <c r="D183" s="33"/>
      <c r="E183" s="196" t="s">
        <v>525</v>
      </c>
      <c r="F183" s="58">
        <f>IF(ControlPanel!$D$59&gt;F$5,F24,F24*F26)</f>
        <v>0.38450000000000001</v>
      </c>
      <c r="G183" s="58">
        <f>IF(ControlPanel!$D$59&gt;G$5,G24,G24*G26)</f>
        <v>0.42218865985000004</v>
      </c>
      <c r="H183" s="58">
        <f>IF(ControlPanel!$D$59&gt;H$5,H24,H24*H26)</f>
        <v>0.23028867101000003</v>
      </c>
      <c r="I183" s="58">
        <f>IF(ControlPanel!$D$59&gt;I$5,I24,I24*I26)</f>
        <v>0.15466122681000002</v>
      </c>
      <c r="J183" s="58">
        <f>IF(ControlPanel!$D$59&gt;J$5,J24,J24*J26)</f>
        <v>0.29887697133000007</v>
      </c>
      <c r="K183" s="58">
        <f>IF(ControlPanel!$D$59&gt;K$5,K24,K24*K26)</f>
        <v>0.19595140036000003</v>
      </c>
      <c r="L183" s="58">
        <f>IF(ControlPanel!$D$59&gt;L$5,L24,L24*L26)</f>
        <v>0.13908307713999998</v>
      </c>
      <c r="M183" s="58">
        <f>IF(ControlPanel!$D$59&gt;M$5,M24,M24*M26)</f>
        <v>0.14340741743000002</v>
      </c>
      <c r="N183" s="579">
        <f>IF(ControlPanel!$D$59&gt;N$5,N24,N24*N26)</f>
        <v>6.8122188890000004E-2</v>
      </c>
      <c r="O183" s="580">
        <f>IF(ControlPanel!$D$59&gt;O$5,O24,O24*O26)</f>
        <v>7.0404653730000002E-2</v>
      </c>
      <c r="P183" s="58">
        <f>IF(ControlPanel!$D$59&gt;P$5,P24,P24*P26)</f>
        <v>6.4167895450000012E-2</v>
      </c>
      <c r="Q183" s="58">
        <f>IF(ControlPanel!$D$59&gt;Q$5,Q24,Q24*Q26)</f>
        <v>5.9920528000000001E-2</v>
      </c>
      <c r="R183" s="58">
        <f>IF(ControlPanel!$D$59&gt;R$5,R24,R24*R26)</f>
        <v>6.1731625958799982E-2</v>
      </c>
      <c r="S183" s="58">
        <f>IF(ControlPanel!$D$59&gt;S$5,S24,S24*S26)</f>
        <v>6.2657600348181977E-2</v>
      </c>
      <c r="T183" s="58">
        <f>IF(ControlPanel!$D$59&gt;T$5,T24,T24*T26)</f>
        <v>6.3597464353404701E-2</v>
      </c>
      <c r="U183" s="58">
        <f>IF(ControlPanel!$D$59&gt;U$5,U24,U24*U26)</f>
        <v>6.4551426318705765E-2</v>
      </c>
      <c r="V183" s="58">
        <f>IF(ControlPanel!$D$59&gt;V$5,V24,V24*V26)</f>
        <v>6.5519697713486327E-2</v>
      </c>
      <c r="W183" s="58">
        <f>IF(ControlPanel!$D$59&gt;W$5,W24,W24*W26)</f>
        <v>6.6502493179188618E-2</v>
      </c>
      <c r="X183" s="58">
        <f>IF(ControlPanel!$D$59&gt;X$5,X24,X24*X26)</f>
        <v>6.7500030576876438E-2</v>
      </c>
      <c r="Y183" s="58">
        <f>IF(ControlPanel!$D$59&gt;Y$5,Y24,Y24*Y26)</f>
        <v>6.8512531035529581E-2</v>
      </c>
      <c r="Z183" s="58">
        <f>IF(ControlPanel!$D$59&gt;Z$5,Z24,Z24*Z26)</f>
        <v>6.9540219001062512E-2</v>
      </c>
      <c r="AA183" s="58">
        <f>IF(ControlPanel!$D$59&gt;AA$5,AA24,AA24*AA26)</f>
        <v>7.0583322286078443E-2</v>
      </c>
      <c r="AB183" s="58">
        <f>IF(ControlPanel!$D$59&gt;AB$5,AB24,AB24*AB26)</f>
        <v>7.1642072120369618E-2</v>
      </c>
      <c r="AC183" s="58">
        <f>IF(ControlPanel!$D$59&gt;AC$5,AC24,AC24*AC26)</f>
        <v>7.2716703202175159E-2</v>
      </c>
      <c r="AD183" s="58">
        <f>IF(ControlPanel!$D$59&gt;AD$5,AD24,AD24*AD26)</f>
        <v>7.380745375020778E-2</v>
      </c>
      <c r="AE183" s="579">
        <f>IF(ControlPanel!$D$59&gt;AE$5,AE24,AE24*AE26)</f>
        <v>7.4914565556460894E-2</v>
      </c>
      <c r="AF183" s="929" t="s">
        <v>142</v>
      </c>
      <c r="AG183" s="929" t="s">
        <v>142</v>
      </c>
      <c r="AH183" s="929"/>
      <c r="AI183" s="929"/>
      <c r="AJ183" s="1034" t="s">
        <v>579</v>
      </c>
    </row>
    <row r="184" spans="1:36" s="136" customFormat="1" ht="12.75" customHeight="1">
      <c r="A184" s="553">
        <v>165</v>
      </c>
      <c r="B184" s="294"/>
      <c r="C184" s="10"/>
      <c r="D184" s="33"/>
      <c r="M184" s="222"/>
      <c r="N184" s="201"/>
      <c r="O184" s="221"/>
      <c r="AF184" s="929"/>
      <c r="AG184" s="929" t="s">
        <v>142</v>
      </c>
      <c r="AH184" s="929"/>
      <c r="AI184" s="929"/>
      <c r="AJ184" s="1034"/>
    </row>
    <row r="185" spans="1:36" s="294" customFormat="1" ht="13.2" outlineLevel="1">
      <c r="A185" s="553">
        <v>166</v>
      </c>
      <c r="D185" s="33"/>
      <c r="E185" s="287" t="s">
        <v>526</v>
      </c>
      <c r="F185" s="318">
        <f t="shared" ref="F185:AE185" si="5">F11-F12-F13-F14-F15-F16-F254-F264</f>
        <v>400.59500000000003</v>
      </c>
      <c r="G185" s="318">
        <f t="shared" si="5"/>
        <v>383.14973227999997</v>
      </c>
      <c r="H185" s="318">
        <f t="shared" si="5"/>
        <v>386.50834199999997</v>
      </c>
      <c r="I185" s="318">
        <f t="shared" si="5"/>
        <v>383.25856100000004</v>
      </c>
      <c r="J185" s="318">
        <f t="shared" si="5"/>
        <v>370.260447</v>
      </c>
      <c r="K185" s="318">
        <f t="shared" si="5"/>
        <v>350.71186199775002</v>
      </c>
      <c r="L185" s="318">
        <f t="shared" si="5"/>
        <v>355.81992107000013</v>
      </c>
      <c r="M185" s="318">
        <f t="shared" si="5"/>
        <v>342.69702431899992</v>
      </c>
      <c r="N185" s="318">
        <f t="shared" si="5"/>
        <v>343.43449980099996</v>
      </c>
      <c r="O185" s="318">
        <f t="shared" si="5"/>
        <v>344.29499200573338</v>
      </c>
      <c r="P185" s="318">
        <f t="shared" si="5"/>
        <v>344.16121049404217</v>
      </c>
      <c r="Q185" s="318">
        <f t="shared" si="5"/>
        <v>331.78540980535826</v>
      </c>
      <c r="R185" s="318">
        <f t="shared" si="5"/>
        <v>329.80586289665291</v>
      </c>
      <c r="S185" s="318">
        <f t="shared" si="5"/>
        <v>329.21329222096659</v>
      </c>
      <c r="T185" s="318">
        <f t="shared" si="5"/>
        <v>328.12304725272179</v>
      </c>
      <c r="U185" s="318">
        <f t="shared" si="5"/>
        <v>327.70886225122763</v>
      </c>
      <c r="V185" s="318">
        <f t="shared" si="5"/>
        <v>327.584210333371</v>
      </c>
      <c r="W185" s="318">
        <f t="shared" si="5"/>
        <v>327.50147532469316</v>
      </c>
      <c r="X185" s="318">
        <f t="shared" si="5"/>
        <v>327.45539906052142</v>
      </c>
      <c r="Y185" s="318">
        <f t="shared" si="5"/>
        <v>327.54599487806399</v>
      </c>
      <c r="Z185" s="318">
        <f t="shared" si="5"/>
        <v>327.79726157480195</v>
      </c>
      <c r="AA185" s="318">
        <f t="shared" si="5"/>
        <v>328.05370235513061</v>
      </c>
      <c r="AB185" s="318">
        <f t="shared" si="5"/>
        <v>328.31597773641175</v>
      </c>
      <c r="AC185" s="318">
        <f t="shared" si="5"/>
        <v>328.34085220014043</v>
      </c>
      <c r="AD185" s="318">
        <f t="shared" si="5"/>
        <v>328.28833607722714</v>
      </c>
      <c r="AE185" s="318">
        <f t="shared" si="5"/>
        <v>328.12928447415595</v>
      </c>
      <c r="AF185" s="318">
        <f>AF11-AF12-AF13-AF14-AF15-AF16</f>
        <v>0</v>
      </c>
      <c r="AG185" s="318">
        <f>AG11-AG12-AG13-AG14-AG15-AG16</f>
        <v>0</v>
      </c>
      <c r="AH185" s="318"/>
      <c r="AI185" s="318"/>
      <c r="AJ185" s="1034" t="s">
        <v>580</v>
      </c>
    </row>
    <row r="186" spans="1:36" s="294" customFormat="1" ht="13.2" outlineLevel="1">
      <c r="A186" s="553">
        <v>167</v>
      </c>
      <c r="D186" s="33"/>
      <c r="E186" s="288" t="s">
        <v>527</v>
      </c>
      <c r="F186" s="318">
        <f t="shared" ref="F186:AE186" si="6">F185+F12*F17*(1-F18)+(F14+F264)*F20+(F13+F254)*F19+F15*F21+F16</f>
        <v>402.25284446249094</v>
      </c>
      <c r="G186" s="318">
        <f t="shared" si="6"/>
        <v>408.87208014203219</v>
      </c>
      <c r="H186" s="318">
        <f t="shared" si="6"/>
        <v>394.00662147013094</v>
      </c>
      <c r="I186" s="318">
        <f t="shared" si="6"/>
        <v>386.47679895771228</v>
      </c>
      <c r="J186" s="318">
        <f t="shared" si="6"/>
        <v>378.4571300677564</v>
      </c>
      <c r="K186" s="318">
        <f t="shared" si="6"/>
        <v>358.52046869842502</v>
      </c>
      <c r="L186" s="318">
        <f t="shared" si="6"/>
        <v>363.95927869550013</v>
      </c>
      <c r="M186" s="318">
        <f t="shared" si="6"/>
        <v>350.89489916004317</v>
      </c>
      <c r="N186" s="318">
        <f t="shared" si="6"/>
        <v>352.534794440371</v>
      </c>
      <c r="O186" s="318">
        <f t="shared" si="6"/>
        <v>354.68477575813307</v>
      </c>
      <c r="P186" s="318">
        <f t="shared" si="6"/>
        <v>355.89404764439706</v>
      </c>
      <c r="Q186" s="318">
        <f t="shared" si="6"/>
        <v>344.48137181283334</v>
      </c>
      <c r="R186" s="318">
        <f t="shared" si="6"/>
        <v>342.65160410784205</v>
      </c>
      <c r="S186" s="318">
        <f t="shared" si="6"/>
        <v>342.17027003372681</v>
      </c>
      <c r="T186" s="318">
        <f t="shared" si="6"/>
        <v>341.1596562288388</v>
      </c>
      <c r="U186" s="318">
        <f t="shared" si="6"/>
        <v>340.82225361687705</v>
      </c>
      <c r="V186" s="318">
        <f t="shared" si="6"/>
        <v>340.76210077195543</v>
      </c>
      <c r="W186" s="318">
        <f t="shared" si="6"/>
        <v>340.73694241091596</v>
      </c>
      <c r="X186" s="318">
        <f t="shared" si="6"/>
        <v>340.74871259919138</v>
      </c>
      <c r="Y186" s="318">
        <f t="shared" si="6"/>
        <v>340.89742467399003</v>
      </c>
      <c r="Z186" s="318">
        <f t="shared" si="6"/>
        <v>341.20707743279286</v>
      </c>
      <c r="AA186" s="318">
        <f t="shared" si="6"/>
        <v>341.52217407999524</v>
      </c>
      <c r="AB186" s="318">
        <f t="shared" si="6"/>
        <v>341.84337513295895</v>
      </c>
      <c r="AC186" s="318">
        <f t="shared" si="6"/>
        <v>341.92744507317906</v>
      </c>
      <c r="AD186" s="318">
        <f t="shared" si="6"/>
        <v>341.93439423156605</v>
      </c>
      <c r="AE186" s="318">
        <f t="shared" si="6"/>
        <v>341.83531623434925</v>
      </c>
      <c r="AF186" s="929" t="s">
        <v>148</v>
      </c>
      <c r="AG186" s="929"/>
      <c r="AH186" s="929"/>
      <c r="AI186" s="929"/>
      <c r="AJ186" s="1035" t="s">
        <v>581</v>
      </c>
    </row>
    <row r="187" spans="1:36" s="294" customFormat="1" ht="12.75" customHeight="1" outlineLevel="1">
      <c r="A187" s="553">
        <v>168</v>
      </c>
      <c r="D187" s="33"/>
      <c r="F187" s="324"/>
      <c r="G187" s="324"/>
      <c r="H187" s="324"/>
      <c r="I187" s="324"/>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c r="AF187" s="929"/>
      <c r="AG187" s="929"/>
      <c r="AH187" s="929"/>
      <c r="AI187" s="929"/>
      <c r="AJ187" s="1034"/>
    </row>
    <row r="188" spans="1:36" s="294" customFormat="1" ht="12.75" customHeight="1" outlineLevel="1">
      <c r="A188" s="553">
        <v>169</v>
      </c>
      <c r="D188" s="33"/>
      <c r="E188" s="315" t="s">
        <v>528</v>
      </c>
      <c r="F188" s="324"/>
      <c r="G188" s="324"/>
      <c r="H188" s="324"/>
      <c r="I188" s="324"/>
      <c r="J188" s="324"/>
      <c r="K188" s="324"/>
      <c r="L188" s="324"/>
      <c r="M188" s="324"/>
      <c r="N188" s="342"/>
      <c r="O188" s="341"/>
      <c r="P188" s="324"/>
      <c r="Q188" s="324"/>
      <c r="R188" s="324"/>
      <c r="S188" s="324"/>
      <c r="T188" s="324"/>
      <c r="U188" s="324"/>
      <c r="V188" s="324"/>
      <c r="W188" s="324"/>
      <c r="X188" s="324"/>
      <c r="Y188" s="324"/>
      <c r="Z188" s="324"/>
      <c r="AA188" s="324"/>
      <c r="AB188" s="324"/>
      <c r="AC188" s="324"/>
      <c r="AD188" s="324"/>
      <c r="AE188" s="324"/>
      <c r="AF188" s="929"/>
      <c r="AG188" s="929" t="s">
        <v>174</v>
      </c>
      <c r="AH188" s="929"/>
      <c r="AI188" s="929"/>
      <c r="AJ188" s="1034" t="s">
        <v>582</v>
      </c>
    </row>
    <row r="189" spans="1:36" s="294" customFormat="1" ht="12.75" customHeight="1" outlineLevel="1">
      <c r="A189" s="553">
        <v>170</v>
      </c>
      <c r="D189" s="33"/>
      <c r="E189" s="314" t="s">
        <v>529</v>
      </c>
      <c r="F189" s="1066">
        <f ca="1">IF(2015&gt;F$5,'D-Rückbau vor 2015'!G6,IF(F$5&lt;2035,E65-F65,OFFSET(F56,0,2015-F$5)))</f>
        <v>1.5110000000000401E-2</v>
      </c>
      <c r="G189" s="316">
        <f ca="1">IF(2015&gt;G$5,'D-Rückbau vor 2015'!H6,IF(G$5&lt;2035,F65-G65,OFFSET(G56,0,2015-G$5)))</f>
        <v>1.9075899999999812E-2</v>
      </c>
      <c r="H189" s="316">
        <f ca="1">IF(2015&gt;H$5,'D-Rückbau vor 2015'!I6,IF(H$5&lt;2035,G65-H65,OFFSET(H56,0,2015-H$5)))</f>
        <v>1.3823499999999989E-2</v>
      </c>
      <c r="I189" s="316">
        <f ca="1">IF(2015&gt;I$5,'D-Rückbau vor 2015'!J6,IF(I$5&lt;2035,H65-I65,OFFSET(I56,0,2015-I$5)))</f>
        <v>1.3043600000000044E-2</v>
      </c>
      <c r="J189" s="316">
        <f ca="1">IF(2015&gt;J$5,'D-Rückbau vor 2015'!K6,IF(J$5&lt;2035,I65-J65,OFFSET(J56,0,2015-J$5)))</f>
        <v>1.2535300000000138E-2</v>
      </c>
      <c r="K189" s="316">
        <f ca="1">IF(2015&gt;K$5,'D-Rückbau vor 2015'!L6,IF(K$5&lt;2035,J65-K65,OFFSET(K56,0,2015-K$5)))</f>
        <v>0</v>
      </c>
      <c r="L189" s="316">
        <f ca="1">IF(2015&gt;L$5,'D-Rückbau vor 2015'!M6,IF(L$5&lt;2035,K65-L65,OFFSET(L56,0,2015-L$5)))</f>
        <v>0</v>
      </c>
      <c r="M189" s="316">
        <f ca="1">IF(2015&gt;M$5,'D-Rückbau vor 2015'!N6,IF(M$5&lt;2035,L65-M65,OFFSET(M56,0,2015-M$5)))</f>
        <v>0</v>
      </c>
      <c r="N189" s="317">
        <f ca="1">IF(2015&gt;N$5,'D-Rückbau vor 2015'!O6,IF(N$5&lt;2035,M65-N65,OFFSET(N56,0,2015-N$5)))</f>
        <v>0</v>
      </c>
      <c r="O189" s="320">
        <f ca="1">IF(2015&gt;O$5,'D-Rückbau vor 2015'!P6,IF(O$5&lt;2035,N65-O65,OFFSET(O56,0,2015-O$5)))</f>
        <v>0</v>
      </c>
      <c r="P189" s="316">
        <f ca="1">IF(2015&gt;P$5,'D-Rückbau vor 2015'!Q6,IF(P$5&lt;2035,O65-P65,OFFSET(P56,0,2015-P$5)))</f>
        <v>0</v>
      </c>
      <c r="Q189" s="316">
        <f ca="1">IF(2015&gt;Q$5,'D-Rückbau vor 2015'!R6,IF(Q$5&lt;2035,P65-Q65,OFFSET(Q56,0,2015-Q$5)))</f>
        <v>0</v>
      </c>
      <c r="R189" s="316">
        <f ca="1">IF(2015&gt;R$5,'D-Rückbau vor 2015'!S6,IF(R$5&lt;2035,Q65-R65,OFFSET(R56,0,2015-R$5)))</f>
        <v>0</v>
      </c>
      <c r="S189" s="316">
        <f ca="1">IF(2015&gt;S$5,'D-Rückbau vor 2015'!T6,IF(S$5&lt;2035,R65-S65,OFFSET(S56,0,2015-S$5)))</f>
        <v>0</v>
      </c>
      <c r="T189" s="316">
        <f ca="1">IF(2015&gt;T$5,'D-Rückbau vor 2015'!U6,IF(T$5&lt;2035,S65-T65,OFFSET(T56,0,2015-T$5)))</f>
        <v>0</v>
      </c>
      <c r="U189" s="316">
        <f ca="1">IF(2015&gt;U$5,'D-Rückbau vor 2015'!V6,IF(U$5&lt;2035,T65-U65,OFFSET(U56,0,2015-U$5)))</f>
        <v>0</v>
      </c>
      <c r="V189" s="316">
        <f ca="1">IF(2015&gt;V$5,'D-Rückbau vor 2015'!W6,IF(V$5&lt;2035,U65-V65,OFFSET(V56,0,2015-V$5)))</f>
        <v>0</v>
      </c>
      <c r="W189" s="316">
        <f ca="1">IF(2015&gt;W$5,'D-Rückbau vor 2015'!X6,IF(W$5&lt;2035,V65-W65,OFFSET(W56,0,2015-W$5)))</f>
        <v>0</v>
      </c>
      <c r="X189" s="316">
        <f ca="1">IF(2015&gt;X$5,'D-Rückbau vor 2015'!Y6,IF(X$5&lt;2035,W65-X65,OFFSET(X56,0,2015-X$5)))</f>
        <v>0</v>
      </c>
      <c r="Y189" s="316">
        <f ca="1">IF(2015&gt;Y$5,'D-Rückbau vor 2015'!Z6,IF(Y$5&lt;2035,X65-Y65,OFFSET(Y56,0,2015-Y$5)))</f>
        <v>0</v>
      </c>
      <c r="Z189" s="316">
        <f ca="1">IF(2015&gt;Z$5,'D-Rückbau vor 2015'!AA6,IF(Z$5&lt;2035,Y65-Z65,OFFSET(Z56,0,2015-Z$5)))</f>
        <v>0.11087762999999984</v>
      </c>
      <c r="AA189" s="316">
        <f ca="1">IF(2015&gt;AA$5,'D-Rückbau vor 2015'!AB6,IF(AA$5&lt;2035,Z65-AA65,OFFSET(AA56,0,2015-AA$5)))</f>
        <v>9.1348190000000162E-2</v>
      </c>
      <c r="AB189" s="316">
        <f ca="1">IF(2015&gt;AB$5,'D-Rückbau vor 2015'!AC6,IF(AB$5&lt;2035,AA65-AB65,OFFSET(AB56,0,2015-AB$5)))</f>
        <v>7.3427749999999792E-2</v>
      </c>
      <c r="AC189" s="316">
        <f ca="1">IF(2015&gt;AC$5,'D-Rückbau vor 2015'!AD6,IF(AC$5&lt;2035,AB65-AC65,OFFSET(AC56,0,2015-AC$5)))</f>
        <v>4.6525350000000243E-2</v>
      </c>
      <c r="AD189" s="316">
        <f ca="1">IF(2015&gt;AD$5,'D-Rückbau vor 2015'!AE6,IF(AD$5&lt;2035,AC65-AD65,OFFSET(AD56,0,2015-AD$5)))</f>
        <v>0.10790733999999991</v>
      </c>
      <c r="AE189" s="317">
        <f ca="1">IF(2015&gt;AE$5,'D-Rückbau vor 2015'!AF6,IF(AE$5&lt;2035,AD65-AE65,OFFSET(AE56,0,2015-AE$5)))</f>
        <v>0.2908247849999997</v>
      </c>
      <c r="AF189" s="929" t="s">
        <v>220</v>
      </c>
      <c r="AG189" s="929" t="s">
        <v>174</v>
      </c>
      <c r="AH189" s="1034"/>
      <c r="AI189" s="1040"/>
      <c r="AJ189" s="1034" t="s">
        <v>583</v>
      </c>
    </row>
    <row r="190" spans="1:36" s="294" customFormat="1" ht="12.75" customHeight="1" outlineLevel="1">
      <c r="A190" s="553">
        <v>171</v>
      </c>
      <c r="D190" s="33"/>
      <c r="E190" s="16" t="s">
        <v>349</v>
      </c>
      <c r="F190" s="1067">
        <f ca="1">IF(2015&gt;F$5,'D-Rückbau vor 2015'!G7,IF(F$5&lt;2035,E66-F66,OFFSET(F57,0,2015-F$5)))</f>
        <v>8.435999999999888E-3</v>
      </c>
      <c r="G190" s="325">
        <f ca="1">IF(2015&gt;G$5,'D-Rückbau vor 2015'!H7,IF(G$5&lt;2035,F66-G66,OFFSET(G57,0,2015-G$5)))</f>
        <v>2.639000000000058E-3</v>
      </c>
      <c r="H190" s="325">
        <f ca="1">IF(2015&gt;H$5,'D-Rückbau vor 2015'!I7,IF(H$5&lt;2035,G66-H66,OFFSET(H57,0,2015-H$5)))</f>
        <v>7.8029999999998934E-3</v>
      </c>
      <c r="I190" s="325">
        <f ca="1">IF(2015&gt;I$5,'D-Rückbau vor 2015'!J7,IF(I$5&lt;2035,H66-I66,OFFSET(I57,0,2015-I$5)))</f>
        <v>7.2572000000000747E-3</v>
      </c>
      <c r="J190" s="325">
        <f ca="1">IF(2015&gt;J$5,'D-Rückbau vor 2015'!K7,IF(J$5&lt;2035,I66-J66,OFFSET(J57,0,2015-J$5)))</f>
        <v>8.3369999999999278E-3</v>
      </c>
      <c r="K190" s="325">
        <f ca="1">IF(2015&gt;K$5,'D-Rückbau vor 2015'!L7,IF(K$5&lt;2035,J66-K66,OFFSET(K57,0,2015-K$5)))</f>
        <v>0</v>
      </c>
      <c r="L190" s="325">
        <f ca="1">IF(2015&gt;L$5,'D-Rückbau vor 2015'!M7,IF(L$5&lt;2035,K66-L66,OFFSET(L57,0,2015-L$5)))</f>
        <v>0</v>
      </c>
      <c r="M190" s="325">
        <f ca="1">IF(2015&gt;M$5,'D-Rückbau vor 2015'!N7,IF(M$5&lt;2035,L66-M66,OFFSET(M57,0,2015-M$5)))</f>
        <v>0</v>
      </c>
      <c r="N190" s="326">
        <f ca="1">IF(2015&gt;N$5,'D-Rückbau vor 2015'!O7,IF(N$5&lt;2035,M66-N66,OFFSET(N57,0,2015-N$5)))</f>
        <v>0</v>
      </c>
      <c r="O190" s="327">
        <f ca="1">IF(2015&gt;O$5,'D-Rückbau vor 2015'!P7,IF(O$5&lt;2035,N66-O66,OFFSET(O57,0,2015-O$5)))</f>
        <v>0</v>
      </c>
      <c r="P190" s="325">
        <f ca="1">IF(2015&gt;P$5,'D-Rückbau vor 2015'!Q7,IF(P$5&lt;2035,O66-P66,OFFSET(P57,0,2015-P$5)))</f>
        <v>0</v>
      </c>
      <c r="Q190" s="325">
        <f ca="1">IF(2015&gt;Q$5,'D-Rückbau vor 2015'!R7,IF(Q$5&lt;2035,P66-Q66,OFFSET(Q57,0,2015-Q$5)))</f>
        <v>0.17765019999999992</v>
      </c>
      <c r="R190" s="325">
        <f ca="1">IF(2015&gt;R$5,'D-Rückbau vor 2015'!S7,IF(R$5&lt;2035,Q66-R66,OFFSET(R57,0,2015-R$5)))</f>
        <v>5.3037000000000001E-2</v>
      </c>
      <c r="S190" s="325">
        <f ca="1">IF(2015&gt;S$5,'D-Rückbau vor 2015'!T7,IF(S$5&lt;2035,R66-S66,OFFSET(S57,0,2015-S$5)))</f>
        <v>6.2701000000000007E-2</v>
      </c>
      <c r="T190" s="325">
        <f ca="1">IF(2015&gt;T$5,'D-Rückbau vor 2015'!U7,IF(T$5&lt;2035,S66-T66,OFFSET(T57,0,2015-T$5)))</f>
        <v>7.7915000000000012E-2</v>
      </c>
      <c r="U190" s="325">
        <f ca="1">IF(2015&gt;U$5,'D-Rückbau vor 2015'!V7,IF(U$5&lt;2035,T66-U66,OFFSET(U57,0,2015-U$5)))</f>
        <v>6.6397299999999992E-2</v>
      </c>
      <c r="V190" s="325">
        <f ca="1">IF(2015&gt;V$5,'D-Rückbau vor 2015'!W7,IF(V$5&lt;2035,U66-V66,OFFSET(V57,0,2015-V$5)))</f>
        <v>1.3616999999999997E-2</v>
      </c>
      <c r="W190" s="325">
        <f ca="1">IF(2015&gt;W$5,'D-Rückbau vor 2015'!X7,IF(W$5&lt;2035,V66-W66,OFFSET(W57,0,2015-W$5)))</f>
        <v>8.5360000000000019E-3</v>
      </c>
      <c r="X190" s="325">
        <f ca="1">IF(2015&gt;X$5,'D-Rückbau vor 2015'!Y7,IF(X$5&lt;2035,W66-X66,OFFSET(X57,0,2015-X$5)))</f>
        <v>8.5150000000000017E-3</v>
      </c>
      <c r="Y190" s="325">
        <f ca="1">IF(2015&gt;Y$5,'D-Rückbau vor 2015'!Z7,IF(Y$5&lt;2035,X66-Y66,OFFSET(Y57,0,2015-Y$5)))</f>
        <v>5.7040000000000007E-3</v>
      </c>
      <c r="Z190" s="325">
        <f ca="1">IF(2015&gt;Z$5,'D-Rückbau vor 2015'!AA7,IF(Z$5&lt;2035,Y66-Z66,OFFSET(Z57,0,2015-Z$5)))</f>
        <v>9.5069899999999964E-3</v>
      </c>
      <c r="AA190" s="325">
        <f ca="1">IF(2015&gt;AA$5,'D-Rückbau vor 2015'!AB7,IF(AA$5&lt;2035,Z66-AA66,OFFSET(AA57,0,2015-AA$5)))</f>
        <v>2.922000000000001E-3</v>
      </c>
      <c r="AB190" s="325">
        <f ca="1">IF(2015&gt;AB$5,'D-Rückbau vor 2015'!AC7,IF(AB$5&lt;2035,AA66-AB66,OFFSET(AB57,0,2015-AB$5)))</f>
        <v>9.217000000000003E-3</v>
      </c>
      <c r="AC190" s="325">
        <f ca="1">IF(2015&gt;AC$5,'D-Rückbau vor 2015'!AD7,IF(AC$5&lt;2035,AB66-AC66,OFFSET(AC57,0,2015-AC$5)))</f>
        <v>1.7900000000000008E-3</v>
      </c>
      <c r="AD190" s="325">
        <f ca="1">IF(2015&gt;AD$5,'D-Rückbau vor 2015'!AE7,IF(AD$5&lt;2035,AC66-AD66,OFFSET(AD57,0,2015-AD$5)))</f>
        <v>1.1280000000000005E-3</v>
      </c>
      <c r="AE190" s="326">
        <f ca="1">IF(2015&gt;AE$5,'D-Rückbau vor 2015'!AF7,IF(AE$5&lt;2035,AD66-AE66,OFFSET(AE57,0,2015-AE$5)))</f>
        <v>4.5781999999999823E-2</v>
      </c>
      <c r="AF190" s="929" t="s">
        <v>220</v>
      </c>
      <c r="AG190" s="929" t="s">
        <v>174</v>
      </c>
      <c r="AH190" s="929"/>
      <c r="AI190" s="929"/>
      <c r="AJ190" s="1034" t="s">
        <v>584</v>
      </c>
    </row>
    <row r="191" spans="1:36" s="294" customFormat="1" ht="12.75" customHeight="1" outlineLevel="1">
      <c r="A191" s="553">
        <v>172</v>
      </c>
      <c r="D191" s="33"/>
      <c r="E191" s="16" t="s">
        <v>11</v>
      </c>
      <c r="F191" s="1067">
        <f ca="1">IF(2015&gt;F$5,'D-Rückbau vor 2015'!G8,IF(F$5&lt;2035,E67-F67,OFFSET(F58,0,2015-F$5)))</f>
        <v>8.0000000046709374E-7</v>
      </c>
      <c r="G191" s="325">
        <f ca="1">IF(2015&gt;G$5,'D-Rückbau vor 2015'!H8,IF(G$5&lt;2035,F67-G67,OFFSET(G58,0,2015-G$5)))</f>
        <v>1.8489999999999895E-3</v>
      </c>
      <c r="H191" s="325">
        <f ca="1">IF(2015&gt;H$5,'D-Rückbau vor 2015'!I8,IF(H$5&lt;2035,G67-H67,OFFSET(H58,0,2015-H$5)))</f>
        <v>3.0999999999892225E-5</v>
      </c>
      <c r="I191" s="325">
        <f ca="1">IF(2015&gt;I$5,'D-Rückbau vor 2015'!J8,IF(I$5&lt;2035,H67-I67,OFFSET(I58,0,2015-I$5)))</f>
        <v>2.8400999999998788E-2</v>
      </c>
      <c r="J191" s="325">
        <f ca="1">IF(2015&gt;J$5,'D-Rückbau vor 2015'!K8,IF(J$5&lt;2035,I67-J67,OFFSET(J58,0,2015-J$5)))</f>
        <v>1.1199000000001291E-2</v>
      </c>
      <c r="K191" s="325">
        <f ca="1">IF(2015&gt;K$5,'D-Rückbau vor 2015'!L8,IF(K$5&lt;2035,J67-K67,OFFSET(K58,0,2015-K$5)))</f>
        <v>0</v>
      </c>
      <c r="L191" s="325">
        <f ca="1">IF(2015&gt;L$5,'D-Rückbau vor 2015'!M8,IF(L$5&lt;2035,K67-L67,OFFSET(L58,0,2015-L$5)))</f>
        <v>0</v>
      </c>
      <c r="M191" s="325">
        <f ca="1">IF(2015&gt;M$5,'D-Rückbau vor 2015'!N8,IF(M$5&lt;2035,L67-M67,OFFSET(M58,0,2015-M$5)))</f>
        <v>0</v>
      </c>
      <c r="N191" s="326">
        <f ca="1">IF(2015&gt;N$5,'D-Rückbau vor 2015'!O8,IF(N$5&lt;2035,M67-N67,OFFSET(N58,0,2015-N$5)))</f>
        <v>0</v>
      </c>
      <c r="O191" s="327">
        <f ca="1">IF(2015&gt;O$5,'D-Rückbau vor 2015'!P8,IF(O$5&lt;2035,N67-O67,OFFSET(O58,0,2015-O$5)))</f>
        <v>0</v>
      </c>
      <c r="P191" s="325">
        <f ca="1">IF(2015&gt;P$5,'D-Rückbau vor 2015'!Q8,IF(P$5&lt;2035,O67-P67,OFFSET(P58,0,2015-P$5)))</f>
        <v>0</v>
      </c>
      <c r="Q191" s="325">
        <f ca="1">IF(2015&gt;Q$5,'D-Rückbau vor 2015'!R8,IF(Q$5&lt;2035,P67-Q67,OFFSET(Q58,0,2015-Q$5)))</f>
        <v>0.41111535999999926</v>
      </c>
      <c r="R191" s="325">
        <f ca="1">IF(2015&gt;R$5,'D-Rückbau vor 2015'!S8,IF(R$5&lt;2035,Q67-R67,OFFSET(R58,0,2015-R$5)))</f>
        <v>0.18823380000000167</v>
      </c>
      <c r="S191" s="325">
        <f ca="1">IF(2015&gt;S$5,'D-Rückbau vor 2015'!T8,IF(S$5&lt;2035,R67-S67,OFFSET(S58,0,2015-S$5)))</f>
        <v>0.14024915999999887</v>
      </c>
      <c r="T191" s="325">
        <f ca="1">IF(2015&gt;T$5,'D-Rückbau vor 2015'!U8,IF(T$5&lt;2035,S67-T67,OFFSET(T58,0,2015-T$5)))</f>
        <v>0.2319583500000002</v>
      </c>
      <c r="U191" s="325">
        <f ca="1">IF(2015&gt;U$5,'D-Rückbau vor 2015'!V8,IF(U$5&lt;2035,T67-U67,OFFSET(U58,0,2015-U$5)))</f>
        <v>0.57250698999999994</v>
      </c>
      <c r="V191" s="325">
        <f ca="1">IF(2015&gt;V$5,'D-Rückbau vor 2015'!W8,IF(V$5&lt;2035,U67-V67,OFFSET(V58,0,2015-V$5)))</f>
        <v>0.69573850000000004</v>
      </c>
      <c r="W191" s="325">
        <f ca="1">IF(2015&gt;W$5,'D-Rückbau vor 2015'!X8,IF(W$5&lt;2035,V67-W67,OFFSET(W58,0,2015-W$5)))</f>
        <v>0.84800203000000085</v>
      </c>
      <c r="X191" s="325">
        <f ca="1">IF(2015&gt;X$5,'D-Rückbau vor 2015'!Y8,IF(X$5&lt;2035,W67-X67,OFFSET(X58,0,2015-X$5)))</f>
        <v>0.64049239999999941</v>
      </c>
      <c r="Y191" s="325">
        <f ca="1">IF(2015&gt;Y$5,'D-Rückbau vor 2015'!Z8,IF(Y$5&lt;2035,X67-Y67,OFFSET(Y58,0,2015-Y$5)))</f>
        <v>0.35727639999999994</v>
      </c>
      <c r="Z191" s="325">
        <f ca="1">IF(2015&gt;Z$5,'D-Rückbau vor 2015'!AA8,IF(Z$5&lt;2035,Y67-Z67,OFFSET(Z58,0,2015-Z$5)))</f>
        <v>0.45520799999999939</v>
      </c>
      <c r="AA191" s="325">
        <f ca="1">IF(2015&gt;AA$5,'D-Rückbau vor 2015'!AB8,IF(AA$5&lt;2035,Z67-AA67,OFFSET(AA58,0,2015-AA$5)))</f>
        <v>0.63709159999999976</v>
      </c>
      <c r="AB191" s="325">
        <f ca="1">IF(2015&gt;AB$5,'D-Rückbau vor 2015'!AC8,IF(AB$5&lt;2035,AA67-AB67,OFFSET(AB58,0,2015-AB$5)))</f>
        <v>1.0561740600000002</v>
      </c>
      <c r="AC191" s="325">
        <f ca="1">IF(2015&gt;AC$5,'D-Rückbau vor 2015'!AD8,IF(AC$5&lt;2035,AB67-AC67,OFFSET(AC58,0,2015-AC$5)))</f>
        <v>0.33386470000000007</v>
      </c>
      <c r="AD191" s="325">
        <f ca="1">IF(2015&gt;AD$5,'D-Rückbau vor 2015'!AE8,IF(AD$5&lt;2035,AC67-AD67,OFFSET(AD58,0,2015-AD$5)))</f>
        <v>0.25635391000000007</v>
      </c>
      <c r="AE191" s="326">
        <f ca="1">IF(2015&gt;AE$5,'D-Rückbau vor 2015'!AF8,IF(AE$5&lt;2035,AD67-AE67,OFFSET(AE58,0,2015-AE$5)))</f>
        <v>1.2571299999999432E-2</v>
      </c>
      <c r="AF191" s="929" t="s">
        <v>220</v>
      </c>
      <c r="AG191" s="929" t="s">
        <v>174</v>
      </c>
      <c r="AH191" s="929"/>
      <c r="AI191" s="929"/>
      <c r="AJ191" s="1034"/>
    </row>
    <row r="192" spans="1:36" s="294" customFormat="1" ht="12.75" customHeight="1" outlineLevel="1">
      <c r="A192" s="553">
        <v>173</v>
      </c>
      <c r="D192" s="33"/>
      <c r="E192" s="16" t="s">
        <v>10</v>
      </c>
      <c r="F192" s="1067">
        <f ca="1">IF(2015&gt;F$5,'D-Rückbau vor 2015'!G9,IF(F$5&lt;2035,E68-F68,OFFSET(F59,0,2015-F$5)))</f>
        <v>0</v>
      </c>
      <c r="G192" s="325">
        <f ca="1">IF(2015&gt;G$5,'D-Rückbau vor 2015'!H9,IF(G$5&lt;2035,F68-G68,OFFSET(G59,0,2015-G$5)))</f>
        <v>0</v>
      </c>
      <c r="H192" s="325">
        <f ca="1">IF(2015&gt;H$5,'D-Rückbau vor 2015'!I9,IF(H$5&lt;2035,G68-H68,OFFSET(H59,0,2015-H$5)))</f>
        <v>0</v>
      </c>
      <c r="I192" s="325">
        <f ca="1">IF(2015&gt;I$5,'D-Rückbau vor 2015'!J9,IF(I$5&lt;2035,H68-I68,OFFSET(I59,0,2015-I$5)))</f>
        <v>0</v>
      </c>
      <c r="J192" s="325">
        <f ca="1">IF(2015&gt;J$5,'D-Rückbau vor 2015'!K9,IF(J$5&lt;2035,I68-J68,OFFSET(J59,0,2015-J$5)))</f>
        <v>0</v>
      </c>
      <c r="K192" s="325">
        <f ca="1">IF(2015&gt;K$5,'D-Rückbau vor 2015'!L9,IF(K$5&lt;2035,J68-K68,OFFSET(K59,0,2015-K$5)))</f>
        <v>0</v>
      </c>
      <c r="L192" s="325">
        <f ca="1">IF(2015&gt;L$5,'D-Rückbau vor 2015'!M9,IF(L$5&lt;2035,K68-L68,OFFSET(L59,0,2015-L$5)))</f>
        <v>0</v>
      </c>
      <c r="M192" s="325">
        <f ca="1">IF(2015&gt;M$5,'D-Rückbau vor 2015'!N9,IF(M$5&lt;2035,L68-M68,OFFSET(M59,0,2015-M$5)))</f>
        <v>0</v>
      </c>
      <c r="N192" s="326">
        <f ca="1">IF(2015&gt;N$5,'D-Rückbau vor 2015'!O9,IF(N$5&lt;2035,M68-N68,OFFSET(N59,0,2015-N$5)))</f>
        <v>0</v>
      </c>
      <c r="O192" s="327">
        <f ca="1">IF(2015&gt;O$5,'D-Rückbau vor 2015'!P9,IF(O$5&lt;2035,N68-O68,OFFSET(O59,0,2015-O$5)))</f>
        <v>0</v>
      </c>
      <c r="P192" s="325">
        <f ca="1">IF(2015&gt;P$5,'D-Rückbau vor 2015'!Q9,IF(P$5&lt;2035,O68-P68,OFFSET(P59,0,2015-P$5)))</f>
        <v>0</v>
      </c>
      <c r="Q192" s="325">
        <f ca="1">IF(2015&gt;Q$5,'D-Rückbau vor 2015'!R9,IF(Q$5&lt;2035,P68-Q68,OFFSET(Q59,0,2015-Q$5)))</f>
        <v>0</v>
      </c>
      <c r="R192" s="325">
        <f ca="1">IF(2015&gt;R$5,'D-Rückbau vor 2015'!S9,IF(R$5&lt;2035,Q68-R68,OFFSET(R59,0,2015-R$5)))</f>
        <v>0</v>
      </c>
      <c r="S192" s="325">
        <f ca="1">IF(2015&gt;S$5,'D-Rückbau vor 2015'!T9,IF(S$5&lt;2035,R68-S68,OFFSET(S59,0,2015-S$5)))</f>
        <v>0</v>
      </c>
      <c r="T192" s="325">
        <f ca="1">IF(2015&gt;T$5,'D-Rückbau vor 2015'!U9,IF(T$5&lt;2035,S68-T68,OFFSET(T59,0,2015-T$5)))</f>
        <v>0</v>
      </c>
      <c r="U192" s="325">
        <f ca="1">IF(2015&gt;U$5,'D-Rückbau vor 2015'!V9,IF(U$5&lt;2035,T68-U68,OFFSET(U59,0,2015-U$5)))</f>
        <v>2.1999999999999797E-4</v>
      </c>
      <c r="V192" s="325">
        <f ca="1">IF(2015&gt;V$5,'D-Rückbau vor 2015'!W9,IF(V$5&lt;2035,U68-V68,OFFSET(V59,0,2015-V$5)))</f>
        <v>0</v>
      </c>
      <c r="W192" s="325">
        <f ca="1">IF(2015&gt;W$5,'D-Rückbau vor 2015'!X9,IF(W$5&lt;2035,V68-W68,OFFSET(W59,0,2015-W$5)))</f>
        <v>0</v>
      </c>
      <c r="X192" s="325">
        <f ca="1">IF(2015&gt;X$5,'D-Rückbau vor 2015'!Y9,IF(X$5&lt;2035,W68-X68,OFFSET(X59,0,2015-X$5)))</f>
        <v>3.0000000000000027E-3</v>
      </c>
      <c r="Y192" s="325">
        <f ca="1">IF(2015&gt;Y$5,'D-Rückbau vor 2015'!Z9,IF(Y$5&lt;2035,X68-Y68,OFFSET(Y59,0,2015-Y$5)))</f>
        <v>0</v>
      </c>
      <c r="Z192" s="325">
        <f ca="1">IF(2015&gt;Z$5,'D-Rückbau vor 2015'!AA9,IF(Z$5&lt;2035,Y68-Z68,OFFSET(Z59,0,2015-Z$5)))</f>
        <v>4.1499999999999974E-3</v>
      </c>
      <c r="AA192" s="325">
        <f ca="1">IF(2015&gt;AA$5,'D-Rückbau vor 2015'!AB9,IF(AA$5&lt;2035,Z68-AA68,OFFSET(AA59,0,2015-AA$5)))</f>
        <v>0</v>
      </c>
      <c r="AB192" s="325">
        <f ca="1">IF(2015&gt;AB$5,'D-Rückbau vor 2015'!AC9,IF(AB$5&lt;2035,AA68-AB68,OFFSET(AB59,0,2015-AB$5)))</f>
        <v>0</v>
      </c>
      <c r="AC192" s="325">
        <f ca="1">IF(2015&gt;AC$5,'D-Rückbau vor 2015'!AD9,IF(AC$5&lt;2035,AB68-AC68,OFFSET(AC59,0,2015-AC$5)))</f>
        <v>1.1800000000000003E-2</v>
      </c>
      <c r="AD192" s="325">
        <f ca="1">IF(2015&gt;AD$5,'D-Rückbau vor 2015'!AE9,IF(AD$5&lt;2035,AC68-AD68,OFFSET(AD59,0,2015-AD$5)))</f>
        <v>1.1315E-2</v>
      </c>
      <c r="AE192" s="326">
        <f ca="1">IF(2015&gt;AE$5,'D-Rückbau vor 2015'!AF9,IF(AE$5&lt;2035,AD68-AE68,OFFSET(AE59,0,2015-AE$5)))</f>
        <v>0</v>
      </c>
      <c r="AF192" s="929" t="s">
        <v>220</v>
      </c>
      <c r="AG192" s="929" t="s">
        <v>174</v>
      </c>
      <c r="AH192" s="929"/>
      <c r="AI192" s="929"/>
      <c r="AJ192" s="1034"/>
    </row>
    <row r="193" spans="1:36" s="294" customFormat="1" ht="12.75" customHeight="1" outlineLevel="1">
      <c r="A193" s="553">
        <v>174</v>
      </c>
      <c r="D193" s="33"/>
      <c r="E193" s="16" t="s">
        <v>339</v>
      </c>
      <c r="F193" s="1067">
        <f ca="1">IF(2015&gt;F$5,'D-Rückbau vor 2015'!G10,IF(F$5&lt;2035,E69-F69,OFFSET(F60,0,2015-F$5)))</f>
        <v>5.5E-2</v>
      </c>
      <c r="G193" s="325">
        <f ca="1">IF(2015&gt;G$5,'D-Rückbau vor 2015'!H10,IF(G$5&lt;2035,F69-G69,OFFSET(G60,0,2015-G$5)))</f>
        <v>5.0999999999999997E-2</v>
      </c>
      <c r="H193" s="325">
        <f ca="1">IF(2015&gt;H$5,'D-Rückbau vor 2015'!I10,IF(H$5&lt;2035,G69-H69,OFFSET(H60,0,2015-H$5)))</f>
        <v>6.7999999999999991E-2</v>
      </c>
      <c r="I193" s="325">
        <f ca="1">IF(2015&gt;I$5,'D-Rückbau vor 2015'!J10,IF(I$5&lt;2035,H69-I69,OFFSET(I60,0,2015-I$5)))</f>
        <v>0.15200000000000002</v>
      </c>
      <c r="J193" s="325">
        <f ca="1">IF(2015&gt;J$5,'D-Rückbau vor 2015'!K10,IF(J$5&lt;2035,I69-J69,OFFSET(J60,0,2015-J$5)))</f>
        <v>0.29199999999999998</v>
      </c>
      <c r="K193" s="325">
        <f ca="1">IF(2015&gt;K$5,'D-Rückbau vor 2015'!L10,IF(K$5&lt;2035,J69-K69,OFFSET(K60,0,2015-K$5)))</f>
        <v>0</v>
      </c>
      <c r="L193" s="325">
        <f ca="1">IF(2015&gt;L$5,'D-Rückbau vor 2015'!M10,IF(L$5&lt;2035,K69-L69,OFFSET(L60,0,2015-L$5)))</f>
        <v>0.30000000000000426</v>
      </c>
      <c r="M193" s="325">
        <f ca="1">IF(2015&gt;M$5,'D-Rückbau vor 2015'!N10,IF(M$5&lt;2035,L69-M69,OFFSET(M60,0,2015-M$5)))</f>
        <v>0.39999999999999858</v>
      </c>
      <c r="N193" s="326">
        <f ca="1">IF(2015&gt;N$5,'D-Rückbau vor 2015'!O10,IF(N$5&lt;2035,M69-N69,OFFSET(N60,0,2015-N$5)))</f>
        <v>0.5</v>
      </c>
      <c r="O193" s="327">
        <f ca="1">IF(2015&gt;O$5,'D-Rückbau vor 2015'!P10,IF(O$5&lt;2035,N69-O69,OFFSET(O60,0,2015-O$5)))</f>
        <v>0.60000000000000142</v>
      </c>
      <c r="P193" s="325">
        <f ca="1">IF(2015&gt;P$5,'D-Rückbau vor 2015'!Q10,IF(P$5&lt;2035,O69-P69,OFFSET(P60,0,2015-P$5)))</f>
        <v>0.69999999999999574</v>
      </c>
      <c r="Q193" s="325">
        <f ca="1">IF(2015&gt;Q$5,'D-Rückbau vor 2015'!R10,IF(Q$5&lt;2035,P69-Q69,OFFSET(Q60,0,2015-Q$5)))</f>
        <v>1.8057931100000033</v>
      </c>
      <c r="R193" s="325">
        <f ca="1">IF(2015&gt;R$5,'D-Rückbau vor 2015'!S10,IF(R$5&lt;2035,Q69-R69,OFFSET(R60,0,2015-R$5)))</f>
        <v>2.5936737999999977</v>
      </c>
      <c r="S193" s="325">
        <f ca="1">IF(2015&gt;S$5,'D-Rückbau vor 2015'!T10,IF(S$5&lt;2035,R69-S69,OFFSET(S60,0,2015-S$5)))</f>
        <v>3.0502030900000001</v>
      </c>
      <c r="T193" s="325">
        <f ca="1">IF(2015&gt;T$5,'D-Rückbau vor 2015'!U10,IF(T$5&lt;2035,S69-T69,OFFSET(T60,0,2015-T$5)))</f>
        <v>2.7178679999999993</v>
      </c>
      <c r="U193" s="325">
        <f ca="1">IF(2015&gt;U$5,'D-Rückbau vor 2015'!V10,IF(U$5&lt;2035,T69-U69,OFFSET(U60,0,2015-U$5)))</f>
        <v>2.0537710000000011</v>
      </c>
      <c r="V193" s="325">
        <f ca="1">IF(2015&gt;V$5,'D-Rückbau vor 2015'!W10,IF(V$5&lt;2035,U69-V69,OFFSET(V60,0,2015-V$5)))</f>
        <v>1.8140435000000004</v>
      </c>
      <c r="W193" s="325">
        <f ca="1">IF(2015&gt;W$5,'D-Rückbau vor 2015'!X10,IF(W$5&lt;2035,V69-W69,OFFSET(W60,0,2015-W$5)))</f>
        <v>2.2298379999999973</v>
      </c>
      <c r="X193" s="325">
        <f ca="1">IF(2015&gt;X$5,'D-Rückbau vor 2015'!Y10,IF(X$5&lt;2035,W69-X69,OFFSET(X60,0,2015-X$5)))</f>
        <v>1.6862462000000029</v>
      </c>
      <c r="Y193" s="325">
        <f ca="1">IF(2015&gt;Y$5,'D-Rückbau vor 2015'!Z10,IF(Y$5&lt;2035,X69-Y69,OFFSET(Y60,0,2015-Y$5)))</f>
        <v>0.77186400000000077</v>
      </c>
      <c r="Z193" s="325">
        <f ca="1">IF(2015&gt;Z$5,'D-Rückbau vor 2015'!AA10,IF(Z$5&lt;2035,Y69-Z69,OFFSET(Z60,0,2015-Z$5)))</f>
        <v>2.6993399199999999</v>
      </c>
      <c r="AA193" s="325">
        <f ca="1">IF(2015&gt;AA$5,'D-Rückbau vor 2015'!AB10,IF(AA$5&lt;2035,Z69-AA69,OFFSET(AA60,0,2015-AA$5)))</f>
        <v>1.4266596499999995</v>
      </c>
      <c r="AB193" s="325">
        <f ca="1">IF(2015&gt;AB$5,'D-Rückbau vor 2015'!AC10,IF(AB$5&lt;2035,AA69-AB69,OFFSET(AB60,0,2015-AB$5)))</f>
        <v>1.8764822600000013</v>
      </c>
      <c r="AC193" s="325">
        <f ca="1">IF(2015&gt;AC$5,'D-Rückbau vor 2015'!AD10,IF(AC$5&lt;2035,AB69-AC69,OFFSET(AC60,0,2015-AC$5)))</f>
        <v>2.4211245299999993</v>
      </c>
      <c r="AD193" s="325">
        <f ca="1">IF(2015&gt;AD$5,'D-Rückbau vor 2015'!AE10,IF(AD$5&lt;2035,AC69-AD69,OFFSET(AD60,0,2015-AD$5)))</f>
        <v>3.0324317899999995</v>
      </c>
      <c r="AE193" s="326">
        <f ca="1">IF(2015&gt;AE$5,'D-Rückbau vor 2015'!AF10,IF(AE$5&lt;2035,AD69-AE69,OFFSET(AE60,0,2015-AE$5)))</f>
        <v>3.536</v>
      </c>
      <c r="AF193" s="929" t="s">
        <v>220</v>
      </c>
      <c r="AG193" s="929" t="s">
        <v>174</v>
      </c>
      <c r="AH193" s="929"/>
      <c r="AI193" s="929"/>
      <c r="AJ193" s="1034"/>
    </row>
    <row r="194" spans="1:36" s="294" customFormat="1" ht="12.75" customHeight="1" outlineLevel="1">
      <c r="A194" s="553">
        <v>175</v>
      </c>
      <c r="D194" s="33"/>
      <c r="E194" s="16" t="s">
        <v>340</v>
      </c>
      <c r="F194" s="1067">
        <f ca="1">IF(2015&gt;F$5,'D-Rückbau vor 2015'!G11,IF(F$5&lt;2035,E70-F70,OFFSET(F61,0,2015-F$5)))</f>
        <v>0</v>
      </c>
      <c r="G194" s="325">
        <f ca="1">IF(2015&gt;G$5,'D-Rückbau vor 2015'!H11,IF(G$5&lt;2035,F70-G70,OFFSET(G61,0,2015-G$5)))</f>
        <v>0</v>
      </c>
      <c r="H194" s="325">
        <f ca="1">IF(2015&gt;H$5,'D-Rückbau vor 2015'!I11,IF(H$5&lt;2035,G70-H70,OFFSET(H61,0,2015-H$5)))</f>
        <v>0</v>
      </c>
      <c r="I194" s="325">
        <f ca="1">IF(2015&gt;I$5,'D-Rückbau vor 2015'!J11,IF(I$5&lt;2035,H70-I70,OFFSET(I61,0,2015-I$5)))</f>
        <v>0</v>
      </c>
      <c r="J194" s="329">
        <f ca="1">IF(2015&gt;J$5,'D-Rückbau vor 2015'!K11,IF(J$5&lt;2035,I70-J70,OFFSET(J61,0,2015-J$5)))</f>
        <v>0</v>
      </c>
      <c r="K194" s="325">
        <f ca="1">IF(2015&gt;K$5,'D-Rückbau vor 2015'!L11,IF(K$5&lt;2035,J70-K70,OFFSET(K61,0,2015-K$5)))</f>
        <v>0</v>
      </c>
      <c r="L194" s="325">
        <f ca="1">IF(2015&gt;L$5,'D-Rückbau vor 2015'!M11,IF(L$5&lt;2035,K70-L70,OFFSET(L61,0,2015-L$5)))</f>
        <v>0</v>
      </c>
      <c r="M194" s="325">
        <f ca="1">IF(2015&gt;M$5,'D-Rückbau vor 2015'!N11,IF(M$5&lt;2035,L70-M70,OFFSET(M61,0,2015-M$5)))</f>
        <v>0</v>
      </c>
      <c r="N194" s="326">
        <f ca="1">IF(2015&gt;N$5,'D-Rückbau vor 2015'!O11,IF(N$5&lt;2035,M70-N70,OFFSET(N61,0,2015-N$5)))</f>
        <v>0</v>
      </c>
      <c r="O194" s="327">
        <f ca="1">IF(2015&gt;O$5,'D-Rückbau vor 2015'!P11,IF(O$5&lt;2035,N70-O70,OFFSET(O61,0,2015-O$5)))</f>
        <v>0</v>
      </c>
      <c r="P194" s="325">
        <f ca="1">IF(2015&gt;P$5,'D-Rückbau vor 2015'!Q11,IF(P$5&lt;2035,O70-P70,OFFSET(P61,0,2015-P$5)))</f>
        <v>0</v>
      </c>
      <c r="Q194" s="325">
        <f ca="1">IF(2015&gt;Q$5,'D-Rückbau vor 2015'!R11,IF(Q$5&lt;2035,P70-Q70,OFFSET(Q61,0,2015-Q$5)))</f>
        <v>0</v>
      </c>
      <c r="R194" s="325">
        <f ca="1">IF(2015&gt;R$5,'D-Rückbau vor 2015'!S11,IF(R$5&lt;2035,Q70-R70,OFFSET(R61,0,2015-R$5)))</f>
        <v>0</v>
      </c>
      <c r="S194" s="325">
        <f ca="1">IF(2015&gt;S$5,'D-Rückbau vor 2015'!T11,IF(S$5&lt;2035,R70-S70,OFFSET(S61,0,2015-S$5)))</f>
        <v>0</v>
      </c>
      <c r="T194" s="325">
        <f ca="1">IF(2015&gt;T$5,'D-Rückbau vor 2015'!U11,IF(T$5&lt;2035,S70-T70,OFFSET(T61,0,2015-T$5)))</f>
        <v>0</v>
      </c>
      <c r="U194" s="325">
        <f ca="1">IF(2015&gt;U$5,'D-Rückbau vor 2015'!V11,IF(U$5&lt;2035,T70-U70,OFFSET(U61,0,2015-U$5)))</f>
        <v>0</v>
      </c>
      <c r="V194" s="325">
        <f ca="1">IF(2015&gt;V$5,'D-Rückbau vor 2015'!W11,IF(V$5&lt;2035,U70-V70,OFFSET(V61,0,2015-V$5)))</f>
        <v>0</v>
      </c>
      <c r="W194" s="325">
        <f ca="1">IF(2015&gt;W$5,'D-Rückbau vor 2015'!X11,IF(W$5&lt;2035,V70-W70,OFFSET(W61,0,2015-W$5)))</f>
        <v>0</v>
      </c>
      <c r="X194" s="325">
        <f ca="1">IF(2015&gt;X$5,'D-Rückbau vor 2015'!Y11,IF(X$5&lt;2035,W70-X70,OFFSET(X61,0,2015-X$5)))</f>
        <v>0</v>
      </c>
      <c r="Y194" s="325">
        <f ca="1">IF(2015&gt;Y$5,'D-Rückbau vor 2015'!Z11,IF(Y$5&lt;2035,X70-Y70,OFFSET(Y61,0,2015-Y$5)))</f>
        <v>0</v>
      </c>
      <c r="Z194" s="325">
        <f ca="1">IF(2015&gt;Z$5,'D-Rückbau vor 2015'!AA11,IF(Z$5&lt;2035,Y70-Z70,OFFSET(Z61,0,2015-Z$5)))</f>
        <v>3.5000000000000031E-2</v>
      </c>
      <c r="AA194" s="325">
        <f ca="1">IF(2015&gt;AA$5,'D-Rückbau vor 2015'!AB11,IF(AA$5&lt;2035,Z70-AA70,OFFSET(AA61,0,2015-AA$5)))</f>
        <v>4.500000000000004E-2</v>
      </c>
      <c r="AB194" s="325">
        <f ca="1">IF(2015&gt;AB$5,'D-Rückbau vor 2015'!AC11,IF(AB$5&lt;2035,AA70-AB70,OFFSET(AB61,0,2015-AB$5)))</f>
        <v>0.10829999999999995</v>
      </c>
      <c r="AC194" s="325">
        <f ca="1">IF(2015&gt;AC$5,'D-Rückbau vor 2015'!AD11,IF(AC$5&lt;2035,AB70-AC70,OFFSET(AC61,0,2015-AC$5)))</f>
        <v>7.999999999999996E-2</v>
      </c>
      <c r="AD194" s="325">
        <f ca="1">IF(2015&gt;AD$5,'D-Rückbau vor 2015'!AE11,IF(AD$5&lt;2035,AC70-AD70,OFFSET(AD61,0,2015-AD$5)))</f>
        <v>0.24</v>
      </c>
      <c r="AE194" s="326">
        <f ca="1">IF(2015&gt;AE$5,'D-Rückbau vor 2015'!AF11,IF(AE$5&lt;2035,AD70-AE70,OFFSET(AE61,0,2015-AE$5)))</f>
        <v>2.2849999999999997</v>
      </c>
      <c r="AF194" s="929" t="s">
        <v>220</v>
      </c>
      <c r="AG194" s="929" t="s">
        <v>174</v>
      </c>
      <c r="AH194" s="929"/>
      <c r="AI194" s="929"/>
      <c r="AJ194" s="1034"/>
    </row>
    <row r="195" spans="1:36" s="294" customFormat="1" ht="12.75" customHeight="1" outlineLevel="1">
      <c r="A195" s="553">
        <v>176</v>
      </c>
      <c r="D195" s="33"/>
      <c r="E195" s="296" t="s">
        <v>530</v>
      </c>
      <c r="F195" s="1068">
        <f ca="1">IF(2015&gt;F$5,'D-Rückbau vor 2015'!G12,IF(F$5&lt;2035,E71-F71,OFFSET(F62,0,2015-F$5)))</f>
        <v>3.2297500000311175E-4</v>
      </c>
      <c r="G195" s="302">
        <f ca="1">IF(2015&gt;G$5,'D-Rückbau vor 2015'!H12,IF(G$5&lt;2035,F71-G71,OFFSET(G62,0,2015-G$5)))</f>
        <v>8.4221099999837179E-4</v>
      </c>
      <c r="H195" s="302">
        <f ca="1">IF(2015&gt;H$5,'D-Rückbau vor 2015'!I12,IF(H$5&lt;2035,G71-H71,OFFSET(H62,0,2015-H$5)))</f>
        <v>1.5947349999976268E-3</v>
      </c>
      <c r="I195" s="302">
        <f ca="1">IF(2015&gt;I$5,'D-Rückbau vor 2015'!J12,IF(I$5&lt;2035,H71-I71,OFFSET(I62,0,2015-I$5)))</f>
        <v>1.7542189999986135E-3</v>
      </c>
      <c r="J195" s="302">
        <f ca="1">IF(2015&gt;J$5,'D-Rückbau vor 2015'!K12,IF(J$5&lt;2035,I71-J71,OFFSET(J62,0,2015-J$5)))</f>
        <v>1.69657700000414E-3</v>
      </c>
      <c r="K195" s="302">
        <f ca="1">IF(2015&gt;K$5,'D-Rückbau vor 2015'!L12,IF(K$5&lt;2035,J71-K71,OFFSET(K62,0,2015-K$5)))</f>
        <v>0</v>
      </c>
      <c r="L195" s="302">
        <f ca="1">IF(2015&gt;L$5,'D-Rückbau vor 2015'!M12,IF(L$5&lt;2035,K71-L71,OFFSET(L62,0,2015-L$5)))</f>
        <v>0</v>
      </c>
      <c r="M195" s="302">
        <f ca="1">IF(2015&gt;M$5,'D-Rückbau vor 2015'!N12,IF(M$5&lt;2035,L71-M71,OFFSET(M62,0,2015-M$5)))</f>
        <v>0</v>
      </c>
      <c r="N195" s="55">
        <f ca="1">IF(2015&gt;N$5,'D-Rückbau vor 2015'!O12,IF(N$5&lt;2035,M71-N71,OFFSET(N62,0,2015-N$5)))</f>
        <v>0</v>
      </c>
      <c r="O195" s="303">
        <f ca="1">IF(2015&gt;O$5,'D-Rückbau vor 2015'!P12,IF(O$5&lt;2035,N71-O71,OFFSET(O62,0,2015-O$5)))</f>
        <v>0</v>
      </c>
      <c r="P195" s="302">
        <f ca="1">IF(2015&gt;P$5,'D-Rückbau vor 2015'!Q12,IF(P$5&lt;2035,O71-P71,OFFSET(P62,0,2015-P$5)))</f>
        <v>0</v>
      </c>
      <c r="Q195" s="302">
        <f ca="1">IF(2015&gt;Q$5,'D-Rückbau vor 2015'!R12,IF(Q$5&lt;2035,P71-Q71,OFFSET(Q62,0,2015-Q$5)))</f>
        <v>7.3862480000002506E-2</v>
      </c>
      <c r="R195" s="302">
        <f ca="1">IF(2015&gt;R$5,'D-Rückbau vor 2015'!S12,IF(R$5&lt;2035,Q71-R71,OFFSET(R62,0,2015-R$5)))</f>
        <v>0.10863868999999937</v>
      </c>
      <c r="S195" s="302">
        <f ca="1">IF(2015&gt;S$5,'D-Rückbau vor 2015'!T12,IF(S$5&lt;2035,R71-S71,OFFSET(S62,0,2015-S$5)))</f>
        <v>0.11022154999999856</v>
      </c>
      <c r="T195" s="302">
        <f ca="1">IF(2015&gt;T$5,'D-Rückbau vor 2015'!U12,IF(T$5&lt;2035,S71-T71,OFFSET(T62,0,2015-T$5)))</f>
        <v>0.1424465500000025</v>
      </c>
      <c r="U195" s="302">
        <f ca="1">IF(2015&gt;U$5,'D-Rückbau vor 2015'!V12,IF(U$5&lt;2035,T71-U71,OFFSET(U62,0,2015-U$5)))</f>
        <v>0.65602930000000015</v>
      </c>
      <c r="V195" s="302">
        <f ca="1">IF(2015&gt;V$5,'D-Rückbau vor 2015'!W12,IF(V$5&lt;2035,U71-V71,OFFSET(V62,0,2015-V$5)))</f>
        <v>0.924602059999998</v>
      </c>
      <c r="W195" s="302">
        <f ca="1">IF(2015&gt;W$5,'D-Rückbau vor 2015'!X12,IF(W$5&lt;2035,V71-W71,OFFSET(W62,0,2015-W$5)))</f>
        <v>0.84459495000000118</v>
      </c>
      <c r="X195" s="302">
        <f ca="1">IF(2015&gt;X$5,'D-Rückbau vor 2015'!Y12,IF(X$5&lt;2035,W71-X71,OFFSET(X62,0,2015-X$5)))</f>
        <v>1.2537511260000045</v>
      </c>
      <c r="Y195" s="302">
        <f ca="1">IF(2015&gt;Y$5,'D-Rückbau vor 2015'!Z12,IF(Y$5&lt;2035,X71-Y71,OFFSET(Y62,0,2015-Y$5)))</f>
        <v>1.9795431099999981</v>
      </c>
      <c r="Z195" s="302">
        <f ca="1">IF(2015&gt;Z$5,'D-Rückbau vor 2015'!AA12,IF(Z$5&lt;2035,Y71-Z71,OFFSET(Z62,0,2015-Z$5)))</f>
        <v>4.4384598400000144</v>
      </c>
      <c r="AA195" s="302">
        <f ca="1">IF(2015&gt;AA$5,'D-Rückbau vor 2015'!AB12,IF(AA$5&lt;2035,Z71-AA71,OFFSET(AA62,0,2015-AA$5)))</f>
        <v>7.5938763400000333</v>
      </c>
      <c r="AB195" s="302">
        <f ca="1">IF(2015&gt;AB$5,'D-Rückbau vor 2015'!AC12,IF(AB$5&lt;2035,AA71-AB71,OFFSET(AB62,0,2015-AB$5)))</f>
        <v>8.0003900600000044</v>
      </c>
      <c r="AC195" s="302">
        <f ca="1">IF(2015&gt;AC$5,'D-Rückbau vor 2015'!AD12,IF(AC$5&lt;2035,AB71-AC71,OFFSET(AC62,0,2015-AC$5)))</f>
        <v>6.8422938800000237</v>
      </c>
      <c r="AD195" s="302">
        <f ca="1">IF(2015&gt;AD$5,'D-Rückbau vor 2015'!AE12,IF(AD$5&lt;2035,AC71-AD71,OFFSET(AD62,0,2015-AD$5)))</f>
        <v>3.1356207599999868</v>
      </c>
      <c r="AE195" s="55">
        <f ca="1">IF(2015&gt;AE$5,'D-Rückbau vor 2015'!AF12,IF(AE$5&lt;2035,AD71-AE71,OFFSET(AE62,0,2015-AE$5)))</f>
        <v>1.498</v>
      </c>
      <c r="AF195" s="929" t="s">
        <v>220</v>
      </c>
      <c r="AG195" s="929" t="s">
        <v>174</v>
      </c>
      <c r="AH195" s="929"/>
      <c r="AI195" s="929"/>
      <c r="AJ195" s="1034"/>
    </row>
    <row r="196" spans="1:36" s="294" customFormat="1" ht="12.75" customHeight="1" outlineLevel="1">
      <c r="A196" s="553">
        <v>177</v>
      </c>
      <c r="D196" s="33"/>
      <c r="E196" s="27" t="s">
        <v>531</v>
      </c>
      <c r="F196" s="318">
        <f t="shared" ref="F196:AD196" ca="1" si="7">SUM(F189:F195)</f>
        <v>7.8869775000003861E-2</v>
      </c>
      <c r="G196" s="318">
        <f t="shared" ca="1" si="7"/>
        <v>7.5406110999998222E-2</v>
      </c>
      <c r="H196" s="318">
        <f t="shared" ca="1" si="7"/>
        <v>9.1252234999997392E-2</v>
      </c>
      <c r="I196" s="318">
        <f t="shared" ca="1" si="7"/>
        <v>0.20245601899999754</v>
      </c>
      <c r="J196" s="318">
        <f t="shared" ca="1" si="7"/>
        <v>0.32576787700000548</v>
      </c>
      <c r="K196" s="318">
        <f t="shared" ca="1" si="7"/>
        <v>0</v>
      </c>
      <c r="L196" s="318">
        <f t="shared" ca="1" si="7"/>
        <v>0.30000000000000426</v>
      </c>
      <c r="M196" s="318">
        <f t="shared" ca="1" si="7"/>
        <v>0.39999999999999858</v>
      </c>
      <c r="N196" s="319">
        <f t="shared" ca="1" si="7"/>
        <v>0.5</v>
      </c>
      <c r="O196" s="293">
        <f t="shared" ca="1" si="7"/>
        <v>0.60000000000000142</v>
      </c>
      <c r="P196" s="318">
        <f t="shared" ca="1" si="7"/>
        <v>0.69999999999999574</v>
      </c>
      <c r="Q196" s="318">
        <f t="shared" ca="1" si="7"/>
        <v>2.4684211500000051</v>
      </c>
      <c r="R196" s="318">
        <f t="shared" ca="1" si="7"/>
        <v>2.9435832899999985</v>
      </c>
      <c r="S196" s="318">
        <f t="shared" ca="1" si="7"/>
        <v>3.3633747999999977</v>
      </c>
      <c r="T196" s="318">
        <f t="shared" ca="1" si="7"/>
        <v>3.1701879000000019</v>
      </c>
      <c r="U196" s="318">
        <f t="shared" ca="1" si="7"/>
        <v>3.3489245900000011</v>
      </c>
      <c r="V196" s="318">
        <f t="shared" ca="1" si="7"/>
        <v>3.4480010599999984</v>
      </c>
      <c r="W196" s="318">
        <f t="shared" ca="1" si="7"/>
        <v>3.9309709799999992</v>
      </c>
      <c r="X196" s="318">
        <f t="shared" ca="1" si="7"/>
        <v>3.592004726000007</v>
      </c>
      <c r="Y196" s="318">
        <f t="shared" ca="1" si="7"/>
        <v>3.1143875099999985</v>
      </c>
      <c r="Z196" s="318">
        <f t="shared" ca="1" si="7"/>
        <v>7.7525423800000137</v>
      </c>
      <c r="AA196" s="318">
        <f t="shared" ca="1" si="7"/>
        <v>9.7968977800000321</v>
      </c>
      <c r="AB196" s="318">
        <f t="shared" ca="1" si="7"/>
        <v>11.123991130000006</v>
      </c>
      <c r="AC196" s="318">
        <f t="shared" ca="1" si="7"/>
        <v>9.7373984600000227</v>
      </c>
      <c r="AD196" s="318">
        <f t="shared" ca="1" si="7"/>
        <v>6.784756799999986</v>
      </c>
      <c r="AE196" s="319">
        <f ca="1">SUM(AE189:AE195)</f>
        <v>7.6681780849999983</v>
      </c>
      <c r="AF196" s="929"/>
      <c r="AG196" s="929" t="s">
        <v>174</v>
      </c>
      <c r="AH196" s="929"/>
      <c r="AI196" s="929"/>
      <c r="AJ196" s="1034"/>
    </row>
    <row r="197" spans="1:36" s="294" customFormat="1" ht="12.75" customHeight="1" outlineLevel="1">
      <c r="A197" s="553">
        <v>178</v>
      </c>
      <c r="D197" s="33"/>
      <c r="F197" s="324"/>
      <c r="G197" s="324"/>
      <c r="H197" s="324"/>
      <c r="I197" s="324"/>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c r="AF197" s="929"/>
      <c r="AG197" s="929"/>
      <c r="AH197" s="929"/>
      <c r="AI197" s="929"/>
      <c r="AJ197" s="1034"/>
    </row>
    <row r="198" spans="1:36" s="294" customFormat="1" ht="12.75" customHeight="1" outlineLevel="1">
      <c r="A198" s="553">
        <v>179</v>
      </c>
      <c r="D198" s="33"/>
      <c r="E198" s="315" t="s">
        <v>536</v>
      </c>
      <c r="F198" s="324"/>
      <c r="G198" s="324"/>
      <c r="H198" s="324"/>
      <c r="I198" s="324"/>
      <c r="J198" s="324"/>
      <c r="K198" s="324"/>
      <c r="L198" s="324"/>
      <c r="M198" s="324"/>
      <c r="N198" s="342"/>
      <c r="O198" s="341"/>
      <c r="P198" s="324"/>
      <c r="Q198" s="324"/>
      <c r="R198" s="324"/>
      <c r="S198" s="324"/>
      <c r="T198" s="324"/>
      <c r="U198" s="324"/>
      <c r="V198" s="324"/>
      <c r="W198" s="324"/>
      <c r="X198" s="324"/>
      <c r="Y198" s="324"/>
      <c r="Z198" s="324"/>
      <c r="AA198" s="324"/>
      <c r="AB198" s="324"/>
      <c r="AC198" s="324"/>
      <c r="AD198" s="324"/>
      <c r="AE198" s="324"/>
      <c r="AF198" s="929" t="s">
        <v>174</v>
      </c>
      <c r="AG198" s="929" t="s">
        <v>151</v>
      </c>
      <c r="AH198" s="929"/>
      <c r="AI198" s="929"/>
      <c r="AJ198" s="1034" t="s">
        <v>585</v>
      </c>
    </row>
    <row r="199" spans="1:36" s="294" customFormat="1" ht="12.75" customHeight="1" outlineLevel="1">
      <c r="A199" s="553">
        <v>180</v>
      </c>
      <c r="D199" s="33"/>
      <c r="E199" s="314" t="s">
        <v>529</v>
      </c>
      <c r="F199" s="316">
        <f t="shared" ref="F199:AE199" ca="1" si="8">F56-F189</f>
        <v>9.8999999999999977E-2</v>
      </c>
      <c r="G199" s="316">
        <f t="shared" ca="1" si="8"/>
        <v>7.2999999999999954E-2</v>
      </c>
      <c r="H199" s="316">
        <f t="shared" ca="1" si="8"/>
        <v>3.6999999999999922E-2</v>
      </c>
      <c r="I199" s="316">
        <f t="shared" ca="1" si="8"/>
        <v>6.1000000000000165E-2</v>
      </c>
      <c r="J199" s="316">
        <f t="shared" ca="1" si="8"/>
        <v>-1.2535300000000138E-2</v>
      </c>
      <c r="K199" s="316">
        <f t="shared" ca="1" si="8"/>
        <v>0.2908247849999997</v>
      </c>
      <c r="L199" s="316">
        <f t="shared" ca="1" si="8"/>
        <v>2.1633774999999821E-2</v>
      </c>
      <c r="M199" s="316">
        <f t="shared" ca="1" si="8"/>
        <v>5.4000000000000003E-3</v>
      </c>
      <c r="N199" s="317">
        <f t="shared" ca="1" si="8"/>
        <v>1.4999999999999999E-2</v>
      </c>
      <c r="O199" s="320">
        <f t="shared" ca="1" si="8"/>
        <v>1.7000000000000001E-2</v>
      </c>
      <c r="P199" s="316">
        <f t="shared" ca="1" si="8"/>
        <v>1.2999999999999999E-2</v>
      </c>
      <c r="Q199" s="316">
        <f t="shared" ca="1" si="8"/>
        <v>0</v>
      </c>
      <c r="R199" s="316">
        <f t="shared" ca="1" si="8"/>
        <v>0</v>
      </c>
      <c r="S199" s="316">
        <f t="shared" ca="1" si="8"/>
        <v>0</v>
      </c>
      <c r="T199" s="316">
        <f t="shared" ca="1" si="8"/>
        <v>0</v>
      </c>
      <c r="U199" s="316">
        <f t="shared" ca="1" si="8"/>
        <v>0</v>
      </c>
      <c r="V199" s="316">
        <f t="shared" ca="1" si="8"/>
        <v>0</v>
      </c>
      <c r="W199" s="316">
        <f t="shared" ca="1" si="8"/>
        <v>0</v>
      </c>
      <c r="X199" s="316">
        <f t="shared" ca="1" si="8"/>
        <v>0</v>
      </c>
      <c r="Y199" s="316">
        <f t="shared" ca="1" si="8"/>
        <v>0</v>
      </c>
      <c r="Z199" s="316">
        <f t="shared" ca="1" si="8"/>
        <v>-0.11087762999999984</v>
      </c>
      <c r="AA199" s="316">
        <f t="shared" ca="1" si="8"/>
        <v>-9.1348190000000162E-2</v>
      </c>
      <c r="AB199" s="316">
        <f t="shared" ca="1" si="8"/>
        <v>-7.3427749999999792E-2</v>
      </c>
      <c r="AC199" s="316">
        <f t="shared" ca="1" si="8"/>
        <v>-4.6525350000000243E-2</v>
      </c>
      <c r="AD199" s="316">
        <f t="shared" ca="1" si="8"/>
        <v>-0.10790733999999991</v>
      </c>
      <c r="AE199" s="317">
        <f t="shared" ca="1" si="8"/>
        <v>-0.2908247849999997</v>
      </c>
      <c r="AF199" s="929" t="s">
        <v>174</v>
      </c>
      <c r="AG199" s="929" t="s">
        <v>151</v>
      </c>
      <c r="AH199" s="929"/>
      <c r="AI199" s="929"/>
      <c r="AJ199" s="1034"/>
    </row>
    <row r="200" spans="1:36" s="294" customFormat="1" ht="12.75" customHeight="1" outlineLevel="1">
      <c r="A200" s="553">
        <v>181</v>
      </c>
      <c r="D200" s="33"/>
      <c r="E200" s="16" t="s">
        <v>349</v>
      </c>
      <c r="F200" s="325">
        <f t="shared" ref="F200:AE200" ca="1" si="9">F57-F190</f>
        <v>6.9999999999999611E-3</v>
      </c>
      <c r="G200" s="325">
        <f t="shared" ca="1" si="9"/>
        <v>9.9999999999999065E-3</v>
      </c>
      <c r="H200" s="325">
        <f t="shared" ca="1" si="9"/>
        <v>1.2750217548429532E-16</v>
      </c>
      <c r="I200" s="325">
        <f t="shared" ca="1" si="9"/>
        <v>1.0000000000000009E-3</v>
      </c>
      <c r="J200" s="325">
        <f t="shared" ca="1" si="9"/>
        <v>-8.3369999999999278E-3</v>
      </c>
      <c r="K200" s="325">
        <f t="shared" ca="1" si="9"/>
        <v>4.5781999999999823E-2</v>
      </c>
      <c r="L200" s="325">
        <f t="shared" ca="1" si="9"/>
        <v>4.0839999999999765E-3</v>
      </c>
      <c r="M200" s="325">
        <f t="shared" ca="1" si="9"/>
        <v>1.6999999999999999E-3</v>
      </c>
      <c r="N200" s="326">
        <f t="shared" ca="1" si="9"/>
        <v>6.0000000000000001E-3</v>
      </c>
      <c r="O200" s="327">
        <f t="shared" ca="1" si="9"/>
        <v>2E-3</v>
      </c>
      <c r="P200" s="325">
        <f t="shared" ca="1" si="9"/>
        <v>2E-3</v>
      </c>
      <c r="Q200" s="325">
        <f t="shared" ca="1" si="9"/>
        <v>-0.17765019999999992</v>
      </c>
      <c r="R200" s="325">
        <f t="shared" ca="1" si="9"/>
        <v>-5.3037000000000001E-2</v>
      </c>
      <c r="S200" s="325">
        <f t="shared" ca="1" si="9"/>
        <v>-6.2701000000000007E-2</v>
      </c>
      <c r="T200" s="325">
        <f t="shared" ca="1" si="9"/>
        <v>-7.7915000000000012E-2</v>
      </c>
      <c r="U200" s="325">
        <f t="shared" ca="1" si="9"/>
        <v>-6.6397299999999992E-2</v>
      </c>
      <c r="V200" s="325">
        <f t="shared" ca="1" si="9"/>
        <v>-1.3616999999999997E-2</v>
      </c>
      <c r="W200" s="325">
        <f t="shared" ca="1" si="9"/>
        <v>-8.5360000000000019E-3</v>
      </c>
      <c r="X200" s="325">
        <f t="shared" ca="1" si="9"/>
        <v>-8.5150000000000017E-3</v>
      </c>
      <c r="Y200" s="325">
        <f t="shared" ca="1" si="9"/>
        <v>-5.7040000000000007E-3</v>
      </c>
      <c r="Z200" s="325">
        <f t="shared" ca="1" si="9"/>
        <v>-9.5069899999999964E-3</v>
      </c>
      <c r="AA200" s="325">
        <f t="shared" ca="1" si="9"/>
        <v>-2.922000000000001E-3</v>
      </c>
      <c r="AB200" s="325">
        <f t="shared" ca="1" si="9"/>
        <v>-9.217000000000003E-3</v>
      </c>
      <c r="AC200" s="325">
        <f t="shared" ca="1" si="9"/>
        <v>-1.7900000000000008E-3</v>
      </c>
      <c r="AD200" s="325">
        <f t="shared" ca="1" si="9"/>
        <v>-1.1280000000000005E-3</v>
      </c>
      <c r="AE200" s="326">
        <f t="shared" ca="1" si="9"/>
        <v>-4.5781999999999823E-2</v>
      </c>
      <c r="AF200" s="929" t="s">
        <v>174</v>
      </c>
      <c r="AG200" s="929" t="s">
        <v>151</v>
      </c>
      <c r="AH200" s="929"/>
      <c r="AI200" s="929"/>
      <c r="AJ200" s="1034"/>
    </row>
    <row r="201" spans="1:36" s="294" customFormat="1" ht="12.75" customHeight="1" outlineLevel="1">
      <c r="A201" s="553">
        <v>182</v>
      </c>
      <c r="D201" s="33"/>
      <c r="E201" s="16" t="s">
        <v>11</v>
      </c>
      <c r="F201" s="325">
        <f t="shared" ref="F201:AE201" ca="1" si="10">F58-F191</f>
        <v>0.54100000000000081</v>
      </c>
      <c r="G201" s="325">
        <f t="shared" ca="1" si="10"/>
        <v>0.92300000000000015</v>
      </c>
      <c r="H201" s="325">
        <f t="shared" ca="1" si="10"/>
        <v>0.23699999999999971</v>
      </c>
      <c r="I201" s="325">
        <f t="shared" ca="1" si="10"/>
        <v>0.18199999999999966</v>
      </c>
      <c r="J201" s="325">
        <f t="shared" ca="1" si="10"/>
        <v>0.62599919999999865</v>
      </c>
      <c r="K201" s="325">
        <f t="shared" ca="1" si="10"/>
        <v>1.2571299999999432E-2</v>
      </c>
      <c r="L201" s="325">
        <f t="shared" ca="1" si="10"/>
        <v>0.15215899999999888</v>
      </c>
      <c r="M201" s="325">
        <f t="shared" ca="1" si="10"/>
        <v>0.221</v>
      </c>
      <c r="N201" s="326">
        <f t="shared" ca="1" si="10"/>
        <v>0.33500000000000002</v>
      </c>
      <c r="O201" s="327">
        <f t="shared" ca="1" si="10"/>
        <v>0.19500000000000001</v>
      </c>
      <c r="P201" s="325">
        <f t="shared" ca="1" si="10"/>
        <v>0.17599999999999999</v>
      </c>
      <c r="Q201" s="325">
        <f t="shared" ca="1" si="10"/>
        <v>-0.28711535999999926</v>
      </c>
      <c r="R201" s="325">
        <f t="shared" ca="1" si="10"/>
        <v>-0.15223380000000167</v>
      </c>
      <c r="S201" s="325">
        <f t="shared" ca="1" si="10"/>
        <v>-0.10024915999999887</v>
      </c>
      <c r="T201" s="325">
        <f t="shared" ca="1" si="10"/>
        <v>-0.18895835000000022</v>
      </c>
      <c r="U201" s="325">
        <f t="shared" ca="1" si="10"/>
        <v>-0.5275069899999999</v>
      </c>
      <c r="V201" s="325">
        <f t="shared" ca="1" si="10"/>
        <v>-0.49573850000000003</v>
      </c>
      <c r="W201" s="325">
        <f t="shared" ca="1" si="10"/>
        <v>-0.64800203000000089</v>
      </c>
      <c r="X201" s="325">
        <f t="shared" ca="1" si="10"/>
        <v>-0.4404923999999994</v>
      </c>
      <c r="Y201" s="325">
        <f t="shared" ca="1" si="10"/>
        <v>-0.15727639999999993</v>
      </c>
      <c r="Z201" s="325">
        <f t="shared" ca="1" si="10"/>
        <v>-0.25520799999999938</v>
      </c>
      <c r="AA201" s="325">
        <f t="shared" ca="1" si="10"/>
        <v>-0.43709159999999975</v>
      </c>
      <c r="AB201" s="325">
        <f t="shared" ca="1" si="10"/>
        <v>-0.85617406000000029</v>
      </c>
      <c r="AC201" s="325">
        <f t="shared" ca="1" si="10"/>
        <v>-0.13386470000000006</v>
      </c>
      <c r="AD201" s="325">
        <f t="shared" ca="1" si="10"/>
        <v>-5.6353910000000063E-2</v>
      </c>
      <c r="AE201" s="326">
        <f t="shared" ca="1" si="10"/>
        <v>0.18742870000000059</v>
      </c>
      <c r="AF201" s="929" t="s">
        <v>174</v>
      </c>
      <c r="AG201" s="929" t="s">
        <v>151</v>
      </c>
      <c r="AH201" s="929"/>
      <c r="AI201" s="929"/>
      <c r="AJ201" s="1034"/>
    </row>
    <row r="202" spans="1:36" s="294" customFormat="1" ht="12.75" customHeight="1" outlineLevel="1">
      <c r="A202" s="553">
        <v>183</v>
      </c>
      <c r="D202" s="33"/>
      <c r="E202" s="16" t="s">
        <v>10</v>
      </c>
      <c r="F202" s="325">
        <f t="shared" ref="F202:AE202" ca="1" si="11">F59-F192</f>
        <v>0</v>
      </c>
      <c r="G202" s="325">
        <f t="shared" ca="1" si="11"/>
        <v>0</v>
      </c>
      <c r="H202" s="325">
        <f t="shared" ca="1" si="11"/>
        <v>1.1799999999999998E-2</v>
      </c>
      <c r="I202" s="325">
        <f t="shared" ca="1" si="11"/>
        <v>1.132E-2</v>
      </c>
      <c r="J202" s="325">
        <f t="shared" ca="1" si="11"/>
        <v>3.7300000000000041E-3</v>
      </c>
      <c r="K202" s="325">
        <f t="shared" ca="1" si="11"/>
        <v>0</v>
      </c>
      <c r="L202" s="325">
        <f t="shared" ca="1" si="11"/>
        <v>4.9999999999999984E-3</v>
      </c>
      <c r="M202" s="325">
        <f t="shared" ca="1" si="11"/>
        <v>2E-3</v>
      </c>
      <c r="N202" s="326">
        <f t="shared" ca="1" si="11"/>
        <v>5.0000000000000001E-3</v>
      </c>
      <c r="O202" s="327">
        <f t="shared" ca="1" si="11"/>
        <v>4.0000000000000001E-3</v>
      </c>
      <c r="P202" s="325">
        <f t="shared" ca="1" si="11"/>
        <v>5.0000000000000001E-3</v>
      </c>
      <c r="Q202" s="325">
        <f t="shared" ca="1" si="11"/>
        <v>0</v>
      </c>
      <c r="R202" s="325">
        <f t="shared" ca="1" si="11"/>
        <v>0</v>
      </c>
      <c r="S202" s="325">
        <f t="shared" ca="1" si="11"/>
        <v>0</v>
      </c>
      <c r="T202" s="325">
        <f t="shared" ca="1" si="11"/>
        <v>0</v>
      </c>
      <c r="U202" s="325">
        <f t="shared" ca="1" si="11"/>
        <v>-2.1999999999999797E-4</v>
      </c>
      <c r="V202" s="325">
        <f t="shared" ca="1" si="11"/>
        <v>0</v>
      </c>
      <c r="W202" s="325">
        <f t="shared" ca="1" si="11"/>
        <v>0</v>
      </c>
      <c r="X202" s="325">
        <f t="shared" ca="1" si="11"/>
        <v>-3.0000000000000027E-3</v>
      </c>
      <c r="Y202" s="325">
        <f t="shared" ca="1" si="11"/>
        <v>0</v>
      </c>
      <c r="Z202" s="325">
        <f t="shared" ca="1" si="11"/>
        <v>-4.1499999999999974E-3</v>
      </c>
      <c r="AA202" s="325">
        <f t="shared" ca="1" si="11"/>
        <v>0</v>
      </c>
      <c r="AB202" s="325">
        <f t="shared" ca="1" si="11"/>
        <v>0</v>
      </c>
      <c r="AC202" s="325">
        <f t="shared" ca="1" si="11"/>
        <v>-1.1800000000000003E-2</v>
      </c>
      <c r="AD202" s="325">
        <f t="shared" ca="1" si="11"/>
        <v>-1.1315E-2</v>
      </c>
      <c r="AE202" s="326">
        <f t="shared" ca="1" si="11"/>
        <v>0</v>
      </c>
      <c r="AF202" s="929" t="s">
        <v>174</v>
      </c>
      <c r="AG202" s="929" t="s">
        <v>151</v>
      </c>
      <c r="AH202" s="929"/>
      <c r="AI202" s="929"/>
      <c r="AJ202" s="1034"/>
    </row>
    <row r="203" spans="1:36" s="294" customFormat="1" ht="12.75" customHeight="1" outlineLevel="1">
      <c r="A203" s="553">
        <v>184</v>
      </c>
      <c r="D203" s="33"/>
      <c r="E203" s="16" t="s">
        <v>339</v>
      </c>
      <c r="F203" s="325">
        <f t="shared" ref="F203:AE203" ca="1" si="12">F60-F193</f>
        <v>1.379999999999999</v>
      </c>
      <c r="G203" s="325">
        <f t="shared" ca="1" si="12"/>
        <v>1.8449999999999989</v>
      </c>
      <c r="H203" s="325">
        <f t="shared" ca="1" si="12"/>
        <v>2.1389999999999993</v>
      </c>
      <c r="I203" s="325">
        <f t="shared" ca="1" si="12"/>
        <v>2.7609999999999992</v>
      </c>
      <c r="J203" s="325">
        <f t="shared" ca="1" si="12"/>
        <v>3.9650000000000034</v>
      </c>
      <c r="K203" s="325">
        <f t="shared" ca="1" si="12"/>
        <v>3.536</v>
      </c>
      <c r="L203" s="325">
        <f t="shared" ca="1" si="12"/>
        <v>4.3249999999999957</v>
      </c>
      <c r="M203" s="325">
        <f t="shared" ca="1" si="12"/>
        <v>4.8310000000000013</v>
      </c>
      <c r="N203" s="326">
        <f t="shared" ca="1" si="12"/>
        <v>2.9460000000000002</v>
      </c>
      <c r="O203" s="327">
        <f t="shared" ca="1" si="12"/>
        <v>0.73799999999999866</v>
      </c>
      <c r="P203" s="325">
        <f t="shared" ca="1" si="12"/>
        <v>0.80000000000000426</v>
      </c>
      <c r="Q203" s="325">
        <f t="shared" ca="1" si="12"/>
        <v>-0.30579311000000331</v>
      </c>
      <c r="R203" s="325">
        <f t="shared" ca="1" si="12"/>
        <v>-0.5936737999999977</v>
      </c>
      <c r="S203" s="325">
        <f t="shared" ca="1" si="12"/>
        <v>-0.55020309000000012</v>
      </c>
      <c r="T203" s="325">
        <f t="shared" ca="1" si="12"/>
        <v>-0.21786799999999928</v>
      </c>
      <c r="U203" s="325">
        <f t="shared" ca="1" si="12"/>
        <v>0.44622899999999888</v>
      </c>
      <c r="V203" s="325">
        <f t="shared" ca="1" si="12"/>
        <v>0.68595649999999964</v>
      </c>
      <c r="W203" s="325">
        <f t="shared" ca="1" si="12"/>
        <v>0.27016200000000268</v>
      </c>
      <c r="X203" s="325">
        <f t="shared" ca="1" si="12"/>
        <v>0.81375379999999709</v>
      </c>
      <c r="Y203" s="325">
        <f t="shared" ca="1" si="12"/>
        <v>1.7281359999999992</v>
      </c>
      <c r="Z203" s="325">
        <f t="shared" ca="1" si="12"/>
        <v>-0.19933991999999989</v>
      </c>
      <c r="AA203" s="325">
        <f t="shared" ca="1" si="12"/>
        <v>1.0733403500000005</v>
      </c>
      <c r="AB203" s="325">
        <f t="shared" ca="1" si="12"/>
        <v>0.62351773999999871</v>
      </c>
      <c r="AC203" s="325">
        <f t="shared" ca="1" si="12"/>
        <v>7.8875470000000725E-2</v>
      </c>
      <c r="AD203" s="325">
        <f t="shared" ca="1" si="12"/>
        <v>-0.53243178999999952</v>
      </c>
      <c r="AE203" s="326">
        <f t="shared" ca="1" si="12"/>
        <v>-1.036</v>
      </c>
      <c r="AF203" s="929" t="s">
        <v>174</v>
      </c>
      <c r="AG203" s="929" t="s">
        <v>151</v>
      </c>
      <c r="AH203" s="929"/>
      <c r="AI203" s="929"/>
      <c r="AJ203" s="1034"/>
    </row>
    <row r="204" spans="1:36" s="294" customFormat="1" ht="12.75" customHeight="1" outlineLevel="1">
      <c r="A204" s="553">
        <v>185</v>
      </c>
      <c r="D204" s="33"/>
      <c r="E204" s="16" t="s">
        <v>340</v>
      </c>
      <c r="F204" s="325">
        <f t="shared" ref="F204:AE204" ca="1" si="13">F61-F194</f>
        <v>4.4999999999999998E-2</v>
      </c>
      <c r="G204" s="325">
        <f t="shared" ca="1" si="13"/>
        <v>0.108</v>
      </c>
      <c r="H204" s="325">
        <f t="shared" ca="1" si="13"/>
        <v>9.2299999999999993E-2</v>
      </c>
      <c r="I204" s="325">
        <f t="shared" ca="1" si="13"/>
        <v>0.24</v>
      </c>
      <c r="J204" s="325">
        <f t="shared" ca="1" si="13"/>
        <v>0.47770000000000001</v>
      </c>
      <c r="K204" s="325">
        <f t="shared" ca="1" si="13"/>
        <v>2.2849999999999997</v>
      </c>
      <c r="L204" s="325">
        <f t="shared" ca="1" si="13"/>
        <v>0.81799999999999995</v>
      </c>
      <c r="M204" s="325">
        <f t="shared" ca="1" si="13"/>
        <v>1.306</v>
      </c>
      <c r="N204" s="326">
        <f t="shared" ca="1" si="13"/>
        <v>0.95</v>
      </c>
      <c r="O204" s="327">
        <f t="shared" ca="1" si="13"/>
        <v>1.409</v>
      </c>
      <c r="P204" s="325">
        <f t="shared" ca="1" si="13"/>
        <v>0</v>
      </c>
      <c r="Q204" s="325">
        <f t="shared" ca="1" si="13"/>
        <v>0</v>
      </c>
      <c r="R204" s="325">
        <f t="shared" ca="1" si="13"/>
        <v>0.34200000000000003</v>
      </c>
      <c r="S204" s="325">
        <f t="shared" ca="1" si="13"/>
        <v>0.97499999999999998</v>
      </c>
      <c r="T204" s="325">
        <f t="shared" ca="1" si="13"/>
        <v>0.9</v>
      </c>
      <c r="U204" s="325">
        <f t="shared" ca="1" si="13"/>
        <v>0.9</v>
      </c>
      <c r="V204" s="325">
        <f t="shared" ca="1" si="13"/>
        <v>0.9</v>
      </c>
      <c r="W204" s="325">
        <f t="shared" ca="1" si="13"/>
        <v>0.9</v>
      </c>
      <c r="X204" s="325">
        <f t="shared" ca="1" si="13"/>
        <v>0.9</v>
      </c>
      <c r="Y204" s="325">
        <f t="shared" ca="1" si="13"/>
        <v>0.9</v>
      </c>
      <c r="Z204" s="325">
        <f t="shared" ca="1" si="13"/>
        <v>0.86499999999999999</v>
      </c>
      <c r="AA204" s="325">
        <f t="shared" ca="1" si="13"/>
        <v>0.85499999999999998</v>
      </c>
      <c r="AB204" s="325">
        <f t="shared" ca="1" si="13"/>
        <v>0.79170000000000007</v>
      </c>
      <c r="AC204" s="325">
        <f t="shared" ca="1" si="13"/>
        <v>0.82000000000000006</v>
      </c>
      <c r="AD204" s="325">
        <f t="shared" ca="1" si="13"/>
        <v>0.66</v>
      </c>
      <c r="AE204" s="326">
        <f t="shared" ca="1" si="13"/>
        <v>-1.3849999999999998</v>
      </c>
      <c r="AF204" s="929" t="s">
        <v>174</v>
      </c>
      <c r="AG204" s="929" t="s">
        <v>151</v>
      </c>
      <c r="AH204" s="929"/>
      <c r="AI204" s="929"/>
      <c r="AJ204" s="1034"/>
    </row>
    <row r="205" spans="1:36" s="294" customFormat="1" ht="12.75" customHeight="1" outlineLevel="1">
      <c r="A205" s="553">
        <v>186</v>
      </c>
      <c r="D205" s="33"/>
      <c r="E205" s="296" t="s">
        <v>530</v>
      </c>
      <c r="F205" s="302">
        <f t="shared" ref="F205:AE205" ca="1" si="14">F62-F195</f>
        <v>7.3776770249999952</v>
      </c>
      <c r="G205" s="302">
        <f t="shared" ca="1" si="14"/>
        <v>7.4841577890000011</v>
      </c>
      <c r="H205" s="302">
        <f t="shared" ca="1" si="14"/>
        <v>7.6024052650000051</v>
      </c>
      <c r="I205" s="302">
        <f t="shared" ca="1" si="14"/>
        <v>3.3022457810000034</v>
      </c>
      <c r="J205" s="302">
        <f t="shared" ca="1" si="14"/>
        <v>0.79419116499999376</v>
      </c>
      <c r="K205" s="302">
        <f t="shared" ca="1" si="14"/>
        <v>1.498</v>
      </c>
      <c r="L205" s="302">
        <f t="shared" ca="1" si="14"/>
        <v>1.5249999999999999</v>
      </c>
      <c r="M205" s="302">
        <f t="shared" ca="1" si="14"/>
        <v>2.2440000000000002</v>
      </c>
      <c r="N205" s="55">
        <f t="shared" ca="1" si="14"/>
        <v>2.4039999999999999</v>
      </c>
      <c r="O205" s="303">
        <f t="shared" ca="1" si="14"/>
        <v>2.6869999999999998</v>
      </c>
      <c r="P205" s="302">
        <f t="shared" ca="1" si="14"/>
        <v>3.9910000000000001</v>
      </c>
      <c r="Q205" s="302">
        <f t="shared" ca="1" si="14"/>
        <v>5.3401375199999972</v>
      </c>
      <c r="R205" s="302">
        <f t="shared" ca="1" si="14"/>
        <v>4.8293613100000004</v>
      </c>
      <c r="S205" s="302">
        <f t="shared" ca="1" si="14"/>
        <v>3.0417784500000016</v>
      </c>
      <c r="T205" s="302">
        <f t="shared" ca="1" si="14"/>
        <v>2.8795534499999973</v>
      </c>
      <c r="U205" s="302">
        <f t="shared" ca="1" si="14"/>
        <v>2.4729706999999999</v>
      </c>
      <c r="V205" s="302">
        <f t="shared" ca="1" si="14"/>
        <v>1.575397940000002</v>
      </c>
      <c r="W205" s="302">
        <f t="shared" ca="1" si="14"/>
        <v>1.6554050499999988</v>
      </c>
      <c r="X205" s="302">
        <f t="shared" ca="1" si="14"/>
        <v>1.2462488739999955</v>
      </c>
      <c r="Y205" s="302">
        <f t="shared" ca="1" si="14"/>
        <v>0.52045689000000195</v>
      </c>
      <c r="Z205" s="302">
        <f t="shared" ca="1" si="14"/>
        <v>-1.9384598400000144</v>
      </c>
      <c r="AA205" s="302">
        <f t="shared" ca="1" si="14"/>
        <v>-5.0938763400000333</v>
      </c>
      <c r="AB205" s="302">
        <f t="shared" ca="1" si="14"/>
        <v>-5.5003900600000044</v>
      </c>
      <c r="AC205" s="302">
        <f t="shared" ca="1" si="14"/>
        <v>-4.3422938800000237</v>
      </c>
      <c r="AD205" s="302">
        <f t="shared" ca="1" si="14"/>
        <v>-0.6356207599999868</v>
      </c>
      <c r="AE205" s="55">
        <f t="shared" ca="1" si="14"/>
        <v>1.002</v>
      </c>
      <c r="AF205" s="929" t="s">
        <v>174</v>
      </c>
      <c r="AG205" s="929" t="s">
        <v>151</v>
      </c>
      <c r="AH205" s="929"/>
      <c r="AI205" s="929"/>
      <c r="AJ205" s="1034"/>
    </row>
    <row r="206" spans="1:36" s="294" customFormat="1" ht="12.75" customHeight="1" outlineLevel="1">
      <c r="A206" s="553">
        <v>187</v>
      </c>
      <c r="D206" s="33"/>
      <c r="E206" s="27" t="s">
        <v>531</v>
      </c>
      <c r="F206" s="318">
        <f t="shared" ref="F206:AE206" ca="1" si="15">SUM(F199:F205)</f>
        <v>9.4496770249999944</v>
      </c>
      <c r="G206" s="318">
        <f t="shared" ca="1" si="15"/>
        <v>10.443157789000001</v>
      </c>
      <c r="H206" s="318">
        <f t="shared" ca="1" si="15"/>
        <v>10.119505265000004</v>
      </c>
      <c r="I206" s="318">
        <f t="shared" ca="1" si="15"/>
        <v>6.5585657810000022</v>
      </c>
      <c r="J206" s="318">
        <f t="shared" ca="1" si="15"/>
        <v>5.8457480649999951</v>
      </c>
      <c r="K206" s="318">
        <f t="shared" ca="1" si="15"/>
        <v>7.6681780849999983</v>
      </c>
      <c r="L206" s="318">
        <f t="shared" ca="1" si="15"/>
        <v>6.8508767749999944</v>
      </c>
      <c r="M206" s="318">
        <f t="shared" ca="1" si="15"/>
        <v>8.6111000000000022</v>
      </c>
      <c r="N206" s="319">
        <f t="shared" ca="1" si="15"/>
        <v>6.6610000000000005</v>
      </c>
      <c r="O206" s="293">
        <f t="shared" ca="1" si="15"/>
        <v>5.0519999999999978</v>
      </c>
      <c r="P206" s="318">
        <f t="shared" ca="1" si="15"/>
        <v>4.9870000000000045</v>
      </c>
      <c r="Q206" s="318">
        <f t="shared" ca="1" si="15"/>
        <v>4.5695788499999948</v>
      </c>
      <c r="R206" s="318">
        <f t="shared" ca="1" si="15"/>
        <v>4.3724167100000013</v>
      </c>
      <c r="S206" s="318">
        <f t="shared" ca="1" si="15"/>
        <v>3.3036252000000026</v>
      </c>
      <c r="T206" s="318">
        <f t="shared" ca="1" si="15"/>
        <v>3.2948120999999979</v>
      </c>
      <c r="U206" s="318">
        <f t="shared" ca="1" si="15"/>
        <v>3.2250754099999988</v>
      </c>
      <c r="V206" s="318">
        <f t="shared" ca="1" si="15"/>
        <v>2.6519989400000017</v>
      </c>
      <c r="W206" s="318">
        <f t="shared" ca="1" si="15"/>
        <v>2.1690290200000009</v>
      </c>
      <c r="X206" s="318">
        <f t="shared" ca="1" si="15"/>
        <v>2.5079952739999931</v>
      </c>
      <c r="Y206" s="318">
        <f t="shared" ca="1" si="15"/>
        <v>2.9856124900000012</v>
      </c>
      <c r="Z206" s="318">
        <f t="shared" ca="1" si="15"/>
        <v>-1.6525423800000134</v>
      </c>
      <c r="AA206" s="318">
        <f t="shared" ca="1" si="15"/>
        <v>-3.6968977800000329</v>
      </c>
      <c r="AB206" s="318">
        <f t="shared" ca="1" si="15"/>
        <v>-5.023991130000006</v>
      </c>
      <c r="AC206" s="318">
        <f t="shared" ca="1" si="15"/>
        <v>-3.6373984600000231</v>
      </c>
      <c r="AD206" s="318">
        <f t="shared" ca="1" si="15"/>
        <v>-0.68475679999998629</v>
      </c>
      <c r="AE206" s="319">
        <f t="shared" ca="1" si="15"/>
        <v>-1.5681780849999984</v>
      </c>
      <c r="AF206" s="929" t="s">
        <v>174</v>
      </c>
      <c r="AG206" s="929" t="s">
        <v>151</v>
      </c>
      <c r="AH206" s="929"/>
      <c r="AI206" s="929"/>
      <c r="AJ206" s="1034"/>
    </row>
    <row r="207" spans="1:36" s="294" customFormat="1" ht="12.75" customHeight="1" outlineLevel="1">
      <c r="A207" s="553">
        <v>188</v>
      </c>
      <c r="D207" s="33"/>
      <c r="F207" s="324"/>
      <c r="G207" s="324"/>
      <c r="H207" s="324"/>
      <c r="I207" s="324"/>
      <c r="J207" s="324"/>
      <c r="K207" s="324"/>
      <c r="L207" s="324"/>
      <c r="M207" s="324"/>
      <c r="N207" s="342"/>
      <c r="O207" s="289"/>
      <c r="P207" s="324"/>
      <c r="Q207" s="324"/>
      <c r="R207" s="324"/>
      <c r="S207" s="324"/>
      <c r="T207" s="324"/>
      <c r="U207" s="324"/>
      <c r="V207" s="324"/>
      <c r="W207" s="324"/>
      <c r="X207" s="324"/>
      <c r="Y207" s="324"/>
      <c r="Z207" s="324"/>
      <c r="AA207" s="324"/>
      <c r="AB207" s="324"/>
      <c r="AC207" s="324"/>
      <c r="AD207" s="324"/>
      <c r="AE207" s="324"/>
      <c r="AF207" s="929"/>
      <c r="AG207" s="929"/>
      <c r="AH207" s="929"/>
      <c r="AI207" s="929"/>
      <c r="AJ207" s="1034"/>
    </row>
    <row r="208" spans="1:36" s="294" customFormat="1" ht="12.75" customHeight="1" outlineLevel="1">
      <c r="A208" s="553">
        <v>189</v>
      </c>
      <c r="D208" s="33"/>
      <c r="E208" s="315" t="s">
        <v>537</v>
      </c>
      <c r="F208" s="324"/>
      <c r="G208" s="324"/>
      <c r="H208" s="324"/>
      <c r="I208" s="324"/>
      <c r="J208" s="324"/>
      <c r="K208" s="324"/>
      <c r="L208" s="324"/>
      <c r="M208" s="324"/>
      <c r="N208" s="342"/>
      <c r="O208" s="341"/>
      <c r="P208" s="324"/>
      <c r="Q208" s="324"/>
      <c r="R208" s="324"/>
      <c r="S208" s="324"/>
      <c r="T208" s="324"/>
      <c r="U208" s="324"/>
      <c r="V208" s="324"/>
      <c r="W208" s="324"/>
      <c r="X208" s="324"/>
      <c r="Y208" s="324"/>
      <c r="Z208" s="324"/>
      <c r="AA208" s="324"/>
      <c r="AB208" s="324"/>
      <c r="AC208" s="324"/>
      <c r="AD208" s="324"/>
      <c r="AE208" s="324"/>
      <c r="AF208" s="929" t="s">
        <v>174</v>
      </c>
      <c r="AG208" s="929"/>
      <c r="AH208" s="929"/>
      <c r="AI208" s="929"/>
      <c r="AJ208" s="1035" t="s">
        <v>586</v>
      </c>
    </row>
    <row r="209" spans="1:36" s="294" customFormat="1" ht="12.75" customHeight="1" outlineLevel="2">
      <c r="A209" s="553">
        <v>190</v>
      </c>
      <c r="D209" s="33"/>
      <c r="E209" s="314" t="s">
        <v>529</v>
      </c>
      <c r="F209" s="190">
        <f>'D-Kapazitäten 2009'!G6+F56</f>
        <v>1.3371100000000005</v>
      </c>
      <c r="G209" s="316">
        <f ca="1">F209+G199</f>
        <v>1.4101100000000004</v>
      </c>
      <c r="H209" s="316">
        <f t="shared" ref="H209:AE209" ca="1" si="16">G209+H199</f>
        <v>1.4471100000000003</v>
      </c>
      <c r="I209" s="316">
        <f t="shared" ca="1" si="16"/>
        <v>1.5081100000000005</v>
      </c>
      <c r="J209" s="74">
        <f t="shared" ca="1" si="16"/>
        <v>1.4955747000000004</v>
      </c>
      <c r="K209" s="316">
        <f t="shared" ca="1" si="16"/>
        <v>1.786399485</v>
      </c>
      <c r="L209" s="316">
        <f ca="1">K209+L199</f>
        <v>1.8080332599999998</v>
      </c>
      <c r="M209" s="316">
        <f t="shared" ca="1" si="16"/>
        <v>1.8134332599999998</v>
      </c>
      <c r="N209" s="317">
        <f t="shared" ca="1" si="16"/>
        <v>1.8284332599999997</v>
      </c>
      <c r="O209" s="320">
        <f t="shared" ca="1" si="16"/>
        <v>1.8454332599999996</v>
      </c>
      <c r="P209" s="316">
        <f t="shared" ca="1" si="16"/>
        <v>1.8584332599999995</v>
      </c>
      <c r="Q209" s="316">
        <f t="shared" ca="1" si="16"/>
        <v>1.8584332599999995</v>
      </c>
      <c r="R209" s="316">
        <f t="shared" ca="1" si="16"/>
        <v>1.8584332599999995</v>
      </c>
      <c r="S209" s="316">
        <f t="shared" ca="1" si="16"/>
        <v>1.8584332599999995</v>
      </c>
      <c r="T209" s="316">
        <f t="shared" ca="1" si="16"/>
        <v>1.8584332599999995</v>
      </c>
      <c r="U209" s="316">
        <f t="shared" ca="1" si="16"/>
        <v>1.8584332599999995</v>
      </c>
      <c r="V209" s="316">
        <f t="shared" ca="1" si="16"/>
        <v>1.8584332599999995</v>
      </c>
      <c r="W209" s="316">
        <f t="shared" ca="1" si="16"/>
        <v>1.8584332599999995</v>
      </c>
      <c r="X209" s="316">
        <f t="shared" ca="1" si="16"/>
        <v>1.8584332599999995</v>
      </c>
      <c r="Y209" s="316">
        <f t="shared" ca="1" si="16"/>
        <v>1.8584332599999995</v>
      </c>
      <c r="Z209" s="316">
        <f t="shared" ca="1" si="16"/>
        <v>1.7475556299999997</v>
      </c>
      <c r="AA209" s="316">
        <f t="shared" ca="1" si="16"/>
        <v>1.6562074399999995</v>
      </c>
      <c r="AB209" s="316">
        <f t="shared" ca="1" si="16"/>
        <v>1.5827796899999997</v>
      </c>
      <c r="AC209" s="316">
        <f t="shared" ca="1" si="16"/>
        <v>1.5362543399999995</v>
      </c>
      <c r="AD209" s="316">
        <f t="shared" ca="1" si="16"/>
        <v>1.4283469999999996</v>
      </c>
      <c r="AE209" s="317">
        <f t="shared" ca="1" si="16"/>
        <v>1.1375222149999999</v>
      </c>
      <c r="AF209" s="929" t="s">
        <v>174</v>
      </c>
      <c r="AG209" s="929"/>
      <c r="AH209" s="929"/>
      <c r="AI209" s="929"/>
      <c r="AJ209" s="1034" t="s">
        <v>587</v>
      </c>
    </row>
    <row r="210" spans="1:36" s="294" customFormat="1" ht="12.75" customHeight="1" outlineLevel="2">
      <c r="A210" s="553">
        <v>191</v>
      </c>
      <c r="D210" s="33"/>
      <c r="E210" s="16" t="s">
        <v>349</v>
      </c>
      <c r="F210" s="56">
        <f>'D-Kapazitäten 2009'!G7+F57</f>
        <v>0.56543599999999994</v>
      </c>
      <c r="G210" s="325">
        <f t="shared" ref="G210:AE210" ca="1" si="17">F210+G200</f>
        <v>0.57543599999999984</v>
      </c>
      <c r="H210" s="325">
        <f t="shared" ca="1" si="17"/>
        <v>0.57543599999999995</v>
      </c>
      <c r="I210" s="325">
        <f t="shared" ca="1" si="17"/>
        <v>0.57643599999999995</v>
      </c>
      <c r="J210" s="325">
        <f t="shared" ca="1" si="17"/>
        <v>0.56809900000000002</v>
      </c>
      <c r="K210" s="325">
        <f t="shared" ca="1" si="17"/>
        <v>0.6138809999999999</v>
      </c>
      <c r="L210" s="325">
        <f t="shared" ca="1" si="17"/>
        <v>0.61796499999999988</v>
      </c>
      <c r="M210" s="325">
        <f t="shared" ca="1" si="17"/>
        <v>0.61966499999999991</v>
      </c>
      <c r="N210" s="326">
        <f t="shared" ca="1" si="17"/>
        <v>0.62566499999999992</v>
      </c>
      <c r="O210" s="327">
        <f t="shared" ca="1" si="17"/>
        <v>0.62766499999999992</v>
      </c>
      <c r="P210" s="325">
        <f t="shared" ca="1" si="17"/>
        <v>0.62966499999999992</v>
      </c>
      <c r="Q210" s="325">
        <f t="shared" ca="1" si="17"/>
        <v>0.45201479999999999</v>
      </c>
      <c r="R210" s="325">
        <f t="shared" ca="1" si="17"/>
        <v>0.39897779999999999</v>
      </c>
      <c r="S210" s="325">
        <f t="shared" ca="1" si="17"/>
        <v>0.33627679999999999</v>
      </c>
      <c r="T210" s="325">
        <f t="shared" ca="1" si="17"/>
        <v>0.25836179999999997</v>
      </c>
      <c r="U210" s="325">
        <f t="shared" ca="1" si="17"/>
        <v>0.19196449999999998</v>
      </c>
      <c r="V210" s="325">
        <f t="shared" ca="1" si="17"/>
        <v>0.17834749999999999</v>
      </c>
      <c r="W210" s="325">
        <f t="shared" ca="1" si="17"/>
        <v>0.1698115</v>
      </c>
      <c r="X210" s="325">
        <f t="shared" ca="1" si="17"/>
        <v>0.16129650000000001</v>
      </c>
      <c r="Y210" s="325">
        <f t="shared" ca="1" si="17"/>
        <v>0.15559250000000002</v>
      </c>
      <c r="Z210" s="325">
        <f t="shared" ca="1" si="17"/>
        <v>0.14608551000000003</v>
      </c>
      <c r="AA210" s="325">
        <f t="shared" ca="1" si="17"/>
        <v>0.14316351000000002</v>
      </c>
      <c r="AB210" s="325">
        <f t="shared" ca="1" si="17"/>
        <v>0.13394651000000002</v>
      </c>
      <c r="AC210" s="325">
        <f t="shared" ca="1" si="17"/>
        <v>0.13215651</v>
      </c>
      <c r="AD210" s="325">
        <f t="shared" ca="1" si="17"/>
        <v>0.13102851000000001</v>
      </c>
      <c r="AE210" s="326">
        <f t="shared" ca="1" si="17"/>
        <v>8.5246510000000192E-2</v>
      </c>
      <c r="AF210" s="929" t="s">
        <v>174</v>
      </c>
      <c r="AG210" s="929"/>
      <c r="AH210" s="929"/>
      <c r="AI210" s="929"/>
      <c r="AJ210" s="1034" t="s">
        <v>587</v>
      </c>
    </row>
    <row r="211" spans="1:36" s="294" customFormat="1" ht="12.75" customHeight="1" outlineLevel="2">
      <c r="A211" s="553">
        <v>192</v>
      </c>
      <c r="D211" s="33"/>
      <c r="E211" s="16" t="s">
        <v>11</v>
      </c>
      <c r="F211" s="56">
        <f>'D-Kapazitäten 2009'!G8+F58</f>
        <v>4.7640008000000016</v>
      </c>
      <c r="G211" s="325">
        <f t="shared" ref="G211:AE211" ca="1" si="18">F211+G201</f>
        <v>5.6870008000000016</v>
      </c>
      <c r="H211" s="325">
        <f t="shared" ca="1" si="18"/>
        <v>5.9240008000000017</v>
      </c>
      <c r="I211" s="325">
        <f t="shared" ca="1" si="18"/>
        <v>6.1060008000000012</v>
      </c>
      <c r="J211" s="325">
        <f t="shared" ca="1" si="18"/>
        <v>6.7320000000000002</v>
      </c>
      <c r="K211" s="325">
        <f t="shared" ca="1" si="18"/>
        <v>6.7445712999999996</v>
      </c>
      <c r="L211" s="325">
        <f t="shared" ca="1" si="18"/>
        <v>6.8967302999999989</v>
      </c>
      <c r="M211" s="325">
        <f t="shared" ca="1" si="18"/>
        <v>7.117730299999999</v>
      </c>
      <c r="N211" s="326">
        <f t="shared" ca="1" si="18"/>
        <v>7.4527302999999989</v>
      </c>
      <c r="O211" s="327">
        <f t="shared" ca="1" si="18"/>
        <v>7.6477302999999992</v>
      </c>
      <c r="P211" s="325">
        <f t="shared" ca="1" si="18"/>
        <v>7.8237302999999994</v>
      </c>
      <c r="Q211" s="325">
        <f t="shared" ca="1" si="18"/>
        <v>7.5366149399999998</v>
      </c>
      <c r="R211" s="325">
        <f t="shared" ca="1" si="18"/>
        <v>7.3843811399999977</v>
      </c>
      <c r="S211" s="325">
        <f t="shared" ca="1" si="18"/>
        <v>7.2841319799999988</v>
      </c>
      <c r="T211" s="325">
        <f t="shared" ca="1" si="18"/>
        <v>7.0951736299999988</v>
      </c>
      <c r="U211" s="325">
        <f t="shared" ca="1" si="18"/>
        <v>6.5676666399999988</v>
      </c>
      <c r="V211" s="325">
        <f t="shared" ca="1" si="18"/>
        <v>6.0719281399999989</v>
      </c>
      <c r="W211" s="325">
        <f t="shared" ca="1" si="18"/>
        <v>5.4239261099999982</v>
      </c>
      <c r="X211" s="325">
        <f t="shared" ca="1" si="18"/>
        <v>4.983433709999999</v>
      </c>
      <c r="Y211" s="325">
        <f t="shared" ca="1" si="18"/>
        <v>4.8261573099999993</v>
      </c>
      <c r="Z211" s="325">
        <f t="shared" ca="1" si="18"/>
        <v>4.5709493099999996</v>
      </c>
      <c r="AA211" s="325">
        <f t="shared" ca="1" si="18"/>
        <v>4.13385771</v>
      </c>
      <c r="AB211" s="325">
        <f t="shared" ca="1" si="18"/>
        <v>3.2776836499999997</v>
      </c>
      <c r="AC211" s="325">
        <f t="shared" ca="1" si="18"/>
        <v>3.1438189499999996</v>
      </c>
      <c r="AD211" s="325">
        <f t="shared" ca="1" si="18"/>
        <v>3.0874650399999997</v>
      </c>
      <c r="AE211" s="326">
        <f t="shared" ca="1" si="18"/>
        <v>3.2748937400000004</v>
      </c>
      <c r="AF211" s="929" t="s">
        <v>174</v>
      </c>
      <c r="AG211" s="929"/>
      <c r="AH211" s="929"/>
      <c r="AI211" s="929"/>
      <c r="AJ211" s="1034" t="s">
        <v>587</v>
      </c>
    </row>
    <row r="212" spans="1:36" s="294" customFormat="1" ht="12.75" customHeight="1" outlineLevel="2">
      <c r="A212" s="553">
        <v>193</v>
      </c>
      <c r="D212" s="33"/>
      <c r="E212" s="16" t="s">
        <v>10</v>
      </c>
      <c r="F212" s="56">
        <f>'D-Kapazitäten 2009'!G9+F59</f>
        <v>7.1500000000000001E-3</v>
      </c>
      <c r="G212" s="325">
        <f t="shared" ref="G212:AE212" ca="1" si="19">F212+G202</f>
        <v>7.1500000000000001E-3</v>
      </c>
      <c r="H212" s="325">
        <f t="shared" ca="1" si="19"/>
        <v>1.8949999999999998E-2</v>
      </c>
      <c r="I212" s="325">
        <f t="shared" ca="1" si="19"/>
        <v>3.0269999999999998E-2</v>
      </c>
      <c r="J212" s="325">
        <f t="shared" ca="1" si="19"/>
        <v>3.4000000000000002E-2</v>
      </c>
      <c r="K212" s="325">
        <f t="shared" ca="1" si="19"/>
        <v>3.4000000000000002E-2</v>
      </c>
      <c r="L212" s="325">
        <f t="shared" ca="1" si="19"/>
        <v>3.9E-2</v>
      </c>
      <c r="M212" s="325">
        <f t="shared" ca="1" si="19"/>
        <v>4.1000000000000002E-2</v>
      </c>
      <c r="N212" s="326">
        <f t="shared" ca="1" si="19"/>
        <v>4.5999999999999999E-2</v>
      </c>
      <c r="O212" s="327">
        <f t="shared" ca="1" si="19"/>
        <v>0.05</v>
      </c>
      <c r="P212" s="325">
        <f t="shared" ca="1" si="19"/>
        <v>5.5E-2</v>
      </c>
      <c r="Q212" s="325">
        <f t="shared" ca="1" si="19"/>
        <v>5.5E-2</v>
      </c>
      <c r="R212" s="325">
        <f t="shared" ca="1" si="19"/>
        <v>5.5E-2</v>
      </c>
      <c r="S212" s="325">
        <f t="shared" ca="1" si="19"/>
        <v>5.5E-2</v>
      </c>
      <c r="T212" s="325">
        <f t="shared" ca="1" si="19"/>
        <v>5.5E-2</v>
      </c>
      <c r="U212" s="325">
        <f t="shared" ca="1" si="19"/>
        <v>5.4780000000000002E-2</v>
      </c>
      <c r="V212" s="325">
        <f t="shared" ca="1" si="19"/>
        <v>5.4780000000000002E-2</v>
      </c>
      <c r="W212" s="325">
        <f t="shared" ca="1" si="19"/>
        <v>5.4780000000000002E-2</v>
      </c>
      <c r="X212" s="325">
        <f t="shared" ca="1" si="19"/>
        <v>5.178E-2</v>
      </c>
      <c r="Y212" s="325">
        <f t="shared" ca="1" si="19"/>
        <v>5.178E-2</v>
      </c>
      <c r="Z212" s="325">
        <f t="shared" ca="1" si="19"/>
        <v>4.7630000000000006E-2</v>
      </c>
      <c r="AA212" s="325">
        <f t="shared" ca="1" si="19"/>
        <v>4.7630000000000006E-2</v>
      </c>
      <c r="AB212" s="325">
        <f t="shared" ca="1" si="19"/>
        <v>4.7630000000000006E-2</v>
      </c>
      <c r="AC212" s="325">
        <f t="shared" ca="1" si="19"/>
        <v>3.5830000000000001E-2</v>
      </c>
      <c r="AD212" s="325">
        <f t="shared" ca="1" si="19"/>
        <v>2.4515000000000002E-2</v>
      </c>
      <c r="AE212" s="326">
        <f t="shared" ca="1" si="19"/>
        <v>2.4515000000000002E-2</v>
      </c>
      <c r="AF212" s="929" t="s">
        <v>174</v>
      </c>
      <c r="AG212" s="929"/>
      <c r="AH212" s="929"/>
      <c r="AI212" s="929"/>
      <c r="AJ212" s="1034" t="s">
        <v>587</v>
      </c>
    </row>
    <row r="213" spans="1:36" s="294" customFormat="1" ht="12.75" customHeight="1" outlineLevel="2">
      <c r="A213" s="553">
        <v>194</v>
      </c>
      <c r="D213" s="33"/>
      <c r="E213" s="16" t="s">
        <v>339</v>
      </c>
      <c r="F213" s="56">
        <f>'D-Kapazitäten 2009'!G10+F60</f>
        <v>27.067</v>
      </c>
      <c r="G213" s="325">
        <f t="shared" ref="G213:AE213" ca="1" si="20">F213+G203</f>
        <v>28.911999999999999</v>
      </c>
      <c r="H213" s="325">
        <f t="shared" ca="1" si="20"/>
        <v>31.050999999999998</v>
      </c>
      <c r="I213" s="325">
        <f t="shared" ca="1" si="20"/>
        <v>33.811999999999998</v>
      </c>
      <c r="J213" s="325">
        <f t="shared" ca="1" si="20"/>
        <v>37.777000000000001</v>
      </c>
      <c r="K213" s="325">
        <f t="shared" ca="1" si="20"/>
        <v>41.313000000000002</v>
      </c>
      <c r="L213" s="329">
        <f t="shared" ca="1" si="20"/>
        <v>45.637999999999998</v>
      </c>
      <c r="M213" s="325">
        <f t="shared" ca="1" si="20"/>
        <v>50.469000000000001</v>
      </c>
      <c r="N213" s="326">
        <f t="shared" ca="1" si="20"/>
        <v>53.414999999999999</v>
      </c>
      <c r="O213" s="327">
        <f t="shared" ca="1" si="20"/>
        <v>54.152999999999999</v>
      </c>
      <c r="P213" s="325">
        <f t="shared" ca="1" si="20"/>
        <v>54.953000000000003</v>
      </c>
      <c r="Q213" s="325">
        <f t="shared" ca="1" si="20"/>
        <v>54.64720689</v>
      </c>
      <c r="R213" s="325">
        <f t="shared" ca="1" si="20"/>
        <v>54.053533090000002</v>
      </c>
      <c r="S213" s="325">
        <f t="shared" ca="1" si="20"/>
        <v>53.503330000000005</v>
      </c>
      <c r="T213" s="325">
        <f t="shared" ca="1" si="20"/>
        <v>53.28546200000001</v>
      </c>
      <c r="U213" s="325">
        <f t="shared" ca="1" si="20"/>
        <v>53.731691000000012</v>
      </c>
      <c r="V213" s="325">
        <f t="shared" ca="1" si="20"/>
        <v>54.417647500000015</v>
      </c>
      <c r="W213" s="325">
        <f t="shared" ca="1" si="20"/>
        <v>54.687809500000014</v>
      </c>
      <c r="X213" s="325">
        <f t="shared" ca="1" si="20"/>
        <v>55.501563300000015</v>
      </c>
      <c r="Y213" s="325">
        <f t="shared" ca="1" si="20"/>
        <v>57.229699300000014</v>
      </c>
      <c r="Z213" s="325">
        <f t="shared" ca="1" si="20"/>
        <v>57.030359380000014</v>
      </c>
      <c r="AA213" s="325">
        <f t="shared" ca="1" si="20"/>
        <v>58.103699730000017</v>
      </c>
      <c r="AB213" s="325">
        <f t="shared" ca="1" si="20"/>
        <v>58.727217470000014</v>
      </c>
      <c r="AC213" s="325">
        <f t="shared" ca="1" si="20"/>
        <v>58.806092940000013</v>
      </c>
      <c r="AD213" s="325">
        <f t="shared" ca="1" si="20"/>
        <v>58.273661150000017</v>
      </c>
      <c r="AE213" s="326">
        <f t="shared" ca="1" si="20"/>
        <v>57.237661150000015</v>
      </c>
      <c r="AF213" s="929" t="s">
        <v>174</v>
      </c>
      <c r="AG213" s="929"/>
      <c r="AH213" s="929"/>
      <c r="AI213" s="929"/>
      <c r="AJ213" s="1034" t="s">
        <v>587</v>
      </c>
    </row>
    <row r="214" spans="1:36" s="294" customFormat="1" ht="12.75" customHeight="1" outlineLevel="2">
      <c r="A214" s="553">
        <v>195</v>
      </c>
      <c r="D214" s="33"/>
      <c r="E214" s="16" t="s">
        <v>340</v>
      </c>
      <c r="F214" s="56">
        <f>'D-Kapazitäten 2009'!G11+F61</f>
        <v>0.08</v>
      </c>
      <c r="G214" s="325">
        <f t="shared" ref="G214:AE214" ca="1" si="21">F214+G204</f>
        <v>0.188</v>
      </c>
      <c r="H214" s="325">
        <f t="shared" ca="1" si="21"/>
        <v>0.28029999999999999</v>
      </c>
      <c r="I214" s="325">
        <f t="shared" ca="1" si="21"/>
        <v>0.52029999999999998</v>
      </c>
      <c r="J214" s="329">
        <f t="shared" ca="1" si="21"/>
        <v>0.998</v>
      </c>
      <c r="K214" s="325">
        <f t="shared" ca="1" si="21"/>
        <v>3.2829999999999995</v>
      </c>
      <c r="L214" s="329">
        <f t="shared" ca="1" si="21"/>
        <v>4.1009999999999991</v>
      </c>
      <c r="M214" s="325">
        <f t="shared" ca="1" si="21"/>
        <v>5.4069999999999991</v>
      </c>
      <c r="N214" s="326">
        <f t="shared" ca="1" si="21"/>
        <v>6.3569999999999993</v>
      </c>
      <c r="O214" s="327">
        <f t="shared" ca="1" si="21"/>
        <v>7.7659999999999991</v>
      </c>
      <c r="P214" s="325">
        <f t="shared" ca="1" si="21"/>
        <v>7.7659999999999991</v>
      </c>
      <c r="Q214" s="325">
        <f t="shared" ca="1" si="21"/>
        <v>7.7659999999999991</v>
      </c>
      <c r="R214" s="325">
        <f t="shared" ca="1" si="21"/>
        <v>8.1079999999999988</v>
      </c>
      <c r="S214" s="325">
        <f t="shared" ca="1" si="21"/>
        <v>9.0829999999999984</v>
      </c>
      <c r="T214" s="325">
        <f t="shared" ca="1" si="21"/>
        <v>9.9829999999999988</v>
      </c>
      <c r="U214" s="325">
        <f t="shared" ca="1" si="21"/>
        <v>10.882999999999999</v>
      </c>
      <c r="V214" s="325">
        <f t="shared" ca="1" si="21"/>
        <v>11.782999999999999</v>
      </c>
      <c r="W214" s="325">
        <f t="shared" ca="1" si="21"/>
        <v>12.683</v>
      </c>
      <c r="X214" s="325">
        <f t="shared" ca="1" si="21"/>
        <v>13.583</v>
      </c>
      <c r="Y214" s="325">
        <f t="shared" ca="1" si="21"/>
        <v>14.483000000000001</v>
      </c>
      <c r="Z214" s="325">
        <f t="shared" ca="1" si="21"/>
        <v>15.348000000000001</v>
      </c>
      <c r="AA214" s="325">
        <f t="shared" ca="1" si="21"/>
        <v>16.202999999999999</v>
      </c>
      <c r="AB214" s="325">
        <f t="shared" ca="1" si="21"/>
        <v>16.994699999999998</v>
      </c>
      <c r="AC214" s="325">
        <f t="shared" ca="1" si="21"/>
        <v>17.814699999999998</v>
      </c>
      <c r="AD214" s="325">
        <f t="shared" ca="1" si="21"/>
        <v>18.474699999999999</v>
      </c>
      <c r="AE214" s="326">
        <f t="shared" ca="1" si="21"/>
        <v>17.089700000000001</v>
      </c>
      <c r="AF214" s="929" t="s">
        <v>174</v>
      </c>
      <c r="AG214" s="929"/>
      <c r="AH214" s="929"/>
      <c r="AI214" s="929"/>
      <c r="AJ214" s="1034" t="s">
        <v>587</v>
      </c>
    </row>
    <row r="215" spans="1:36" s="294" customFormat="1" ht="12.75" customHeight="1" outlineLevel="2">
      <c r="A215" s="553">
        <v>196</v>
      </c>
      <c r="C215" s="10"/>
      <c r="D215" s="33"/>
      <c r="E215" s="296" t="s">
        <v>530</v>
      </c>
      <c r="F215" s="57">
        <f>'D-Kapazitäten 2009'!G12+F62</f>
        <v>17.943999999999999</v>
      </c>
      <c r="G215" s="302">
        <f t="shared" ref="G215:AE215" ca="1" si="22">F215+G205</f>
        <v>25.428157789</v>
      </c>
      <c r="H215" s="302">
        <f t="shared" ca="1" si="22"/>
        <v>33.030563054000005</v>
      </c>
      <c r="I215" s="75">
        <f t="shared" ca="1" si="22"/>
        <v>36.332808835000009</v>
      </c>
      <c r="J215" s="302">
        <f t="shared" ca="1" si="22"/>
        <v>37.127000000000002</v>
      </c>
      <c r="K215" s="302">
        <f t="shared" ca="1" si="22"/>
        <v>38.625</v>
      </c>
      <c r="L215" s="302">
        <f t="shared" ca="1" si="22"/>
        <v>40.15</v>
      </c>
      <c r="M215" s="302">
        <f t="shared" ca="1" si="22"/>
        <v>42.393999999999998</v>
      </c>
      <c r="N215" s="55">
        <f t="shared" ca="1" si="22"/>
        <v>44.798000000000002</v>
      </c>
      <c r="O215" s="303">
        <f t="shared" ca="1" si="22"/>
        <v>47.484999999999999</v>
      </c>
      <c r="P215" s="302">
        <f t="shared" ca="1" si="22"/>
        <v>51.475999999999999</v>
      </c>
      <c r="Q215" s="302">
        <f t="shared" ca="1" si="22"/>
        <v>56.816137519999998</v>
      </c>
      <c r="R215" s="302">
        <f t="shared" ca="1" si="22"/>
        <v>61.645498830000001</v>
      </c>
      <c r="S215" s="302">
        <f t="shared" ca="1" si="22"/>
        <v>64.687277280000004</v>
      </c>
      <c r="T215" s="302">
        <f t="shared" ca="1" si="22"/>
        <v>67.566830730000007</v>
      </c>
      <c r="U215" s="302">
        <f t="shared" ca="1" si="22"/>
        <v>70.039801430000011</v>
      </c>
      <c r="V215" s="302">
        <f t="shared" ca="1" si="22"/>
        <v>71.615199370000013</v>
      </c>
      <c r="W215" s="302">
        <f t="shared" ca="1" si="22"/>
        <v>73.270604420000012</v>
      </c>
      <c r="X215" s="302">
        <f t="shared" ca="1" si="22"/>
        <v>74.516853294000015</v>
      </c>
      <c r="Y215" s="302">
        <f t="shared" ca="1" si="22"/>
        <v>75.03731018400002</v>
      </c>
      <c r="Z215" s="302">
        <f t="shared" ca="1" si="22"/>
        <v>73.098850343999999</v>
      </c>
      <c r="AA215" s="302">
        <f t="shared" ca="1" si="22"/>
        <v>68.004974003999962</v>
      </c>
      <c r="AB215" s="302">
        <f t="shared" ca="1" si="22"/>
        <v>62.504583943999961</v>
      </c>
      <c r="AC215" s="302">
        <f t="shared" ca="1" si="22"/>
        <v>58.16229006399994</v>
      </c>
      <c r="AD215" s="302">
        <f t="shared" ca="1" si="22"/>
        <v>57.526669303999952</v>
      </c>
      <c r="AE215" s="55">
        <f t="shared" ca="1" si="22"/>
        <v>58.528669303999955</v>
      </c>
      <c r="AF215" s="929" t="s">
        <v>174</v>
      </c>
      <c r="AG215" s="929"/>
      <c r="AH215" s="929"/>
      <c r="AI215" s="929"/>
      <c r="AJ215" s="1034" t="s">
        <v>587</v>
      </c>
    </row>
    <row r="216" spans="1:36" s="294" customFormat="1" ht="12.75" customHeight="1" outlineLevel="1">
      <c r="A216" s="553">
        <v>197</v>
      </c>
      <c r="C216" s="10"/>
      <c r="D216" s="33"/>
      <c r="E216" s="27" t="s">
        <v>531</v>
      </c>
      <c r="F216" s="318">
        <f t="shared" ref="F216:M216" si="23">SUM(F209:F215)</f>
        <v>51.764696799999996</v>
      </c>
      <c r="G216" s="318">
        <f t="shared" ca="1" si="23"/>
        <v>62.207854589000007</v>
      </c>
      <c r="H216" s="318">
        <f t="shared" ca="1" si="23"/>
        <v>72.327359854000008</v>
      </c>
      <c r="I216" s="318">
        <f t="shared" ca="1" si="23"/>
        <v>78.885925635000007</v>
      </c>
      <c r="J216" s="318">
        <f t="shared" ca="1" si="23"/>
        <v>84.731673700000002</v>
      </c>
      <c r="K216" s="318">
        <f t="shared" ca="1" si="23"/>
        <v>92.39985178500001</v>
      </c>
      <c r="L216" s="318">
        <f t="shared" ca="1" si="23"/>
        <v>99.250728559999999</v>
      </c>
      <c r="M216" s="318">
        <f t="shared" ca="1" si="23"/>
        <v>107.86182855999999</v>
      </c>
      <c r="N216" s="319">
        <f ca="1">SUM(N209:N215)</f>
        <v>114.52282855999999</v>
      </c>
      <c r="O216" s="293">
        <f ca="1">SUM(O209:O215)</f>
        <v>119.57482856</v>
      </c>
      <c r="P216" s="318">
        <f ca="1">SUM(P209:P215)</f>
        <v>124.56182856000001</v>
      </c>
      <c r="Q216" s="318">
        <f t="shared" ref="Q216:AE216" ca="1" si="24">SUM(Q209:Q215)</f>
        <v>129.13140741000001</v>
      </c>
      <c r="R216" s="318">
        <f t="shared" ca="1" si="24"/>
        <v>133.50382411999999</v>
      </c>
      <c r="S216" s="318">
        <f t="shared" ca="1" si="24"/>
        <v>136.80744931999999</v>
      </c>
      <c r="T216" s="318">
        <f t="shared" ca="1" si="24"/>
        <v>140.10226142000002</v>
      </c>
      <c r="U216" s="318">
        <f t="shared" ca="1" si="24"/>
        <v>143.32733683000004</v>
      </c>
      <c r="V216" s="318">
        <f t="shared" ca="1" si="24"/>
        <v>145.97933577000003</v>
      </c>
      <c r="W216" s="318">
        <f t="shared" ca="1" si="24"/>
        <v>148.14836479000002</v>
      </c>
      <c r="X216" s="318">
        <f t="shared" ca="1" si="24"/>
        <v>150.65636006400001</v>
      </c>
      <c r="Y216" s="318">
        <f t="shared" ca="1" si="24"/>
        <v>153.64197255400003</v>
      </c>
      <c r="Z216" s="318">
        <f t="shared" ca="1" si="24"/>
        <v>151.98943017400001</v>
      </c>
      <c r="AA216" s="318">
        <f t="shared" ca="1" si="24"/>
        <v>148.29253239399998</v>
      </c>
      <c r="AB216" s="318">
        <f t="shared" ca="1" si="24"/>
        <v>143.26854126399996</v>
      </c>
      <c r="AC216" s="318">
        <f t="shared" ca="1" si="24"/>
        <v>139.63114280399995</v>
      </c>
      <c r="AD216" s="318">
        <f t="shared" ca="1" si="24"/>
        <v>138.94638600399998</v>
      </c>
      <c r="AE216" s="319">
        <f t="shared" ca="1" si="24"/>
        <v>137.37820791899998</v>
      </c>
      <c r="AF216" s="929" t="s">
        <v>174</v>
      </c>
      <c r="AG216" s="929"/>
      <c r="AH216" s="929"/>
      <c r="AI216" s="929"/>
      <c r="AJ216" s="1034"/>
    </row>
    <row r="217" spans="1:36" s="294" customFormat="1" ht="12.75" customHeight="1" outlineLevel="1">
      <c r="A217" s="553">
        <v>198</v>
      </c>
      <c r="C217" s="10"/>
      <c r="D217" s="33"/>
      <c r="F217" s="324"/>
      <c r="G217" s="324"/>
      <c r="H217" s="324"/>
      <c r="I217" s="324"/>
      <c r="J217" s="324"/>
      <c r="K217" s="324"/>
      <c r="L217" s="324"/>
      <c r="M217" s="324"/>
      <c r="N217" s="342"/>
      <c r="O217" s="289"/>
      <c r="P217" s="324"/>
      <c r="Q217" s="324"/>
      <c r="R217" s="324"/>
      <c r="S217" s="324"/>
      <c r="T217" s="324"/>
      <c r="U217" s="324"/>
      <c r="V217" s="324"/>
      <c r="W217" s="324"/>
      <c r="X217" s="324"/>
      <c r="Y217" s="324"/>
      <c r="Z217" s="324"/>
      <c r="AA217" s="324"/>
      <c r="AB217" s="324"/>
      <c r="AC217" s="324"/>
      <c r="AD217" s="324"/>
      <c r="AE217" s="324"/>
      <c r="AF217" s="929"/>
      <c r="AG217" s="929"/>
      <c r="AH217" s="929"/>
      <c r="AI217" s="929"/>
      <c r="AJ217" s="1034"/>
    </row>
    <row r="218" spans="1:36" s="294" customFormat="1" ht="13.2" outlineLevel="1">
      <c r="A218" s="553">
        <v>199</v>
      </c>
      <c r="C218" s="10"/>
      <c r="D218" s="33"/>
      <c r="E218" s="204" t="s">
        <v>538</v>
      </c>
      <c r="F218" s="324"/>
      <c r="G218" s="324"/>
      <c r="H218" s="324"/>
      <c r="I218" s="324"/>
      <c r="J218" s="324"/>
      <c r="K218" s="324"/>
      <c r="L218" s="324"/>
      <c r="M218" s="324"/>
      <c r="N218" s="342"/>
      <c r="O218" s="289"/>
      <c r="P218" s="324"/>
      <c r="Q218" s="324"/>
      <c r="R218" s="1044"/>
      <c r="S218" s="324"/>
      <c r="T218" s="324"/>
      <c r="U218" s="324"/>
      <c r="V218" s="324"/>
      <c r="W218" s="324"/>
      <c r="X218" s="324"/>
      <c r="Y218" s="324"/>
      <c r="Z218" s="324"/>
      <c r="AA218" s="324"/>
      <c r="AB218" s="324"/>
      <c r="AC218" s="324"/>
      <c r="AD218" s="324"/>
      <c r="AE218" s="324"/>
      <c r="AF218" s="929"/>
      <c r="AG218" s="929" t="s">
        <v>176</v>
      </c>
      <c r="AH218" s="929"/>
      <c r="AI218" s="929"/>
      <c r="AJ218" s="1034" t="s">
        <v>588</v>
      </c>
    </row>
    <row r="219" spans="1:36" s="294" customFormat="1" ht="12.75" customHeight="1" outlineLevel="1">
      <c r="A219" s="553">
        <v>200</v>
      </c>
      <c r="C219" s="10"/>
      <c r="D219" s="33"/>
      <c r="E219" s="314" t="s">
        <v>529</v>
      </c>
      <c r="F219" s="316"/>
      <c r="G219" s="316"/>
      <c r="H219" s="316"/>
      <c r="I219" s="316"/>
      <c r="J219" s="316"/>
      <c r="K219" s="624">
        <f>IF(SUM($K56:K56)&gt;0,SUMPRODUCT($K56:K56,$K92:K92)/SUM($K56:K56),0)</f>
        <v>0</v>
      </c>
      <c r="L219" s="624">
        <f>IF(SUM($K56:L56)&gt;0,SUMPRODUCT($K56:L56,$K92:L92)/SUM($K56:L56),0)</f>
        <v>0</v>
      </c>
      <c r="M219" s="624">
        <f>IF(SUM($K56:M56)&gt;0,SUMPRODUCT($K56:M56,$K92:M92)/SUM($K56:M56),0)</f>
        <v>0</v>
      </c>
      <c r="N219" s="625">
        <f>IF(SUM($K56:N56)&gt;0,SUMPRODUCT($K56:N56,$K92:N92)/SUM($K56:N56),0)</f>
        <v>0</v>
      </c>
      <c r="O219" s="626">
        <f>IF(SUM($K56:O56)&gt;0,SUMPRODUCT($K56:O56,$K92:O92)/SUM($K56:O56),0)</f>
        <v>0</v>
      </c>
      <c r="P219" s="624">
        <f>IF(SUM($K56:P56)&gt;0,SUMPRODUCT($K56:P56,$K92:P92)/SUM($K56:P56),0)</f>
        <v>141.73015513262263</v>
      </c>
      <c r="Q219" s="624">
        <f>IF(SUM($K56:Q56)&gt;0,SUMPRODUCT($K56:Q56,$K92:Q92)/SUM($K56:Q56),0)</f>
        <v>141.73015513262263</v>
      </c>
      <c r="R219" s="624">
        <f>IF(SUM($K56:R56)&gt;0,SUMPRODUCT($K56:R56,$K92:R92)/SUM($K56:R56),0)</f>
        <v>141.73015513262263</v>
      </c>
      <c r="S219" s="624">
        <f>IF(SUM($K56:S56)&gt;0,SUMPRODUCT($K56:S56,$K92:S92)/SUM($K56:S56),0)</f>
        <v>141.73015513262263</v>
      </c>
      <c r="T219" s="624">
        <f>IF(SUM($K56:T56)&gt;0,SUMPRODUCT($K56:T56,$K92:T92)/SUM($K56:T56),0)</f>
        <v>141.73015513262263</v>
      </c>
      <c r="U219" s="624">
        <f>IF(SUM($K56:U56)&gt;0,SUMPRODUCT($K56:U56,$K92:U92)/SUM($K56:U56),0)</f>
        <v>141.73015513262263</v>
      </c>
      <c r="V219" s="624">
        <f>IF(SUM($K56:V56)&gt;0,SUMPRODUCT($K56:V56,$K92:V92)/SUM($K56:V56),0)</f>
        <v>141.73015513262263</v>
      </c>
      <c r="W219" s="624">
        <f>IF(SUM($K56:W56)&gt;0,SUMPRODUCT($K56:W56,$K92:W92)/SUM($K56:W56),0)</f>
        <v>141.73015513262263</v>
      </c>
      <c r="X219" s="624">
        <f>IF(SUM($K56:X56)&gt;0,SUMPRODUCT($K56:X56,$K92:X92)/SUM($K56:X56),0)</f>
        <v>141.73015513262263</v>
      </c>
      <c r="Y219" s="624">
        <f>IF(SUM($K56:Y56)&gt;0,SUMPRODUCT($K56:Y56,$K92:Y92)/SUM($K56:Y56),0)</f>
        <v>141.73015513262263</v>
      </c>
      <c r="Z219" s="624">
        <f>IF(SUM($K56:Z56)&gt;0,SUMPRODUCT($K56:Z56,$K92:Z92)/SUM($K56:Z56),0)</f>
        <v>141.73015513262263</v>
      </c>
      <c r="AA219" s="624">
        <f>IF(SUM($K56:AA56)&gt;0,SUMPRODUCT($K56:AA56,$K92:AA92)/SUM($K56:AA56),0)</f>
        <v>141.73015513262263</v>
      </c>
      <c r="AB219" s="624">
        <f>IF(SUM($K56:AB56)&gt;0,SUMPRODUCT($K56:AB56,$K92:AB92)/SUM($K56:AB56),0)</f>
        <v>141.73015513262263</v>
      </c>
      <c r="AC219" s="624">
        <f>IF(SUM($K56:AC56)&gt;0,SUMPRODUCT($K56:AC56,$K92:AC92)/SUM($K56:AC56),0)</f>
        <v>141.73015513262263</v>
      </c>
      <c r="AD219" s="624">
        <f>IF(SUM($K56:AD56)&gt;0,SUMPRODUCT($K56:AD56,$K92:AD92)/SUM($K56:AD56),0)</f>
        <v>141.73015513262263</v>
      </c>
      <c r="AE219" s="625">
        <f>IF(SUM($K56:AE56)&gt;0,SUMPRODUCT($K56:AE56,$K92:AE92)/SUM($K56:AE56),0)</f>
        <v>141.73015513262263</v>
      </c>
      <c r="AF219" s="929"/>
      <c r="AG219" s="929" t="s">
        <v>176</v>
      </c>
      <c r="AH219" s="929"/>
      <c r="AI219" s="929"/>
      <c r="AJ219" s="1034"/>
    </row>
    <row r="220" spans="1:36" s="294" customFormat="1" ht="12.75" customHeight="1" outlineLevel="1">
      <c r="A220" s="553">
        <v>201</v>
      </c>
      <c r="C220" s="10"/>
      <c r="D220" s="33"/>
      <c r="E220" s="16" t="s">
        <v>349</v>
      </c>
      <c r="F220" s="325"/>
      <c r="G220" s="325"/>
      <c r="H220" s="325"/>
      <c r="I220" s="325"/>
      <c r="J220" s="325"/>
      <c r="K220" s="627">
        <f>IF(SUM($K57:K57)&gt;0,SUMPRODUCT($K57:K57,$K93:K93)/SUM($K57:K57),0)</f>
        <v>2901</v>
      </c>
      <c r="L220" s="627">
        <f>IF(SUM($K57:L57)&gt;0,SUMPRODUCT($K57:L57,$K93:L93)/SUM($K57:L57),0)</f>
        <v>2901</v>
      </c>
      <c r="M220" s="627">
        <f>IF(SUM($K57:M57)&gt;0,SUMPRODUCT($K57:M57,$K93:M93)/SUM($K57:M57),0)</f>
        <v>2935.3850599232055</v>
      </c>
      <c r="N220" s="628">
        <f>IF(SUM($K57:N57)&gt;0,SUMPRODUCT($K57:N57,$K93:N93)/SUM($K57:N57),0)</f>
        <v>3022.0627801132619</v>
      </c>
      <c r="O220" s="629">
        <f>IF(SUM($K57:O57)&gt;0,SUMPRODUCT($K57:O57,$K93:O93)/SUM($K57:O57),0)</f>
        <v>3044.3216935835885</v>
      </c>
      <c r="P220" s="627">
        <f>IF(SUM($K57:P57)&gt;0,SUMPRODUCT($K57:P57,$K93:P93)/SUM($K57:P57),0)</f>
        <v>3054.9783432277059</v>
      </c>
      <c r="Q220" s="627">
        <f>IF(SUM($K57:Q57)&gt;0,SUMPRODUCT($K57:Q57,$K93:Q93)/SUM($K57:Q57),0)</f>
        <v>3054.9783432277059</v>
      </c>
      <c r="R220" s="627">
        <f>IF(SUM($K57:R57)&gt;0,SUMPRODUCT($K57:R57,$K93:R93)/SUM($K57:R57),0)</f>
        <v>3054.9783432277059</v>
      </c>
      <c r="S220" s="627">
        <f>IF(SUM($K57:S57)&gt;0,SUMPRODUCT($K57:S57,$K93:S93)/SUM($K57:S57),0)</f>
        <v>3054.9783432277059</v>
      </c>
      <c r="T220" s="627">
        <f>IF(SUM($K57:T57)&gt;0,SUMPRODUCT($K57:T57,$K93:T93)/SUM($K57:T57),0)</f>
        <v>3054.9783432277059</v>
      </c>
      <c r="U220" s="627">
        <f>IF(SUM($K57:U57)&gt;0,SUMPRODUCT($K57:U57,$K93:U93)/SUM($K57:U57),0)</f>
        <v>3054.9783432277059</v>
      </c>
      <c r="V220" s="627">
        <f>IF(SUM($K57:V57)&gt;0,SUMPRODUCT($K57:V57,$K93:V93)/SUM($K57:V57),0)</f>
        <v>3054.9783432277059</v>
      </c>
      <c r="W220" s="627">
        <f>IF(SUM($K57:W57)&gt;0,SUMPRODUCT($K57:W57,$K93:W93)/SUM($K57:W57),0)</f>
        <v>3054.9783432277059</v>
      </c>
      <c r="X220" s="627">
        <f>IF(SUM($K57:X57)&gt;0,SUMPRODUCT($K57:X57,$K93:X93)/SUM($K57:X57),0)</f>
        <v>3054.9783432277059</v>
      </c>
      <c r="Y220" s="627">
        <f>IF(SUM($K57:Y57)&gt;0,SUMPRODUCT($K57:Y57,$K93:Y93)/SUM($K57:Y57),0)</f>
        <v>3054.9783432277059</v>
      </c>
      <c r="Z220" s="627">
        <f>IF(SUM($K57:Z57)&gt;0,SUMPRODUCT($K57:Z57,$K93:Z93)/SUM($K57:Z57),0)</f>
        <v>3054.9783432277059</v>
      </c>
      <c r="AA220" s="627">
        <f>IF(SUM($K57:AA57)&gt;0,SUMPRODUCT($K57:AA57,$K93:AA93)/SUM($K57:AA57),0)</f>
        <v>3054.9783432277059</v>
      </c>
      <c r="AB220" s="627">
        <f>IF(SUM($K57:AB57)&gt;0,SUMPRODUCT($K57:AB57,$K93:AB93)/SUM($K57:AB57),0)</f>
        <v>3054.9783432277059</v>
      </c>
      <c r="AC220" s="627">
        <f>IF(SUM($K57:AC57)&gt;0,SUMPRODUCT($K57:AC57,$K93:AC93)/SUM($K57:AC57),0)</f>
        <v>3054.9783432277059</v>
      </c>
      <c r="AD220" s="627">
        <f>IF(SUM($K57:AD57)&gt;0,SUMPRODUCT($K57:AD57,$K93:AD93)/SUM($K57:AD57),0)</f>
        <v>3054.9783432277059</v>
      </c>
      <c r="AE220" s="628">
        <f>IF(SUM($K57:AE57)&gt;0,SUMPRODUCT($K57:AE57,$K93:AE93)/SUM($K57:AE57),0)</f>
        <v>3054.9783432277059</v>
      </c>
      <c r="AF220" s="929"/>
      <c r="AG220" s="929" t="s">
        <v>176</v>
      </c>
      <c r="AH220" s="929"/>
      <c r="AI220" s="929"/>
      <c r="AJ220" s="1034"/>
    </row>
    <row r="221" spans="1:36" s="294" customFormat="1" ht="12.75" customHeight="1" outlineLevel="1">
      <c r="A221" s="553">
        <v>202</v>
      </c>
      <c r="C221" s="10"/>
      <c r="D221" s="33"/>
      <c r="E221" s="16" t="s">
        <v>11</v>
      </c>
      <c r="F221" s="325"/>
      <c r="G221" s="325"/>
      <c r="H221" s="325"/>
      <c r="I221" s="325"/>
      <c r="J221" s="325"/>
      <c r="K221" s="627">
        <f>IF(SUM($K58:K58)&gt;0,SUMPRODUCT($K58:K58,$K94:K94)/SUM($K58:K58),0)</f>
        <v>5957</v>
      </c>
      <c r="L221" s="627">
        <f>IF(SUM($K58:L58)&gt;0,SUMPRODUCT($K58:L58,$K94:L94)/SUM($K58:L58),0)</f>
        <v>5957</v>
      </c>
      <c r="M221" s="627">
        <f>IF(SUM($K58:M58)&gt;0,SUMPRODUCT($K58:M58,$K94:M94)/SUM($K58:M58),0)</f>
        <v>5775.9512205808041</v>
      </c>
      <c r="N221" s="628">
        <f>IF(SUM($K58:N58)&gt;0,SUMPRODUCT($K58:N58,$K94:N94)/SUM($K58:N58),0)</f>
        <v>5666.7444078596391</v>
      </c>
      <c r="O221" s="629">
        <f>IF(SUM($K58:O58)&gt;0,SUMPRODUCT($K58:O58,$K94:O94)/SUM($K58:O58),0)</f>
        <v>5556.2804868420308</v>
      </c>
      <c r="P221" s="627">
        <f>IF(SUM($K58:P58)&gt;0,SUMPRODUCT($K58:P58,$K94:P94)/SUM($K58:P58),0)</f>
        <v>5531.4086245476556</v>
      </c>
      <c r="Q221" s="627">
        <f>IF(SUM($K58:Q58)&gt;0,SUMPRODUCT($K58:Q58,$K94:Q94)/SUM($K58:Q58),0)</f>
        <v>5499.9520840271889</v>
      </c>
      <c r="R221" s="627">
        <f>IF(SUM($K58:R58)&gt;0,SUMPRODUCT($K58:R58,$K94:R94)/SUM($K58:R58),0)</f>
        <v>5491.3829257788193</v>
      </c>
      <c r="S221" s="627">
        <f>IF(SUM($K58:S58)&gt;0,SUMPRODUCT($K58:S58,$K94:S94)/SUM($K58:S58),0)</f>
        <v>5482.3289328275405</v>
      </c>
      <c r="T221" s="627">
        <f>IF(SUM($K58:T58)&gt;0,SUMPRODUCT($K58:T58,$K94:T94)/SUM($K58:T58),0)</f>
        <v>5472.4923807453824</v>
      </c>
      <c r="U221" s="627">
        <f>IF(SUM($K58:U58)&gt;0,SUMPRODUCT($K58:U58,$K94:U94)/SUM($K58:U58),0)</f>
        <v>5462.9853364095861</v>
      </c>
      <c r="V221" s="627">
        <f>IF(SUM($K58:V58)&gt;0,SUMPRODUCT($K58:V58,$K94:V94)/SUM($K58:V58),0)</f>
        <v>5427.2848960990368</v>
      </c>
      <c r="W221" s="627">
        <f>IF(SUM($K58:W58)&gt;0,SUMPRODUCT($K58:W58,$K94:W94)/SUM($K58:W58),0)</f>
        <v>5399.6082423836915</v>
      </c>
      <c r="X221" s="627">
        <f>IF(SUM($K58:X58)&gt;0,SUMPRODUCT($K58:X58,$K94:X94)/SUM($K58:X58),0)</f>
        <v>5377.5235935420096</v>
      </c>
      <c r="Y221" s="627">
        <f>IF(SUM($K58:Y58)&gt;0,SUMPRODUCT($K58:Y58,$K94:Y94)/SUM($K58:Y58),0)</f>
        <v>5359.4916752315648</v>
      </c>
      <c r="Z221" s="627">
        <f>IF(SUM($K58:Z58)&gt;0,SUMPRODUCT($K58:Z58,$K94:Z94)/SUM($K58:Z58),0)</f>
        <v>5344.4906748886633</v>
      </c>
      <c r="AA221" s="627">
        <f>IF(SUM($K58:AA58)&gt;0,SUMPRODUCT($K58:AA58,$K94:AA94)/SUM($K58:AA58),0)</f>
        <v>5331.815654179044</v>
      </c>
      <c r="AB221" s="627">
        <f>IF(SUM($K58:AB58)&gt;0,SUMPRODUCT($K58:AB58,$K94:AB94)/SUM($K58:AB58),0)</f>
        <v>5320.9645544029936</v>
      </c>
      <c r="AC221" s="627">
        <f>IF(SUM($K58:AC58)&gt;0,SUMPRODUCT($K58:AC58,$K94:AC94)/SUM($K58:AC58),0)</f>
        <v>5311.5701099190082</v>
      </c>
      <c r="AD221" s="627">
        <f>IF(SUM($K58:AD58)&gt;0,SUMPRODUCT($K58:AD58,$K94:AD94)/SUM($K58:AD58),0)</f>
        <v>5303.3574567943706</v>
      </c>
      <c r="AE221" s="628">
        <f>IF(SUM($K58:AE58)&gt;0,SUMPRODUCT($K58:AE58,$K94:AE94)/SUM($K58:AE58),0)</f>
        <v>5296.1167928399491</v>
      </c>
      <c r="AF221" s="929"/>
      <c r="AG221" s="929" t="s">
        <v>176</v>
      </c>
      <c r="AH221" s="929"/>
      <c r="AI221" s="929"/>
      <c r="AJ221" s="1034"/>
    </row>
    <row r="222" spans="1:36" s="294" customFormat="1" ht="12.75" customHeight="1" outlineLevel="1">
      <c r="A222" s="553">
        <v>203</v>
      </c>
      <c r="C222" s="10"/>
      <c r="D222" s="33"/>
      <c r="E222" s="16" t="s">
        <v>10</v>
      </c>
      <c r="F222" s="325"/>
      <c r="G222" s="325"/>
      <c r="H222" s="325"/>
      <c r="I222" s="325"/>
      <c r="J222" s="325"/>
      <c r="K222" s="627">
        <f>IF(SUM($K59:K59)&gt;0,SUMPRODUCT($K59:K59,$K95:K95)/SUM($K59:K59),0)</f>
        <v>0</v>
      </c>
      <c r="L222" s="627">
        <f>IF(SUM($K59:L59)&gt;0,SUMPRODUCT($K59:L59,$K95:L95)/SUM($K59:L59),0)</f>
        <v>4341</v>
      </c>
      <c r="M222" s="627">
        <f>IF(SUM($K59:M59)&gt;0,SUMPRODUCT($K59:M59,$K95:M95)/SUM($K59:M59),0)</f>
        <v>4901.8571428571422</v>
      </c>
      <c r="N222" s="628">
        <f>IF(SUM($K59:N59)&gt;0,SUMPRODUCT($K59:N59,$K95:N95)/SUM($K59:N59),0)</f>
        <v>5486.083333333333</v>
      </c>
      <c r="O222" s="629">
        <f>IF(SUM($K59:O59)&gt;0,SUMPRODUCT($K59:O59,$K95:O95)/SUM($K59:O59),0)</f>
        <v>5716.0624999999982</v>
      </c>
      <c r="P222" s="627">
        <f>IF(SUM($K59:P59)&gt;0,SUMPRODUCT($K59:P59,$K95:P95)/SUM($K59:P59),0)</f>
        <v>5654.3809523809505</v>
      </c>
      <c r="Q222" s="627">
        <f>IF(SUM($K59:Q59)&gt;0,SUMPRODUCT($K59:Q59,$K95:Q95)/SUM($K59:Q59),0)</f>
        <v>5654.3809523809505</v>
      </c>
      <c r="R222" s="627">
        <f>IF(SUM($K59:R59)&gt;0,SUMPRODUCT($K59:R59,$K95:R95)/SUM($K59:R59),0)</f>
        <v>5654.3809523809505</v>
      </c>
      <c r="S222" s="627">
        <f>IF(SUM($K59:S59)&gt;0,SUMPRODUCT($K59:S59,$K95:S95)/SUM($K59:S59),0)</f>
        <v>5654.3809523809505</v>
      </c>
      <c r="T222" s="627">
        <f>IF(SUM($K59:T59)&gt;0,SUMPRODUCT($K59:T59,$K95:T95)/SUM($K59:T59),0)</f>
        <v>5654.3809523809505</v>
      </c>
      <c r="U222" s="627">
        <f>IF(SUM($K59:U59)&gt;0,SUMPRODUCT($K59:U59,$K95:U95)/SUM($K59:U59),0)</f>
        <v>5654.3809523809505</v>
      </c>
      <c r="V222" s="627">
        <f>IF(SUM($K59:V59)&gt;0,SUMPRODUCT($K59:V59,$K95:V95)/SUM($K59:V59),0)</f>
        <v>5654.3809523809505</v>
      </c>
      <c r="W222" s="627">
        <f>IF(SUM($K59:W59)&gt;0,SUMPRODUCT($K59:W59,$K95:W95)/SUM($K59:W59),0)</f>
        <v>5654.3809523809505</v>
      </c>
      <c r="X222" s="627">
        <f>IF(SUM($K59:X59)&gt;0,SUMPRODUCT($K59:X59,$K95:X95)/SUM($K59:X59),0)</f>
        <v>5654.3809523809505</v>
      </c>
      <c r="Y222" s="627">
        <f>IF(SUM($K59:Y59)&gt;0,SUMPRODUCT($K59:Y59,$K95:Y95)/SUM($K59:Y59),0)</f>
        <v>5654.3809523809505</v>
      </c>
      <c r="Z222" s="627">
        <f>IF(SUM($K59:Z59)&gt;0,SUMPRODUCT($K59:Z59,$K95:Z95)/SUM($K59:Z59),0)</f>
        <v>5654.3809523809505</v>
      </c>
      <c r="AA222" s="627">
        <f>IF(SUM($K59:AA59)&gt;0,SUMPRODUCT($K59:AA59,$K95:AA95)/SUM($K59:AA59),0)</f>
        <v>5654.3809523809505</v>
      </c>
      <c r="AB222" s="627">
        <f>IF(SUM($K59:AB59)&gt;0,SUMPRODUCT($K59:AB59,$K95:AB95)/SUM($K59:AB59),0)</f>
        <v>5654.3809523809505</v>
      </c>
      <c r="AC222" s="627">
        <f>IF(SUM($K59:AC59)&gt;0,SUMPRODUCT($K59:AC59,$K95:AC95)/SUM($K59:AC59),0)</f>
        <v>5654.3809523809505</v>
      </c>
      <c r="AD222" s="627">
        <f>IF(SUM($K59:AD59)&gt;0,SUMPRODUCT($K59:AD59,$K95:AD95)/SUM($K59:AD59),0)</f>
        <v>5654.3809523809505</v>
      </c>
      <c r="AE222" s="628">
        <f>IF(SUM($K59:AE59)&gt;0,SUMPRODUCT($K59:AE59,$K95:AE95)/SUM($K59:AE59),0)</f>
        <v>5654.3809523809505</v>
      </c>
      <c r="AF222" s="929"/>
      <c r="AG222" s="929" t="s">
        <v>176</v>
      </c>
      <c r="AH222" s="929"/>
      <c r="AI222" s="929"/>
      <c r="AJ222" s="1034"/>
    </row>
    <row r="223" spans="1:36" s="294" customFormat="1" ht="12.75" customHeight="1" outlineLevel="1">
      <c r="A223" s="553">
        <v>204</v>
      </c>
      <c r="C223" s="10"/>
      <c r="D223" s="33"/>
      <c r="E223" s="16" t="s">
        <v>339</v>
      </c>
      <c r="F223" s="325"/>
      <c r="G223" s="325"/>
      <c r="H223" s="325"/>
      <c r="I223" s="325"/>
      <c r="J223" s="325"/>
      <c r="K223" s="627">
        <f>IF(SUM($K60:K60)&gt;0,SUMPRODUCT($K60:K60,$K96:K96)/SUM($K60:K60),0)</f>
        <v>1768</v>
      </c>
      <c r="L223" s="627">
        <f>IF(SUM($K60:L60)&gt;0,SUMPRODUCT($K60:L60,$K96:L96)/SUM($K60:L60),0)</f>
        <v>1768.0000000000002</v>
      </c>
      <c r="M223" s="627">
        <f>IF(SUM($K60:M60)&gt;0,SUMPRODUCT($K60:M60,$K96:M96)/SUM($K60:M60),0)</f>
        <v>1782.8430406212667</v>
      </c>
      <c r="N223" s="628">
        <f>IF(SUM($K60:N60)&gt;0,SUMPRODUCT($K60:N60,$K96:N96)/SUM($K60:N60),0)</f>
        <v>1788.4008789642478</v>
      </c>
      <c r="O223" s="629">
        <f>IF(SUM($K60:O60)&gt;0,SUMPRODUCT($K60:O60,$K96:O96)/SUM($K60:O60),0)</f>
        <v>1795.5854973591549</v>
      </c>
      <c r="P223" s="627">
        <f>IF(SUM($K60:P60)&gt;0,SUMPRODUCT($K60:P60,$K96:P96)/SUM($K60:P60),0)</f>
        <v>1815.4381988208986</v>
      </c>
      <c r="Q223" s="627">
        <f>IF(SUM($K60:Q60)&gt;0,SUMPRODUCT($K60:Q60,$K96:Q96)/SUM($K60:Q60),0)</f>
        <v>1834.3200793350964</v>
      </c>
      <c r="R223" s="627">
        <f>IF(SUM($K60:R60)&gt;0,SUMPRODUCT($K60:R60,$K96:R96)/SUM($K60:R60),0)</f>
        <v>1860.0950120814637</v>
      </c>
      <c r="S223" s="627">
        <f>IF(SUM($K60:S60)&gt;0,SUMPRODUCT($K60:S60,$K96:S96)/SUM($K60:S60),0)</f>
        <v>1891.82746533728</v>
      </c>
      <c r="T223" s="627">
        <f>IF(SUM($K60:T60)&gt;0,SUMPRODUCT($K60:T60,$K96:T96)/SUM($K60:T60),0)</f>
        <v>1923.2524843838728</v>
      </c>
      <c r="U223" s="627">
        <f>IF(SUM($K60:U60)&gt;0,SUMPRODUCT($K60:U60,$K96:U96)/SUM($K60:U60),0)</f>
        <v>1959.1720563306819</v>
      </c>
      <c r="V223" s="627">
        <f>IF(SUM($K60:V60)&gt;0,SUMPRODUCT($K60:V60,$K96:V96)/SUM($K60:V60),0)</f>
        <v>1994.1241258741259</v>
      </c>
      <c r="W223" s="627">
        <f>IF(SUM($K60:W60)&gt;0,SUMPRODUCT($K60:W60,$K96:W96)/SUM($K60:W60),0)</f>
        <v>2026.6583137122996</v>
      </c>
      <c r="X223" s="627">
        <f>IF(SUM($K60:X60)&gt;0,SUMPRODUCT($K60:X60,$K96:X96)/SUM($K60:X60),0)</f>
        <v>2056.4768964794634</v>
      </c>
      <c r="Y223" s="627">
        <f>IF(SUM($K60:Y60)&gt;0,SUMPRODUCT($K60:Y60,$K96:Y96)/SUM($K60:Y60),0)</f>
        <v>2083.6661632693199</v>
      </c>
      <c r="Z223" s="627">
        <f>IF(SUM($K60:Z60)&gt;0,SUMPRODUCT($K60:Z60,$K96:Z96)/SUM($K60:Z60),0)</f>
        <v>2108.4388284496677</v>
      </c>
      <c r="AA223" s="627">
        <f>IF(SUM($K60:AA60)&gt;0,SUMPRODUCT($K60:AA60,$K96:AA96)/SUM($K60:AA60),0)</f>
        <v>2131.037923427537</v>
      </c>
      <c r="AB223" s="627">
        <f>IF(SUM($K60:AB60)&gt;0,SUMPRODUCT($K60:AB60,$K96:AB96)/SUM($K60:AB60),0)</f>
        <v>2151.6997714728532</v>
      </c>
      <c r="AC223" s="627">
        <f>IF(SUM($K60:AC60)&gt;0,SUMPRODUCT($K60:AC60,$K96:AC96)/SUM($K60:AC60),0)</f>
        <v>2170.6405221321156</v>
      </c>
      <c r="AD223" s="627">
        <f>IF(SUM($K60:AD60)&gt;0,SUMPRODUCT($K60:AD60,$K96:AD96)/SUM($K60:AD60),0)</f>
        <v>2188.0524879563545</v>
      </c>
      <c r="AE223" s="628">
        <f>IF(SUM($K60:AE60)&gt;0,SUMPRODUCT($K60:AE60,$K96:AE96)/SUM($K60:AE60),0)</f>
        <v>2206.5500233416033</v>
      </c>
      <c r="AF223" s="929"/>
      <c r="AG223" s="929" t="s">
        <v>176</v>
      </c>
      <c r="AH223" s="929"/>
      <c r="AI223" s="929"/>
      <c r="AJ223" s="1034"/>
    </row>
    <row r="224" spans="1:36" s="294" customFormat="1" ht="12.75" customHeight="1" outlineLevel="1">
      <c r="A224" s="553">
        <v>205</v>
      </c>
      <c r="C224" s="10"/>
      <c r="D224" s="33"/>
      <c r="E224" s="16" t="s">
        <v>340</v>
      </c>
      <c r="F224" s="325"/>
      <c r="G224" s="325"/>
      <c r="H224" s="325"/>
      <c r="I224" s="325"/>
      <c r="J224" s="325"/>
      <c r="K224" s="627">
        <f>IF(SUM($K61:K61)&gt;0,SUMPRODUCT($K61:K61,$K97:K97)/SUM($K61:K61),0)</f>
        <v>3280</v>
      </c>
      <c r="L224" s="627">
        <f>IF(SUM($K61:L61)&gt;0,SUMPRODUCT($K61:L61,$K97:L97)/SUM($K61:L61),0)</f>
        <v>3280.0000000000005</v>
      </c>
      <c r="M224" s="627">
        <f>IF(SUM($K61:M61)&gt;0,SUMPRODUCT($K61:M61,$K97:M97)/SUM($K61:M61),0)</f>
        <v>3391.968246767975</v>
      </c>
      <c r="N224" s="628">
        <f>IF(SUM($K61:N61)&gt;0,SUMPRODUCT($K61:N61,$K97:N97)/SUM($K61:N61),0)</f>
        <v>3428.8464265721223</v>
      </c>
      <c r="O224" s="629">
        <f>IF(SUM($K61:O61)&gt;0,SUMPRODUCT($K61:O61,$K97:O97)/SUM($K61:O61),0)</f>
        <v>3447.4069148936173</v>
      </c>
      <c r="P224" s="627">
        <f>IF(SUM($K61:P61)&gt;0,SUMPRODUCT($K61:P61,$K97:P97)/SUM($K61:P61),0)</f>
        <v>3447.4069148936173</v>
      </c>
      <c r="Q224" s="627">
        <f>IF(SUM($K61:Q61)&gt;0,SUMPRODUCT($K61:Q61,$K97:Q97)/SUM($K61:Q61),0)</f>
        <v>3447.4069148936173</v>
      </c>
      <c r="R224" s="627">
        <f>IF(SUM($K61:R61)&gt;0,SUMPRODUCT($K61:R61,$K97:R97)/SUM($K61:R61),0)</f>
        <v>3486.9746835443043</v>
      </c>
      <c r="S224" s="627">
        <f>IF(SUM($K61:S61)&gt;0,SUMPRODUCT($K61:S61,$K97:S97)/SUM($K61:S61),0)</f>
        <v>3585.2615955473107</v>
      </c>
      <c r="T224" s="627">
        <f>IF(SUM($K61:T61)&gt;0,SUMPRODUCT($K61:T61,$K97:T97)/SUM($K61:T61),0)</f>
        <v>3662.8647746243746</v>
      </c>
      <c r="U224" s="627">
        <f>IF(SUM($K61:U61)&gt;0,SUMPRODUCT($K61:U61,$K97:U97)/SUM($K61:U61),0)</f>
        <v>3736.6555386949931</v>
      </c>
      <c r="V224" s="627">
        <f>IF(SUM($K61:V61)&gt;0,SUMPRODUCT($K61:V61,$K97:V97)/SUM($K61:V61),0)</f>
        <v>3802.8595271210015</v>
      </c>
      <c r="W224" s="627">
        <f>IF(SUM($K61:W61)&gt;0,SUMPRODUCT($K61:W61,$K97:W97)/SUM($K61:W61),0)</f>
        <v>3861.4839537869061</v>
      </c>
      <c r="X224" s="627">
        <f>IF(SUM($K61:X61)&gt;0,SUMPRODUCT($K61:X61,$K97:X97)/SUM($K61:X61),0)</f>
        <v>3913.3444576877232</v>
      </c>
      <c r="Y224" s="627">
        <f>IF(SUM($K61:Y61)&gt;0,SUMPRODUCT($K61:Y61,$K97:Y97)/SUM($K61:Y61),0)</f>
        <v>3959.3631018592082</v>
      </c>
      <c r="Z224" s="627">
        <f>IF(SUM($K61:Z61)&gt;0,SUMPRODUCT($K61:Z61,$K97:Z97)/SUM($K61:Z61),0)</f>
        <v>4000.3831371964843</v>
      </c>
      <c r="AA224" s="627">
        <f>IF(SUM($K61:AA61)&gt;0,SUMPRODUCT($K61:AA61,$K97:AA97)/SUM($K61:AA61),0)</f>
        <v>4037.1286508715357</v>
      </c>
      <c r="AB224" s="627">
        <f>IF(SUM($K61:AB61)&gt;0,SUMPRODUCT($K61:AB61,$K97:AB97)/SUM($K61:AB61),0)</f>
        <v>4070.207687894434</v>
      </c>
      <c r="AC224" s="627">
        <f>IF(SUM($K61:AC61)&gt;0,SUMPRODUCT($K61:AC61,$K97:AC97)/SUM($K61:AC61),0)</f>
        <v>4100.1273084539098</v>
      </c>
      <c r="AD224" s="627">
        <f>IF(SUM($K61:AD61)&gt;0,SUMPRODUCT($K61:AD61,$K97:AD97)/SUM($K61:AD61),0)</f>
        <v>4127.3102621593025</v>
      </c>
      <c r="AE224" s="628">
        <f>IF(SUM($K61:AE61)&gt;0,SUMPRODUCT($K61:AE61,$K97:AE97)/SUM($K61:AE61),0)</f>
        <v>4154.6028628506783</v>
      </c>
      <c r="AF224" s="929"/>
      <c r="AG224" s="929" t="s">
        <v>176</v>
      </c>
      <c r="AH224" s="929"/>
      <c r="AI224" s="929"/>
      <c r="AJ224" s="1034"/>
    </row>
    <row r="225" spans="1:36" s="294" customFormat="1" ht="12.75" customHeight="1" outlineLevel="1">
      <c r="A225" s="553">
        <v>206</v>
      </c>
      <c r="C225" s="10"/>
      <c r="D225" s="33"/>
      <c r="E225" s="296" t="s">
        <v>530</v>
      </c>
      <c r="F225" s="302"/>
      <c r="G225" s="302"/>
      <c r="H225" s="302"/>
      <c r="I225" s="302"/>
      <c r="J225" s="302"/>
      <c r="K225" s="630">
        <f>IF(SUM($K62:K62)&gt;0,SUMPRODUCT($K62:K62,$K98:K98)/SUM($K62:K62),0)</f>
        <v>941</v>
      </c>
      <c r="L225" s="630">
        <f>IF(SUM($K62:L62)&gt;0,SUMPRODUCT($K62:L62,$K98:L98)/SUM($K62:L62),0)</f>
        <v>941.00000000000011</v>
      </c>
      <c r="M225" s="630">
        <f>IF(SUM($K62:M62)&gt;0,SUMPRODUCT($K62:M62,$K98:M98)/SUM($K62:M62),0)</f>
        <v>937.16555914182663</v>
      </c>
      <c r="N225" s="631">
        <f>IF(SUM($K62:N62)&gt;0,SUMPRODUCT($K62:N62,$K98:N98)/SUM($K62:N62),0)</f>
        <v>950.90275061921534</v>
      </c>
      <c r="O225" s="632">
        <f>IF(SUM($K62:O62)&gt;0,SUMPRODUCT($K62:O62,$K98:O98)/SUM($K62:O62),0)</f>
        <v>944.70206603591441</v>
      </c>
      <c r="P225" s="630">
        <f>IF(SUM($K62:P62)&gt;0,SUMPRODUCT($K62:P62,$K98:P98)/SUM($K62:P62),0)</f>
        <v>928.39244511692527</v>
      </c>
      <c r="Q225" s="630">
        <f>IF(SUM($K62:Q62)&gt;0,SUMPRODUCT($K62:Q62,$K98:Q98)/SUM($K62:Q62),0)</f>
        <v>911.70989900422001</v>
      </c>
      <c r="R225" s="630">
        <f>IF(SUM($K62:R62)&gt;0,SUMPRODUCT($K62:R62,$K98:R98)/SUM($K62:R62),0)</f>
        <v>906.36405677107246</v>
      </c>
      <c r="S225" s="630">
        <f>IF(SUM($K62:S62)&gt;0,SUMPRODUCT($K62:S62,$K98:S98)/SUM($K62:S62),0)</f>
        <v>905.53430649113682</v>
      </c>
      <c r="T225" s="630">
        <f>IF(SUM($K62:T62)&gt;0,SUMPRODUCT($K62:T62,$K98:T98)/SUM($K62:T62),0)</f>
        <v>905.00024619212979</v>
      </c>
      <c r="U225" s="630">
        <f>IF(SUM($K62:U62)&gt;0,SUMPRODUCT($K62:U62,$K98:U98)/SUM($K62:U62),0)</f>
        <v>904.54168318353607</v>
      </c>
      <c r="V225" s="630">
        <f>IF(SUM($K62:V62)&gt;0,SUMPRODUCT($K62:V62,$K98:V98)/SUM($K62:V62),0)</f>
        <v>904.52268067145133</v>
      </c>
      <c r="W225" s="630">
        <f>IF(SUM($K62:W62)&gt;0,SUMPRODUCT($K62:W62,$K98:W98)/SUM($K62:W62),0)</f>
        <v>904.77835182814692</v>
      </c>
      <c r="X225" s="630">
        <f>IF(SUM($K62:X62)&gt;0,SUMPRODUCT($K62:X62,$K98:X98)/SUM($K62:X62),0)</f>
        <v>905.25906161806324</v>
      </c>
      <c r="Y225" s="630">
        <f>IF(SUM($K62:Y62)&gt;0,SUMPRODUCT($K62:Y62,$K98:Y98)/SUM($K62:Y62),0)</f>
        <v>905.92645467011698</v>
      </c>
      <c r="Z225" s="630">
        <f>IF(SUM($K62:Z62)&gt;0,SUMPRODUCT($K62:Z62,$K98:Z98)/SUM($K62:Z62),0)</f>
        <v>906.75042337063985</v>
      </c>
      <c r="AA225" s="630">
        <f>IF(SUM($K62:AA62)&gt;0,SUMPRODUCT($K62:AA62,$K98:AA98)/SUM($K62:AA62),0)</f>
        <v>907.70700401537272</v>
      </c>
      <c r="AB225" s="630">
        <f>IF(SUM($K62:AB62)&gt;0,SUMPRODUCT($K62:AB62,$K98:AB98)/SUM($K62:AB62),0)</f>
        <v>908.77688568513281</v>
      </c>
      <c r="AC225" s="630">
        <f>IF(SUM($K62:AC62)&gt;0,SUMPRODUCT($K62:AC62,$K98:AC98)/SUM($K62:AC62),0)</f>
        <v>909.94433329200649</v>
      </c>
      <c r="AD225" s="630">
        <f>IF(SUM($K62:AD62)&gt;0,SUMPRODUCT($K62:AD62,$K98:AD98)/SUM($K62:AD62),0)</f>
        <v>911.19639652223975</v>
      </c>
      <c r="AE225" s="631">
        <f>IF(SUM($K62:AE62)&gt;0,SUMPRODUCT($K62:AE62,$K98:AE98)/SUM($K62:AE62),0)</f>
        <v>912.84050554356713</v>
      </c>
      <c r="AF225" s="929"/>
      <c r="AG225" s="929" t="s">
        <v>176</v>
      </c>
      <c r="AH225" s="929"/>
      <c r="AI225" s="929"/>
      <c r="AJ225" s="1034"/>
    </row>
    <row r="226" spans="1:36" s="294" customFormat="1" ht="12.75" customHeight="1" outlineLevel="1">
      <c r="A226" s="553">
        <v>207</v>
      </c>
      <c r="C226" s="10"/>
      <c r="D226" s="33"/>
      <c r="F226" s="324"/>
      <c r="G226" s="324"/>
      <c r="H226" s="324"/>
      <c r="I226" s="324"/>
      <c r="J226" s="324"/>
      <c r="K226" s="324"/>
      <c r="L226" s="324"/>
      <c r="M226" s="324"/>
      <c r="N226" s="342"/>
      <c r="O226" s="289"/>
      <c r="P226" s="324"/>
      <c r="Q226" s="324"/>
      <c r="R226" s="324"/>
      <c r="S226" s="324"/>
      <c r="T226" s="324"/>
      <c r="U226" s="324"/>
      <c r="V226" s="324"/>
      <c r="W226" s="324"/>
      <c r="X226" s="324"/>
      <c r="Y226" s="324"/>
      <c r="Z226" s="324"/>
      <c r="AA226" s="324"/>
      <c r="AB226" s="324"/>
      <c r="AC226" s="324"/>
      <c r="AD226" s="324"/>
      <c r="AE226" s="324"/>
      <c r="AF226" s="929"/>
      <c r="AG226" s="929"/>
      <c r="AH226" s="929"/>
      <c r="AI226" s="929"/>
      <c r="AJ226" s="1034"/>
    </row>
    <row r="227" spans="1:36" s="294" customFormat="1" ht="13.2" outlineLevel="1">
      <c r="A227" s="553">
        <v>208</v>
      </c>
      <c r="C227" s="10"/>
      <c r="D227" s="33"/>
      <c r="E227" s="204" t="s">
        <v>539</v>
      </c>
      <c r="F227" s="324"/>
      <c r="G227" s="324"/>
      <c r="H227" s="324"/>
      <c r="I227" s="324"/>
      <c r="J227" s="324"/>
      <c r="K227" s="324"/>
      <c r="L227" s="324"/>
      <c r="M227" s="324"/>
      <c r="N227" s="342"/>
      <c r="O227" s="289"/>
      <c r="P227" s="324"/>
      <c r="Q227" s="324"/>
      <c r="R227" s="324"/>
      <c r="S227" s="324"/>
      <c r="T227" s="324"/>
      <c r="U227" s="324"/>
      <c r="V227" s="324"/>
      <c r="W227" s="324"/>
      <c r="X227" s="324"/>
      <c r="Y227" s="324"/>
      <c r="Z227" s="324"/>
      <c r="AA227" s="324"/>
      <c r="AB227" s="324"/>
      <c r="AC227" s="324"/>
      <c r="AD227" s="324"/>
      <c r="AE227" s="324"/>
      <c r="AF227" s="929"/>
      <c r="AG227" s="929" t="s">
        <v>179</v>
      </c>
      <c r="AH227" s="929"/>
      <c r="AI227" s="929"/>
      <c r="AJ227" s="1034" t="s">
        <v>589</v>
      </c>
    </row>
    <row r="228" spans="1:36" s="294" customFormat="1" ht="12.75" customHeight="1" outlineLevel="1">
      <c r="A228" s="553">
        <v>209</v>
      </c>
      <c r="C228" s="10"/>
      <c r="D228" s="33"/>
      <c r="E228" s="314" t="s">
        <v>529</v>
      </c>
      <c r="F228" s="316"/>
      <c r="G228" s="316"/>
      <c r="H228" s="316"/>
      <c r="I228" s="316"/>
      <c r="J228" s="316"/>
      <c r="K228" s="190">
        <f t="shared" ref="K228:K234" si="25">(0.5*K56*K92)*K47/1000</f>
        <v>0</v>
      </c>
      <c r="L228" s="316">
        <f>(SUMPRODUCT($K56:K56,$K92:K92) + 0.5*L56*L92)*L47/1000</f>
        <v>0</v>
      </c>
      <c r="M228" s="316">
        <f>(SUMPRODUCT($K56:L56,$K92:L92) + 0.5*M56*M92)*M47/1000</f>
        <v>0</v>
      </c>
      <c r="N228" s="317">
        <f>(SUMPRODUCT($K56:M56,$K92:M92) + 0.5*N56*N92)*N47/1000</f>
        <v>0</v>
      </c>
      <c r="O228" s="320">
        <f>(SUMPRODUCT($K56:N56,$K92:N92) + 0.5*O56*O92)*O47/1000</f>
        <v>0</v>
      </c>
      <c r="P228" s="316">
        <f>(SUMPRODUCT($K56:O56,$K92:O92) + 0.5*P56*P92)*P47/1000</f>
        <v>2.5713999999999997E-2</v>
      </c>
      <c r="Q228" s="316">
        <f>(SUMPRODUCT($K56:P56,$K92:P92) + 0.5*Q56*Q92)*Q47/1000</f>
        <v>5.1427999999999995E-2</v>
      </c>
      <c r="R228" s="316">
        <f>(SUMPRODUCT($K56:Q56,$K92:Q92) + 0.5*R56*R92)*R47/1000</f>
        <v>5.1427999999999995E-2</v>
      </c>
      <c r="S228" s="316">
        <f>(SUMPRODUCT($K56:R56,$K92:R92) + 0.5*S56*S92)*S47/1000</f>
        <v>5.1427999999999995E-2</v>
      </c>
      <c r="T228" s="316">
        <f>(SUMPRODUCT($K56:S56,$K92:S92) + 0.5*T56*T92)*T47/1000</f>
        <v>5.1427999999999995E-2</v>
      </c>
      <c r="U228" s="316">
        <f>(SUMPRODUCT($K56:T56,$K92:T92) + 0.5*U56*U92)*U47/1000</f>
        <v>5.1427999999999995E-2</v>
      </c>
      <c r="V228" s="316">
        <f>(SUMPRODUCT($K56:U56,$K92:U92) + 0.5*V56*V92)*V47/1000</f>
        <v>5.1427999999999995E-2</v>
      </c>
      <c r="W228" s="316">
        <f>(SUMPRODUCT($K56:V56,$K92:V92) + 0.5*W56*W92)*W47/1000</f>
        <v>5.1427999999999995E-2</v>
      </c>
      <c r="X228" s="316">
        <f>(SUMPRODUCT($K56:W56,$K92:W92) + 0.5*X56*X92)*X47/1000</f>
        <v>5.1427999999999995E-2</v>
      </c>
      <c r="Y228" s="316">
        <f>(SUMPRODUCT($K56:X56,$K92:X92) + 0.5*Y56*Y92)*Y47/1000</f>
        <v>5.1427999999999995E-2</v>
      </c>
      <c r="Z228" s="316">
        <f>(SUMPRODUCT($K56:Y56,$K92:Y92) + 0.5*Z56*Z92)*Z47/1000</f>
        <v>5.1427999999999995E-2</v>
      </c>
      <c r="AA228" s="316">
        <f>(SUMPRODUCT($K56:Z56,$K92:Z92) + 0.5*AA56*AA92)*AA47/1000</f>
        <v>5.1427999999999995E-2</v>
      </c>
      <c r="AB228" s="316">
        <f>(SUMPRODUCT($K56:AA56,$K92:AA92) + 0.5*AB56*AB92)*AB47/1000</f>
        <v>5.1427999999999995E-2</v>
      </c>
      <c r="AC228" s="316">
        <f>(SUMPRODUCT($K56:AB56,$K92:AB92) + 0.5*AC56*AC92)*AC47/1000</f>
        <v>5.1427999999999995E-2</v>
      </c>
      <c r="AD228" s="316">
        <f>(SUMPRODUCT($K56:AC56,$K92:AC92) + 0.5*AD56*AD92)*AD47/1000</f>
        <v>5.1427999999999995E-2</v>
      </c>
      <c r="AE228" s="317">
        <f>(SUMPRODUCT($K56:AD56,$K92:AD92) + 0.5*AE56*AE92)*AE47/1000</f>
        <v>5.1427999999999995E-2</v>
      </c>
      <c r="AF228" s="929" t="s">
        <v>190</v>
      </c>
      <c r="AG228" s="929" t="s">
        <v>179</v>
      </c>
      <c r="AH228" s="929"/>
      <c r="AI228" s="929"/>
      <c r="AJ228" s="1241"/>
    </row>
    <row r="229" spans="1:36" s="294" customFormat="1" ht="12.75" customHeight="1" outlineLevel="1">
      <c r="A229" s="553">
        <v>210</v>
      </c>
      <c r="C229" s="10"/>
      <c r="D229" s="33"/>
      <c r="E229" s="16" t="s">
        <v>349</v>
      </c>
      <c r="F229" s="325"/>
      <c r="G229" s="325"/>
      <c r="H229" s="325"/>
      <c r="I229" s="325"/>
      <c r="J229" s="325"/>
      <c r="K229" s="56">
        <f t="shared" si="25"/>
        <v>6.6406790999999743E-2</v>
      </c>
      <c r="L229" s="325">
        <f>(SUMPRODUCT($K57:K57,$K93:K93) + 0.5*L57*L93)*L48/1000</f>
        <v>0.13873742399999947</v>
      </c>
      <c r="M229" s="325">
        <f>(SUMPRODUCT($K57:L57,$K93:L93) + 0.5*M57*M93)*M48/1000</f>
        <v>0.14801366599999941</v>
      </c>
      <c r="N229" s="326">
        <f>(SUMPRODUCT($K57:M57,$K93:M93) + 0.5*N57*N93)*N48/1000</f>
        <v>0.16266706599999942</v>
      </c>
      <c r="O229" s="327">
        <f>(SUMPRODUCT($K57:N57,$K93:N93) + 0.5*O57*O93)*O48/1000</f>
        <v>0.17765306599999942</v>
      </c>
      <c r="P229" s="325">
        <f>(SUMPRODUCT($K57:O57,$K93:O93) + 0.5*P57*P93)*P48/1000</f>
        <v>0.1847104313395779</v>
      </c>
      <c r="Q229" s="325">
        <f>(SUMPRODUCT($K57:P57,$K93:P93) + 0.5*Q57*Q93)*Q48/1000</f>
        <v>0.18808279667915634</v>
      </c>
      <c r="R229" s="325">
        <f>(SUMPRODUCT($K57:Q57,$K93:Q93) + 0.5*R57*R93)*R48/1000</f>
        <v>0.18808279667915634</v>
      </c>
      <c r="S229" s="325">
        <f>(SUMPRODUCT($K57:R57,$K93:R93) + 0.5*S57*S93)*S48/1000</f>
        <v>0.18808279667915634</v>
      </c>
      <c r="T229" s="325">
        <f>(SUMPRODUCT($K57:S57,$K93:S93) + 0.5*T57*T93)*T48/1000</f>
        <v>0.18808279667915634</v>
      </c>
      <c r="U229" s="325">
        <f>(SUMPRODUCT($K57:T57,$K93:T93) + 0.5*U57*U93)*U48/1000</f>
        <v>0.18808279667915634</v>
      </c>
      <c r="V229" s="325">
        <f>(SUMPRODUCT($K57:U57,$K93:U93) + 0.5*V57*V93)*V48/1000</f>
        <v>0.18808279667915634</v>
      </c>
      <c r="W229" s="325">
        <f>(SUMPRODUCT($K57:V57,$K93:V93) + 0.5*W57*W93)*W48/1000</f>
        <v>0.18808279667915634</v>
      </c>
      <c r="X229" s="325">
        <f>(SUMPRODUCT($K57:W57,$K93:W93) + 0.5*X57*X93)*X48/1000</f>
        <v>0.18808279667915634</v>
      </c>
      <c r="Y229" s="325">
        <f>(SUMPRODUCT($K57:X57,$K93:X93) + 0.5*Y57*Y93)*Y48/1000</f>
        <v>0.18808279667915634</v>
      </c>
      <c r="Z229" s="325">
        <f>(SUMPRODUCT($K57:Y57,$K93:Y93) + 0.5*Z57*Z93)*Z48/1000</f>
        <v>0.18808279667915634</v>
      </c>
      <c r="AA229" s="325">
        <f>(SUMPRODUCT($K57:Z57,$K93:Z93) + 0.5*AA57*AA93)*AA48/1000</f>
        <v>0.18808279667915634</v>
      </c>
      <c r="AB229" s="325">
        <f>(SUMPRODUCT($K57:AA57,$K93:AA93) + 0.5*AB57*AB93)*AB48/1000</f>
        <v>0.18808279667915634</v>
      </c>
      <c r="AC229" s="325">
        <f>(SUMPRODUCT($K57:AB57,$K93:AB93) + 0.5*AC57*AC93)*AC48/1000</f>
        <v>0.18808279667915634</v>
      </c>
      <c r="AD229" s="325">
        <f>(SUMPRODUCT($K57:AC57,$K93:AC93) + 0.5*AD57*AD93)*AD48/1000</f>
        <v>0.18808279667915634</v>
      </c>
      <c r="AE229" s="326">
        <f>(SUMPRODUCT($K57:AD57,$K93:AD93) + 0.5*AE57*AE93)*AE48/1000</f>
        <v>0.18808279667915634</v>
      </c>
      <c r="AF229" s="929" t="s">
        <v>190</v>
      </c>
      <c r="AG229" s="929" t="s">
        <v>179</v>
      </c>
      <c r="AH229" s="929"/>
      <c r="AI229" s="929"/>
      <c r="AJ229" s="1241"/>
    </row>
    <row r="230" spans="1:36" s="294" customFormat="1" ht="12.75" customHeight="1" outlineLevel="1">
      <c r="A230" s="553">
        <v>211</v>
      </c>
      <c r="C230" s="10"/>
      <c r="D230" s="33"/>
      <c r="E230" s="16" t="s">
        <v>11</v>
      </c>
      <c r="F230" s="325"/>
      <c r="G230" s="325"/>
      <c r="H230" s="325"/>
      <c r="I230" s="325"/>
      <c r="J230" s="325"/>
      <c r="K230" s="56">
        <f t="shared" si="25"/>
        <v>3.744361704999831E-2</v>
      </c>
      <c r="L230" s="325">
        <f>(SUMPRODUCT($K58:K58,$K94:K94) + 0.5*L58*L94)*L49/1000</f>
        <v>0.52809281559999333</v>
      </c>
      <c r="M230" s="325">
        <f>(SUMPRODUCT($K58:L58,$K94:L94) + 0.5*M58*M94)*M49/1000</f>
        <v>1.6046288970999898</v>
      </c>
      <c r="N230" s="326">
        <f>(SUMPRODUCT($K58:M58,$K94:M94) + 0.5*N58*N94)*N49/1000</f>
        <v>3.15607689709999</v>
      </c>
      <c r="O230" s="327">
        <f>(SUMPRODUCT($K58:N58,$K94:N94) + 0.5*O58*O94)*O49/1000</f>
        <v>4.5861243970999901</v>
      </c>
      <c r="P230" s="325">
        <f>(SUMPRODUCT($K58:O58,$K94:O94) + 0.5*P58*P94)*P49/1000</f>
        <v>5.5634303970999897</v>
      </c>
      <c r="Q230" s="325">
        <f>(SUMPRODUCT($K58:P58,$K94:P94) + 0.5*Q58*Q94)*Q49/1000</f>
        <v>6.3626323970999898</v>
      </c>
      <c r="R230" s="325">
        <f>(SUMPRODUCT($K58:Q58,$K94:Q94) + 0.5*R58*R94)*R49/1000</f>
        <v>6.7800943970999903</v>
      </c>
      <c r="S230" s="325">
        <f>(SUMPRODUCT($K58:R58,$K94:R94) + 0.5*S58*S94)*S49/1000</f>
        <v>6.9777103970999894</v>
      </c>
      <c r="T230" s="325">
        <f>(SUMPRODUCT($K58:S58,$K94:S94) + 0.5*T58*T94)*T49/1000</f>
        <v>7.1929958970999905</v>
      </c>
      <c r="U230" s="325">
        <f>(SUMPRODUCT($K58:T58,$K94:T94) + 0.5*U58*U94)*U49/1000</f>
        <v>7.4208738970999901</v>
      </c>
      <c r="V230" s="325">
        <f>(SUMPRODUCT($K58:U58,$K94:U94) + 0.5*V58*V94)*V49/1000</f>
        <v>8.0555463970999899</v>
      </c>
      <c r="W230" s="325">
        <f>(SUMPRODUCT($K58:V58,$K94:V94) + 0.5*W58*W94)*W49/1000</f>
        <v>9.0917463970999908</v>
      </c>
      <c r="X230" s="325">
        <f>(SUMPRODUCT($K58:W58,$K94:W94) + 0.5*X58*X94)*X49/1000</f>
        <v>10.127946397099992</v>
      </c>
      <c r="Y230" s="325">
        <f>(SUMPRODUCT($K58:X58,$K94:X94) + 0.5*Y58*Y94)*Y49/1000</f>
        <v>11.164146397099993</v>
      </c>
      <c r="Z230" s="325">
        <f>(SUMPRODUCT($K58:Y58,$K94:Y94) + 0.5*Z58*Z94)*Z49/1000</f>
        <v>12.200346397099993</v>
      </c>
      <c r="AA230" s="325">
        <f>(SUMPRODUCT($K58:Z58,$K94:Z94) + 0.5*AA58*AA94)*AA49/1000</f>
        <v>13.236546397099994</v>
      </c>
      <c r="AB230" s="325">
        <f>(SUMPRODUCT($K58:AA58,$K94:AA94) + 0.5*AB58*AB94)*AB49/1000</f>
        <v>14.272746397099993</v>
      </c>
      <c r="AC230" s="325">
        <f>(SUMPRODUCT($K58:AB58,$K94:AB94) + 0.5*AC58*AC94)*AC49/1000</f>
        <v>15.308946397099994</v>
      </c>
      <c r="AD230" s="325">
        <f>(SUMPRODUCT($K58:AC58,$K94:AC94) + 0.5*AD58*AD94)*AD49/1000</f>
        <v>16.345146397099995</v>
      </c>
      <c r="AE230" s="326">
        <f>(SUMPRODUCT($K58:AD58,$K94:AD94) + 0.5*AE58*AE94)*AE49/1000</f>
        <v>17.381346397099996</v>
      </c>
      <c r="AF230" s="929" t="s">
        <v>190</v>
      </c>
      <c r="AG230" s="929" t="s">
        <v>179</v>
      </c>
      <c r="AH230" s="929"/>
      <c r="AI230" s="929"/>
      <c r="AJ230" s="1241"/>
    </row>
    <row r="231" spans="1:36" s="294" customFormat="1" ht="12.75" customHeight="1" outlineLevel="1">
      <c r="A231" s="553">
        <v>212</v>
      </c>
      <c r="C231" s="10"/>
      <c r="D231" s="33"/>
      <c r="E231" s="16" t="s">
        <v>10</v>
      </c>
      <c r="F231" s="325"/>
      <c r="G231" s="325"/>
      <c r="H231" s="325"/>
      <c r="I231" s="325"/>
      <c r="J231" s="325"/>
      <c r="K231" s="56">
        <f t="shared" si="25"/>
        <v>0</v>
      </c>
      <c r="L231" s="325">
        <f>(SUMPRODUCT($K59:K59,$K95:K95) + 0.5*L59*L95)*L50/1000</f>
        <v>1.0852499999999996E-2</v>
      </c>
      <c r="M231" s="325">
        <f>(SUMPRODUCT($K59:L59,$K95:L95) + 0.5*M59*M95)*M50/1000</f>
        <v>2.8008999999999992E-2</v>
      </c>
      <c r="N231" s="326">
        <f>(SUMPRODUCT($K59:M59,$K95:M95) + 0.5*N59*N95)*N50/1000</f>
        <v>5.0072999999999986E-2</v>
      </c>
      <c r="O231" s="327">
        <f>(SUMPRODUCT($K59:N59,$K95:N95) + 0.5*O59*O95)*O50/1000</f>
        <v>7.8644999999999979E-2</v>
      </c>
      <c r="P231" s="325">
        <f>(SUMPRODUCT($K59:O59,$K95:O95) + 0.5*P59*P95)*P50/1000</f>
        <v>0.10509949999999998</v>
      </c>
      <c r="Q231" s="325">
        <f>(SUMPRODUCT($K59:P59,$K95:P95) + 0.5*Q59*Q95)*Q50/1000</f>
        <v>0.11874199999999997</v>
      </c>
      <c r="R231" s="325">
        <f>(SUMPRODUCT($K59:Q59,$K95:Q95) + 0.5*R59*R95)*R50/1000</f>
        <v>0.11874199999999997</v>
      </c>
      <c r="S231" s="325">
        <f>(SUMPRODUCT($K59:R59,$K95:R95) + 0.5*S59*S95)*S50/1000</f>
        <v>0.11874199999999997</v>
      </c>
      <c r="T231" s="325">
        <f>(SUMPRODUCT($K59:S59,$K95:S95) + 0.5*T59*T95)*T50/1000</f>
        <v>0.11874199999999997</v>
      </c>
      <c r="U231" s="325">
        <f>(SUMPRODUCT($K59:T59,$K95:T95) + 0.5*U59*U95)*U50/1000</f>
        <v>0.11874199999999997</v>
      </c>
      <c r="V231" s="325">
        <f>(SUMPRODUCT($K59:U59,$K95:U95) + 0.5*V59*V95)*V50/1000</f>
        <v>0.11874199999999997</v>
      </c>
      <c r="W231" s="325">
        <f>(SUMPRODUCT($K59:V59,$K95:V95) + 0.5*W59*W95)*W50/1000</f>
        <v>0.11874199999999997</v>
      </c>
      <c r="X231" s="325">
        <f>(SUMPRODUCT($K59:W59,$K95:W95) + 0.5*X59*X95)*X50/1000</f>
        <v>0.11874199999999997</v>
      </c>
      <c r="Y231" s="325">
        <f>(SUMPRODUCT($K59:X59,$K95:X95) + 0.5*Y59*Y95)*Y50/1000</f>
        <v>0.11874199999999997</v>
      </c>
      <c r="Z231" s="325">
        <f>(SUMPRODUCT($K59:Y59,$K95:Y95) + 0.5*Z59*Z95)*Z50/1000</f>
        <v>0.11874199999999997</v>
      </c>
      <c r="AA231" s="325">
        <f>(SUMPRODUCT($K59:Z59,$K95:Z95) + 0.5*AA59*AA95)*AA50/1000</f>
        <v>0.11874199999999997</v>
      </c>
      <c r="AB231" s="325">
        <f>(SUMPRODUCT($K59:AA59,$K95:AA95) + 0.5*AB59*AB95)*AB50/1000</f>
        <v>0.11874199999999997</v>
      </c>
      <c r="AC231" s="325">
        <f>(SUMPRODUCT($K59:AB59,$K95:AB95) + 0.5*AC59*AC95)*AC50/1000</f>
        <v>0.11874199999999997</v>
      </c>
      <c r="AD231" s="325">
        <f>(SUMPRODUCT($K59:AC59,$K95:AC95) + 0.5*AD59*AD95)*AD50/1000</f>
        <v>0.11874199999999997</v>
      </c>
      <c r="AE231" s="326">
        <f>(SUMPRODUCT($K59:AD59,$K95:AD95) + 0.5*AE59*AE95)*AE50/1000</f>
        <v>0.11874199999999997</v>
      </c>
      <c r="AF231" s="929" t="s">
        <v>190</v>
      </c>
      <c r="AG231" s="929" t="s">
        <v>179</v>
      </c>
      <c r="AH231" s="929"/>
      <c r="AI231" s="929"/>
      <c r="AJ231" s="1241"/>
    </row>
    <row r="232" spans="1:36" s="294" customFormat="1" ht="12.75" customHeight="1" outlineLevel="1">
      <c r="A232" s="553">
        <v>213</v>
      </c>
      <c r="C232" s="10"/>
      <c r="D232" s="33"/>
      <c r="E232" s="16" t="s">
        <v>339</v>
      </c>
      <c r="F232" s="325"/>
      <c r="G232" s="325"/>
      <c r="H232" s="325"/>
      <c r="I232" s="325"/>
      <c r="J232" s="325"/>
      <c r="K232" s="56">
        <f t="shared" si="25"/>
        <v>3.1258240000000002</v>
      </c>
      <c r="L232" s="325">
        <f>(SUMPRODUCT($K60:K60,$K96:K96) + 0.5*L60*L96)*L51/1000</f>
        <v>10.340148000000001</v>
      </c>
      <c r="M232" s="325">
        <f>(SUMPRODUCT($K60:L60,$K96:L96) + 0.5*M60*M96)*M51/1000</f>
        <v>19.152241</v>
      </c>
      <c r="N232" s="326">
        <f>(SUMPRODUCT($K60:M60,$K96:M96) + 0.5*N60*N96)*N51/1000</f>
        <v>26.994464000000004</v>
      </c>
      <c r="O232" s="327">
        <f>(SUMPRODUCT($K60:N60,$K96:N96) + 0.5*O60*O96)*O51/1000</f>
        <v>31.374828000000004</v>
      </c>
      <c r="P232" s="325">
        <f>(SUMPRODUCT($K60:O60,$K96:O96) + 0.5*P60*P96)*P51/1000</f>
        <v>34.178562000000007</v>
      </c>
      <c r="Q232" s="325">
        <f>(SUMPRODUCT($K60:P60,$K96:P96) + 0.5*Q60*Q96)*Q51/1000</f>
        <v>37.282062000000003</v>
      </c>
      <c r="R232" s="325">
        <f>(SUMPRODUCT($K60:Q60,$K96:Q96) + 0.5*R60*R96)*R51/1000</f>
        <v>40.976562000000008</v>
      </c>
      <c r="S232" s="325">
        <f>(SUMPRODUCT($K60:R60,$K96:R96) + 0.5*S60*S96)*S51/1000</f>
        <v>45.842062000000006</v>
      </c>
      <c r="T232" s="325">
        <f>(SUMPRODUCT($K60:S60,$K96:S96) + 0.5*T60*T96)*T51/1000</f>
        <v>51.382062000000005</v>
      </c>
      <c r="U232" s="325">
        <f>(SUMPRODUCT($K60:T60,$K96:T96) + 0.5*U60*U96)*U51/1000</f>
        <v>57.144562000000008</v>
      </c>
      <c r="V232" s="325">
        <f>(SUMPRODUCT($K60:U60,$K96:U96) + 0.5*V60*V96)*V51/1000</f>
        <v>63.128312000000008</v>
      </c>
      <c r="W232" s="325">
        <f>(SUMPRODUCT($K60:V60,$K96:V96) + 0.5*W60*W96)*W51/1000</f>
        <v>69.230062000000004</v>
      </c>
      <c r="X232" s="325">
        <f>(SUMPRODUCT($K60:W60,$K96:W96) + 0.5*X60*X96)*X51/1000</f>
        <v>75.405562000000003</v>
      </c>
      <c r="Y232" s="325">
        <f>(SUMPRODUCT($K60:X60,$K96:X96) + 0.5*Y60*Y96)*Y51/1000</f>
        <v>81.631633428571433</v>
      </c>
      <c r="Z232" s="325">
        <f>(SUMPRODUCT($K60:Y60,$K96:Y96) + 0.5*Z60*Z96)*Z51/1000</f>
        <v>87.894579857142858</v>
      </c>
      <c r="AA232" s="325">
        <f>(SUMPRODUCT($K60:Z60,$K96:Z96) + 0.5*AA60*AA96)*AA51/1000</f>
        <v>94.18562152380953</v>
      </c>
      <c r="AB232" s="325">
        <f>(SUMPRODUCT($K60:AA60,$K96:AA96) + 0.5*AB60*AB96)*AB51/1000</f>
        <v>100.49878819047619</v>
      </c>
      <c r="AC232" s="325">
        <f>(SUMPRODUCT($K60:AB60,$K96:AB96) + 0.5*AC60*AC96)*AC51/1000</f>
        <v>106.82983364502165</v>
      </c>
      <c r="AD232" s="325">
        <f>(SUMPRODUCT($K60:AC60,$K96:AC96) + 0.5*AD60*AD96)*AD51/1000</f>
        <v>113.1756290995671</v>
      </c>
      <c r="AE232" s="326">
        <f>(SUMPRODUCT($K60:AD60,$K96:AD96) + 0.5*AE60*AE96)*AE51/1000</f>
        <v>119.6018790995671</v>
      </c>
      <c r="AF232" s="929" t="s">
        <v>190</v>
      </c>
      <c r="AG232" s="929" t="s">
        <v>179</v>
      </c>
      <c r="AH232" s="929"/>
      <c r="AI232" s="929"/>
      <c r="AJ232" s="1241"/>
    </row>
    <row r="233" spans="1:36" s="294" customFormat="1" ht="12.75" customHeight="1" outlineLevel="1">
      <c r="A233" s="553">
        <v>214</v>
      </c>
      <c r="C233" s="10"/>
      <c r="D233" s="33"/>
      <c r="E233" s="16" t="s">
        <v>340</v>
      </c>
      <c r="F233" s="325"/>
      <c r="G233" s="325"/>
      <c r="H233" s="325"/>
      <c r="I233" s="325"/>
      <c r="J233" s="325"/>
      <c r="K233" s="56">
        <f t="shared" si="25"/>
        <v>3.7473999999999998</v>
      </c>
      <c r="L233" s="325">
        <f>(SUMPRODUCT($K61:K61,$K97:K97) + 0.5*L61*L97)*L52/1000</f>
        <v>8.8363199999999988</v>
      </c>
      <c r="M233" s="325">
        <f>(SUMPRODUCT($K61:L61,$K97:L97) + 0.5*M61*M97)*M52/1000</f>
        <v>12.566514</v>
      </c>
      <c r="N233" s="326">
        <f>(SUMPRODUCT($K61:M61,$K97:M97) + 0.5*N61*N97)*N52/1000</f>
        <v>16.665188000000001</v>
      </c>
      <c r="O233" s="327">
        <f>(SUMPRODUCT($K61:N61,$K97:N97) + 0.5*O61*O97)*O52/1000</f>
        <v>20.853619000000002</v>
      </c>
      <c r="P233" s="325">
        <f>(SUMPRODUCT($K61:O61,$K97:O97) + 0.5*P61*P97)*P52/1000</f>
        <v>23.332050000000002</v>
      </c>
      <c r="Q233" s="325">
        <f>(SUMPRODUCT($K61:P61,$K97:P97) + 0.5*Q61*Q97)*Q52/1000</f>
        <v>23.332050000000002</v>
      </c>
      <c r="R233" s="325">
        <f>(SUMPRODUCT($K61:Q61,$K97:Q97) + 0.5*R61*R97)*R52/1000</f>
        <v>24.06222</v>
      </c>
      <c r="S233" s="325">
        <f>(SUMPRODUCT($K61:R61,$K97:R97) + 0.5*S61*S97)*S52/1000</f>
        <v>26.889615000000003</v>
      </c>
      <c r="T233" s="325">
        <f>(SUMPRODUCT($K61:S61,$K97:S97) + 0.5*T61*T97)*T52/1000</f>
        <v>30.948840000000004</v>
      </c>
      <c r="U233" s="325">
        <f>(SUMPRODUCT($K61:T61,$K97:T97) + 0.5*U61*U97)*U52/1000</f>
        <v>34.923840000000006</v>
      </c>
      <c r="V233" s="325">
        <f>(SUMPRODUCT($K61:U61,$K97:U97) + 0.5*V61*V97)*V52/1000</f>
        <v>38.975340000000003</v>
      </c>
      <c r="W233" s="325">
        <f>(SUMPRODUCT($K61:V61,$K97:V97) + 0.5*W61*W97)*W52/1000</f>
        <v>43.067640000000004</v>
      </c>
      <c r="X233" s="325">
        <f>(SUMPRODUCT($K61:W61,$K97:W97) + 0.5*X61*X97)*X52/1000</f>
        <v>47.18544</v>
      </c>
      <c r="Y233" s="325">
        <f>(SUMPRODUCT($K61:X61,$K97:X97) + 0.5*Y61*Y97)*Y52/1000</f>
        <v>51.320725714285722</v>
      </c>
      <c r="Z233" s="325">
        <f>(SUMPRODUCT($K61:Y61,$K97:Y97) + 0.5*Z61*Z97)*Z52/1000</f>
        <v>55.468761428571433</v>
      </c>
      <c r="AA233" s="325">
        <f>(SUMPRODUCT($K61:Z61,$K97:Z97) + 0.5*AA61*AA97)*AA52/1000</f>
        <v>59.626511428571433</v>
      </c>
      <c r="AB233" s="325">
        <f>(SUMPRODUCT($K61:AA61,$K97:AA97) + 0.5*AB61*AB97)*AB52/1000</f>
        <v>63.791911428571431</v>
      </c>
      <c r="AC233" s="325">
        <f>(SUMPRODUCT($K61:AB61,$K97:AB97) + 0.5*AC61*AC97)*AC52/1000</f>
        <v>67.963493246753245</v>
      </c>
      <c r="AD233" s="325">
        <f>(SUMPRODUCT($K61:AC61,$K97:AC97) + 0.5*AD61*AD97)*AD52/1000</f>
        <v>72.140175064935065</v>
      </c>
      <c r="AE233" s="326">
        <f>(SUMPRODUCT($K61:AD61,$K97:AD97) + 0.5*AE61*AE97)*AE52/1000</f>
        <v>76.344675064935061</v>
      </c>
      <c r="AF233" s="929" t="s">
        <v>190</v>
      </c>
      <c r="AG233" s="929" t="s">
        <v>179</v>
      </c>
      <c r="AH233" s="929"/>
      <c r="AI233" s="929"/>
      <c r="AJ233" s="1241"/>
    </row>
    <row r="234" spans="1:36" s="294" customFormat="1" ht="12.75" customHeight="1" outlineLevel="1">
      <c r="A234" s="553">
        <v>215</v>
      </c>
      <c r="C234" s="10"/>
      <c r="D234" s="33"/>
      <c r="E234" s="296" t="s">
        <v>530</v>
      </c>
      <c r="F234" s="302"/>
      <c r="G234" s="302"/>
      <c r="H234" s="302"/>
      <c r="I234" s="302"/>
      <c r="J234" s="302"/>
      <c r="K234" s="57">
        <f t="shared" si="25"/>
        <v>0.70480900000000002</v>
      </c>
      <c r="L234" s="302">
        <f>(SUMPRODUCT($K62:K62,$K98:K98) + 0.5*L62*L98)*L53/1000</f>
        <v>2.1271304999999998</v>
      </c>
      <c r="M234" s="302">
        <f>(SUMPRODUCT($K62:L62,$K98:L98) + 0.5*M62*M98)*M53/1000</f>
        <v>3.8903470000000002</v>
      </c>
      <c r="N234" s="55">
        <f>(SUMPRODUCT($K62:M62,$K98:M98) + 0.5*N62*N98)*N53/1000</f>
        <v>6.1152130000000007</v>
      </c>
      <c r="O234" s="303">
        <f>(SUMPRODUCT($K62:N62,$K98:N98) + 0.5*O62*O98)*O53/1000</f>
        <v>8.5397994999999991</v>
      </c>
      <c r="P234" s="302">
        <f>(SUMPRODUCT($K62:O62,$K98:O98) + 0.5*P62*P98)*P53/1000</f>
        <v>11.55336359749138</v>
      </c>
      <c r="Q234" s="302">
        <f>(SUMPRODUCT($K62:P62,$K98:P98) + 0.5*Q62*Q98)*Q53/1000</f>
        <v>15.669812964501579</v>
      </c>
      <c r="R234" s="302">
        <f>(SUMPRODUCT($K62:Q62,$K98:Q98) + 0.5*R62*R98)*R53/1000</f>
        <v>20.203110650161328</v>
      </c>
      <c r="S234" s="302">
        <f>(SUMPRODUCT($K62:R62,$K98:R98) + 0.5*S62*S98)*S53/1000</f>
        <v>23.804972802499947</v>
      </c>
      <c r="T234" s="302">
        <f>(SUMPRODUCT($K62:S62,$K98:S98) + 0.5*T62*T98)*T53/1000</f>
        <v>26.58186481993982</v>
      </c>
      <c r="U234" s="302">
        <f>(SUMPRODUCT($K62:T62,$K98:T98) + 0.5*U62*U98)*U53/1000</f>
        <v>29.349958998077479</v>
      </c>
      <c r="V234" s="302">
        <f>(SUMPRODUCT($K62:U62,$K98:U98) + 0.5*V62*V98)*V53/1000</f>
        <v>31.888365665101809</v>
      </c>
      <c r="W234" s="302">
        <f>(SUMPRODUCT($K62:V62,$K98:V98) + 0.5*W62*W98)*W53/1000</f>
        <v>34.154335384967844</v>
      </c>
      <c r="X234" s="302">
        <f>(SUMPRODUCT($K62:W62,$K98:W98) + 0.5*X62*X98)*X53/1000</f>
        <v>36.430923464050565</v>
      </c>
      <c r="Y234" s="302">
        <f>(SUMPRODUCT($K62:X62,$K98:X98) + 0.5*Y62*Y98)*Y53/1000</f>
        <v>38.718129902349958</v>
      </c>
      <c r="Z234" s="302">
        <f>(SUMPRODUCT($K62:Y62,$K98:Y98) + 0.5*Z62*Z98)*Z53/1000</f>
        <v>41.015954699866029</v>
      </c>
      <c r="AA234" s="302">
        <f>(SUMPRODUCT($K62:Z62,$K98:Z98) + 0.5*AA62*AA98)*AA53/1000</f>
        <v>43.324397856598779</v>
      </c>
      <c r="AB234" s="302">
        <f>(SUMPRODUCT($K62:AA62,$K98:AA98) + 0.5*AB62*AB98)*AB53/1000</f>
        <v>45.643459372548207</v>
      </c>
      <c r="AC234" s="302">
        <f>(SUMPRODUCT($K62:AB62,$K98:AB98) + 0.5*AC62*AC98)*AC53/1000</f>
        <v>47.9731392477143</v>
      </c>
      <c r="AD234" s="302">
        <f>(SUMPRODUCT($K62:AC62,$K98:AC98) + 0.5*AD62*AD98)*AD53/1000</f>
        <v>50.313437482097072</v>
      </c>
      <c r="AE234" s="55">
        <f>(SUMPRODUCT($K62:AD62,$K98:AD98) + 0.5*AE62*AE98)*AE53/1000</f>
        <v>52.673741189092631</v>
      </c>
      <c r="AF234" s="929" t="s">
        <v>190</v>
      </c>
      <c r="AG234" s="929" t="s">
        <v>179</v>
      </c>
      <c r="AH234" s="929"/>
      <c r="AI234" s="929"/>
      <c r="AJ234" s="1241"/>
    </row>
    <row r="235" spans="1:36" s="294" customFormat="1" ht="12.75" customHeight="1" outlineLevel="1">
      <c r="A235" s="553">
        <v>216</v>
      </c>
      <c r="C235" s="10"/>
      <c r="D235" s="33"/>
      <c r="E235" s="27" t="s">
        <v>531</v>
      </c>
      <c r="F235" s="318"/>
      <c r="G235" s="318"/>
      <c r="H235" s="318"/>
      <c r="I235" s="318"/>
      <c r="J235" s="318"/>
      <c r="K235" s="318">
        <f>SUM(K228:K234)</f>
        <v>7.6818834080499983</v>
      </c>
      <c r="L235" s="318">
        <f t="shared" ref="L235:AE235" si="26">SUM(L228:L234)</f>
        <v>21.981281239599994</v>
      </c>
      <c r="M235" s="318">
        <f t="shared" si="26"/>
        <v>37.389753563099987</v>
      </c>
      <c r="N235" s="319">
        <f t="shared" si="26"/>
        <v>53.143681963099993</v>
      </c>
      <c r="O235" s="293">
        <f t="shared" si="26"/>
        <v>65.610668963099997</v>
      </c>
      <c r="P235" s="318">
        <f t="shared" si="26"/>
        <v>74.942929925930954</v>
      </c>
      <c r="Q235" s="318">
        <f t="shared" si="26"/>
        <v>83.004810158280719</v>
      </c>
      <c r="R235" s="318">
        <f t="shared" si="26"/>
        <v>92.380239843940473</v>
      </c>
      <c r="S235" s="318">
        <f t="shared" si="26"/>
        <v>103.8726129962791</v>
      </c>
      <c r="T235" s="318">
        <f t="shared" si="26"/>
        <v>116.46401551371898</v>
      </c>
      <c r="U235" s="318">
        <f t="shared" si="26"/>
        <v>129.19748769185665</v>
      </c>
      <c r="V235" s="318">
        <f t="shared" si="26"/>
        <v>142.40581685888097</v>
      </c>
      <c r="W235" s="318">
        <f t="shared" si="26"/>
        <v>155.90203657874702</v>
      </c>
      <c r="X235" s="318">
        <f t="shared" si="26"/>
        <v>169.50812465782974</v>
      </c>
      <c r="Y235" s="318">
        <f t="shared" si="26"/>
        <v>183.19288823898626</v>
      </c>
      <c r="Z235" s="318">
        <f t="shared" si="26"/>
        <v>196.93789517935946</v>
      </c>
      <c r="AA235" s="318">
        <f t="shared" si="26"/>
        <v>210.73133000275888</v>
      </c>
      <c r="AB235" s="318">
        <f t="shared" si="26"/>
        <v>224.56515818537497</v>
      </c>
      <c r="AC235" s="318">
        <f t="shared" si="26"/>
        <v>238.43366533326835</v>
      </c>
      <c r="AD235" s="318">
        <f t="shared" si="26"/>
        <v>252.33264084037842</v>
      </c>
      <c r="AE235" s="319">
        <f t="shared" si="26"/>
        <v>266.35989454737398</v>
      </c>
      <c r="AF235" s="929"/>
      <c r="AG235" s="929"/>
      <c r="AH235" s="929"/>
      <c r="AI235" s="929"/>
      <c r="AJ235" s="1034"/>
    </row>
    <row r="236" spans="1:36" s="294" customFormat="1" ht="12.75" customHeight="1" outlineLevel="1">
      <c r="A236" s="553">
        <v>217</v>
      </c>
      <c r="C236" s="10"/>
      <c r="D236" s="33"/>
      <c r="F236" s="324"/>
      <c r="G236" s="324"/>
      <c r="H236" s="324"/>
      <c r="I236" s="324"/>
      <c r="J236" s="324"/>
      <c r="K236" s="324"/>
      <c r="L236" s="324"/>
      <c r="M236" s="324"/>
      <c r="N236" s="342"/>
      <c r="O236" s="289"/>
      <c r="P236" s="324"/>
      <c r="Q236" s="324"/>
      <c r="R236" s="324"/>
      <c r="S236" s="324"/>
      <c r="T236" s="324"/>
      <c r="U236" s="324"/>
      <c r="V236" s="324"/>
      <c r="W236" s="324"/>
      <c r="X236" s="324"/>
      <c r="Y236" s="324"/>
      <c r="Z236" s="324"/>
      <c r="AA236" s="324"/>
      <c r="AB236" s="324"/>
      <c r="AC236" s="324"/>
      <c r="AD236" s="324"/>
      <c r="AE236" s="324"/>
      <c r="AF236" s="929"/>
      <c r="AG236" s="929"/>
      <c r="AH236" s="929"/>
      <c r="AI236" s="929"/>
      <c r="AJ236" s="1034"/>
    </row>
    <row r="237" spans="1:36" s="294" customFormat="1" ht="68.400000000000006" customHeight="1" outlineLevel="1">
      <c r="A237" s="553">
        <v>218</v>
      </c>
      <c r="C237" s="10"/>
      <c r="D237" s="33"/>
      <c r="E237" s="315" t="s">
        <v>540</v>
      </c>
      <c r="F237" s="324"/>
      <c r="G237" s="324"/>
      <c r="H237" s="324"/>
      <c r="I237" s="324"/>
      <c r="J237" s="324"/>
      <c r="K237" s="324"/>
      <c r="L237" s="324"/>
      <c r="M237" s="1044"/>
      <c r="N237" s="342"/>
      <c r="O237" s="289"/>
      <c r="P237" s="324"/>
      <c r="Q237" s="324"/>
      <c r="R237" s="324"/>
      <c r="S237" s="324"/>
      <c r="T237" s="324"/>
      <c r="U237" s="324"/>
      <c r="V237" s="324"/>
      <c r="W237" s="324"/>
      <c r="X237" s="324"/>
      <c r="Y237" s="324"/>
      <c r="Z237" s="324"/>
      <c r="AA237" s="324"/>
      <c r="AB237" s="324"/>
      <c r="AC237" s="324"/>
      <c r="AD237" s="324"/>
      <c r="AE237" s="324"/>
      <c r="AF237" s="929" t="s">
        <v>179</v>
      </c>
      <c r="AG237" s="929"/>
      <c r="AH237" s="929"/>
      <c r="AI237" s="929"/>
      <c r="AJ237" s="1034" t="s">
        <v>590</v>
      </c>
    </row>
    <row r="238" spans="1:36" s="294" customFormat="1" ht="12.75" customHeight="1" outlineLevel="2">
      <c r="A238" s="553">
        <v>219</v>
      </c>
      <c r="C238" s="10"/>
      <c r="D238" s="33"/>
      <c r="E238" s="314" t="s">
        <v>529</v>
      </c>
      <c r="F238" s="316">
        <f>IF(ControlPanel!$D$59&gt;F$5,F101,F74*F47+F228)</f>
        <v>5.444</v>
      </c>
      <c r="G238" s="316">
        <f>IF(ControlPanel!$D$59&gt;G$5,G101,G74*G47+G228)</f>
        <v>6.0667459999999993</v>
      </c>
      <c r="H238" s="316">
        <f>IF(ControlPanel!$D$59&gt;H$5,H101,H74*H47+H228)</f>
        <v>5.8298559999999995</v>
      </c>
      <c r="I238" s="316">
        <f>IF(ControlPanel!$D$59&gt;I$5,I101,I74*I47+I228)</f>
        <v>6.2952879999999993</v>
      </c>
      <c r="J238" s="316">
        <f>IF(ControlPanel!$D$59&gt;J$5,J101,J74*J47+J228)</f>
        <v>6.154331</v>
      </c>
      <c r="K238" s="316">
        <f>IF(ControlPanel!$D$59&gt;K$5,K101,K74*K47+K228)</f>
        <v>6.0918529999999995</v>
      </c>
      <c r="L238" s="316">
        <f>IF(ControlPanel!$D$59&gt;L$5,L101,L74*L47+L228)</f>
        <v>6.2462140000000002</v>
      </c>
      <c r="M238" s="316">
        <f>IF(ControlPanel!$D$59&gt;M$5,M101,M74*M47+M228)</f>
        <v>6.2808169999999999</v>
      </c>
      <c r="N238" s="317">
        <f>IF(ControlPanel!$D$59&gt;N$5,N101,N74*N47+N228)</f>
        <v>5.9237959999999994</v>
      </c>
      <c r="O238" s="320">
        <f>IF(ControlPanel!$D$59&gt;O$5,O101,O74*O47+O228)</f>
        <v>6.5145869999999997</v>
      </c>
      <c r="P238" s="316">
        <f>IF(ControlPanel!$D$59&gt;P$5,P101,P74*P47+P228)</f>
        <v>6.250337</v>
      </c>
      <c r="Q238" s="316">
        <f>IF(ControlPanel!$D$59&gt;Q$5,Q101,Q74*Q47+Q228)</f>
        <v>6.378431</v>
      </c>
      <c r="R238" s="316">
        <f>IF(ControlPanel!$D$59&gt;R$5,R101,R74*R47+R228)</f>
        <v>6.4168119009576818</v>
      </c>
      <c r="S238" s="316">
        <f>IF(ControlPanel!$D$59&gt;S$5,S101,S74*S47+S228)</f>
        <v>6.4168119009576818</v>
      </c>
      <c r="T238" s="316">
        <f>IF(ControlPanel!$D$59&gt;T$5,T101,T74*T47+T228)</f>
        <v>6.4168119009576818</v>
      </c>
      <c r="U238" s="316">
        <f>IF(ControlPanel!$D$59&gt;U$5,U101,U74*U47+U228)</f>
        <v>6.4168119009576818</v>
      </c>
      <c r="V238" s="316">
        <f>IF(ControlPanel!$D$59&gt;V$5,V101,V74*V47+V228)</f>
        <v>6.4168119009576818</v>
      </c>
      <c r="W238" s="316">
        <f>IF(ControlPanel!$D$59&gt;W$5,W101,W74*W47+W228)</f>
        <v>6.4168119009576818</v>
      </c>
      <c r="X238" s="316">
        <f>IF(ControlPanel!$D$59&gt;X$5,X101,X74*X47+X228)</f>
        <v>6.4168119009576818</v>
      </c>
      <c r="Y238" s="316">
        <f>IF(ControlPanel!$D$59&gt;Y$5,Y101,Y74*Y47+Y228)</f>
        <v>6.4168119009576818</v>
      </c>
      <c r="Z238" s="316">
        <f>IF(ControlPanel!$D$59&gt;Z$5,Z101,Z74*Z47+Z228)</f>
        <v>5.8778298677620073</v>
      </c>
      <c r="AA238" s="316">
        <f>IF(ControlPanel!$D$59&gt;AA$5,AA101,AA74*AA47+AA228)</f>
        <v>5.4120952290276039</v>
      </c>
      <c r="AB238" s="316">
        <f>IF(ControlPanel!$D$59&gt;AB$5,AB101,AB74*AB47+AB228)</f>
        <v>5.0911503665748263</v>
      </c>
      <c r="AC238" s="316">
        <f>IF(ControlPanel!$D$59&gt;AC$5,AC101,AC74*AC47+AC228)</f>
        <v>4.9051501589924609</v>
      </c>
      <c r="AD238" s="316">
        <f>IF(ControlPanel!$D$59&gt;AD$5,AD101,AD74*AD47+AD228)</f>
        <v>4.3044849317466332</v>
      </c>
      <c r="AE238" s="317">
        <f>IF(ControlPanel!$D$59&gt;AE$5,AE101,AE74*AE47+AE228)</f>
        <v>4.2538325692321122</v>
      </c>
      <c r="AF238" s="929" t="s">
        <v>179</v>
      </c>
      <c r="AG238" s="929"/>
      <c r="AH238" s="929"/>
      <c r="AI238" s="929"/>
      <c r="AJ238" s="1242"/>
    </row>
    <row r="239" spans="1:36" s="294" customFormat="1" ht="12.75" customHeight="1" outlineLevel="2">
      <c r="A239" s="553">
        <v>220</v>
      </c>
      <c r="C239" s="10"/>
      <c r="D239" s="33"/>
      <c r="E239" s="16" t="s">
        <v>349</v>
      </c>
      <c r="F239" s="325">
        <f>IF(ControlPanel!$D$59&gt;F$5,F102,F75*F48+F229)</f>
        <v>1.835</v>
      </c>
      <c r="G239" s="325">
        <f>IF(ControlPanel!$D$59&gt;G$5,G102,G75*G48+G229)</f>
        <v>1.993012</v>
      </c>
      <c r="H239" s="325">
        <f>IF(ControlPanel!$D$59&gt;H$5,H102,H75*H48+H229)</f>
        <v>1.667049</v>
      </c>
      <c r="I239" s="325">
        <f>IF(ControlPanel!$D$59&gt;I$5,I102,I75*I48+I229)</f>
        <v>1.9069669999999999</v>
      </c>
      <c r="J239" s="325">
        <f>IF(ControlPanel!$D$59&gt;J$5,J102,J75*J48+J229)</f>
        <v>1.824149</v>
      </c>
      <c r="K239" s="325">
        <f>IF(ControlPanel!$D$59&gt;K$5,K102,K75*K48+K229)</f>
        <v>1.6785699999999999</v>
      </c>
      <c r="L239" s="325">
        <f>IF(ControlPanel!$D$59&gt;L$5,L102,L75*L48+L229)</f>
        <v>1.607626</v>
      </c>
      <c r="M239" s="325">
        <f>IF(ControlPanel!$D$59&gt;M$5,M102,M75*M48+M229)</f>
        <v>1.3880729999999999</v>
      </c>
      <c r="N239" s="326">
        <f>IF(ControlPanel!$D$59&gt;N$5,N102,N75*N48+N229)</f>
        <v>1.6777449999999998</v>
      </c>
      <c r="O239" s="327">
        <f>IF(ControlPanel!$D$59&gt;O$5,O102,O75*O48+O229)</f>
        <v>1.7078559999999998</v>
      </c>
      <c r="P239" s="325">
        <f>IF(ControlPanel!$D$59&gt;P$5,P102,P75*P48+P229)</f>
        <v>1.4397339999999998</v>
      </c>
      <c r="Q239" s="325">
        <f>IF(ControlPanel!$D$59&gt;Q$5,Q102,Q75*Q48+Q229)</f>
        <v>1.2507809999999999</v>
      </c>
      <c r="R239" s="325">
        <f>IF(ControlPanel!$D$59&gt;R$5,R102,R75*R48+R229)</f>
        <v>1.1986911778404139</v>
      </c>
      <c r="S239" s="325">
        <f>IF(ControlPanel!$D$59&gt;S$5,S102,S75*S48+S229)</f>
        <v>0.93006049189954743</v>
      </c>
      <c r="T239" s="325">
        <f>IF(ControlPanel!$D$59&gt;T$5,T102,T75*T48+T229)</f>
        <v>0.62735966415005406</v>
      </c>
      <c r="U239" s="325">
        <f>IF(ControlPanel!$D$59&gt;U$5,U102,U75*U48+U229)</f>
        <v>0.3439116584761317</v>
      </c>
      <c r="V239" s="325">
        <f>IF(ControlPanel!$D$59&gt;V$5,V102,V75*V48+V229)</f>
        <v>0.31345510500393348</v>
      </c>
      <c r="W239" s="325">
        <f>IF(ControlPanel!$D$59&gt;W$5,W102,W75*W48+W229)</f>
        <v>0.28855804520587869</v>
      </c>
      <c r="X239" s="325">
        <f>IF(ControlPanel!$D$59&gt;X$5,X102,X75*X48+X229)</f>
        <v>0.28483549741756542</v>
      </c>
      <c r="Y239" s="325">
        <f>IF(ControlPanel!$D$59&gt;Y$5,Y102,Y75*Y48+Y229)</f>
        <v>0.2817024998939579</v>
      </c>
      <c r="Z239" s="325">
        <f>IF(ControlPanel!$D$59&gt;Z$5,Z102,Z75*Z48+Z229)</f>
        <v>0.24316279006371969</v>
      </c>
      <c r="AA239" s="325">
        <f>IF(ControlPanel!$D$59&gt;AA$5,AA102,AA75*AA48+AA229)</f>
        <v>0.23643523387878132</v>
      </c>
      <c r="AB239" s="325">
        <f>IF(ControlPanel!$D$59&gt;AB$5,AB102,AB75*AB48+AB229)</f>
        <v>0.2031873520956963</v>
      </c>
      <c r="AC239" s="325">
        <f>IF(ControlPanel!$D$59&gt;AC$5,AC102,AC75*AC48+AC229)</f>
        <v>0.20045002713119756</v>
      </c>
      <c r="AD239" s="325">
        <f>IF(ControlPanel!$D$59&gt;AD$5,AD102,AD75*AD48+AD229)</f>
        <v>0.1962030956570304</v>
      </c>
      <c r="AE239" s="326">
        <f>IF(ControlPanel!$D$59&gt;AE$5,AE102,AE75*AE48+AE229)</f>
        <v>0.18808279667915634</v>
      </c>
      <c r="AF239" s="929" t="s">
        <v>179</v>
      </c>
      <c r="AG239" s="929"/>
      <c r="AH239" s="929"/>
      <c r="AI239" s="929"/>
      <c r="AJ239" s="1242"/>
    </row>
    <row r="240" spans="1:36" s="294" customFormat="1" ht="12.75" customHeight="1" outlineLevel="2">
      <c r="A240" s="553">
        <v>221</v>
      </c>
      <c r="C240" s="10"/>
      <c r="D240" s="33"/>
      <c r="E240" s="16" t="s">
        <v>11</v>
      </c>
      <c r="F240" s="325">
        <f>IF(ControlPanel!$D$59&gt;F$5,F103,F76*F49+F230)</f>
        <v>26.262</v>
      </c>
      <c r="G240" s="325">
        <f>IF(ControlPanel!$D$59&gt;G$5,G103,G76*G49+G230)</f>
        <v>27.776935999999999</v>
      </c>
      <c r="H240" s="325">
        <f>IF(ControlPanel!$D$59&gt;H$5,H103,H76*H49+H230)</f>
        <v>30.355590999999997</v>
      </c>
      <c r="I240" s="325">
        <f>IF(ControlPanel!$D$59&gt;I$5,I103,I76*I49+I230)</f>
        <v>33.165135999999997</v>
      </c>
      <c r="J240" s="325">
        <f>IF(ControlPanel!$D$59&gt;J$5,J103,J76*J49+J230)</f>
        <v>34.944730999999997</v>
      </c>
      <c r="K240" s="325">
        <f>IF(ControlPanel!$D$59&gt;K$5,K103,K76*K49+K230)</f>
        <v>38.357603999999995</v>
      </c>
      <c r="L240" s="325">
        <f>IF(ControlPanel!$D$59&gt;L$5,L103,L76*L49+L230)</f>
        <v>40.238844999999998</v>
      </c>
      <c r="M240" s="325">
        <f>IF(ControlPanel!$D$59&gt;M$5,M103,M76*M49+M230)</f>
        <v>40.770392999999999</v>
      </c>
      <c r="N240" s="326">
        <f>IF(ControlPanel!$D$59&gt;N$5,N103,N76*N49+N230)</f>
        <v>41.554488999999997</v>
      </c>
      <c r="O240" s="327">
        <f>IF(ControlPanel!$D$59&gt;O$5,O103,O76*O49+O230)</f>
        <v>41.351619999999997</v>
      </c>
      <c r="P240" s="325">
        <f>IF(ControlPanel!$D$59&gt;P$5,P103,P76*P49+P230)</f>
        <v>41.746690000000001</v>
      </c>
      <c r="Q240" s="325">
        <f>IF(ControlPanel!$D$59&gt;Q$5,Q103,Q76*Q49+Q230)</f>
        <v>40.206693999999999</v>
      </c>
      <c r="R240" s="325">
        <f>IF(ControlPanel!$D$59&gt;R$5,R103,R76*R49+R230)</f>
        <v>45.60980867892988</v>
      </c>
      <c r="S240" s="325">
        <f>IF(ControlPanel!$D$59&gt;S$5,S103,S76*S49+S230)</f>
        <v>45.027157860008145</v>
      </c>
      <c r="T240" s="325">
        <f>IF(ControlPanel!$D$59&gt;T$5,T103,T76*T49+T230)</f>
        <v>44.1061848440416</v>
      </c>
      <c r="U240" s="325">
        <f>IF(ControlPanel!$D$59&gt;U$5,U103,U76*U49+U230)</f>
        <v>41.300475377115909</v>
      </c>
      <c r="V240" s="325">
        <f>IF(ControlPanel!$D$59&gt;V$5,V103,V76*V49+V230)</f>
        <v>38.035489274582872</v>
      </c>
      <c r="W240" s="325">
        <f>IF(ControlPanel!$D$59&gt;W$5,W103,W76*W49+W230)</f>
        <v>33.976162958414484</v>
      </c>
      <c r="X240" s="325">
        <f>IF(ControlPanel!$D$59&gt;X$5,X103,X76*X49+X230)</f>
        <v>31.086494034888425</v>
      </c>
      <c r="Y240" s="325">
        <f>IF(ControlPanel!$D$59&gt;Y$5,Y103,Y76*Y49+Y230)</f>
        <v>29.902583930181798</v>
      </c>
      <c r="Z240" s="325">
        <f>IF(ControlPanel!$D$59&gt;Z$5,Z103,Z76*Z49+Z230)</f>
        <v>28.051212472580787</v>
      </c>
      <c r="AA240" s="325">
        <f>IF(ControlPanel!$D$59&gt;AA$5,AA103,AA76*AA49+AA230)</f>
        <v>24.70395515745254</v>
      </c>
      <c r="AB240" s="325">
        <f>IF(ControlPanel!$D$59&gt;AB$5,AB103,AB76*AB49+AB230)</f>
        <v>18.4900678363664</v>
      </c>
      <c r="AC240" s="325">
        <f>IF(ControlPanel!$D$59&gt;AC$5,AC103,AC76*AC49+AC230)</f>
        <v>17.86283986066141</v>
      </c>
      <c r="AD240" s="325">
        <f>IF(ControlPanel!$D$59&gt;AD$5,AD103,AD76*AD49+AD230)</f>
        <v>17.454527295396534</v>
      </c>
      <c r="AE240" s="326">
        <f>IF(ControlPanel!$D$59&gt;AE$5,AE103,AE76*AE49+AE230)</f>
        <v>17.381346397099996</v>
      </c>
      <c r="AF240" s="929" t="s">
        <v>179</v>
      </c>
      <c r="AG240" s="929"/>
      <c r="AH240" s="929"/>
      <c r="AI240" s="929"/>
      <c r="AJ240" s="1242"/>
    </row>
    <row r="241" spans="1:37" s="294" customFormat="1" ht="12.75" customHeight="1" outlineLevel="2">
      <c r="A241" s="553">
        <v>222</v>
      </c>
      <c r="C241" s="10"/>
      <c r="D241" s="33"/>
      <c r="E241" s="16" t="s">
        <v>10</v>
      </c>
      <c r="F241" s="325">
        <f>IF(ControlPanel!$D$59&gt;F$5,F104,F77*F50+F231)</f>
        <v>3.5999999999999997E-2</v>
      </c>
      <c r="G241" s="325">
        <f>IF(ControlPanel!$D$59&gt;G$5,G104,G77*G50+G231)</f>
        <v>6.1612E-2</v>
      </c>
      <c r="H241" s="325">
        <f>IF(ControlPanel!$D$59&gt;H$5,H104,H77*H50+H231)</f>
        <v>0.10724</v>
      </c>
      <c r="I241" s="325">
        <f>IF(ControlPanel!$D$59&gt;I$5,I104,I77*I50+I231)</f>
        <v>7.6874999999999999E-2</v>
      </c>
      <c r="J241" s="325">
        <f>IF(ControlPanel!$D$59&gt;J$5,J104,J77*J50+J231)</f>
        <v>0.130407</v>
      </c>
      <c r="K241" s="325">
        <f>IF(ControlPanel!$D$59&gt;K$5,K104,K77*K50+K231)</f>
        <v>0.15870499999999998</v>
      </c>
      <c r="L241" s="325">
        <f>IF(ControlPanel!$D$59&gt;L$5,L104,L77*L50+L231)</f>
        <v>0.18035599999999999</v>
      </c>
      <c r="M241" s="325">
        <f>IF(ControlPanel!$D$59&gt;M$5,M104,M77*M50+M231)</f>
        <v>0.189524</v>
      </c>
      <c r="N241" s="326">
        <f>IF(ControlPanel!$D$59&gt;N$5,N104,N77*N50+N231)</f>
        <v>0.25728000000000001</v>
      </c>
      <c r="O241" s="327">
        <f>IF(ControlPanel!$D$59&gt;O$5,O104,O77*O50+O231)</f>
        <v>0.28638599999999997</v>
      </c>
      <c r="P241" s="325">
        <f>IF(ControlPanel!$D$59&gt;P$5,P104,P77*P50+P231)</f>
        <v>0.214729</v>
      </c>
      <c r="Q241" s="325">
        <f>IF(ControlPanel!$D$59&gt;Q$5,Q104,Q77*Q50+Q231)</f>
        <v>0.26771400000000001</v>
      </c>
      <c r="R241" s="325">
        <f>IF(ControlPanel!$D$59&gt;R$5,R104,R77*R50+R231)</f>
        <v>0.2684308402037342</v>
      </c>
      <c r="S241" s="325">
        <f>IF(ControlPanel!$D$59&gt;S$5,S104,S77*S50+S231)</f>
        <v>0.2684308402037342</v>
      </c>
      <c r="T241" s="325">
        <f>IF(ControlPanel!$D$59&gt;T$5,T104,T77*T50+T231)</f>
        <v>0.2684308402037342</v>
      </c>
      <c r="U241" s="325">
        <f>IF(ControlPanel!$D$59&gt;U$5,U104,U77*U50+U231)</f>
        <v>0.2684308402037342</v>
      </c>
      <c r="V241" s="325">
        <f>IF(ControlPanel!$D$59&gt;V$5,V104,V77*V50+V231)</f>
        <v>0.2684308402037342</v>
      </c>
      <c r="W241" s="325">
        <f>IF(ControlPanel!$D$59&gt;W$5,W104,W77*W50+W231)</f>
        <v>0.2684308402037342</v>
      </c>
      <c r="X241" s="325">
        <f>IF(ControlPanel!$D$59&gt;X$5,X104,X77*X50+X231)</f>
        <v>0.2684308402037342</v>
      </c>
      <c r="Y241" s="325">
        <f>IF(ControlPanel!$D$59&gt;Y$5,Y104,Y77*Y50+Y231)</f>
        <v>0.2684308402037342</v>
      </c>
      <c r="Z241" s="325">
        <f>IF(ControlPanel!$D$59&gt;Z$5,Z104,Z77*Z50+Z231)</f>
        <v>0.25901479747116279</v>
      </c>
      <c r="AA241" s="325">
        <f>IF(ControlPanel!$D$59&gt;AA$5,AA104,AA77*AA50+AA231)</f>
        <v>0.25901479747116279</v>
      </c>
      <c r="AB241" s="325">
        <f>IF(ControlPanel!$D$59&gt;AB$5,AB104,AB77*AB50+AB231)</f>
        <v>0.25901479747116279</v>
      </c>
      <c r="AC241" s="325">
        <f>IF(ControlPanel!$D$59&gt;AC$5,AC104,AC77*AC50+AC231)</f>
        <v>0.19891671048201409</v>
      </c>
      <c r="AD241" s="325">
        <f>IF(ControlPanel!$D$59&gt;AD$5,AD104,AD77*AD50+AD231)</f>
        <v>0.13543580852838147</v>
      </c>
      <c r="AE241" s="326">
        <f>IF(ControlPanel!$D$59&gt;AE$5,AE104,AE77*AE50+AE231)</f>
        <v>0.11874199999999997</v>
      </c>
      <c r="AF241" s="929" t="s">
        <v>179</v>
      </c>
      <c r="AG241" s="929"/>
      <c r="AH241" s="929"/>
      <c r="AI241" s="929"/>
      <c r="AJ241" s="1242"/>
    </row>
    <row r="242" spans="1:37" s="294" customFormat="1" ht="12.75" customHeight="1" outlineLevel="2">
      <c r="A242" s="553">
        <v>223</v>
      </c>
      <c r="C242" s="10"/>
      <c r="D242" s="33"/>
      <c r="E242" s="16" t="s">
        <v>339</v>
      </c>
      <c r="F242" s="325">
        <f>IF(ControlPanel!$D$59&gt;F$5,F105,F78*F51+F232)</f>
        <v>47.704000000000001</v>
      </c>
      <c r="G242" s="325">
        <f>IF(ControlPanel!$D$59&gt;G$5,G105,G78*G51+G232)</f>
        <v>53.882748999999997</v>
      </c>
      <c r="H242" s="325">
        <f>IF(ControlPanel!$D$59&gt;H$5,H105,H78*H51+H232)</f>
        <v>50.125189999999996</v>
      </c>
      <c r="I242" s="325">
        <f>IF(ControlPanel!$D$59&gt;I$5,I105,I78*I51+I232)</f>
        <v>55.830889999999997</v>
      </c>
      <c r="J242" s="325">
        <f>IF(ControlPanel!$D$59&gt;J$5,J105,J78*J51+J232)</f>
        <v>62.190390000000001</v>
      </c>
      <c r="K242" s="325">
        <f>IF(ControlPanel!$D$59&gt;K$5,K105,K78*K51+K232)</f>
        <v>66.872687999999997</v>
      </c>
      <c r="L242" s="325">
        <f>IF(ControlPanel!$D$59&gt;L$5,L105,L78*L51+L232)</f>
        <v>75.948886000000002</v>
      </c>
      <c r="M242" s="325">
        <f>IF(ControlPanel!$D$59&gt;M$5,M105,M78*M51+M232)</f>
        <v>82.001902999999999</v>
      </c>
      <c r="N242" s="326">
        <f>IF(ControlPanel!$D$59&gt;N$5,N105,N78*N51+N232)</f>
        <v>92.724075999999997</v>
      </c>
      <c r="O242" s="327">
        <f>IF(ControlPanel!$D$59&gt;O$5,O105,O78*O51+O232)</f>
        <v>98.799182999999999</v>
      </c>
      <c r="P242" s="325">
        <f>IF(ControlPanel!$D$59&gt;P$5,P105,P78*P51+P232)</f>
        <v>102.08820399999999</v>
      </c>
      <c r="Q242" s="325">
        <f>IF(ControlPanel!$D$59&gt;Q$5,Q105,Q78*Q51+Q232)</f>
        <v>101.185739</v>
      </c>
      <c r="R242" s="325">
        <f>IF(ControlPanel!$D$59&gt;R$5,R105,R78*R51+R232)</f>
        <v>94.25042261312376</v>
      </c>
      <c r="S242" s="325">
        <f>IF(ControlPanel!$D$59&gt;S$5,S105,S78*S51+S232)</f>
        <v>94.827206127866759</v>
      </c>
      <c r="T242" s="325">
        <f>IF(ControlPanel!$D$59&gt;T$5,T105,T78*T51+T232)</f>
        <v>96.335921251545784</v>
      </c>
      <c r="U242" s="325">
        <f>IF(ControlPanel!$D$59&gt;U$5,U105,U78*U51+U232)</f>
        <v>98.839861693943618</v>
      </c>
      <c r="V242" s="325">
        <f>IF(ControlPanel!$D$59&gt;V$5,V105,V78*V51+V232)</f>
        <v>102.01811212633649</v>
      </c>
      <c r="W242" s="325">
        <f>IF(ControlPanel!$D$59&gt;W$5,W105,W78*W51+W232)</f>
        <v>104.49575374205074</v>
      </c>
      <c r="X242" s="325">
        <f>IF(ControlPanel!$D$59&gt;X$5,X105,X78*X51+X232)</f>
        <v>107.85860320598822</v>
      </c>
      <c r="Y242" s="325">
        <f>IF(ControlPanel!$D$59&gt;Y$5,Y105,Y78*Y51+Y232)</f>
        <v>112.82265109973601</v>
      </c>
      <c r="Z242" s="325">
        <f>IF(ControlPanel!$D$59&gt;Z$5,Z105,Z78*Z51+Z232)</f>
        <v>114.42957027361084</v>
      </c>
      <c r="AA242" s="325">
        <f>IF(ControlPanel!$D$59&gt;AA$5,AA105,AA78*AA51+AA232)</f>
        <v>118.0344262356415</v>
      </c>
      <c r="AB242" s="325">
        <f>IF(ControlPanel!$D$59&gt;AB$5,AB105,AB78*AB51+AB232)</f>
        <v>120.95277881231661</v>
      </c>
      <c r="AC242" s="325">
        <f>IF(ControlPanel!$D$59&gt;AC$5,AC105,AC78*AC51+AC232)</f>
        <v>122.72630410071723</v>
      </c>
      <c r="AD242" s="325">
        <f>IF(ControlPanel!$D$59&gt;AD$5,AD105,AD78*AD51+AD232)</f>
        <v>122.87311025646409</v>
      </c>
      <c r="AE242" s="326">
        <f>IF(ControlPanel!$D$59&gt;AE$5,AE105,AE78*AE51+AE232)</f>
        <v>119.6018790995671</v>
      </c>
      <c r="AF242" s="929" t="s">
        <v>179</v>
      </c>
      <c r="AG242" s="929"/>
      <c r="AH242" s="929"/>
      <c r="AI242" s="929"/>
      <c r="AJ242" s="1242"/>
      <c r="AK242" s="340"/>
    </row>
    <row r="243" spans="1:37" s="294" customFormat="1" ht="12.75" customHeight="1" outlineLevel="2">
      <c r="A243" s="553">
        <v>224</v>
      </c>
      <c r="C243" s="10"/>
      <c r="D243" s="33"/>
      <c r="E243" s="16" t="s">
        <v>340</v>
      </c>
      <c r="F243" s="325">
        <f>IF(ControlPanel!$D$59&gt;F$5,F106,F79*F52+F233)</f>
        <v>0.65400000000000003</v>
      </c>
      <c r="G243" s="325">
        <f>IF(ControlPanel!$D$59&gt;G$5,G106,G79*G52+G233)</f>
        <v>1.1467909999999999</v>
      </c>
      <c r="H243" s="325">
        <f>IF(ControlPanel!$D$59&gt;H$5,H106,H79*H52+H233)</f>
        <v>1.361415</v>
      </c>
      <c r="I243" s="325">
        <f>IF(ControlPanel!$D$59&gt;I$5,I106,I79*I52+I233)</f>
        <v>2.4940419999999999</v>
      </c>
      <c r="J243" s="325">
        <f>IF(ControlPanel!$D$59&gt;J$5,J106,J79*J52+J233)</f>
        <v>7.397958</v>
      </c>
      <c r="K243" s="325">
        <f>IF(ControlPanel!$D$59&gt;K$5,K106,K79*K52+K233)</f>
        <v>11.231204</v>
      </c>
      <c r="L243" s="325">
        <f>IF(ControlPanel!$D$59&gt;L$5,L106,L79*L52+L233)</f>
        <v>15.379543999999999</v>
      </c>
      <c r="M243" s="325">
        <f>IF(ControlPanel!$D$59&gt;M$5,M106,M79*M52+M233)</f>
        <v>20.033355</v>
      </c>
      <c r="N243" s="326">
        <f>IF(ControlPanel!$D$59&gt;N$5,N106,N79*N52+N233)</f>
        <v>22.564405999999998</v>
      </c>
      <c r="O243" s="327">
        <f>IF(ControlPanel!$D$59&gt;O$5,O106,O79*O52+O233)</f>
        <v>26.466161</v>
      </c>
      <c r="P243" s="325">
        <f>IF(ControlPanel!$D$59&gt;P$5,P106,P79*P52+P233)</f>
        <v>29.940075999999998</v>
      </c>
      <c r="Q243" s="325">
        <f>IF(ControlPanel!$D$59&gt;Q$5,Q106,Q79*Q52+Q233)</f>
        <v>29.638939999999998</v>
      </c>
      <c r="R243" s="325">
        <f>IF(ControlPanel!$D$59&gt;R$5,R106,R79*R52+R233)</f>
        <v>28.17276733244341</v>
      </c>
      <c r="S243" s="325">
        <f>IF(ControlPanel!$D$59&gt;S$5,S106,S79*S52+S233)</f>
        <v>31.000162332443413</v>
      </c>
      <c r="T243" s="325">
        <f>IF(ControlPanel!$D$59&gt;T$5,T106,T79*T52+T233)</f>
        <v>35.059387332443414</v>
      </c>
      <c r="U243" s="325">
        <f>IF(ControlPanel!$D$59&gt;U$5,U106,U79*U52+U233)</f>
        <v>39.034387332443416</v>
      </c>
      <c r="V243" s="325">
        <f>IF(ControlPanel!$D$59&gt;V$5,V106,V79*V52+V233)</f>
        <v>43.085887332443413</v>
      </c>
      <c r="W243" s="325">
        <f>IF(ControlPanel!$D$59&gt;W$5,W106,W79*W52+W233)</f>
        <v>47.178187332443414</v>
      </c>
      <c r="X243" s="325">
        <f>IF(ControlPanel!$D$59&gt;X$5,X106,X79*X52+X233)</f>
        <v>51.29598733244341</v>
      </c>
      <c r="Y243" s="325">
        <f>IF(ControlPanel!$D$59&gt;Y$5,Y106,Y79*Y52+Y233)</f>
        <v>55.431273046729132</v>
      </c>
      <c r="Z243" s="325">
        <f>IF(ControlPanel!$D$59&gt;Z$5,Z106,Z79*Z52+Z233)</f>
        <v>59.428912103095726</v>
      </c>
      <c r="AA243" s="325">
        <f>IF(ControlPanel!$D$59&gt;AA$5,AA106,AA79*AA52+AA233)</f>
        <v>63.400985716208453</v>
      </c>
      <c r="AB243" s="325">
        <f>IF(ControlPanel!$D$59&gt;AB$5,AB106,AB79*AB52+AB233)</f>
        <v>67.100193643477155</v>
      </c>
      <c r="AC243" s="325">
        <f>IF(ControlPanel!$D$59&gt;AC$5,AC106,AC79*AC52+AC233)</f>
        <v>70.942824312338061</v>
      </c>
      <c r="AD243" s="325">
        <f>IF(ControlPanel!$D$59&gt;AD$5,AD106,AD79*AD52+AD233)</f>
        <v>74.178390276943432</v>
      </c>
      <c r="AE243" s="326">
        <f>IF(ControlPanel!$D$59&gt;AE$5,AE106,AE79*AE52+AE233)</f>
        <v>76.344675064935061</v>
      </c>
      <c r="AF243" s="929" t="s">
        <v>179</v>
      </c>
      <c r="AG243" s="929"/>
      <c r="AH243" s="929"/>
      <c r="AI243" s="929"/>
      <c r="AJ243" s="1242"/>
    </row>
    <row r="244" spans="1:37" s="294" customFormat="1" ht="12.75" customHeight="1" outlineLevel="2">
      <c r="A244" s="553">
        <v>225</v>
      </c>
      <c r="C244" s="10"/>
      <c r="D244" s="33"/>
      <c r="E244" s="296" t="s">
        <v>530</v>
      </c>
      <c r="F244" s="302">
        <f>IF(ControlPanel!$D$59&gt;F$5,F107,F80*F53+F234)</f>
        <v>8.2959999999999994</v>
      </c>
      <c r="G244" s="302">
        <f>IF(ControlPanel!$D$59&gt;G$5,G107,G80*G53+G234)</f>
        <v>19.399286999999998</v>
      </c>
      <c r="H244" s="302">
        <f>IF(ControlPanel!$D$59&gt;H$5,H107,H80*H53+H234)</f>
        <v>24.072319</v>
      </c>
      <c r="I244" s="302">
        <f>IF(ControlPanel!$D$59&gt;I$5,I107,I80*I53+I234)</f>
        <v>34.673694999999995</v>
      </c>
      <c r="J244" s="302">
        <f>IF(ControlPanel!$D$59&gt;J$5,J107,J80*J53+J234)</f>
        <v>36.594586999999997</v>
      </c>
      <c r="K244" s="302">
        <f>IF(ControlPanel!$D$59&gt;K$5,K107,K80*K53+K234)</f>
        <v>36.096958000000001</v>
      </c>
      <c r="L244" s="302">
        <f>IF(ControlPanel!$D$59&gt;L$5,L107,L80*L53+L234)</f>
        <v>36.82555</v>
      </c>
      <c r="M244" s="302">
        <f>IF(ControlPanel!$D$59&gt;M$5,M107,M80*M53+M234)</f>
        <v>36.562143999999996</v>
      </c>
      <c r="N244" s="55">
        <f>IF(ControlPanel!$D$59&gt;N$5,N107,N80*N53+N234)</f>
        <v>39.173614999999998</v>
      </c>
      <c r="O244" s="303">
        <f>IF(ControlPanel!$D$59&gt;O$5,O107,O80*O53+O234)</f>
        <v>41.877699</v>
      </c>
      <c r="P244" s="302">
        <f>IF(ControlPanel!$D$59&gt;P$5,P107,P80*P53+P234)</f>
        <v>43.939245999999997</v>
      </c>
      <c r="Q244" s="302">
        <f>IF(ControlPanel!$D$59&gt;Q$5,Q107,Q80*Q53+Q234)</f>
        <v>49.344335000000001</v>
      </c>
      <c r="R244" s="302">
        <f>IF(ControlPanel!$D$59&gt;R$5,R107,R80*R53+R234)</f>
        <v>53.093103013313012</v>
      </c>
      <c r="S244" s="302">
        <f>IF(ControlPanel!$D$59&gt;S$5,S107,S80*S53+S234)</f>
        <v>56.60761623075652</v>
      </c>
      <c r="T244" s="302">
        <f>IF(ControlPanel!$D$59&gt;T$5,T107,T80*T53+T234)</f>
        <v>59.26401100961418</v>
      </c>
      <c r="U244" s="302">
        <f>IF(ControlPanel!$D$59&gt;U$5,U107,U80*U53+U234)</f>
        <v>61.468362996764228</v>
      </c>
      <c r="V244" s="302">
        <f>IF(ControlPanel!$D$59&gt;V$5,V107,V80*V53+V234)</f>
        <v>63.207640471810535</v>
      </c>
      <c r="W244" s="302">
        <f>IF(ControlPanel!$D$59&gt;W$5,W107,W80*W53+W234)</f>
        <v>64.736221723342624</v>
      </c>
      <c r="X244" s="302">
        <f>IF(ControlPanel!$D$59&gt;X$5,X107,X80*X53+X234)</f>
        <v>65.898925116991279</v>
      </c>
      <c r="Y244" s="302">
        <f>IF(ControlPanel!$D$59&gt;Y$5,Y107,Y80*Y53+Y234)</f>
        <v>66.430868263375174</v>
      </c>
      <c r="Z244" s="302">
        <f>IF(ControlPanel!$D$59&gt;Z$5,Z107,Z80*Z53+Z234)</f>
        <v>64.71640549984113</v>
      </c>
      <c r="AA244" s="302">
        <f>IF(ControlPanel!$D$59&gt;AA$5,AA107,AA80*AA53+AA234)</f>
        <v>60.244842557711863</v>
      </c>
      <c r="AB244" s="302">
        <f>IF(ControlPanel!$D$59&gt;AB$5,AB107,AB80*AB53+AB234)</f>
        <v>55.46813523523155</v>
      </c>
      <c r="AC244" s="302">
        <f>IF(ControlPanel!$D$59&gt;AC$5,AC107,AC80*AC53+AC234)</f>
        <v>51.870456191887207</v>
      </c>
      <c r="AD244" s="302">
        <f>IF(ControlPanel!$D$59&gt;AD$5,AD107,AD80*AD53+AD234)</f>
        <v>51.661326033567626</v>
      </c>
      <c r="AE244" s="55">
        <f>IF(ControlPanel!$D$59&gt;AE$5,AE107,AE80*AE53+AE234)</f>
        <v>52.673741189092631</v>
      </c>
      <c r="AF244" s="929" t="s">
        <v>179</v>
      </c>
      <c r="AG244" s="929"/>
      <c r="AH244" s="929"/>
      <c r="AI244" s="929"/>
      <c r="AJ244" s="1242"/>
    </row>
    <row r="245" spans="1:37" s="294" customFormat="1" ht="12.75" customHeight="1" outlineLevel="1">
      <c r="A245" s="553">
        <v>226</v>
      </c>
      <c r="C245" s="10"/>
      <c r="D245" s="33"/>
      <c r="E245" s="27" t="s">
        <v>531</v>
      </c>
      <c r="F245" s="318">
        <f t="shared" ref="F245:M245" si="27">SUM(F238:F244)</f>
        <v>90.230999999999995</v>
      </c>
      <c r="G245" s="318">
        <f t="shared" si="27"/>
        <v>110.32713299999998</v>
      </c>
      <c r="H245" s="318">
        <f t="shared" si="27"/>
        <v>113.51865999999998</v>
      </c>
      <c r="I245" s="318">
        <f t="shared" si="27"/>
        <v>134.44289299999997</v>
      </c>
      <c r="J245" s="318">
        <f t="shared" si="27"/>
        <v>149.23655299999999</v>
      </c>
      <c r="K245" s="318">
        <f t="shared" si="27"/>
        <v>160.48758199999997</v>
      </c>
      <c r="L245" s="318">
        <f t="shared" si="27"/>
        <v>176.427021</v>
      </c>
      <c r="M245" s="318">
        <f t="shared" si="27"/>
        <v>187.22620899999998</v>
      </c>
      <c r="N245" s="319">
        <f>SUM(N238:N244)</f>
        <v>203.875407</v>
      </c>
      <c r="O245" s="293">
        <f>SUM(O238:O244)</f>
        <v>217.00349199999999</v>
      </c>
      <c r="P245" s="318">
        <f>SUM(P238:P244)</f>
        <v>225.61901599999999</v>
      </c>
      <c r="Q245" s="318">
        <f t="shared" ref="Q245:AE245" si="28">SUM(Q238:Q244)</f>
        <v>228.27263399999998</v>
      </c>
      <c r="R245" s="318">
        <f t="shared" si="28"/>
        <v>229.01003555681189</v>
      </c>
      <c r="S245" s="318">
        <f t="shared" si="28"/>
        <v>235.07744578413579</v>
      </c>
      <c r="T245" s="318">
        <f t="shared" si="28"/>
        <v>242.07810684295646</v>
      </c>
      <c r="U245" s="318">
        <f t="shared" si="28"/>
        <v>247.6722417999047</v>
      </c>
      <c r="V245" s="318">
        <f t="shared" si="28"/>
        <v>253.34582705133863</v>
      </c>
      <c r="W245" s="318">
        <f t="shared" si="28"/>
        <v>257.36012654261856</v>
      </c>
      <c r="X245" s="318">
        <f t="shared" si="28"/>
        <v>263.11008792889032</v>
      </c>
      <c r="Y245" s="318">
        <f t="shared" si="28"/>
        <v>271.55432158107749</v>
      </c>
      <c r="Z245" s="318">
        <f t="shared" si="28"/>
        <v>273.00610780442537</v>
      </c>
      <c r="AA245" s="318">
        <f t="shared" si="28"/>
        <v>272.29175492739193</v>
      </c>
      <c r="AB245" s="318">
        <f t="shared" si="28"/>
        <v>267.56452804353341</v>
      </c>
      <c r="AC245" s="318">
        <f t="shared" si="28"/>
        <v>268.70694136220959</v>
      </c>
      <c r="AD245" s="318">
        <f t="shared" si="28"/>
        <v>270.80347769830371</v>
      </c>
      <c r="AE245" s="319">
        <f t="shared" si="28"/>
        <v>270.56229911660608</v>
      </c>
      <c r="AF245" s="929"/>
      <c r="AG245" s="929"/>
      <c r="AH245" s="929"/>
      <c r="AI245" s="929"/>
      <c r="AJ245" s="1034"/>
    </row>
    <row r="246" spans="1:37" s="294" customFormat="1" ht="12.75" customHeight="1" outlineLevel="1">
      <c r="A246" s="553">
        <v>227</v>
      </c>
      <c r="C246" s="10"/>
      <c r="D246" s="33"/>
      <c r="F246" s="324"/>
      <c r="G246" s="324"/>
      <c r="H246" s="324"/>
      <c r="I246" s="324"/>
      <c r="J246" s="324"/>
      <c r="K246" s="324"/>
      <c r="L246" s="324"/>
      <c r="M246" s="324"/>
      <c r="N246" s="342"/>
      <c r="O246" s="289"/>
      <c r="P246" s="324"/>
      <c r="Q246" s="324"/>
      <c r="R246" s="324"/>
      <c r="S246" s="324"/>
      <c r="T246" s="324"/>
      <c r="U246" s="324"/>
      <c r="V246" s="324"/>
      <c r="W246" s="324"/>
      <c r="X246" s="324"/>
      <c r="Y246" s="324"/>
      <c r="Z246" s="324"/>
      <c r="AA246" s="324"/>
      <c r="AB246" s="324"/>
      <c r="AC246" s="324"/>
      <c r="AD246" s="324"/>
      <c r="AE246" s="324"/>
      <c r="AF246" s="929"/>
      <c r="AG246" s="929"/>
      <c r="AH246" s="929"/>
      <c r="AI246" s="929"/>
      <c r="AJ246" s="1034"/>
    </row>
    <row r="247" spans="1:37" s="294" customFormat="1" ht="12.75" customHeight="1" outlineLevel="1">
      <c r="A247" s="553">
        <v>228</v>
      </c>
      <c r="C247" s="10"/>
      <c r="D247" s="33"/>
      <c r="E247" s="315" t="s">
        <v>541</v>
      </c>
      <c r="F247" s="324"/>
      <c r="G247" s="324"/>
      <c r="H247" s="324"/>
      <c r="I247" s="324"/>
      <c r="J247" s="324"/>
      <c r="K247" s="324"/>
      <c r="L247" s="324"/>
      <c r="M247" s="324"/>
      <c r="N247" s="342"/>
      <c r="O247" s="289"/>
      <c r="P247" s="324"/>
      <c r="Q247" s="324"/>
      <c r="R247" s="324"/>
      <c r="S247" s="324"/>
      <c r="T247" s="324"/>
      <c r="U247" s="324"/>
      <c r="V247" s="324"/>
      <c r="W247" s="324"/>
      <c r="X247" s="324"/>
      <c r="Y247" s="324"/>
      <c r="Z247" s="324"/>
      <c r="AA247" s="324"/>
      <c r="AB247" s="324"/>
      <c r="AC247" s="324"/>
      <c r="AD247" s="324"/>
      <c r="AE247" s="324"/>
      <c r="AF247" s="929"/>
      <c r="AG247" s="929"/>
      <c r="AH247" s="929"/>
      <c r="AI247" s="929"/>
      <c r="AJ247" s="1034"/>
    </row>
    <row r="248" spans="1:37" s="294" customFormat="1" ht="12.75" customHeight="1" outlineLevel="2">
      <c r="A248" s="553">
        <v>229</v>
      </c>
      <c r="C248" s="10"/>
      <c r="D248" s="33"/>
      <c r="E248" s="314" t="s">
        <v>529</v>
      </c>
      <c r="F248" s="316"/>
      <c r="G248" s="316"/>
      <c r="H248" s="316"/>
      <c r="I248" s="316"/>
      <c r="J248" s="316"/>
      <c r="K248" s="316"/>
      <c r="L248" s="316"/>
      <c r="M248" s="316"/>
      <c r="N248" s="317"/>
      <c r="O248" s="320"/>
      <c r="P248" s="316"/>
      <c r="Q248" s="316"/>
      <c r="R248" s="316"/>
      <c r="S248" s="316"/>
      <c r="T248" s="316"/>
      <c r="U248" s="316"/>
      <c r="V248" s="316"/>
      <c r="W248" s="316"/>
      <c r="X248" s="316"/>
      <c r="Y248" s="316"/>
      <c r="Z248" s="316"/>
      <c r="AA248" s="316"/>
      <c r="AB248" s="316"/>
      <c r="AC248" s="316"/>
      <c r="AD248" s="316"/>
      <c r="AE248" s="317"/>
      <c r="AF248" s="929"/>
      <c r="AG248" s="929"/>
      <c r="AH248" s="929"/>
      <c r="AI248" s="929"/>
      <c r="AJ248" s="1034"/>
    </row>
    <row r="249" spans="1:37" s="294" customFormat="1" ht="12.75" customHeight="1" outlineLevel="2">
      <c r="A249" s="553">
        <v>230</v>
      </c>
      <c r="C249" s="10"/>
      <c r="D249" s="33"/>
      <c r="E249" s="16" t="s">
        <v>349</v>
      </c>
      <c r="F249" s="325"/>
      <c r="G249" s="325"/>
      <c r="H249" s="325"/>
      <c r="I249" s="325"/>
      <c r="J249" s="325"/>
      <c r="K249" s="325"/>
      <c r="L249" s="325"/>
      <c r="M249" s="325"/>
      <c r="N249" s="326"/>
      <c r="O249" s="327"/>
      <c r="P249" s="325"/>
      <c r="Q249" s="325"/>
      <c r="R249" s="325"/>
      <c r="S249" s="325"/>
      <c r="T249" s="325"/>
      <c r="U249" s="325"/>
      <c r="V249" s="325"/>
      <c r="W249" s="325"/>
      <c r="X249" s="325"/>
      <c r="Y249" s="325"/>
      <c r="Z249" s="325"/>
      <c r="AA249" s="325"/>
      <c r="AB249" s="325"/>
      <c r="AC249" s="325"/>
      <c r="AD249" s="325"/>
      <c r="AE249" s="326"/>
      <c r="AF249" s="929"/>
      <c r="AG249" s="929"/>
      <c r="AH249" s="929"/>
      <c r="AI249" s="929"/>
      <c r="AJ249" s="1034"/>
    </row>
    <row r="250" spans="1:37" s="294" customFormat="1" ht="12.75" customHeight="1" outlineLevel="2">
      <c r="A250" s="553">
        <v>231</v>
      </c>
      <c r="C250" s="10"/>
      <c r="D250" s="33"/>
      <c r="E250" s="16" t="s">
        <v>11</v>
      </c>
      <c r="F250" s="325"/>
      <c r="G250" s="325"/>
      <c r="H250" s="325"/>
      <c r="I250" s="325"/>
      <c r="J250" s="325"/>
      <c r="K250" s="325"/>
      <c r="L250" s="325"/>
      <c r="M250" s="325"/>
      <c r="N250" s="326"/>
      <c r="O250" s="327"/>
      <c r="P250" s="325"/>
      <c r="Q250" s="325"/>
      <c r="R250" s="325"/>
      <c r="S250" s="325"/>
      <c r="T250" s="325"/>
      <c r="U250" s="325"/>
      <c r="V250" s="325"/>
      <c r="W250" s="325"/>
      <c r="X250" s="325"/>
      <c r="Y250" s="325"/>
      <c r="Z250" s="325"/>
      <c r="AA250" s="325"/>
      <c r="AB250" s="325"/>
      <c r="AC250" s="325"/>
      <c r="AD250" s="325"/>
      <c r="AE250" s="326"/>
      <c r="AF250" s="929"/>
      <c r="AG250" s="929"/>
      <c r="AH250" s="929"/>
      <c r="AI250" s="929"/>
      <c r="AJ250" s="1034"/>
    </row>
    <row r="251" spans="1:37" s="294" customFormat="1" ht="12.75" customHeight="1" outlineLevel="2">
      <c r="A251" s="553">
        <v>232</v>
      </c>
      <c r="C251" s="10"/>
      <c r="D251" s="33"/>
      <c r="E251" s="16" t="s">
        <v>10</v>
      </c>
      <c r="F251" s="325"/>
      <c r="G251" s="325"/>
      <c r="H251" s="325"/>
      <c r="I251" s="325"/>
      <c r="J251" s="325"/>
      <c r="K251" s="325"/>
      <c r="L251" s="325"/>
      <c r="M251" s="325"/>
      <c r="N251" s="326"/>
      <c r="O251" s="327"/>
      <c r="P251" s="325"/>
      <c r="Q251" s="325"/>
      <c r="R251" s="325"/>
      <c r="S251" s="325"/>
      <c r="T251" s="325"/>
      <c r="U251" s="325"/>
      <c r="V251" s="325"/>
      <c r="W251" s="325"/>
      <c r="X251" s="325"/>
      <c r="Y251" s="325"/>
      <c r="Z251" s="325"/>
      <c r="AA251" s="325"/>
      <c r="AB251" s="325"/>
      <c r="AC251" s="325"/>
      <c r="AD251" s="325"/>
      <c r="AE251" s="326"/>
      <c r="AF251" s="929"/>
      <c r="AG251" s="929"/>
      <c r="AH251" s="929"/>
      <c r="AI251" s="929"/>
      <c r="AJ251" s="1034"/>
    </row>
    <row r="252" spans="1:37" s="294" customFormat="1" ht="12.75" customHeight="1" outlineLevel="2">
      <c r="A252" s="553">
        <v>233</v>
      </c>
      <c r="C252" s="10"/>
      <c r="D252" s="33"/>
      <c r="E252" s="16" t="s">
        <v>339</v>
      </c>
      <c r="F252" s="325"/>
      <c r="G252" s="325"/>
      <c r="H252" s="325"/>
      <c r="I252" s="325"/>
      <c r="J252" s="325"/>
      <c r="K252" s="325"/>
      <c r="L252" s="325"/>
      <c r="M252" s="325"/>
      <c r="N252" s="326"/>
      <c r="O252" s="327"/>
      <c r="P252" s="325"/>
      <c r="Q252" s="325"/>
      <c r="R252" s="325"/>
      <c r="S252" s="325"/>
      <c r="T252" s="325"/>
      <c r="U252" s="325"/>
      <c r="V252" s="325"/>
      <c r="W252" s="325"/>
      <c r="X252" s="325"/>
      <c r="Y252" s="325"/>
      <c r="Z252" s="325"/>
      <c r="AA252" s="325"/>
      <c r="AB252" s="325"/>
      <c r="AC252" s="325"/>
      <c r="AD252" s="325"/>
      <c r="AE252" s="326"/>
      <c r="AF252" s="929"/>
      <c r="AG252" s="929"/>
      <c r="AH252" s="929"/>
      <c r="AI252" s="929"/>
      <c r="AJ252" s="1034"/>
    </row>
    <row r="253" spans="1:37" s="294" customFormat="1" ht="12.75" customHeight="1" outlineLevel="2">
      <c r="A253" s="553">
        <v>234</v>
      </c>
      <c r="C253" s="10"/>
      <c r="D253" s="33"/>
      <c r="E253" s="16" t="s">
        <v>340</v>
      </c>
      <c r="F253" s="325"/>
      <c r="G253" s="325"/>
      <c r="H253" s="325"/>
      <c r="I253" s="325"/>
      <c r="J253" s="325"/>
      <c r="K253" s="325"/>
      <c r="L253" s="325"/>
      <c r="M253" s="325"/>
      <c r="N253" s="326"/>
      <c r="O253" s="327"/>
      <c r="P253" s="325"/>
      <c r="Q253" s="325"/>
      <c r="R253" s="325"/>
      <c r="S253" s="325"/>
      <c r="T253" s="325"/>
      <c r="U253" s="325"/>
      <c r="V253" s="325"/>
      <c r="W253" s="325"/>
      <c r="X253" s="325"/>
      <c r="Y253" s="325"/>
      <c r="Z253" s="325"/>
      <c r="AA253" s="325"/>
      <c r="AB253" s="325"/>
      <c r="AC253" s="325"/>
      <c r="AD253" s="325"/>
      <c r="AE253" s="326"/>
      <c r="AF253" s="929"/>
      <c r="AG253" s="929"/>
      <c r="AH253" s="929"/>
      <c r="AI253" s="929"/>
      <c r="AJ253" s="1034"/>
    </row>
    <row r="254" spans="1:37" s="294" customFormat="1" ht="12.75" customHeight="1" outlineLevel="2">
      <c r="A254" s="553">
        <v>235</v>
      </c>
      <c r="C254" s="10"/>
      <c r="D254" s="33"/>
      <c r="E254" s="296" t="s">
        <v>530</v>
      </c>
      <c r="F254" s="302">
        <f>IF(F$5&lt;ControlPanel!$D$59,'D-Eigenverbrauch EE-Bestand'!G12,'D-Eigenverbrauch EE-Bestand'!G12*F53)</f>
        <v>0</v>
      </c>
      <c r="G254" s="302">
        <f>IF(G$5&lt;ControlPanel!$D$59,'D-Eigenverbrauch EE-Bestand'!H12,'D-Eigenverbrauch EE-Bestand'!H12*G53)</f>
        <v>0</v>
      </c>
      <c r="H254" s="302">
        <f>IF(H$5&lt;ControlPanel!$D$59,'D-Eigenverbrauch EE-Bestand'!I12,'D-Eigenverbrauch EE-Bestand'!I12*H53)</f>
        <v>0.57208800000000004</v>
      </c>
      <c r="I254" s="302">
        <f>IF(I$5&lt;ControlPanel!$D$59,'D-Eigenverbrauch EE-Bestand'!J12,'D-Eigenverbrauch EE-Bestand'!J12*I53)</f>
        <v>2.3374609999999998</v>
      </c>
      <c r="J254" s="302">
        <f>IF(J$5&lt;ControlPanel!$D$59,'D-Eigenverbrauch EE-Bestand'!K12,'D-Eigenverbrauch EE-Bestand'!K12*J53)</f>
        <v>2.7879685354829888</v>
      </c>
      <c r="K254" s="302">
        <f>IF(K$5&lt;ControlPanel!$D$59,'D-Eigenverbrauch EE-Bestand'!L12,'D-Eigenverbrauch EE-Bestand'!L12*K53)</f>
        <v>2.0086940000000002</v>
      </c>
      <c r="L254" s="302">
        <f>IF(L$5&lt;ControlPanel!$D$59,'D-Eigenverbrauch EE-Bestand'!M12,'D-Eigenverbrauch EE-Bestand'!M12*L53)</f>
        <v>2.2527089999999999</v>
      </c>
      <c r="M254" s="55">
        <f>IF(M$5&lt;ControlPanel!$D$59,'D-Eigenverbrauch EE-Bestand'!N12,'D-Eigenverbrauch EE-Bestand'!N12*M53)</f>
        <v>1.6616164800000002</v>
      </c>
      <c r="N254" s="55">
        <f>IF(N$5&lt;ControlPanel!$D$59,'D-Eigenverbrauch EE-Bestand'!O12,'D-Eigenverbrauch EE-Bestand'!O12*N53)</f>
        <v>1.800618148392207</v>
      </c>
      <c r="O254" s="303">
        <f>IF(O$5&lt;ControlPanel!$D$59,'D-Eigenverbrauch EE-Bestand'!P12,'D-Eigenverbrauch EE-Bestand'!P12*O53)</f>
        <v>2.0329390000000003</v>
      </c>
      <c r="P254" s="302">
        <f>IF(P$5&lt;ControlPanel!$D$59,'D-Eigenverbrauch EE-Bestand'!Q12,'D-Eigenverbrauch EE-Bestand'!Q12*P53)</f>
        <v>2.4753820000000002</v>
      </c>
      <c r="Q254" s="302">
        <f>IF(Q$5&lt;ControlPanel!$D$59,'D-Eigenverbrauch EE-Bestand'!R12,'D-Eigenverbrauch EE-Bestand'!R12*Q53)</f>
        <v>3.1455769999999998</v>
      </c>
      <c r="R254" s="302">
        <f>IF(R$5&lt;ControlPanel!$D$59,'D-Eigenverbrauch EE-Bestand'!S12,'D-Eigenverbrauch EE-Bestand'!S12*R53)</f>
        <v>3.1770327699999998</v>
      </c>
      <c r="S254" s="302">
        <f>IF(S$5&lt;ControlPanel!$D$59,'D-Eigenverbrauch EE-Bestand'!T12,'D-Eigenverbrauch EE-Bestand'!T12*S53)</f>
        <v>2.0868880918641164</v>
      </c>
      <c r="T254" s="302">
        <f>IF(T$5&lt;ControlPanel!$D$59,'D-Eigenverbrauch EE-Bestand'!U12,'D-Eigenverbrauch EE-Bestand'!U12*T53)</f>
        <v>2.0500092058269064</v>
      </c>
      <c r="U254" s="302">
        <f>IF(U$5&lt;ControlPanel!$D$59,'D-Eigenverbrauch EE-Bestand'!V12,'D-Eigenverbrauch EE-Bestand'!V12*U53)</f>
        <v>1.9976632048994638</v>
      </c>
      <c r="V254" s="302">
        <f>IF(V$5&lt;ControlPanel!$D$59,'D-Eigenverbrauch EE-Bestand'!W12,'D-Eigenverbrauch EE-Bestand'!W12*V53)</f>
        <v>1.9512618602287659</v>
      </c>
      <c r="W254" s="302">
        <f>IF(W$5&lt;ControlPanel!$D$59,'D-Eigenverbrauch EE-Bestand'!X12,'D-Eigenverbrauch EE-Bestand'!X12*W53)</f>
        <v>1.8813020629850441</v>
      </c>
      <c r="X254" s="302">
        <f>IF(X$5&lt;ControlPanel!$D$59,'D-Eigenverbrauch EE-Bestand'!Y12,'D-Eigenverbrauch EE-Bestand'!Y12*X53)</f>
        <v>1.7739679916827171</v>
      </c>
      <c r="Y254" s="302">
        <f>IF(Y$5&lt;ControlPanel!$D$59,'D-Eigenverbrauch EE-Bestand'!Z12,'D-Eigenverbrauch EE-Bestand'!Z12*Y53)</f>
        <v>1.5292463091134123</v>
      </c>
      <c r="Z254" s="302">
        <f>IF(Z$5&lt;ControlPanel!$D$59,'D-Eigenverbrauch EE-Bestand'!AA12,'D-Eigenverbrauch EE-Bestand'!AA12*Z53)</f>
        <v>1.1231382177961986</v>
      </c>
      <c r="AA254" s="302">
        <f>IF(AA$5&lt;ControlPanel!$D$59,'D-Eigenverbrauch EE-Bestand'!AB12,'D-Eigenverbrauch EE-Bestand'!AB12*AA53)</f>
        <v>0.71114051333572914</v>
      </c>
      <c r="AB254" s="302">
        <f>IF(AB$5&lt;ControlPanel!$D$59,'D-Eigenverbrauch EE-Bestand'!AC12,'D-Eigenverbrauch EE-Bestand'!AC12*AB53)</f>
        <v>0.29259267837014319</v>
      </c>
      <c r="AC254" s="302">
        <f>IF(AC$5&lt;ControlPanel!$D$59,'D-Eigenverbrauch EE-Bestand'!AD12,'D-Eigenverbrauch EE-Bestand'!AD12*AC53)</f>
        <v>0.11073023140455976</v>
      </c>
      <c r="AD254" s="302">
        <f>IF(AD$5&lt;ControlPanel!$D$59,'D-Eigenverbrauch EE-Bestand'!AE12,'D-Eigenverbrauch EE-Bestand'!AE12*AD53)</f>
        <v>5.5428415282797027E-3</v>
      </c>
      <c r="AE254" s="55">
        <f>IF(AE$5&lt;ControlPanel!$D$59,'D-Eigenverbrauch EE-Bestand'!AF12,'D-Eigenverbrauch EE-Bestand'!AF12*AE53)</f>
        <v>5.5428415282797027E-3</v>
      </c>
      <c r="AF254" s="929"/>
      <c r="AG254" s="929"/>
      <c r="AH254" s="929"/>
      <c r="AI254" s="929"/>
      <c r="AJ254" s="1034" t="s">
        <v>591</v>
      </c>
    </row>
    <row r="255" spans="1:37" s="294" customFormat="1" ht="12.75" customHeight="1" outlineLevel="1">
      <c r="A255" s="553">
        <v>236</v>
      </c>
      <c r="C255" s="10"/>
      <c r="D255" s="33"/>
      <c r="E255" s="27" t="s">
        <v>531</v>
      </c>
      <c r="F255" s="318">
        <f t="shared" ref="F255:M255" si="29">SUM(F248:F254)</f>
        <v>0</v>
      </c>
      <c r="G255" s="318">
        <f t="shared" si="29"/>
        <v>0</v>
      </c>
      <c r="H255" s="318">
        <f t="shared" si="29"/>
        <v>0.57208800000000004</v>
      </c>
      <c r="I255" s="318">
        <f t="shared" si="29"/>
        <v>2.3374609999999998</v>
      </c>
      <c r="J255" s="318">
        <f t="shared" si="29"/>
        <v>2.7879685354829888</v>
      </c>
      <c r="K255" s="318">
        <f t="shared" si="29"/>
        <v>2.0086940000000002</v>
      </c>
      <c r="L255" s="318">
        <f t="shared" si="29"/>
        <v>2.2527089999999999</v>
      </c>
      <c r="M255" s="318">
        <f t="shared" si="29"/>
        <v>1.6616164800000002</v>
      </c>
      <c r="N255" s="319">
        <f>SUM(N248:N254)</f>
        <v>1.800618148392207</v>
      </c>
      <c r="O255" s="293">
        <f>SUM(O248:O254)</f>
        <v>2.0329390000000003</v>
      </c>
      <c r="P255" s="318">
        <f>SUM(P248:P254)</f>
        <v>2.4753820000000002</v>
      </c>
      <c r="Q255" s="318">
        <f t="shared" ref="Q255:AE255" si="30">SUM(Q248:Q254)</f>
        <v>3.1455769999999998</v>
      </c>
      <c r="R255" s="318">
        <f t="shared" si="30"/>
        <v>3.1770327699999998</v>
      </c>
      <c r="S255" s="318">
        <f t="shared" si="30"/>
        <v>2.0868880918641164</v>
      </c>
      <c r="T255" s="318">
        <f t="shared" si="30"/>
        <v>2.0500092058269064</v>
      </c>
      <c r="U255" s="318">
        <f t="shared" si="30"/>
        <v>1.9976632048994638</v>
      </c>
      <c r="V255" s="318">
        <f t="shared" si="30"/>
        <v>1.9512618602287659</v>
      </c>
      <c r="W255" s="318">
        <f t="shared" si="30"/>
        <v>1.8813020629850441</v>
      </c>
      <c r="X255" s="318">
        <f t="shared" si="30"/>
        <v>1.7739679916827171</v>
      </c>
      <c r="Y255" s="318">
        <f t="shared" si="30"/>
        <v>1.5292463091134123</v>
      </c>
      <c r="Z255" s="318">
        <f t="shared" si="30"/>
        <v>1.1231382177961986</v>
      </c>
      <c r="AA255" s="318">
        <f t="shared" si="30"/>
        <v>0.71114051333572914</v>
      </c>
      <c r="AB255" s="318">
        <f t="shared" si="30"/>
        <v>0.29259267837014319</v>
      </c>
      <c r="AC255" s="318">
        <f t="shared" si="30"/>
        <v>0.11073023140455976</v>
      </c>
      <c r="AD255" s="318">
        <f t="shared" si="30"/>
        <v>5.5428415282797027E-3</v>
      </c>
      <c r="AE255" s="319">
        <f t="shared" si="30"/>
        <v>5.5428415282797027E-3</v>
      </c>
      <c r="AF255" s="929"/>
      <c r="AG255" s="929"/>
      <c r="AH255" s="929"/>
      <c r="AI255" s="929"/>
      <c r="AJ255" s="1034"/>
    </row>
    <row r="256" spans="1:37" s="294" customFormat="1" ht="12.75" customHeight="1" outlineLevel="1">
      <c r="A256" s="553">
        <v>237</v>
      </c>
      <c r="C256" s="10"/>
      <c r="D256" s="33"/>
      <c r="F256" s="324"/>
      <c r="G256" s="324"/>
      <c r="H256" s="324"/>
      <c r="I256" s="324"/>
      <c r="J256" s="324"/>
      <c r="K256" s="324"/>
      <c r="L256" s="324"/>
      <c r="M256" s="324"/>
      <c r="N256" s="342"/>
      <c r="O256" s="289"/>
      <c r="P256" s="324"/>
      <c r="Q256" s="324"/>
      <c r="R256" s="324"/>
      <c r="S256" s="324"/>
      <c r="T256" s="324"/>
      <c r="U256" s="324"/>
      <c r="V256" s="324"/>
      <c r="W256" s="324"/>
      <c r="X256" s="324"/>
      <c r="Y256" s="324"/>
      <c r="Z256" s="324"/>
      <c r="AA256" s="324"/>
      <c r="AB256" s="324"/>
      <c r="AC256" s="324"/>
      <c r="AD256" s="324"/>
      <c r="AE256" s="324"/>
      <c r="AF256" s="929"/>
      <c r="AG256" s="929"/>
      <c r="AH256" s="929"/>
      <c r="AI256" s="929"/>
      <c r="AJ256" s="1034"/>
    </row>
    <row r="257" spans="1:36" s="294" customFormat="1" ht="49.2" customHeight="1" outlineLevel="1">
      <c r="A257" s="553">
        <v>238</v>
      </c>
      <c r="C257" s="10"/>
      <c r="D257" s="33"/>
      <c r="E257" s="315" t="s">
        <v>542</v>
      </c>
      <c r="F257" s="324"/>
      <c r="G257" s="324"/>
      <c r="H257" s="324"/>
      <c r="I257" s="324"/>
      <c r="J257" s="324"/>
      <c r="K257" s="324"/>
      <c r="L257" s="324"/>
      <c r="M257" s="324"/>
      <c r="N257" s="324"/>
      <c r="O257" s="324"/>
      <c r="P257" s="324"/>
      <c r="Q257" s="324"/>
      <c r="R257" s="324"/>
      <c r="S257" s="324"/>
      <c r="T257" s="324"/>
      <c r="U257" s="324"/>
      <c r="V257" s="324"/>
      <c r="W257" s="324"/>
      <c r="X257" s="324"/>
      <c r="Y257" s="324"/>
      <c r="Z257" s="324"/>
      <c r="AA257" s="324"/>
      <c r="AB257" s="324"/>
      <c r="AC257" s="324"/>
      <c r="AD257" s="324"/>
      <c r="AE257" s="324"/>
      <c r="AF257" s="929"/>
      <c r="AG257" s="929"/>
      <c r="AH257" s="929"/>
      <c r="AI257" s="929"/>
      <c r="AJ257" s="1034" t="s">
        <v>592</v>
      </c>
    </row>
    <row r="258" spans="1:36" s="294" customFormat="1" ht="12.75" customHeight="1" outlineLevel="1">
      <c r="A258" s="553">
        <v>239</v>
      </c>
      <c r="C258" s="10"/>
      <c r="D258" s="33"/>
      <c r="E258" s="314" t="s">
        <v>529</v>
      </c>
      <c r="F258" s="316"/>
      <c r="G258" s="316"/>
      <c r="H258" s="316"/>
      <c r="I258" s="316"/>
      <c r="J258" s="316"/>
      <c r="K258" s="316"/>
      <c r="L258" s="316"/>
      <c r="M258" s="316"/>
      <c r="N258" s="317"/>
      <c r="O258" s="320"/>
      <c r="P258" s="316"/>
      <c r="Q258" s="316"/>
      <c r="R258" s="316"/>
      <c r="S258" s="316"/>
      <c r="T258" s="316"/>
      <c r="U258" s="316"/>
      <c r="V258" s="316"/>
      <c r="W258" s="316"/>
      <c r="X258" s="316"/>
      <c r="Y258" s="316"/>
      <c r="Z258" s="316"/>
      <c r="AA258" s="316"/>
      <c r="AB258" s="316"/>
      <c r="AC258" s="316"/>
      <c r="AD258" s="316"/>
      <c r="AE258" s="317"/>
      <c r="AF258" s="929"/>
      <c r="AG258" s="929"/>
      <c r="AH258" s="929"/>
      <c r="AI258" s="929"/>
      <c r="AJ258" s="1034"/>
    </row>
    <row r="259" spans="1:36" s="294" customFormat="1" ht="12.75" customHeight="1" outlineLevel="1">
      <c r="A259" s="553">
        <v>240</v>
      </c>
      <c r="C259" s="10"/>
      <c r="D259" s="33"/>
      <c r="E259" s="16" t="s">
        <v>349</v>
      </c>
      <c r="F259" s="325"/>
      <c r="G259" s="325"/>
      <c r="H259" s="325"/>
      <c r="I259" s="325"/>
      <c r="J259" s="325"/>
      <c r="K259" s="325"/>
      <c r="L259" s="325"/>
      <c r="M259" s="325"/>
      <c r="N259" s="326"/>
      <c r="O259" s="327"/>
      <c r="P259" s="325"/>
      <c r="Q259" s="325"/>
      <c r="R259" s="325"/>
      <c r="S259" s="325"/>
      <c r="T259" s="325"/>
      <c r="U259" s="325"/>
      <c r="V259" s="325"/>
      <c r="W259" s="325"/>
      <c r="X259" s="325"/>
      <c r="Y259" s="325"/>
      <c r="Z259" s="325"/>
      <c r="AA259" s="325"/>
      <c r="AB259" s="325"/>
      <c r="AC259" s="325"/>
      <c r="AD259" s="325"/>
      <c r="AE259" s="326"/>
      <c r="AF259" s="929"/>
      <c r="AG259" s="929"/>
      <c r="AH259" s="929"/>
      <c r="AI259" s="929"/>
      <c r="AJ259" s="1034"/>
    </row>
    <row r="260" spans="1:36" s="294" customFormat="1" ht="12.75" customHeight="1" outlineLevel="1">
      <c r="A260" s="553">
        <v>241</v>
      </c>
      <c r="C260" s="10"/>
      <c r="D260" s="33"/>
      <c r="E260" s="16" t="s">
        <v>11</v>
      </c>
      <c r="F260" s="325"/>
      <c r="G260" s="325"/>
      <c r="H260" s="325"/>
      <c r="I260" s="325"/>
      <c r="J260" s="325"/>
      <c r="K260" s="325"/>
      <c r="L260" s="325"/>
      <c r="M260" s="325"/>
      <c r="N260" s="326"/>
      <c r="O260" s="327"/>
      <c r="P260" s="325"/>
      <c r="Q260" s="325"/>
      <c r="R260" s="325"/>
      <c r="S260" s="325"/>
      <c r="T260" s="325"/>
      <c r="U260" s="325"/>
      <c r="V260" s="325"/>
      <c r="W260" s="325"/>
      <c r="X260" s="325"/>
      <c r="Y260" s="325"/>
      <c r="Z260" s="325"/>
      <c r="AA260" s="325"/>
      <c r="AB260" s="325"/>
      <c r="AC260" s="325"/>
      <c r="AD260" s="325"/>
      <c r="AE260" s="326"/>
      <c r="AF260" s="929"/>
      <c r="AG260" s="929"/>
      <c r="AH260" s="929"/>
      <c r="AI260" s="929"/>
      <c r="AJ260" s="1034"/>
    </row>
    <row r="261" spans="1:36" s="294" customFormat="1" ht="12.75" customHeight="1" outlineLevel="1">
      <c r="A261" s="553">
        <v>242</v>
      </c>
      <c r="C261" s="10"/>
      <c r="D261" s="33"/>
      <c r="E261" s="16" t="s">
        <v>10</v>
      </c>
      <c r="F261" s="325"/>
      <c r="G261" s="325"/>
      <c r="H261" s="325"/>
      <c r="I261" s="325"/>
      <c r="J261" s="325"/>
      <c r="K261" s="325"/>
      <c r="L261" s="325"/>
      <c r="M261" s="325"/>
      <c r="N261" s="326"/>
      <c r="O261" s="327"/>
      <c r="P261" s="325"/>
      <c r="Q261" s="325"/>
      <c r="R261" s="325"/>
      <c r="S261" s="325"/>
      <c r="T261" s="325"/>
      <c r="U261" s="325"/>
      <c r="V261" s="325"/>
      <c r="W261" s="325"/>
      <c r="X261" s="325"/>
      <c r="Y261" s="325"/>
      <c r="Z261" s="325"/>
      <c r="AA261" s="325"/>
      <c r="AB261" s="325"/>
      <c r="AC261" s="325"/>
      <c r="AD261" s="325"/>
      <c r="AE261" s="326"/>
      <c r="AF261" s="929"/>
      <c r="AG261" s="929"/>
      <c r="AH261" s="929"/>
      <c r="AI261" s="929"/>
      <c r="AJ261" s="1034"/>
    </row>
    <row r="262" spans="1:36" s="294" customFormat="1" ht="12.75" customHeight="1" outlineLevel="1">
      <c r="A262" s="553">
        <v>243</v>
      </c>
      <c r="C262" s="10"/>
      <c r="D262" s="33"/>
      <c r="E262" s="16" t="s">
        <v>339</v>
      </c>
      <c r="F262" s="325"/>
      <c r="G262" s="325"/>
      <c r="H262" s="325"/>
      <c r="I262" s="325"/>
      <c r="J262" s="325"/>
      <c r="K262" s="325"/>
      <c r="L262" s="325"/>
      <c r="M262" s="325"/>
      <c r="N262" s="326"/>
      <c r="O262" s="327"/>
      <c r="P262" s="325"/>
      <c r="Q262" s="325"/>
      <c r="R262" s="325"/>
      <c r="S262" s="325"/>
      <c r="T262" s="325"/>
      <c r="U262" s="325"/>
      <c r="V262" s="325"/>
      <c r="W262" s="325"/>
      <c r="X262" s="325"/>
      <c r="Y262" s="325"/>
      <c r="Z262" s="325"/>
      <c r="AA262" s="325"/>
      <c r="AB262" s="325"/>
      <c r="AC262" s="325"/>
      <c r="AD262" s="325"/>
      <c r="AE262" s="326"/>
      <c r="AF262" s="929"/>
      <c r="AG262" s="929"/>
      <c r="AH262" s="929"/>
      <c r="AI262" s="929"/>
      <c r="AJ262" s="1034"/>
    </row>
    <row r="263" spans="1:36" s="294" customFormat="1" ht="12.75" customHeight="1" outlineLevel="1">
      <c r="A263" s="553">
        <v>244</v>
      </c>
      <c r="D263" s="33"/>
      <c r="E263" s="16" t="s">
        <v>340</v>
      </c>
      <c r="F263" s="325"/>
      <c r="G263" s="325"/>
      <c r="H263" s="325"/>
      <c r="I263" s="325"/>
      <c r="J263" s="325"/>
      <c r="K263" s="325"/>
      <c r="L263" s="325"/>
      <c r="M263" s="325"/>
      <c r="N263" s="326"/>
      <c r="O263" s="327"/>
      <c r="P263" s="325"/>
      <c r="Q263" s="325"/>
      <c r="R263" s="325"/>
      <c r="S263" s="325"/>
      <c r="T263" s="325"/>
      <c r="U263" s="325"/>
      <c r="V263" s="325"/>
      <c r="W263" s="325"/>
      <c r="X263" s="325"/>
      <c r="Y263" s="325"/>
      <c r="Z263" s="325"/>
      <c r="AA263" s="325"/>
      <c r="AB263" s="325"/>
      <c r="AC263" s="325"/>
      <c r="AD263" s="325"/>
      <c r="AE263" s="326"/>
      <c r="AF263" s="929"/>
      <c r="AG263" s="929"/>
      <c r="AH263" s="929"/>
      <c r="AI263" s="929"/>
      <c r="AJ263" s="1034"/>
    </row>
    <row r="264" spans="1:36" s="294" customFormat="1" ht="12.75" customHeight="1" outlineLevel="1">
      <c r="A264" s="553">
        <v>245</v>
      </c>
      <c r="B264" s="110"/>
      <c r="C264" s="110"/>
      <c r="D264" s="112"/>
      <c r="E264" s="296" t="s">
        <v>530</v>
      </c>
      <c r="F264" s="302">
        <f t="shared" ref="F264:M264" si="31">F234*F137</f>
        <v>0</v>
      </c>
      <c r="G264" s="302">
        <f t="shared" si="31"/>
        <v>0</v>
      </c>
      <c r="H264" s="302">
        <f t="shared" si="31"/>
        <v>0</v>
      </c>
      <c r="I264" s="302">
        <f t="shared" si="31"/>
        <v>0</v>
      </c>
      <c r="J264" s="302">
        <f t="shared" si="31"/>
        <v>0</v>
      </c>
      <c r="K264" s="302">
        <f t="shared" si="31"/>
        <v>0.14113800225000001</v>
      </c>
      <c r="L264" s="302">
        <f t="shared" si="31"/>
        <v>0.55305392999999992</v>
      </c>
      <c r="M264" s="302">
        <f t="shared" si="31"/>
        <v>0.478512681</v>
      </c>
      <c r="N264" s="55">
        <f t="shared" ref="N264:AE264" si="32">N234*N137</f>
        <v>0.75217119900000007</v>
      </c>
      <c r="O264" s="302">
        <f t="shared" si="32"/>
        <v>0.73683699426657223</v>
      </c>
      <c r="P264" s="302">
        <f t="shared" si="32"/>
        <v>0.68121150595780988</v>
      </c>
      <c r="Q264" s="302">
        <f t="shared" si="32"/>
        <v>1.0559271946418192</v>
      </c>
      <c r="R264" s="302">
        <f t="shared" si="32"/>
        <v>1.361408333347115</v>
      </c>
      <c r="S264" s="302">
        <f t="shared" si="32"/>
        <v>1.6041236871692364</v>
      </c>
      <c r="T264" s="302">
        <f t="shared" si="32"/>
        <v>1.7912475414514251</v>
      </c>
      <c r="U264" s="302">
        <f t="shared" si="32"/>
        <v>1.9777785438728839</v>
      </c>
      <c r="V264" s="302">
        <f t="shared" si="32"/>
        <v>2.1488318064002168</v>
      </c>
      <c r="W264" s="302">
        <f t="shared" si="32"/>
        <v>2.3015266123217599</v>
      </c>
      <c r="X264" s="302">
        <f t="shared" si="32"/>
        <v>2.4549369477958751</v>
      </c>
      <c r="Y264" s="302">
        <f t="shared" si="32"/>
        <v>2.609062812822561</v>
      </c>
      <c r="Z264" s="302">
        <f t="shared" si="32"/>
        <v>2.7639042074018185</v>
      </c>
      <c r="AA264" s="302">
        <f t="shared" si="32"/>
        <v>2.9194611315336472</v>
      </c>
      <c r="AB264" s="302">
        <f t="shared" si="32"/>
        <v>3.0757335852180474</v>
      </c>
      <c r="AC264" s="302">
        <f t="shared" si="32"/>
        <v>3.2327215684550175</v>
      </c>
      <c r="AD264" s="302">
        <f t="shared" si="32"/>
        <v>3.3904250812445595</v>
      </c>
      <c r="AE264" s="302">
        <f t="shared" si="32"/>
        <v>3.5494766843158017</v>
      </c>
      <c r="AF264" s="929" t="s">
        <v>179</v>
      </c>
      <c r="AG264" s="929"/>
      <c r="AH264" s="929"/>
      <c r="AI264" s="929"/>
      <c r="AJ264" s="37"/>
    </row>
    <row r="265" spans="1:36" s="294" customFormat="1" ht="12.75" customHeight="1" outlineLevel="1">
      <c r="A265" s="553">
        <v>246</v>
      </c>
      <c r="B265" s="110"/>
      <c r="C265" s="110"/>
      <c r="D265" s="112"/>
      <c r="E265" s="27" t="s">
        <v>531</v>
      </c>
      <c r="F265" s="318">
        <f t="shared" ref="F265:N265" si="33">SUM(F258:F264)</f>
        <v>0</v>
      </c>
      <c r="G265" s="318">
        <f t="shared" si="33"/>
        <v>0</v>
      </c>
      <c r="H265" s="318">
        <f t="shared" si="33"/>
        <v>0</v>
      </c>
      <c r="I265" s="318">
        <f t="shared" si="33"/>
        <v>0</v>
      </c>
      <c r="J265" s="318">
        <f t="shared" si="33"/>
        <v>0</v>
      </c>
      <c r="K265" s="318">
        <f t="shared" si="33"/>
        <v>0.14113800225000001</v>
      </c>
      <c r="L265" s="318">
        <f t="shared" si="33"/>
        <v>0.55305392999999992</v>
      </c>
      <c r="M265" s="318">
        <f t="shared" si="33"/>
        <v>0.478512681</v>
      </c>
      <c r="N265" s="319">
        <f t="shared" si="33"/>
        <v>0.75217119900000007</v>
      </c>
      <c r="O265" s="293">
        <f>SUM(O258:O264)</f>
        <v>0.73683699426657223</v>
      </c>
      <c r="P265" s="318">
        <f>SUM(P258:P264)</f>
        <v>0.68121150595780988</v>
      </c>
      <c r="Q265" s="318">
        <f t="shared" ref="Q265:AE265" si="34">SUM(Q258:Q264)</f>
        <v>1.0559271946418192</v>
      </c>
      <c r="R265" s="318">
        <f t="shared" si="34"/>
        <v>1.361408333347115</v>
      </c>
      <c r="S265" s="318">
        <f t="shared" si="34"/>
        <v>1.6041236871692364</v>
      </c>
      <c r="T265" s="318">
        <f t="shared" si="34"/>
        <v>1.7912475414514251</v>
      </c>
      <c r="U265" s="318">
        <f t="shared" si="34"/>
        <v>1.9777785438728839</v>
      </c>
      <c r="V265" s="318">
        <f t="shared" si="34"/>
        <v>2.1488318064002168</v>
      </c>
      <c r="W265" s="318">
        <f t="shared" si="34"/>
        <v>2.3015266123217599</v>
      </c>
      <c r="X265" s="318">
        <f t="shared" si="34"/>
        <v>2.4549369477958751</v>
      </c>
      <c r="Y265" s="318">
        <f t="shared" si="34"/>
        <v>2.609062812822561</v>
      </c>
      <c r="Z265" s="318">
        <f t="shared" si="34"/>
        <v>2.7639042074018185</v>
      </c>
      <c r="AA265" s="318">
        <f t="shared" si="34"/>
        <v>2.9194611315336472</v>
      </c>
      <c r="AB265" s="318">
        <f t="shared" si="34"/>
        <v>3.0757335852180474</v>
      </c>
      <c r="AC265" s="318">
        <f t="shared" si="34"/>
        <v>3.2327215684550175</v>
      </c>
      <c r="AD265" s="318">
        <f t="shared" si="34"/>
        <v>3.3904250812445595</v>
      </c>
      <c r="AE265" s="319">
        <f t="shared" si="34"/>
        <v>3.5494766843158017</v>
      </c>
      <c r="AF265" s="929"/>
      <c r="AG265" s="929"/>
      <c r="AH265" s="929"/>
      <c r="AI265" s="929"/>
      <c r="AJ265" s="1034"/>
    </row>
    <row r="266" spans="1:36" s="294" customFormat="1" ht="12.75" customHeight="1" outlineLevel="1">
      <c r="A266" s="553">
        <v>247</v>
      </c>
      <c r="B266" s="110"/>
      <c r="C266" s="110"/>
      <c r="D266" s="112"/>
      <c r="F266" s="324"/>
      <c r="G266" s="324"/>
      <c r="H266" s="324"/>
      <c r="I266" s="324"/>
      <c r="J266" s="324"/>
      <c r="K266" s="324"/>
      <c r="L266" s="324"/>
      <c r="M266" s="324"/>
      <c r="N266" s="342"/>
      <c r="O266" s="289"/>
      <c r="P266" s="324"/>
      <c r="Q266" s="324"/>
      <c r="R266" s="324"/>
      <c r="S266" s="324"/>
      <c r="T266" s="324"/>
      <c r="U266" s="324"/>
      <c r="V266" s="324"/>
      <c r="W266" s="324"/>
      <c r="X266" s="324"/>
      <c r="Y266" s="324"/>
      <c r="Z266" s="324"/>
      <c r="AA266" s="324"/>
      <c r="AB266" s="324"/>
      <c r="AC266" s="324"/>
      <c r="AD266" s="324"/>
      <c r="AE266" s="324"/>
      <c r="AF266" s="929"/>
      <c r="AG266" s="929"/>
      <c r="AH266" s="929"/>
      <c r="AI266" s="929"/>
      <c r="AJ266" s="1034"/>
    </row>
    <row r="267" spans="1:36" s="294" customFormat="1" ht="12.75" customHeight="1" outlineLevel="1">
      <c r="A267" s="553">
        <v>248</v>
      </c>
      <c r="B267" s="110"/>
      <c r="C267" s="110"/>
      <c r="D267" s="112"/>
      <c r="E267" s="315" t="s">
        <v>543</v>
      </c>
      <c r="F267" s="324"/>
      <c r="G267" s="324"/>
      <c r="H267" s="324"/>
      <c r="I267" s="324"/>
      <c r="J267" s="324"/>
      <c r="K267" s="324"/>
      <c r="L267" s="324"/>
      <c r="M267" s="324"/>
      <c r="N267" s="342"/>
      <c r="O267" s="289"/>
      <c r="P267" s="324"/>
      <c r="Q267" s="324"/>
      <c r="R267" s="324"/>
      <c r="S267" s="324"/>
      <c r="T267" s="324"/>
      <c r="U267" s="324"/>
      <c r="V267" s="324"/>
      <c r="W267" s="324"/>
      <c r="X267" s="324"/>
      <c r="Y267" s="324"/>
      <c r="Z267" s="324"/>
      <c r="AA267" s="324"/>
      <c r="AB267" s="324"/>
      <c r="AC267" s="324"/>
      <c r="AD267" s="324"/>
      <c r="AE267" s="324"/>
      <c r="AF267" s="929" t="s">
        <v>150</v>
      </c>
      <c r="AG267" s="929" t="s">
        <v>150</v>
      </c>
      <c r="AH267" s="929"/>
      <c r="AI267" s="929"/>
      <c r="AJ267" s="1035" t="s">
        <v>593</v>
      </c>
    </row>
    <row r="268" spans="1:36" s="294" customFormat="1" ht="12.75" customHeight="1" outlineLevel="1">
      <c r="A268" s="553">
        <v>249</v>
      </c>
      <c r="B268" s="110"/>
      <c r="C268" s="110"/>
      <c r="D268" s="112"/>
      <c r="E268" s="314" t="s">
        <v>529</v>
      </c>
      <c r="F268" s="316"/>
      <c r="G268" s="316"/>
      <c r="H268" s="316"/>
      <c r="I268" s="307"/>
      <c r="J268" s="307"/>
      <c r="K268" s="316">
        <f>K149*K$26</f>
        <v>107.37290435780569</v>
      </c>
      <c r="L268" s="316">
        <f>L149*L$26</f>
        <v>111.71613652716114</v>
      </c>
      <c r="M268" s="316">
        <f>M149*M$26</f>
        <v>113.86760274337433</v>
      </c>
      <c r="N268" s="316">
        <f>N149*N$26</f>
        <v>113.29826472965746</v>
      </c>
      <c r="O268" s="316">
        <f t="shared" ref="O268:AE268" si="35">O149*O$26</f>
        <v>112.73177340600918</v>
      </c>
      <c r="P268" s="316">
        <f t="shared" si="35"/>
        <v>112.16811453897915</v>
      </c>
      <c r="Q268" s="316">
        <f t="shared" si="35"/>
        <v>111.60727396628427</v>
      </c>
      <c r="R268" s="316">
        <f t="shared" si="35"/>
        <v>111.04923759645283</v>
      </c>
      <c r="S268" s="316">
        <f t="shared" si="35"/>
        <v>110.49399140847058</v>
      </c>
      <c r="T268" s="316">
        <f t="shared" si="35"/>
        <v>109.94152145142823</v>
      </c>
      <c r="U268" s="316">
        <f t="shared" si="35"/>
        <v>109.39181384417108</v>
      </c>
      <c r="V268" s="316">
        <f t="shared" si="35"/>
        <v>108.84485477495022</v>
      </c>
      <c r="W268" s="316">
        <f t="shared" si="35"/>
        <v>108.30063050107546</v>
      </c>
      <c r="X268" s="316">
        <f t="shared" si="35"/>
        <v>107.75912734857009</v>
      </c>
      <c r="Y268" s="316">
        <f t="shared" si="35"/>
        <v>107.22033171182723</v>
      </c>
      <c r="Z268" s="316">
        <f t="shared" si="35"/>
        <v>106.68423005326808</v>
      </c>
      <c r="AA268" s="316">
        <f t="shared" si="35"/>
        <v>106.15080890300173</v>
      </c>
      <c r="AB268" s="316">
        <f t="shared" si="35"/>
        <v>105.62005485848674</v>
      </c>
      <c r="AC268" s="316">
        <f t="shared" si="35"/>
        <v>105.09195458419431</v>
      </c>
      <c r="AD268" s="316">
        <f t="shared" si="35"/>
        <v>104.56649481127334</v>
      </c>
      <c r="AE268" s="316">
        <f t="shared" si="35"/>
        <v>104.04366233721697</v>
      </c>
      <c r="AF268" s="929" t="s">
        <v>150</v>
      </c>
      <c r="AG268" s="929" t="s">
        <v>150</v>
      </c>
      <c r="AH268" s="929"/>
      <c r="AI268" s="929"/>
      <c r="AJ268" s="1034"/>
    </row>
    <row r="269" spans="1:36" s="294" customFormat="1" ht="12.75" customHeight="1" outlineLevel="1">
      <c r="A269" s="553">
        <v>250</v>
      </c>
      <c r="B269" s="110"/>
      <c r="C269" s="110"/>
      <c r="D269" s="112"/>
      <c r="E269" s="16" t="s">
        <v>349</v>
      </c>
      <c r="F269" s="325"/>
      <c r="G269" s="325"/>
      <c r="H269" s="325"/>
      <c r="I269" s="309"/>
      <c r="J269" s="309"/>
      <c r="K269" s="325">
        <f t="shared" ref="K269:AE269" si="36">K150*K$26</f>
        <v>75.164173999897073</v>
      </c>
      <c r="L269" s="325">
        <f t="shared" si="36"/>
        <v>77.418588056533139</v>
      </c>
      <c r="M269" s="325">
        <f t="shared" si="36"/>
        <v>63.839507925408505</v>
      </c>
      <c r="N269" s="325">
        <f t="shared" si="36"/>
        <v>62.881915306527382</v>
      </c>
      <c r="O269" s="325">
        <f t="shared" si="36"/>
        <v>61.938686576929477</v>
      </c>
      <c r="P269" s="325">
        <f t="shared" si="36"/>
        <v>61.009606278275527</v>
      </c>
      <c r="Q269" s="325">
        <f t="shared" si="36"/>
        <v>60.094462184101396</v>
      </c>
      <c r="R269" s="325">
        <f t="shared" si="36"/>
        <v>59.193045251339875</v>
      </c>
      <c r="S269" s="325">
        <f t="shared" si="36"/>
        <v>58.305149572569775</v>
      </c>
      <c r="T269" s="325">
        <f t="shared" si="36"/>
        <v>57.430572328981228</v>
      </c>
      <c r="U269" s="325">
        <f t="shared" si="36"/>
        <v>56.569113744046504</v>
      </c>
      <c r="V269" s="325">
        <f t="shared" si="36"/>
        <v>55.720577037885796</v>
      </c>
      <c r="W269" s="325">
        <f t="shared" si="36"/>
        <v>54.88476838231751</v>
      </c>
      <c r="X269" s="325">
        <f t="shared" si="36"/>
        <v>54.06149685658275</v>
      </c>
      <c r="Y269" s="325">
        <f t="shared" si="36"/>
        <v>53.250574403733992</v>
      </c>
      <c r="Z269" s="325">
        <f t="shared" si="36"/>
        <v>52.45181578767798</v>
      </c>
      <c r="AA269" s="325">
        <f t="shared" si="36"/>
        <v>51.66503855086281</v>
      </c>
      <c r="AB269" s="325">
        <f t="shared" si="36"/>
        <v>50.890062972599871</v>
      </c>
      <c r="AC269" s="325">
        <f t="shared" si="36"/>
        <v>50.126712028010878</v>
      </c>
      <c r="AD269" s="325">
        <f t="shared" si="36"/>
        <v>49.374811347590715</v>
      </c>
      <c r="AE269" s="325">
        <f t="shared" si="36"/>
        <v>48.634189177376854</v>
      </c>
      <c r="AF269" s="929" t="s">
        <v>150</v>
      </c>
      <c r="AG269" s="929" t="s">
        <v>150</v>
      </c>
      <c r="AH269" s="929"/>
      <c r="AI269" s="929"/>
      <c r="AJ269" s="1034"/>
    </row>
    <row r="270" spans="1:36" s="294" customFormat="1" ht="12.75" customHeight="1" outlineLevel="1">
      <c r="A270" s="553">
        <v>251</v>
      </c>
      <c r="B270" s="110"/>
      <c r="C270" s="110"/>
      <c r="D270" s="112"/>
      <c r="E270" s="16" t="s">
        <v>11</v>
      </c>
      <c r="F270" s="325"/>
      <c r="G270" s="325"/>
      <c r="H270" s="325"/>
      <c r="I270" s="309"/>
      <c r="J270" s="309"/>
      <c r="K270" s="325">
        <f t="shared" ref="K270:AE270" si="37">K151*K$26</f>
        <v>162.22454258279518</v>
      </c>
      <c r="L270" s="325">
        <f t="shared" si="37"/>
        <v>167.93834911236459</v>
      </c>
      <c r="M270" s="325">
        <f t="shared" si="37"/>
        <v>147.05286412755743</v>
      </c>
      <c r="N270" s="325">
        <f t="shared" si="37"/>
        <v>145.59100601399871</v>
      </c>
      <c r="O270" s="325">
        <f t="shared" si="37"/>
        <v>144.13422247065023</v>
      </c>
      <c r="P270" s="325">
        <f t="shared" si="37"/>
        <v>138.99746124695602</v>
      </c>
      <c r="Q270" s="325">
        <f t="shared" si="37"/>
        <v>144.59593460271702</v>
      </c>
      <c r="R270" s="325">
        <f t="shared" si="37"/>
        <v>142.0779988785853</v>
      </c>
      <c r="S270" s="325">
        <f t="shared" si="37"/>
        <v>138.81246143768939</v>
      </c>
      <c r="T270" s="325">
        <f t="shared" si="37"/>
        <v>136.51907246827071</v>
      </c>
      <c r="U270" s="325">
        <f t="shared" si="37"/>
        <v>139.55133605212973</v>
      </c>
      <c r="V270" s="325">
        <f t="shared" si="37"/>
        <v>138.13518957708771</v>
      </c>
      <c r="W270" s="325">
        <f t="shared" si="37"/>
        <v>136.7302087046485</v>
      </c>
      <c r="X270" s="325">
        <f t="shared" si="37"/>
        <v>135.33628187245557</v>
      </c>
      <c r="Y270" s="325">
        <f t="shared" si="37"/>
        <v>133.95329863284169</v>
      </c>
      <c r="Z270" s="325">
        <f t="shared" si="37"/>
        <v>132.5811496416913</v>
      </c>
      <c r="AA270" s="325">
        <f t="shared" si="37"/>
        <v>131.21972664741406</v>
      </c>
      <c r="AB270" s="325">
        <f t="shared" si="37"/>
        <v>129.86892248002906</v>
      </c>
      <c r="AC270" s="325">
        <f t="shared" si="37"/>
        <v>128.52863104035737</v>
      </c>
      <c r="AD270" s="325">
        <f t="shared" si="37"/>
        <v>127.19874728932332</v>
      </c>
      <c r="AE270" s="325">
        <f t="shared" si="37"/>
        <v>129.02617603666732</v>
      </c>
      <c r="AF270" s="929" t="s">
        <v>150</v>
      </c>
      <c r="AG270" s="929" t="s">
        <v>150</v>
      </c>
      <c r="AH270" s="929"/>
      <c r="AI270" s="929"/>
      <c r="AJ270" s="1034"/>
    </row>
    <row r="271" spans="1:36" s="294" customFormat="1" ht="12.75" customHeight="1" outlineLevel="1">
      <c r="A271" s="553">
        <v>252</v>
      </c>
      <c r="B271" s="110"/>
      <c r="C271" s="110"/>
      <c r="D271" s="112"/>
      <c r="E271" s="16" t="s">
        <v>10</v>
      </c>
      <c r="F271" s="325"/>
      <c r="G271" s="325"/>
      <c r="H271" s="325"/>
      <c r="I271" s="309"/>
      <c r="J271" s="309"/>
      <c r="K271" s="325">
        <f t="shared" ref="K271:AE271" si="38">K152*K$26</f>
        <v>230.46463251450371</v>
      </c>
      <c r="L271" s="325">
        <f t="shared" si="38"/>
        <v>234.96708536216983</v>
      </c>
      <c r="M271" s="325">
        <f t="shared" si="38"/>
        <v>240.99188242273831</v>
      </c>
      <c r="N271" s="325">
        <f t="shared" si="38"/>
        <v>240.99188242273834</v>
      </c>
      <c r="O271" s="325">
        <f t="shared" si="38"/>
        <v>240.99188242273834</v>
      </c>
      <c r="P271" s="325">
        <f t="shared" si="38"/>
        <v>240.99188242273834</v>
      </c>
      <c r="Q271" s="325">
        <f t="shared" si="38"/>
        <v>228.94228830160142</v>
      </c>
      <c r="R271" s="325">
        <f t="shared" si="38"/>
        <v>217.49517388652134</v>
      </c>
      <c r="S271" s="325">
        <f t="shared" si="38"/>
        <v>206.62041519219528</v>
      </c>
      <c r="T271" s="325">
        <f t="shared" si="38"/>
        <v>196.28939443258548</v>
      </c>
      <c r="U271" s="325">
        <f t="shared" si="38"/>
        <v>186.47492471095623</v>
      </c>
      <c r="V271" s="325">
        <f t="shared" si="38"/>
        <v>177.15117847540839</v>
      </c>
      <c r="W271" s="325">
        <f t="shared" si="38"/>
        <v>168.29361955163796</v>
      </c>
      <c r="X271" s="325">
        <f t="shared" si="38"/>
        <v>159.87893857405606</v>
      </c>
      <c r="Y271" s="325">
        <f t="shared" si="38"/>
        <v>151.88499164535324</v>
      </c>
      <c r="Z271" s="325">
        <f t="shared" si="38"/>
        <v>144.29074206308556</v>
      </c>
      <c r="AA271" s="325">
        <f t="shared" si="38"/>
        <v>137.07620495993129</v>
      </c>
      <c r="AB271" s="325">
        <f t="shared" si="38"/>
        <v>130.2223947119347</v>
      </c>
      <c r="AC271" s="325">
        <f t="shared" si="38"/>
        <v>123.71127497633799</v>
      </c>
      <c r="AD271" s="325">
        <f t="shared" si="38"/>
        <v>117.52571122752109</v>
      </c>
      <c r="AE271" s="325">
        <f t="shared" si="38"/>
        <v>111.64942566614502</v>
      </c>
      <c r="AF271" s="929" t="s">
        <v>150</v>
      </c>
      <c r="AG271" s="929" t="s">
        <v>150</v>
      </c>
      <c r="AH271" s="929"/>
      <c r="AI271" s="929"/>
      <c r="AJ271" s="1034"/>
    </row>
    <row r="272" spans="1:36" s="294" customFormat="1" ht="12.75" customHeight="1" outlineLevel="1">
      <c r="A272" s="553">
        <v>253</v>
      </c>
      <c r="B272" s="110"/>
      <c r="C272" s="110"/>
      <c r="D272" s="112"/>
      <c r="E272" s="16" t="s">
        <v>339</v>
      </c>
      <c r="F272" s="325"/>
      <c r="G272" s="325"/>
      <c r="H272" s="325"/>
      <c r="I272" s="309"/>
      <c r="J272" s="309"/>
      <c r="K272" s="325">
        <f t="shared" ref="K272:AE272" si="39">K153*K$26</f>
        <v>81.394255134090614</v>
      </c>
      <c r="L272" s="325">
        <f t="shared" si="39"/>
        <v>83.173267045902151</v>
      </c>
      <c r="M272" s="325">
        <f t="shared" si="39"/>
        <v>77.126965545213679</v>
      </c>
      <c r="N272" s="325">
        <f t="shared" si="39"/>
        <v>72.321472651665019</v>
      </c>
      <c r="O272" s="325">
        <f t="shared" si="39"/>
        <v>61.234889743225324</v>
      </c>
      <c r="P272" s="325">
        <f t="shared" si="39"/>
        <v>60.181028416122707</v>
      </c>
      <c r="Q272" s="325">
        <f t="shared" si="39"/>
        <v>59.127167089020112</v>
      </c>
      <c r="R272" s="325">
        <f t="shared" si="39"/>
        <v>58.073305761917496</v>
      </c>
      <c r="S272" s="325">
        <f t="shared" si="39"/>
        <v>57.019444434814886</v>
      </c>
      <c r="T272" s="325">
        <f t="shared" si="39"/>
        <v>55.965583107712277</v>
      </c>
      <c r="U272" s="325">
        <f t="shared" si="39"/>
        <v>54.91172178060966</v>
      </c>
      <c r="V272" s="325">
        <f t="shared" si="39"/>
        <v>53.857860453507051</v>
      </c>
      <c r="W272" s="325">
        <f t="shared" si="39"/>
        <v>52.803999126404449</v>
      </c>
      <c r="X272" s="325">
        <f t="shared" si="39"/>
        <v>51.750137799301832</v>
      </c>
      <c r="Y272" s="325">
        <f t="shared" si="39"/>
        <v>50.696276472199223</v>
      </c>
      <c r="Z272" s="325">
        <f t="shared" si="39"/>
        <v>49.642415145096599</v>
      </c>
      <c r="AA272" s="325">
        <f t="shared" si="39"/>
        <v>48.58855381799399</v>
      </c>
      <c r="AB272" s="325">
        <f t="shared" si="39"/>
        <v>47.534692490891395</v>
      </c>
      <c r="AC272" s="325">
        <f t="shared" si="39"/>
        <v>46.480831163788778</v>
      </c>
      <c r="AD272" s="325">
        <f t="shared" si="39"/>
        <v>45.426969836686176</v>
      </c>
      <c r="AE272" s="325">
        <f t="shared" si="39"/>
        <v>44.373108509583567</v>
      </c>
      <c r="AF272" s="929" t="s">
        <v>150</v>
      </c>
      <c r="AG272" s="929" t="s">
        <v>150</v>
      </c>
      <c r="AH272" s="929"/>
      <c r="AI272" s="929"/>
      <c r="AJ272" s="1034"/>
    </row>
    <row r="273" spans="1:36" s="294" customFormat="1" ht="12.75" customHeight="1" outlineLevel="1">
      <c r="A273" s="553">
        <v>254</v>
      </c>
      <c r="B273" s="110"/>
      <c r="C273" s="110"/>
      <c r="D273" s="112"/>
      <c r="E273" s="16" t="s">
        <v>340</v>
      </c>
      <c r="F273" s="325"/>
      <c r="G273" s="325"/>
      <c r="H273" s="325"/>
      <c r="I273" s="309"/>
      <c r="J273" s="309"/>
      <c r="K273" s="325">
        <f t="shared" ref="K273:AE273" si="40">K154*K$26</f>
        <v>177.42118534846711</v>
      </c>
      <c r="L273" s="325">
        <f t="shared" si="40"/>
        <v>180.64828011767963</v>
      </c>
      <c r="M273" s="325">
        <f t="shared" si="40"/>
        <v>185.52549678575886</v>
      </c>
      <c r="N273" s="325">
        <f t="shared" si="40"/>
        <v>142.49123206741274</v>
      </c>
      <c r="O273" s="325">
        <f t="shared" si="40"/>
        <v>142.49123206741274</v>
      </c>
      <c r="P273" s="325">
        <f t="shared" si="40"/>
        <v>137.70964709870762</v>
      </c>
      <c r="Q273" s="325">
        <f t="shared" si="40"/>
        <v>71.05</v>
      </c>
      <c r="R273" s="325">
        <f t="shared" si="40"/>
        <v>66.964624999999984</v>
      </c>
      <c r="S273" s="325">
        <f t="shared" si="40"/>
        <v>64.483499791666645</v>
      </c>
      <c r="T273" s="325">
        <f t="shared" si="40"/>
        <v>61.912873786458292</v>
      </c>
      <c r="U273" s="325">
        <f t="shared" si="40"/>
        <v>59.250620213640588</v>
      </c>
      <c r="V273" s="325">
        <f t="shared" si="40"/>
        <v>59.045936252902543</v>
      </c>
      <c r="W273" s="325">
        <f t="shared" si="40"/>
        <v>58.821780383794291</v>
      </c>
      <c r="X273" s="325">
        <f t="shared" si="40"/>
        <v>58.577614502955896</v>
      </c>
      <c r="Y273" s="325">
        <f t="shared" si="40"/>
        <v>58.312888745105994</v>
      </c>
      <c r="Z273" s="325">
        <f t="shared" si="40"/>
        <v>58.02704125125743</v>
      </c>
      <c r="AA273" s="325">
        <f t="shared" si="40"/>
        <v>57.719497932625757</v>
      </c>
      <c r="AB273" s="325">
        <f t="shared" si="40"/>
        <v>57.389672230153607</v>
      </c>
      <c r="AC273" s="325">
        <f t="shared" si="40"/>
        <v>57.036964869572451</v>
      </c>
      <c r="AD273" s="325">
        <f t="shared" si="40"/>
        <v>56.660763611922079</v>
      </c>
      <c r="AE273" s="325">
        <f t="shared" si="40"/>
        <v>56.260442999446532</v>
      </c>
      <c r="AF273" s="929" t="s">
        <v>150</v>
      </c>
      <c r="AG273" s="929" t="s">
        <v>150</v>
      </c>
      <c r="AH273" s="929"/>
      <c r="AI273" s="929"/>
      <c r="AJ273" s="1034"/>
    </row>
    <row r="274" spans="1:36" s="294" customFormat="1" ht="12.75" customHeight="1" outlineLevel="1">
      <c r="A274" s="553">
        <v>255</v>
      </c>
      <c r="B274" s="110"/>
      <c r="C274" s="110"/>
      <c r="D274" s="112"/>
      <c r="E274" s="296" t="s">
        <v>530</v>
      </c>
      <c r="F274" s="302"/>
      <c r="G274" s="302"/>
      <c r="H274" s="302"/>
      <c r="I274" s="311"/>
      <c r="J274" s="311"/>
      <c r="K274" s="302">
        <f t="shared" ref="K274:AD274" si="41">K155*K$26</f>
        <v>100.27804485161886</v>
      </c>
      <c r="L274" s="302">
        <f t="shared" si="41"/>
        <v>104.07149730227799</v>
      </c>
      <c r="M274" s="302">
        <f t="shared" si="41"/>
        <v>96.931157973702668</v>
      </c>
      <c r="N274" s="302">
        <f t="shared" si="41"/>
        <v>105.84708971106177</v>
      </c>
      <c r="O274" s="302">
        <f t="shared" si="41"/>
        <v>105.35716427500539</v>
      </c>
      <c r="P274" s="302">
        <f t="shared" si="41"/>
        <v>89.118500000000012</v>
      </c>
      <c r="Q274" s="302">
        <f t="shared" si="41"/>
        <v>86.097375</v>
      </c>
      <c r="R274" s="302">
        <f t="shared" si="41"/>
        <v>80.726928588541639</v>
      </c>
      <c r="S274" s="302">
        <f t="shared" si="41"/>
        <v>77.598920810104133</v>
      </c>
      <c r="T274" s="302">
        <f t="shared" si="41"/>
        <v>75.1001832325301</v>
      </c>
      <c r="U274" s="302">
        <f t="shared" si="41"/>
        <v>72.581740440708757</v>
      </c>
      <c r="V274" s="302">
        <f t="shared" si="41"/>
        <v>70.197690741037547</v>
      </c>
      <c r="W274" s="302">
        <f t="shared" si="41"/>
        <v>67.859756188471891</v>
      </c>
      <c r="X274" s="302">
        <f t="shared" si="41"/>
        <v>65.629645843806927</v>
      </c>
      <c r="Y274" s="302">
        <f t="shared" si="41"/>
        <v>63.41440896782121</v>
      </c>
      <c r="Z274" s="302">
        <f t="shared" si="41"/>
        <v>61.323654176476772</v>
      </c>
      <c r="AA274" s="302">
        <f t="shared" si="41"/>
        <v>59.341435457014811</v>
      </c>
      <c r="AB274" s="302">
        <f t="shared" si="41"/>
        <v>57.289539208293697</v>
      </c>
      <c r="AC274" s="302">
        <f t="shared" si="41"/>
        <v>55.22361413007544</v>
      </c>
      <c r="AD274" s="302">
        <f t="shared" si="41"/>
        <v>53.316752095709745</v>
      </c>
      <c r="AE274" s="302">
        <f>AE155*AE$26</f>
        <v>51.430171409927382</v>
      </c>
      <c r="AF274" s="929" t="s">
        <v>150</v>
      </c>
      <c r="AG274" s="929" t="s">
        <v>150</v>
      </c>
      <c r="AH274" s="929"/>
      <c r="AI274" s="929"/>
      <c r="AJ274" s="1034"/>
    </row>
    <row r="275" spans="1:36" s="294" customFormat="1" ht="12.75" customHeight="1" outlineLevel="1">
      <c r="A275" s="553">
        <v>256</v>
      </c>
      <c r="B275" s="110"/>
      <c r="C275" s="110"/>
      <c r="D275" s="112"/>
      <c r="E275" s="27" t="s">
        <v>531</v>
      </c>
      <c r="F275" s="324"/>
      <c r="G275" s="324"/>
      <c r="H275" s="324"/>
      <c r="I275" s="324"/>
      <c r="J275" s="324"/>
      <c r="K275" s="324"/>
      <c r="L275" s="324"/>
      <c r="M275" s="324"/>
      <c r="N275" s="342"/>
      <c r="O275" s="289"/>
      <c r="P275" s="324"/>
      <c r="Q275" s="324"/>
      <c r="R275" s="324"/>
      <c r="S275" s="324"/>
      <c r="T275" s="324"/>
      <c r="U275" s="324"/>
      <c r="V275" s="324"/>
      <c r="W275" s="324"/>
      <c r="X275" s="324"/>
      <c r="Y275" s="324"/>
      <c r="Z275" s="324"/>
      <c r="AA275" s="324"/>
      <c r="AB275" s="324"/>
      <c r="AC275" s="324"/>
      <c r="AD275" s="324"/>
      <c r="AE275" s="324"/>
      <c r="AF275" s="929" t="s">
        <v>150</v>
      </c>
      <c r="AG275" s="929" t="s">
        <v>150</v>
      </c>
      <c r="AH275" s="929"/>
      <c r="AI275" s="929"/>
      <c r="AJ275" s="1034"/>
    </row>
    <row r="276" spans="1:36" s="294" customFormat="1" ht="57" customHeight="1" outlineLevel="1">
      <c r="A276" s="553">
        <v>257</v>
      </c>
      <c r="B276" s="110"/>
      <c r="C276" s="110"/>
      <c r="D276" s="112"/>
      <c r="E276" s="204" t="s">
        <v>544</v>
      </c>
      <c r="F276" s="324"/>
      <c r="G276" s="324"/>
      <c r="H276" s="324"/>
      <c r="I276" s="324"/>
      <c r="J276" s="324"/>
      <c r="K276" s="324"/>
      <c r="L276" s="324"/>
      <c r="M276" s="324"/>
      <c r="N276" s="342"/>
      <c r="O276" s="289"/>
      <c r="P276" s="324"/>
      <c r="Q276" s="324"/>
      <c r="R276" s="324"/>
      <c r="S276" s="324"/>
      <c r="T276" s="324"/>
      <c r="U276" s="324"/>
      <c r="V276" s="324"/>
      <c r="W276" s="324"/>
      <c r="X276" s="324"/>
      <c r="Y276" s="324"/>
      <c r="Z276" s="324"/>
      <c r="AA276" s="324"/>
      <c r="AB276" s="324"/>
      <c r="AC276" s="324"/>
      <c r="AD276" s="324"/>
      <c r="AE276" s="324"/>
      <c r="AF276" s="929" t="s">
        <v>174</v>
      </c>
      <c r="AG276" s="929"/>
      <c r="AH276" s="929"/>
      <c r="AI276" s="929"/>
      <c r="AJ276" s="1040" t="s">
        <v>594</v>
      </c>
    </row>
    <row r="277" spans="1:36" s="294" customFormat="1" ht="12.75" customHeight="1" outlineLevel="1">
      <c r="A277" s="553">
        <v>258</v>
      </c>
      <c r="B277" s="110"/>
      <c r="C277" s="110"/>
      <c r="D277" s="112"/>
      <c r="E277" s="314" t="s">
        <v>529</v>
      </c>
      <c r="F277" s="316"/>
      <c r="G277" s="316"/>
      <c r="H277" s="316"/>
      <c r="I277" s="307"/>
      <c r="J277" s="307"/>
      <c r="K277" s="316">
        <f>K268</f>
        <v>107.37290435780569</v>
      </c>
      <c r="L277" s="316">
        <f>IF((SUM($K56:K56)+L56/2)&gt;0,(SUMPRODUCT($K56:K56,$K268:K268)+(L56/2)*L268) / (SUM($K56:K56)+L56/2),K277)</f>
        <v>107.52865290996338</v>
      </c>
      <c r="M277" s="316">
        <f>IF((SUM($K56:L56)+M56/2)&gt;0,(SUMPRODUCT($K56:L56,$K268:L268)+(M56/2)*M268) / (SUM($K56:L56)+M56/2),L277)</f>
        <v>107.72668244704954</v>
      </c>
      <c r="N277" s="316">
        <f>IF((SUM($K56:M56)+N56/2)&gt;0,(SUMPRODUCT($K56:M56,$K268:M268)+(N56/2)*N268) / (SUM($K56:M56)+N56/2),M277)</f>
        <v>107.90607638068273</v>
      </c>
      <c r="O277" s="316">
        <f>IF((SUM($K56:N56)+O56/2)&gt;0,(SUMPRODUCT($K56:N56,$K268:N268)+(O56/2)*O268) / (SUM($K56:N56)+O56/2),N277)</f>
        <v>108.14471061130693</v>
      </c>
      <c r="P277" s="316">
        <f>IF((SUM($K56:O56)+P56/2)&gt;0,(SUMPRODUCT($K56:O56,$K268:O268)+(P56/2)*P268) / (SUM($K56:O56)+P56/2),O277)</f>
        <v>108.32751009081106</v>
      </c>
      <c r="Q277" s="316">
        <f>IF((SUM($K56:P56)+Q56/2)&gt;0,(SUMPRODUCT($K56:P56,$K268:P268)+(Q56/2)*Q268) / (SUM($K56:P56)+Q56/2),P277)</f>
        <v>108.39630805140787</v>
      </c>
      <c r="R277" s="316">
        <f>IF((SUM($K56:Q56)+R56/2)&gt;0,(SUMPRODUCT($K56:Q56,$K268:Q268)+(R56/2)*R268) / (SUM($K56:Q56)+R56/2),Q277)</f>
        <v>108.39630805140787</v>
      </c>
      <c r="S277" s="316">
        <f>IF((SUM($K56:R56)+S56/2)&gt;0,(SUMPRODUCT($K56:R56,$K268:R268)+(S56/2)*S268) / (SUM($K56:R56)+S56/2),R277)</f>
        <v>108.39630805140787</v>
      </c>
      <c r="T277" s="316">
        <f>IF((SUM($K56:S56)+T56/2)&gt;0,(SUMPRODUCT($K56:S56,$K268:S268)+(T56/2)*T268) / (SUM($K56:S56)+T56/2),S277)</f>
        <v>108.39630805140787</v>
      </c>
      <c r="U277" s="316">
        <f>IF((SUM($K56:T56)+U56/2)&gt;0,(SUMPRODUCT($K56:T56,$K268:T268)+(U56/2)*U268) / (SUM($K56:T56)+U56/2),T277)</f>
        <v>108.39630805140787</v>
      </c>
      <c r="V277" s="316">
        <f>IF((SUM($K56:U56)+V56/2)&gt;0,(SUMPRODUCT($K56:U56,$K268:U268)+(V56/2)*V268) / (SUM($K56:U56)+V56/2),U277)</f>
        <v>108.39630805140787</v>
      </c>
      <c r="W277" s="316">
        <f>IF((SUM($K56:V56)+W56/2)&gt;0,(SUMPRODUCT($K56:V56,$K268:V268)+(W56/2)*W268) / (SUM($K56:V56)+W56/2),V277)</f>
        <v>108.39630805140787</v>
      </c>
      <c r="X277" s="316">
        <f>IF((SUM($K56:W56)+X56/2)&gt;0,(SUMPRODUCT($K56:W56,$K268:W268)+(X56/2)*X268) / (SUM($K56:W56)+X56/2),W277)</f>
        <v>108.39630805140787</v>
      </c>
      <c r="Y277" s="316">
        <f>IF((SUM($K56:X56)+Y56/2)&gt;0,(SUMPRODUCT($K56:X56,$K268:X268)+(Y56/2)*Y268) / (SUM($K56:X56)+Y56/2),X277)</f>
        <v>108.39630805140787</v>
      </c>
      <c r="Z277" s="316">
        <f>IF((SUM($K56:Y56)+Z56/2)&gt;0,(SUMPRODUCT($K56:Y56,$K268:Y268)+(Z56/2)*Z268) / (SUM($K56:Y56)+Z56/2),Y277)</f>
        <v>108.39630805140787</v>
      </c>
      <c r="AA277" s="316">
        <f>IF((SUM($K56:Z56)+AA56/2)&gt;0,(SUMPRODUCT($K56:Z56,$K268:Z268)+(AA56/2)*AA268) / (SUM($K56:Z56)+AA56/2),Z277)</f>
        <v>108.39630805140787</v>
      </c>
      <c r="AB277" s="316">
        <f>IF((SUM($K56:AA56)+AB56/2)&gt;0,(SUMPRODUCT($K56:AA56,$K268:AA268)+(AB56/2)*AB268) / (SUM($K56:AA56)+AB56/2),AA277)</f>
        <v>108.39630805140787</v>
      </c>
      <c r="AC277" s="316">
        <f>IF((SUM($K56:AB56)+AC56/2)&gt;0,(SUMPRODUCT($K56:AB56,$K268:AB268)+(AC56/2)*AC268) / (SUM($K56:AB56)+AC56/2),AB277)</f>
        <v>108.39630805140787</v>
      </c>
      <c r="AD277" s="316">
        <f>IF((SUM($K56:AC56)+AD56/2)&gt;0,(SUMPRODUCT($K56:AC56,$K268:AC268)+(AD56/2)*AD268) / (SUM($K56:AC56)+AD56/2),AC277)</f>
        <v>108.39630805140787</v>
      </c>
      <c r="AE277" s="316">
        <f>IF((SUM($K56:AD56)+AE56/2)&gt;0,(SUMPRODUCT($K56:AD56,$K268:AD268)+(AE56/2)*AE268) / (SUM($K56:AD56)+AE56/2),AD277)</f>
        <v>108.39630805140787</v>
      </c>
      <c r="AF277" s="929" t="s">
        <v>188</v>
      </c>
      <c r="AG277" s="929"/>
      <c r="AH277" s="929"/>
      <c r="AI277" s="929"/>
      <c r="AJ277" s="1034" t="s">
        <v>152</v>
      </c>
    </row>
    <row r="278" spans="1:36" s="294" customFormat="1" ht="63.75" customHeight="1" outlineLevel="1">
      <c r="A278" s="553">
        <v>259</v>
      </c>
      <c r="B278" s="110"/>
      <c r="C278" s="110"/>
      <c r="D278" s="112"/>
      <c r="E278" s="16" t="s">
        <v>349</v>
      </c>
      <c r="F278" s="325"/>
      <c r="G278" s="325"/>
      <c r="H278" s="325"/>
      <c r="I278" s="309"/>
      <c r="J278" s="309"/>
      <c r="K278" s="325">
        <f t="shared" ref="K278:K283" si="42">K269</f>
        <v>75.164173999897073</v>
      </c>
      <c r="L278" s="325">
        <f>IF((SUM($K57:K57)+L57/2)&gt;0,(SUMPRODUCT($K57:K57,$K269:K269)+(L57/2)*L269) / (SUM($K57:K57)+L57/2),K278)</f>
        <v>75.260433482659934</v>
      </c>
      <c r="M278" s="325">
        <f>IF((SUM($K57:L57)+M57/2)&gt;0,(SUMPRODUCT($K57:L57,$K269:L269)+(M57/2)*M269) / (SUM($K57:L57)+M57/2),L278)</f>
        <v>75.155913507034597</v>
      </c>
      <c r="N278" s="325">
        <f>IF((SUM($K57:M57)+N57/2)&gt;0,(SUMPRODUCT($K57:M57,$K269:M269)+(N57/2)*N269) / (SUM($K57:M57)+N57/2),M278)</f>
        <v>74.304816865428023</v>
      </c>
      <c r="O278" s="325">
        <f>IF((SUM($K57:N57)+O57/2)&gt;0,(SUMPRODUCT($K57:N57,$K269:N269)+(O57/2)*O269) / (SUM($K57:N57)+O57/2),N278)</f>
        <v>73.508538564618661</v>
      </c>
      <c r="P278" s="325">
        <f>IF((SUM($K57:O57)+P57/2)&gt;0,(SUMPRODUCT($K57:O57,$K269:O269)+(P57/2)*P269) / (SUM($K57:O57)+P57/2),O278)</f>
        <v>73.11114094427009</v>
      </c>
      <c r="Q278" s="325">
        <f>IF((SUM($K57:P57)+Q57/2)&gt;0,(SUMPRODUCT($K57:P57,$K269:P269)+(Q57/2)*Q269) / (SUM($K57:P57)+Q57/2),P278)</f>
        <v>72.914578967432305</v>
      </c>
      <c r="R278" s="325">
        <f>IF((SUM($K57:Q57)+R57/2)&gt;0,(SUMPRODUCT($K57:Q57,$K269:Q269)+(R57/2)*R269) / (SUM($K57:Q57)+R57/2),Q278)</f>
        <v>72.914578967432305</v>
      </c>
      <c r="S278" s="325">
        <f>IF((SUM($K57:R57)+S57/2)&gt;0,(SUMPRODUCT($K57:R57,$K269:R269)+(S57/2)*S269) / (SUM($K57:R57)+S57/2),R278)</f>
        <v>72.914578967432305</v>
      </c>
      <c r="T278" s="325">
        <f>IF((SUM($K57:S57)+T57/2)&gt;0,(SUMPRODUCT($K57:S57,$K269:S269)+(T57/2)*T269) / (SUM($K57:S57)+T57/2),S278)</f>
        <v>72.914578967432305</v>
      </c>
      <c r="U278" s="325">
        <f>IF((SUM($K57:T57)+U57/2)&gt;0,(SUMPRODUCT($K57:T57,$K269:T269)+(U57/2)*U269) / (SUM($K57:T57)+U57/2),T278)</f>
        <v>72.914578967432305</v>
      </c>
      <c r="V278" s="325">
        <f>IF((SUM($K57:U57)+V57/2)&gt;0,(SUMPRODUCT($K57:U57,$K269:U269)+(V57/2)*V269) / (SUM($K57:U57)+V57/2),U278)</f>
        <v>72.914578967432305</v>
      </c>
      <c r="W278" s="325">
        <f>IF((SUM($K57:V57)+W57/2)&gt;0,(SUMPRODUCT($K57:V57,$K269:V269)+(W57/2)*W269) / (SUM($K57:V57)+W57/2),V278)</f>
        <v>72.914578967432305</v>
      </c>
      <c r="X278" s="325">
        <f>IF((SUM($K57:W57)+X57/2)&gt;0,(SUMPRODUCT($K57:W57,$K269:W269)+(X57/2)*X269) / (SUM($K57:W57)+X57/2),W278)</f>
        <v>72.914578967432305</v>
      </c>
      <c r="Y278" s="325">
        <f>IF((SUM($K57:X57)+Y57/2)&gt;0,(SUMPRODUCT($K57:X57,$K269:X269)+(Y57/2)*Y269) / (SUM($K57:X57)+Y57/2),X278)</f>
        <v>72.914578967432305</v>
      </c>
      <c r="Z278" s="325">
        <f>IF((SUM($K57:Y57)+Z57/2)&gt;0,(SUMPRODUCT($K57:Y57,$K269:Y269)+(Z57/2)*Z269) / (SUM($K57:Y57)+Z57/2),Y278)</f>
        <v>72.914578967432305</v>
      </c>
      <c r="AA278" s="325">
        <f>IF((SUM($K57:Z57)+AA57/2)&gt;0,(SUMPRODUCT($K57:Z57,$K269:Z269)+(AA57/2)*AA269) / (SUM($K57:Z57)+AA57/2),Z278)</f>
        <v>72.914578967432305</v>
      </c>
      <c r="AB278" s="325">
        <f>IF((SUM($K57:AA57)+AB57/2)&gt;0,(SUMPRODUCT($K57:AA57,$K269:AA269)+(AB57/2)*AB269) / (SUM($K57:AA57)+AB57/2),AA278)</f>
        <v>72.914578967432305</v>
      </c>
      <c r="AC278" s="325">
        <f>IF((SUM($K57:AB57)+AC57/2)&gt;0,(SUMPRODUCT($K57:AB57,$K269:AB269)+(AC57/2)*AC269) / (SUM($K57:AB57)+AC57/2),AB278)</f>
        <v>72.914578967432305</v>
      </c>
      <c r="AD278" s="325">
        <f>IF((SUM($K57:AC57)+AD57/2)&gt;0,(SUMPRODUCT($K57:AC57,$K269:AC269)+(AD57/2)*AD269) / (SUM($K57:AC57)+AD57/2),AC278)</f>
        <v>72.914578967432305</v>
      </c>
      <c r="AE278" s="325">
        <f>IF((SUM($K57:AD57)+AE57/2)&gt;0,(SUMPRODUCT($K57:AD57,$K269:AD269)+(AE57/2)*AE269) / (SUM($K57:AD57)+AE57/2),AD278)</f>
        <v>72.914578967432305</v>
      </c>
      <c r="AF278" s="929" t="s">
        <v>188</v>
      </c>
      <c r="AG278" s="929"/>
      <c r="AH278" s="929"/>
      <c r="AI278" s="929"/>
      <c r="AJ278" s="1034" t="s">
        <v>212</v>
      </c>
    </row>
    <row r="279" spans="1:36" s="294" customFormat="1" ht="12.75" customHeight="1" outlineLevel="1">
      <c r="A279" s="553">
        <v>260</v>
      </c>
      <c r="B279" s="110"/>
      <c r="C279" s="110"/>
      <c r="D279" s="112"/>
      <c r="E279" s="16" t="s">
        <v>11</v>
      </c>
      <c r="F279" s="325"/>
      <c r="G279" s="325"/>
      <c r="H279" s="325"/>
      <c r="I279" s="309"/>
      <c r="J279" s="309"/>
      <c r="K279" s="325">
        <f t="shared" si="42"/>
        <v>162.22454258279518</v>
      </c>
      <c r="L279" s="325">
        <f>IF((SUM($K58:K58)+L58/2)&gt;0,(SUMPRODUCT($K58:K58,$K270:K270)+(L58/2)*L270) / (SUM($K58:K58)+L58/2),K279)</f>
        <v>167.12809160735424</v>
      </c>
      <c r="M279" s="325">
        <f>IF((SUM($K58:L58)+M58/2)&gt;0,(SUMPRODUCT($K58:L58,$K270:L270)+(M58/2)*M270) / (SUM($K58:L58)+M58/2),L279)</f>
        <v>159.2922223347301</v>
      </c>
      <c r="N279" s="325">
        <f>IF((SUM($K58:M58)+N58/2)&gt;0,(SUMPRODUCT($K58:M58,$K270:M270)+(N58/2)*N270) / (SUM($K58:M58)+N58/2),M279)</f>
        <v>152.69930286590292</v>
      </c>
      <c r="O279" s="325">
        <f>IF((SUM($K58:N58)+O58/2)&gt;0,(SUMPRODUCT($K58:N58,$K270:N270)+(O58/2)*O270) / (SUM($K58:N58)+O58/2),N279)</f>
        <v>150.22355115977433</v>
      </c>
      <c r="P279" s="325">
        <f>IF((SUM($K58:O58)+P58/2)&gt;0,(SUMPRODUCT($K58:O58,$K270:O270)+(P58/2)*P270) / (SUM($K58:O58)+P58/2),O279)</f>
        <v>148.64782363663625</v>
      </c>
      <c r="Q279" s="325">
        <f>IF((SUM($K58:P58)+Q58/2)&gt;0,(SUMPRODUCT($K58:P58,$K270:P270)+(Q58/2)*Q270) / (SUM($K58:P58)+Q58/2),P279)</f>
        <v>147.69400539125013</v>
      </c>
      <c r="R279" s="325">
        <f>IF((SUM($K58:Q58)+R58/2)&gt;0,(SUMPRODUCT($K58:Q58,$K270:Q270)+(R58/2)*R270) / (SUM($K58:Q58)+R58/2),Q279)</f>
        <v>147.45637768111197</v>
      </c>
      <c r="S279" s="325">
        <f>IF((SUM($K58:R58)+S58/2)&gt;0,(SUMPRODUCT($K58:R58,$K270:R270)+(S58/2)*S270) / (SUM($K58:R58)+S58/2),R279)</f>
        <v>147.24431295063104</v>
      </c>
      <c r="T279" s="325">
        <f>IF((SUM($K58:S58)+T58/2)&gt;0,(SUMPRODUCT($K58:S58,$K270:S270)+(T58/2)*T270) / (SUM($K58:S58)+T58/2),S279)</f>
        <v>146.94030709527604</v>
      </c>
      <c r="U279" s="325">
        <f>IF((SUM($K58:T58)+U58/2)&gt;0,(SUMPRODUCT($K58:T58,$K270:T270)+(U58/2)*U270) / (SUM($K58:T58)+U58/2),T279)</f>
        <v>146.65272996636037</v>
      </c>
      <c r="V279" s="325">
        <f>IF((SUM($K58:U58)+V58/2)&gt;0,(SUMPRODUCT($K58:U58,$K270:U270)+(V58/2)*V270) / (SUM($K58:U58)+V58/2),U279)</f>
        <v>145.96913552891627</v>
      </c>
      <c r="W279" s="325">
        <f>IF((SUM($K58:V58)+W58/2)&gt;0,(SUMPRODUCT($K58:V58,$K270:V270)+(W58/2)*W270) / (SUM($K58:V58)+W58/2),V279)</f>
        <v>144.95272993236924</v>
      </c>
      <c r="X279" s="325">
        <f>IF((SUM($K58:W58)+X58/2)&gt;0,(SUMPRODUCT($K58:W58,$K270:W270)+(X58/2)*X270) / (SUM($K58:W58)+X58/2),W279)</f>
        <v>144.00371244365638</v>
      </c>
      <c r="Y279" s="325">
        <f>IF((SUM($K58:X58)+Y58/2)&gt;0,(SUMPRODUCT($K58:X58,$K270:X270)+(Y58/2)*Y270) / (SUM($K58:X58)+Y58/2),X279)</f>
        <v>143.10369938032721</v>
      </c>
      <c r="Z279" s="325">
        <f>IF((SUM($K58:Y58)+Z58/2)&gt;0,(SUMPRODUCT($K58:Y58,$K270:Y270)+(Z58/2)*Z270) / (SUM($K58:Y58)+Z58/2),Y279)</f>
        <v>142.24074859680155</v>
      </c>
      <c r="AA279" s="325">
        <f>IF((SUM($K58:Z58)+AA58/2)&gt;0,(SUMPRODUCT($K58:Z58,$K270:Z270)+(AA58/2)*AA270) / (SUM($K58:Z58)+AA58/2),Z279)</f>
        <v>141.40676189653428</v>
      </c>
      <c r="AB279" s="325">
        <f>IF((SUM($K58:AA58)+AB58/2)&gt;0,(SUMPRODUCT($K58:AA58,$K270:AA270)+(AB58/2)*AB270) / (SUM($K58:AA58)+AB58/2),AA279)</f>
        <v>140.59605065945098</v>
      </c>
      <c r="AC279" s="325">
        <f>IF((SUM($K58:AB58)+AC58/2)&gt;0,(SUMPRODUCT($K58:AB58,$K270:AB270)+(AC58/2)*AC270) / (SUM($K58:AB58)+AC58/2),AB279)</f>
        <v>139.8044991798379</v>
      </c>
      <c r="AD279" s="325">
        <f>IF((SUM($K58:AC58)+AD58/2)&gt;0,(SUMPRODUCT($K58:AC58,$K270:AC270)+(AD58/2)*AD270) / (SUM($K58:AC58)+AD58/2),AC279)</f>
        <v>139.02905400433033</v>
      </c>
      <c r="AE279" s="325">
        <f>IF((SUM($K58:AD58)+AE58/2)&gt;0,(SUMPRODUCT($K58:AD58,$K270:AD270)+(AE58/2)*AE270) / (SUM($K58:AD58)+AE58/2),AD279)</f>
        <v>138.36335339221992</v>
      </c>
      <c r="AF279" s="929" t="s">
        <v>188</v>
      </c>
      <c r="AG279" s="929"/>
      <c r="AH279" s="929"/>
      <c r="AI279" s="929"/>
      <c r="AJ279" s="1034"/>
    </row>
    <row r="280" spans="1:36" s="294" customFormat="1" ht="12.75" customHeight="1" outlineLevel="1">
      <c r="A280" s="553">
        <v>261</v>
      </c>
      <c r="B280" s="110"/>
      <c r="C280" s="110"/>
      <c r="D280" s="112"/>
      <c r="E280" s="16" t="s">
        <v>10</v>
      </c>
      <c r="F280" s="325"/>
      <c r="G280" s="325"/>
      <c r="H280" s="325"/>
      <c r="I280" s="309"/>
      <c r="J280" s="309"/>
      <c r="K280" s="325">
        <f t="shared" si="42"/>
        <v>230.46463251450371</v>
      </c>
      <c r="L280" s="325">
        <f>IF((SUM($K59:K59)+L59/2)&gt;0,(SUMPRODUCT($K59:K59,$K271:K271)+(L59/2)*L271) / (SUM($K59:K59)+L59/2),K280)</f>
        <v>234.96708536216983</v>
      </c>
      <c r="M280" s="325">
        <f>IF((SUM($K59:L59)+M59/2)&gt;0,(SUMPRODUCT($K59:L59,$K271:L271)+(M59/2)*M271) / (SUM($K59:L59)+M59/2),L280)</f>
        <v>235.97121820559792</v>
      </c>
      <c r="N280" s="325">
        <f>IF((SUM($K59:M59)+N59/2)&gt;0,(SUMPRODUCT($K59:M59,$K271:M271)+(N59/2)*N271) / (SUM($K59:M59)+N59/2),M280)</f>
        <v>237.82093660138648</v>
      </c>
      <c r="O280" s="325">
        <f>IF((SUM($K59:N59)+O59/2)&gt;0,(SUMPRODUCT($K59:N59,$K271:N271)+(O59/2)*O271) / (SUM($K59:N59)+O59/2),N280)</f>
        <v>238.84016918682102</v>
      </c>
      <c r="P280" s="325">
        <f>IF((SUM($K59:O59)+P59/2)&gt;0,(SUMPRODUCT($K59:O59,$K271:O271)+(P59/2)*P271) / (SUM($K59:O59)+P59/2),O280)</f>
        <v>239.36355889285497</v>
      </c>
      <c r="Q280" s="325">
        <f>IF((SUM($K59:P59)+Q59/2)&gt;0,(SUMPRODUCT($K59:P59,$K271:P271)+(Q59/2)*Q271) / (SUM($K59:P59)+Q59/2),P280)</f>
        <v>239.55740693212675</v>
      </c>
      <c r="R280" s="325">
        <f>IF((SUM($K59:Q59)+R59/2)&gt;0,(SUMPRODUCT($K59:Q59,$K271:Q271)+(R59/2)*R271) / (SUM($K59:Q59)+R59/2),Q280)</f>
        <v>239.55740693212675</v>
      </c>
      <c r="S280" s="325">
        <f>IF((SUM($K59:R59)+S59/2)&gt;0,(SUMPRODUCT($K59:R59,$K271:R271)+(S59/2)*S271) / (SUM($K59:R59)+S59/2),R280)</f>
        <v>239.55740693212675</v>
      </c>
      <c r="T280" s="325">
        <f>IF((SUM($K59:S59)+T59/2)&gt;0,(SUMPRODUCT($K59:S59,$K271:S271)+(T59/2)*T271) / (SUM($K59:S59)+T59/2),S280)</f>
        <v>239.55740693212675</v>
      </c>
      <c r="U280" s="325">
        <f>IF((SUM($K59:T59)+U59/2)&gt;0,(SUMPRODUCT($K59:T59,$K271:T271)+(U59/2)*U271) / (SUM($K59:T59)+U59/2),T280)</f>
        <v>239.55740693212675</v>
      </c>
      <c r="V280" s="325">
        <f>IF((SUM($K59:U59)+V59/2)&gt;0,(SUMPRODUCT($K59:U59,$K271:U271)+(V59/2)*V271) / (SUM($K59:U59)+V59/2),U280)</f>
        <v>239.55740693212675</v>
      </c>
      <c r="W280" s="325">
        <f>IF((SUM($K59:V59)+W59/2)&gt;0,(SUMPRODUCT($K59:V59,$K271:V271)+(W59/2)*W271) / (SUM($K59:V59)+W59/2),V280)</f>
        <v>239.55740693212675</v>
      </c>
      <c r="X280" s="325">
        <f>IF((SUM($K59:W59)+X59/2)&gt;0,(SUMPRODUCT($K59:W59,$K271:W271)+(X59/2)*X271) / (SUM($K59:W59)+X59/2),W280)</f>
        <v>239.55740693212675</v>
      </c>
      <c r="Y280" s="325">
        <f>IF((SUM($K59:X59)+Y59/2)&gt;0,(SUMPRODUCT($K59:X59,$K271:X271)+(Y59/2)*Y271) / (SUM($K59:X59)+Y59/2),X280)</f>
        <v>239.55740693212675</v>
      </c>
      <c r="Z280" s="325">
        <f>IF((SUM($K59:Y59)+Z59/2)&gt;0,(SUMPRODUCT($K59:Y59,$K271:Y271)+(Z59/2)*Z271) / (SUM($K59:Y59)+Z59/2),Y280)</f>
        <v>239.55740693212675</v>
      </c>
      <c r="AA280" s="325">
        <f>IF((SUM($K59:Z59)+AA59/2)&gt;0,(SUMPRODUCT($K59:Z59,$K271:Z271)+(AA59/2)*AA271) / (SUM($K59:Z59)+AA59/2),Z280)</f>
        <v>239.55740693212675</v>
      </c>
      <c r="AB280" s="325">
        <f>IF((SUM($K59:AA59)+AB59/2)&gt;0,(SUMPRODUCT($K59:AA59,$K271:AA271)+(AB59/2)*AB271) / (SUM($K59:AA59)+AB59/2),AA280)</f>
        <v>239.55740693212675</v>
      </c>
      <c r="AC280" s="325">
        <f>IF((SUM($K59:AB59)+AC59/2)&gt;0,(SUMPRODUCT($K59:AB59,$K271:AB271)+(AC59/2)*AC271) / (SUM($K59:AB59)+AC59/2),AB280)</f>
        <v>239.55740693212675</v>
      </c>
      <c r="AD280" s="325">
        <f>IF((SUM($K59:AC59)+AD59/2)&gt;0,(SUMPRODUCT($K59:AC59,$K271:AC271)+(AD59/2)*AD271) / (SUM($K59:AC59)+AD59/2),AC280)</f>
        <v>239.55740693212675</v>
      </c>
      <c r="AE280" s="325">
        <f>IF((SUM($K59:AD59)+AE59/2)&gt;0,(SUMPRODUCT($K59:AD59,$K271:AD271)+(AE59/2)*AE271) / (SUM($K59:AD59)+AE59/2),AD280)</f>
        <v>239.55740693212675</v>
      </c>
      <c r="AF280" s="929" t="s">
        <v>188</v>
      </c>
      <c r="AG280" s="929"/>
      <c r="AH280" s="929"/>
      <c r="AI280" s="929"/>
      <c r="AJ280" s="1034"/>
    </row>
    <row r="281" spans="1:36" s="294" customFormat="1" ht="12.75" customHeight="1" outlineLevel="1">
      <c r="A281" s="553">
        <v>262</v>
      </c>
      <c r="B281" s="110"/>
      <c r="C281" s="110"/>
      <c r="D281" s="112"/>
      <c r="E281" s="16" t="s">
        <v>339</v>
      </c>
      <c r="F281" s="325"/>
      <c r="G281" s="325"/>
      <c r="H281" s="325"/>
      <c r="I281" s="309"/>
      <c r="J281" s="309"/>
      <c r="K281" s="325">
        <f t="shared" si="42"/>
        <v>81.394255134090614</v>
      </c>
      <c r="L281" s="325">
        <f>IF((SUM($K60:K60)+L60/2)&gt;0,(SUMPRODUCT($K60:K60,$K272:K272)+(L60/2)*L272) / (SUM($K60:K60)+L60/2),K281)</f>
        <v>82.097677386986945</v>
      </c>
      <c r="M281" s="325">
        <f>IF((SUM($K60:L60)+M60/2)&gt;0,(SUMPRODUCT($K60:L60,$K272:L272)+(M60/2)*M272) / (SUM($K60:L60)+M60/2),L281)</f>
        <v>81.122073458446465</v>
      </c>
      <c r="N281" s="325">
        <f>IF((SUM($K60:M60)+N60/2)&gt;0,(SUMPRODUCT($K60:M60,$K272:M272)+(N60/2)*N272) / (SUM($K60:M60)+N60/2),M281)</f>
        <v>79.427555434156361</v>
      </c>
      <c r="O281" s="325">
        <f>IF((SUM($K60:N60)+O60/2)&gt;0,(SUMPRODUCT($K60:N60,$K272:N272)+(O60/2)*O272) / (SUM($K60:N60)+O60/2),N281)</f>
        <v>78.032989033204416</v>
      </c>
      <c r="P281" s="325">
        <f>IF((SUM($K60:O60)+P60/2)&gt;0,(SUMPRODUCT($K60:O60,$K272:O272)+(P60/2)*P272) / (SUM($K60:O60)+P60/2),O281)</f>
        <v>76.731768548801625</v>
      </c>
      <c r="Q281" s="325">
        <f>IF((SUM($K60:P60)+Q60/2)&gt;0,(SUMPRODUCT($K60:P60,$K272:P272)+(Q60/2)*Q272) / (SUM($K60:P60)+Q60/2),P281)</f>
        <v>75.477655839786394</v>
      </c>
      <c r="R281" s="325">
        <f>IF((SUM($K60:Q60)+R60/2)&gt;0,(SUMPRODUCT($K60:Q60,$K272:Q272)+(R60/2)*R272) / (SUM($K60:Q60)+R60/2),Q281)</f>
        <v>74.139848451576441</v>
      </c>
      <c r="S281" s="325">
        <f>IF((SUM($K60:R60)+S60/2)&gt;0,(SUMPRODUCT($K60:R60,$K272:R272)+(S60/2)*S272) / (SUM($K60:R60)+S60/2),R281)</f>
        <v>72.605948193220158</v>
      </c>
      <c r="T281" s="325">
        <f>IF((SUM($K60:S60)+T60/2)&gt;0,(SUMPRODUCT($K60:S60,$K272:S272)+(T60/2)*T272) / (SUM($K60:S60)+T60/2),S281)</f>
        <v>71.109863143272463</v>
      </c>
      <c r="U281" s="325">
        <f>IF((SUM($K60:T60)+U60/2)&gt;0,(SUMPRODUCT($K60:T60,$K272:T272)+(U60/2)*U272) / (SUM($K60:T60)+U60/2),T281)</f>
        <v>69.778454635565708</v>
      </c>
      <c r="V281" s="325">
        <f>IF((SUM($K60:U60)+V60/2)&gt;0,(SUMPRODUCT($K60:U60,$K272:U272)+(V60/2)*V272) / (SUM($K60:U60)+V60/2),U281)</f>
        <v>68.573037145235944</v>
      </c>
      <c r="W281" s="325">
        <f>IF((SUM($K60:V60)+W60/2)&gt;0,(SUMPRODUCT($K60:V60,$K272:V272)+(W60/2)*W272) / (SUM($K60:V60)+W60/2),V281)</f>
        <v>67.466162446223549</v>
      </c>
      <c r="X281" s="325">
        <f>IF((SUM($K60:W60)+X60/2)&gt;0,(SUMPRODUCT($K60:W60,$K272:W272)+(X60/2)*X272) / (SUM($K60:W60)+X60/2),W281)</f>
        <v>66.437815618556698</v>
      </c>
      <c r="Y281" s="325">
        <f>IF((SUM($K60:X60)+Y60/2)&gt;0,(SUMPRODUCT($K60:X60,$K272:X272)+(Y60/2)*Y272) / (SUM($K60:X60)+Y60/2),X281)</f>
        <v>65.47305832116372</v>
      </c>
      <c r="Z281" s="325">
        <f>IF((SUM($K60:Y60)+Z60/2)&gt;0,(SUMPRODUCT($K60:Y60,$K272:Y272)+(Z60/2)*Z272) / (SUM($K60:Y60)+Z60/2),Y281)</f>
        <v>64.560515238558907</v>
      </c>
      <c r="AA281" s="325">
        <f>IF((SUM($K60:Z60)+AA60/2)&gt;0,(SUMPRODUCT($K60:Z60,$K272:Z272)+(AA60/2)*AA272) / (SUM($K60:Z60)+AA60/2),Z281)</f>
        <v>63.691371563851895</v>
      </c>
      <c r="AB281" s="325">
        <f>IF((SUM($K60:AA60)+AB60/2)&gt;0,(SUMPRODUCT($K60:AA60,$K272:AA272)+(AB60/2)*AB272) / (SUM($K60:AA60)+AB60/2),AA281)</f>
        <v>62.85869093853708</v>
      </c>
      <c r="AC281" s="325">
        <f>IF((SUM($K60:AB60)+AC60/2)&gt;0,(SUMPRODUCT($K60:AB60,$K272:AB272)+(AC60/2)*AC272) / (SUM($K60:AB60)+AC60/2),AB281)</f>
        <v>62.056940386641472</v>
      </c>
      <c r="AD281" s="325">
        <f>IF((SUM($K60:AC60)+AD60/2)&gt;0,(SUMPRODUCT($K60:AC60,$K272:AC272)+(AD60/2)*AD272) / (SUM($K60:AC60)+AD60/2),AC281)</f>
        <v>61.281652482392921</v>
      </c>
      <c r="AE281" s="325">
        <f>IF((SUM($K60:AD60)+AE60/2)&gt;0,(SUMPRODUCT($K60:AD60,$K272:AD272)+(AE60/2)*AE272) / (SUM($K60:AD60)+AE60/2),AD281)</f>
        <v>60.529180625685733</v>
      </c>
      <c r="AF281" s="929" t="s">
        <v>188</v>
      </c>
      <c r="AG281" s="929"/>
      <c r="AH281" s="929"/>
      <c r="AI281" s="929"/>
      <c r="AJ281" s="1034"/>
    </row>
    <row r="282" spans="1:36" s="294" customFormat="1" ht="12.75" customHeight="1" outlineLevel="1">
      <c r="A282" s="553">
        <v>263</v>
      </c>
      <c r="B282" s="110"/>
      <c r="C282" s="110"/>
      <c r="D282" s="112"/>
      <c r="E282" s="16" t="s">
        <v>340</v>
      </c>
      <c r="F282" s="325"/>
      <c r="G282" s="325"/>
      <c r="H282" s="325"/>
      <c r="I282" s="309"/>
      <c r="J282" s="309"/>
      <c r="K282" s="325">
        <f t="shared" si="42"/>
        <v>177.42118534846711</v>
      </c>
      <c r="L282" s="325">
        <f>IF((SUM($K61:K61)+L61/2)&gt;0,(SUMPRODUCT($K61:K61,$K273:K273)+(L61/2)*L273) / (SUM($K61:K61)+L61/2),K282)</f>
        <v>177.91111918685164</v>
      </c>
      <c r="M282" s="325">
        <f>IF((SUM($K61:L61)+M61/2)&gt;0,(SUMPRODUCT($K61:L61,$K273:L273)+(M61/2)*M273) / (SUM($K61:L61)+M61/2),L282)</f>
        <v>179.53297419025822</v>
      </c>
      <c r="N282" s="325">
        <f>IF((SUM($K61:M61)+N61/2)&gt;0,(SUMPRODUCT($K61:M61,$K273:M273)+(N61/2)*N273) / (SUM($K61:M61)+N61/2),M282)</f>
        <v>176.73164121452325</v>
      </c>
      <c r="O282" s="325">
        <f>IF((SUM($K61:N61)+O61/2)&gt;0,(SUMPRODUCT($K61:N61,$K273:N273)+(O61/2)*O273) / (SUM($K61:N61)+O61/2),N282)</f>
        <v>170.07103882497645</v>
      </c>
      <c r="P282" s="325">
        <f>IF((SUM($K61:O61)+P61/2)&gt;0,(SUMPRODUCT($K61:O61,$K273:O273)+(P61/2)*P273) / (SUM($K61:O61)+P61/2),O282)</f>
        <v>167.20017980300489</v>
      </c>
      <c r="Q282" s="325">
        <f>IF((SUM($K61:P61)+Q61/2)&gt;0,(SUMPRODUCT($K61:P61,$K273:P273)+(Q61/2)*Q273) / (SUM($K61:P61)+Q61/2),P282)</f>
        <v>167.20017980300489</v>
      </c>
      <c r="R282" s="325">
        <f>IF((SUM($K61:Q61)+R61/2)&gt;0,(SUMPRODUCT($K61:Q61,$K273:Q273)+(R61/2)*R273) / (SUM($K61:Q61)+R61/2),Q282)</f>
        <v>164.73004291421486</v>
      </c>
      <c r="S282" s="325">
        <f>IF((SUM($K61:R61)+S61/2)&gt;0,(SUMPRODUCT($K61:R61,$K273:R273)+(S61/2)*S273) / (SUM($K61:R61)+S61/2),R282)</f>
        <v>156.09719312999994</v>
      </c>
      <c r="T282" s="325">
        <f>IF((SUM($K61:S61)+T61/2)&gt;0,(SUMPRODUCT($K61:S61,$K273:S273)+(T61/2)*T273) / (SUM($K61:S61)+T61/2),S282)</f>
        <v>145.89864372085745</v>
      </c>
      <c r="U282" s="325">
        <f>IF((SUM($K61:T61)+U61/2)&gt;0,(SUMPRODUCT($K61:T61,$K273:T273)+(U61/2)*U273) / (SUM($K61:T61)+U61/2),T282)</f>
        <v>137.76030699073269</v>
      </c>
      <c r="V282" s="325">
        <f>IF((SUM($K61:U61)+V61/2)&gt;0,(SUMPRODUCT($K61:U61,$K273:U273)+(V61/2)*V273) / (SUM($K61:U61)+V61/2),U282)</f>
        <v>130.91455702636742</v>
      </c>
      <c r="W282" s="325">
        <f>IF((SUM($K61:V61)+W61/2)&gt;0,(SUMPRODUCT($K61:V61,$K273:V273)+(W61/2)*W273) / (SUM($K61:V61)+W61/2),V282)</f>
        <v>125.14841293760755</v>
      </c>
      <c r="X282" s="325">
        <f>IF((SUM($K61:W61)+X61/2)&gt;0,(SUMPRODUCT($K61:W61,$K273:W273)+(X61/2)*X273) / (SUM($K61:W61)+X61/2),W282)</f>
        <v>120.22020165249761</v>
      </c>
      <c r="Y282" s="325">
        <f>IF((SUM($K61:X61)+Y61/2)&gt;0,(SUMPRODUCT($K61:X61,$K273:X273)+(Y61/2)*Y273) / (SUM($K61:X61)+Y61/2),X282)</f>
        <v>115.95495769195905</v>
      </c>
      <c r="Z282" s="325">
        <f>IF((SUM($K61:Y61)+Z61/2)&gt;0,(SUMPRODUCT($K61:Y61,$K273:Y273)+(Z61/2)*Z273) / (SUM($K61:Y61)+Z61/2),Y282)</f>
        <v>112.22288066114457</v>
      </c>
      <c r="AA282" s="325">
        <f>IF((SUM($K61:Z61)+AA61/2)&gt;0,(SUMPRODUCT($K61:Z61,$K273:Z273)+(AA61/2)*AA273) / (SUM($K61:Z61)+AA61/2),Z282)</f>
        <v>108.92563428687545</v>
      </c>
      <c r="AB282" s="325">
        <f>IF((SUM($K61:AA61)+AB61/2)&gt;0,(SUMPRODUCT($K61:AA61,$K273:AA273)+(AB61/2)*AB273) / (SUM($K61:AA61)+AB61/2),AA282)</f>
        <v>105.98734739237672</v>
      </c>
      <c r="AC282" s="325">
        <f>IF((SUM($K61:AB61)+AC61/2)&gt;0,(SUMPRODUCT($K61:AB61,$K273:AB273)+(AC61/2)*AC273) / (SUM($K61:AB61)+AC61/2),AB282)</f>
        <v>103.34853609341295</v>
      </c>
      <c r="AD282" s="325">
        <f>IF((SUM($K61:AC61)+AD61/2)&gt;0,(SUMPRODUCT($K61:AC61,$K273:AC273)+(AD61/2)*AD273) / (SUM($K61:AC61)+AD61/2),AC282)</f>
        <v>100.96189767496989</v>
      </c>
      <c r="AE282" s="325">
        <f>IF((SUM($K61:AD61)+AE61/2)&gt;0,(SUMPRODUCT($K61:AD61,$K273:AD273)+(AE61/2)*AE273) / (SUM($K61:AD61)+AE61/2),AD282)</f>
        <v>98.789336517803804</v>
      </c>
      <c r="AF282" s="929" t="s">
        <v>188</v>
      </c>
      <c r="AG282" s="929"/>
      <c r="AH282" s="929"/>
      <c r="AI282" s="929"/>
      <c r="AJ282" s="1034"/>
    </row>
    <row r="283" spans="1:36" s="294" customFormat="1" ht="12.75" customHeight="1" outlineLevel="1">
      <c r="A283" s="553">
        <v>264</v>
      </c>
      <c r="B283" s="110"/>
      <c r="C283" s="110"/>
      <c r="D283" s="112"/>
      <c r="E283" s="296" t="s">
        <v>530</v>
      </c>
      <c r="F283" s="302"/>
      <c r="G283" s="302"/>
      <c r="H283" s="302"/>
      <c r="I283" s="311"/>
      <c r="J283" s="311"/>
      <c r="K283" s="302">
        <f t="shared" si="42"/>
        <v>100.27804485161886</v>
      </c>
      <c r="L283" s="302">
        <f>IF((SUM($K62:K62)+L62/2)&gt;0,(SUMPRODUCT($K62:K62,$K274:K274)+(L62/2)*L274) / (SUM($K62:K62)+L62/2),K283)</f>
        <v>101.5576323294457</v>
      </c>
      <c r="M283" s="302">
        <f>IF((SUM($K62:L62)+M62/2)&gt;0,(SUMPRODUCT($K62:L62,$K274:L274)+(M62/2)*M274) / (SUM($K62:L62)+M62/2),L283)</f>
        <v>100.76774519184401</v>
      </c>
      <c r="N283" s="302">
        <f>IF((SUM($K62:M62)+N62/2)&gt;0,(SUMPRODUCT($K62:M62,$K274:M274)+(N62/2)*N274) / (SUM($K62:M62)+N62/2),M283)</f>
        <v>101.04610680157428</v>
      </c>
      <c r="O283" s="302">
        <f>IF((SUM($K62:N62)+O62/2)&gt;0,(SUMPRODUCT($K62:N62,$K274:N274)+(O62/2)*O274) / (SUM($K62:N62)+O62/2),N283)</f>
        <v>102.32878328643297</v>
      </c>
      <c r="P283" s="302">
        <f>IF((SUM($K62:O62)+P62/2)&gt;0,(SUMPRODUCT($K62:O62,$K274:O274)+(P62/2)*P274) / (SUM($K62:O62)+P62/2),O283)</f>
        <v>100.52423474230137</v>
      </c>
      <c r="Q283" s="302">
        <f>IF((SUM($K62:P62)+Q62/2)&gt;0,(SUMPRODUCT($K62:P62,$K274:P274)+(Q62/2)*Q274) / (SUM($K62:P62)+Q62/2),P283)</f>
        <v>96.900075912524628</v>
      </c>
      <c r="R283" s="302">
        <f>IF((SUM($K62:Q62)+R62/2)&gt;0,(SUMPRODUCT($K62:Q62,$K274:Q274)+(R62/2)*R274) / (SUM($K62:Q62)+R62/2),Q283)</f>
        <v>93.788596418411714</v>
      </c>
      <c r="S283" s="302">
        <f>IF((SUM($K62:R62)+S62/2)&gt;0,(SUMPRODUCT($K62:R62,$K274:R274)+(S62/2)*S274) / (SUM($K62:R62)+S62/2),R283)</f>
        <v>91.590317062676974</v>
      </c>
      <c r="T283" s="302">
        <f>IF((SUM($K62:S62)+T62/2)&gt;0,(SUMPRODUCT($K62:S62,$K274:S274)+(T62/2)*T274) / (SUM($K62:S62)+T62/2),S283)</f>
        <v>89.990840400389573</v>
      </c>
      <c r="U283" s="302">
        <f>IF((SUM($K62:T62)+U62/2)&gt;0,(SUMPRODUCT($K62:T62,$K274:T274)+(U62/2)*U274) / (SUM($K62:T62)+U62/2),T283)</f>
        <v>88.457637981500383</v>
      </c>
      <c r="V283" s="302">
        <f>IF((SUM($K62:U62)+V62/2)&gt;0,(SUMPRODUCT($K62:U62,$K274:U274)+(V62/2)*V274) / (SUM($K62:U62)+V62/2),U283)</f>
        <v>87.105655915546237</v>
      </c>
      <c r="W283" s="302">
        <f>IF((SUM($K62:V62)+W62/2)&gt;0,(SUMPRODUCT($K62:V62,$K274:V274)+(W62/2)*W274) / (SUM($K62:V62)+W62/2),V283)</f>
        <v>85.908634907786038</v>
      </c>
      <c r="X283" s="302">
        <f>IF((SUM($K62:W62)+X62/2)&gt;0,(SUMPRODUCT($K62:W62,$K274:W274)+(X62/2)*X274) / (SUM($K62:W62)+X62/2),W283)</f>
        <v>84.718446734458738</v>
      </c>
      <c r="Y283" s="302">
        <f>IF((SUM($K62:X62)+Y62/2)&gt;0,(SUMPRODUCT($K62:X62,$K274:X274)+(Y62/2)*Y274) / (SUM($K62:X62)+Y62/2),X283)</f>
        <v>83.537480080540718</v>
      </c>
      <c r="Z283" s="302">
        <f>IF((SUM($K62:Y62)+Z62/2)&gt;0,(SUMPRODUCT($K62:Y62,$K274:Y274)+(Z62/2)*Z274) / (SUM($K62:Y62)+Z62/2),Y283)</f>
        <v>82.368055913152645</v>
      </c>
      <c r="AA283" s="302">
        <f>IF((SUM($K62:Z62)+AA62/2)&gt;0,(SUMPRODUCT($K62:Z62,$K274:Z274)+(AA62/2)*AA274) / (SUM($K62:Z62)+AA62/2),Z283)</f>
        <v>81.21446086894656</v>
      </c>
      <c r="AB283" s="302">
        <f>IF((SUM($K62:AA62)+AB62/2)&gt;0,(SUMPRODUCT($K62:AA62,$K274:AA274)+(AB62/2)*AB274) / (SUM($K62:AA62)+AB62/2),AA283)</f>
        <v>80.075299133746768</v>
      </c>
      <c r="AC283" s="302">
        <f>IF((SUM($K62:AB62)+AC62/2)&gt;0,(SUMPRODUCT($K62:AB62,$K274:AB274)+(AC62/2)*AC274) / (SUM($K62:AB62)+AC62/2),AB283)</f>
        <v>78.946535321307792</v>
      </c>
      <c r="AD283" s="302">
        <f>IF((SUM($K62:AC62)+AD62/2)&gt;0,(SUMPRODUCT($K62:AC62,$K274:AC274)+(AD62/2)*AD274) / (SUM($K62:AC62)+AD62/2),AC283)</f>
        <v>77.830039130605968</v>
      </c>
      <c r="AE283" s="302">
        <f>IF((SUM($K62:AD62)+AE62/2)&gt;0,(SUMPRODUCT($K62:AD62,$K274:AD274)+(AE62/2)*AE274) / (SUM($K62:AD62)+AE62/2),AD283)</f>
        <v>76.728099118754528</v>
      </c>
      <c r="AF283" s="929" t="s">
        <v>188</v>
      </c>
      <c r="AG283" s="929"/>
      <c r="AH283" s="929"/>
      <c r="AI283" s="929"/>
      <c r="AJ283" s="1034"/>
    </row>
    <row r="284" spans="1:36" s="294" customFormat="1" ht="12.75" customHeight="1" outlineLevel="1">
      <c r="A284" s="553">
        <v>265</v>
      </c>
      <c r="B284" s="110"/>
      <c r="C284" s="110"/>
      <c r="D284" s="112"/>
      <c r="F284" s="324"/>
      <c r="G284" s="324"/>
      <c r="H284" s="324"/>
      <c r="I284" s="324"/>
      <c r="J284" s="324"/>
      <c r="K284" s="324"/>
      <c r="L284" s="324"/>
      <c r="M284" s="324"/>
      <c r="N284" s="342"/>
      <c r="O284" s="289"/>
      <c r="P284" s="324"/>
      <c r="Q284" s="324"/>
      <c r="R284" s="324"/>
      <c r="S284" s="324"/>
      <c r="T284" s="324"/>
      <c r="U284" s="324"/>
      <c r="V284" s="324"/>
      <c r="W284" s="324"/>
      <c r="X284" s="324"/>
      <c r="Y284" s="324"/>
      <c r="Z284" s="324"/>
      <c r="AA284" s="324"/>
      <c r="AB284" s="324"/>
      <c r="AC284" s="324"/>
      <c r="AD284" s="324"/>
      <c r="AE284" s="324"/>
      <c r="AF284" s="929"/>
      <c r="AG284" s="929"/>
      <c r="AH284" s="929"/>
      <c r="AI284" s="929"/>
      <c r="AJ284" s="1034"/>
    </row>
    <row r="285" spans="1:36" s="294" customFormat="1" ht="26.4" outlineLevel="1">
      <c r="A285" s="553" t="s">
        <v>251</v>
      </c>
      <c r="B285" s="110"/>
      <c r="C285" s="110"/>
      <c r="D285" s="112"/>
      <c r="E285" s="1100" t="s">
        <v>545</v>
      </c>
      <c r="F285" s="324"/>
      <c r="G285" s="324"/>
      <c r="H285" s="324"/>
      <c r="I285" s="324"/>
      <c r="J285" s="324"/>
      <c r="K285" s="324"/>
      <c r="L285" s="324"/>
      <c r="M285" s="324"/>
      <c r="N285" s="342"/>
      <c r="O285" s="289"/>
      <c r="P285" s="324"/>
      <c r="Q285" s="324"/>
      <c r="R285" s="324"/>
      <c r="S285" s="324"/>
      <c r="T285" s="324"/>
      <c r="U285" s="324"/>
      <c r="V285" s="324"/>
      <c r="W285" s="324"/>
      <c r="X285" s="324"/>
      <c r="Y285" s="324"/>
      <c r="Z285" s="324"/>
      <c r="AA285" s="324"/>
      <c r="AB285" s="324"/>
      <c r="AC285" s="324"/>
      <c r="AD285" s="324"/>
      <c r="AE285" s="324"/>
      <c r="AF285" s="929" t="s">
        <v>174</v>
      </c>
      <c r="AG285" s="929"/>
      <c r="AH285" s="929"/>
      <c r="AI285" s="929"/>
      <c r="AJ285" s="1034" t="s">
        <v>595</v>
      </c>
    </row>
    <row r="286" spans="1:36" s="294" customFormat="1" ht="12.75" customHeight="1" outlineLevel="1">
      <c r="A286" s="553" t="s">
        <v>252</v>
      </c>
      <c r="B286" s="110"/>
      <c r="C286" s="110"/>
      <c r="D286" s="112"/>
      <c r="E286" s="314" t="s">
        <v>529</v>
      </c>
      <c r="F286" s="316"/>
      <c r="G286" s="316"/>
      <c r="H286" s="316"/>
      <c r="I286" s="307"/>
      <c r="J286" s="307"/>
      <c r="K286" s="316"/>
      <c r="L286" s="316">
        <f t="array" ref="L286">SUMPRODUCT(IF($K268:K268&lt;L$7*L29*L$26,L$7*L29*L$26,$K268:K268),$K56:K56)</f>
        <v>31.226701824684373</v>
      </c>
      <c r="M286" s="316">
        <f t="array" ref="M286">SUMPRODUCT(IF($K268:L268&lt;M$7*M29*M$26,M$7*M29*M$26,$K268:L268),$K56:L56)</f>
        <v>33.64354358618224</v>
      </c>
      <c r="N286" s="316">
        <f t="array" ref="N286">SUMPRODUCT(IF($K268:M268&lt;N$7*N29*N$26,N$7*N29*N$26,$K268:M268),$K56:M56)</f>
        <v>34.258428640996463</v>
      </c>
      <c r="O286" s="316">
        <f t="array" ref="O286">SUMPRODUCT(IF($K268:N268&lt;O$7*O29*O$26,O$7*O29*O$26,$K268:N268),$K56:N56)</f>
        <v>35.957902611941329</v>
      </c>
      <c r="P286" s="316">
        <f t="array" ref="P286">SUMPRODUCT(IF($K268:O268&lt;P$7*P29*P$26,P$7*P29*P$26,$K268:O268),$K56:O56)</f>
        <v>37.874342759843486</v>
      </c>
      <c r="Q286" s="316">
        <f t="array" ref="Q286">SUMPRODUCT(IF($K268:P268&lt;Q$7*Q29*Q$26,Q$7*Q29*Q$26,$K268:P268),$K56:P56)</f>
        <v>39.332528248850217</v>
      </c>
      <c r="R286" s="316">
        <f t="array" ref="R286">SUMPRODUCT(IF($K268:Q268&lt;R$7*R29*R$26,R$7*R29*R$26,$K268:Q268),$K56:Q56)</f>
        <v>39.332528248850217</v>
      </c>
      <c r="S286" s="316">
        <f t="array" ref="S286">SUMPRODUCT(IF($K268:R268&lt;S$7*S29*S$26,S$7*S29*S$26,$K268:R268),$K56:R56)</f>
        <v>39.332528248850217</v>
      </c>
      <c r="T286" s="316">
        <f t="array" ref="T286">SUMPRODUCT(IF($K268:S268&lt;T$7*T29*T$26,T$7*T29*T$26,$K268:S268),$K56:S56)</f>
        <v>39.332528248850217</v>
      </c>
      <c r="U286" s="316">
        <f t="array" ref="U286">SUMPRODUCT(IF($K268:T268&lt;U$7*U29*U$26,U$7*U29*U$26,$K268:T268),$K56:T56)</f>
        <v>39.332528248850217</v>
      </c>
      <c r="V286" s="316">
        <f t="array" ref="V286">SUMPRODUCT(IF($K268:U268&lt;V$7*V29*V$26,V$7*V29*V$26,$K268:U268),$K56:U56)</f>
        <v>39.332528248850217</v>
      </c>
      <c r="W286" s="316">
        <f t="array" ref="W286">SUMPRODUCT(IF($K268:V268&lt;W$7*W29*W$26,W$7*W29*W$26,$K268:V268),$K56:V56)</f>
        <v>39.332528248850217</v>
      </c>
      <c r="X286" s="316">
        <f t="array" ref="X286">SUMPRODUCT(IF($K268:W268&lt;X$7*X29*X$26,X$7*X29*X$26,$K268:W268),$K56:W56)</f>
        <v>39.332528248850217</v>
      </c>
      <c r="Y286" s="316">
        <f t="array" ref="Y286">SUMPRODUCT(IF($K268:X268&lt;Y$7*Y29*Y$26,Y$7*Y29*Y$26,$K268:X268),$K56:X56)</f>
        <v>39.332528248850217</v>
      </c>
      <c r="Z286" s="316">
        <f t="array" ref="Z286">SUMPRODUCT(IF($K268:Y268&lt;Z$7*Z29*Z$26,Z$7*Z29*Z$26,$K268:Y268),$K56:Y56)</f>
        <v>39.332528248850217</v>
      </c>
      <c r="AA286" s="316">
        <f t="array" ref="AA286">SUMPRODUCT(IF($K268:Z268&lt;AA$7*AA29*AA$26,AA$7*AA29*AA$26,$K268:Z268),$K56:Z56)</f>
        <v>39.332528248850217</v>
      </c>
      <c r="AB286" s="316">
        <f t="array" ref="AB286">SUMPRODUCT(IF($K268:AA268&lt;AB$7*AB29*AB$26,AB$7*AB29*AB$26,$K268:AA268),$K56:AA56)</f>
        <v>39.332528248850217</v>
      </c>
      <c r="AC286" s="316">
        <f t="array" ref="AC286">SUMPRODUCT(IF($K268:AB268&lt;AC$7*AC29*AC$26,AC$7*AC29*AC$26,$K268:AB268),$K56:AB56)</f>
        <v>39.332528248850217</v>
      </c>
      <c r="AD286" s="316">
        <f t="array" ref="AD286">SUMPRODUCT(IF($K268:AC268&lt;AD$7*AD29*AD$26,AD$7*AD29*AD$26,$K268:AC268),$K56:AC56)</f>
        <v>39.332528248850217</v>
      </c>
      <c r="AE286" s="316">
        <f t="array" ref="AE286">SUMPRODUCT(IF($K268:AD268&lt;AE$7*AE29*AE$26,AE$7*AE29*AE$26,$K268:AD268),$K56:AD56)</f>
        <v>39.332528248850217</v>
      </c>
      <c r="AF286" s="316">
        <f t="array" ref="AF286">SUMPRODUCT(IF($K268:AE268&lt;AF$7*AF29,AF$7*AF29*AF$26,$K268:AE268),$K56:AE56)</f>
        <v>39.332528248850217</v>
      </c>
      <c r="AG286" s="316">
        <f t="array" ref="AG286">SUMPRODUCT(IF($K268:AF268&lt;AG$7*AG29,AG$7*AG29*AG$26,$K268:AF268),$K56:AF56)</f>
        <v>39.332528248850217</v>
      </c>
      <c r="AH286" s="316">
        <f t="array" ref="AH286">SUMPRODUCT(IF($K268:AG268&lt;AH$7*AH29,AH$7*AH29*AH$26,$K268:AG268),$K56:AG56)</f>
        <v>39.332528248850217</v>
      </c>
      <c r="AI286" s="316">
        <f t="array" ref="AI286">SUMPRODUCT(IF($K268:AH268&lt;AI$7*AI29,AI$7*AI29*AI$26,$K268:AH268),$K56:AH56)</f>
        <v>39.332528248850217</v>
      </c>
      <c r="AJ286" s="1034"/>
    </row>
    <row r="287" spans="1:36" s="294" customFormat="1" ht="63.75" customHeight="1" outlineLevel="1">
      <c r="A287" s="553" t="s">
        <v>253</v>
      </c>
      <c r="B287" s="110"/>
      <c r="C287" s="110"/>
      <c r="D287" s="112"/>
      <c r="E287" s="16" t="s">
        <v>349</v>
      </c>
      <c r="F287" s="325"/>
      <c r="G287" s="325"/>
      <c r="H287" s="325"/>
      <c r="I287" s="309"/>
      <c r="J287" s="309"/>
      <c r="K287" s="325"/>
      <c r="L287" s="325">
        <f t="array" ref="L287">SUMPRODUCT(IF($K269:K269&lt;L$7*L30*L$26,L$7*L30*L$26,$K269:K269),$K57:K57)</f>
        <v>3.4411662140632746</v>
      </c>
      <c r="M287" s="325">
        <f t="array" ref="M287">SUMPRODUCT(IF($K269:L269&lt;M$7*M30*M$26,M$7*M30*M$26,$K269:L269),$K57:L57)</f>
        <v>3.7573437276861541</v>
      </c>
      <c r="N287" s="325">
        <f t="array" ref="N287">SUMPRODUCT(IF($K269:M269&lt;N$7*N30*N$26,N$7*N30*N$26,$K269:M269),$K57:M57)</f>
        <v>3.8658708911593487</v>
      </c>
      <c r="O287" s="325">
        <f t="array" ref="O287">SUMPRODUCT(IF($K269:N269&lt;O$7*O30*O$26,O$7*O30*O$26,$K269:N269),$K57:N57)</f>
        <v>4.2431623829985128</v>
      </c>
      <c r="P287" s="325">
        <f t="array" ref="P287">SUMPRODUCT(IF($K269:O269&lt;P$7*P30*P$26,P$7*P30*P$26,$K269:O269),$K57:O57)</f>
        <v>4.3670397561523719</v>
      </c>
      <c r="Q287" s="325">
        <f t="array" ref="Q287">SUMPRODUCT(IF($K269:P269&lt;Q$7*Q30*Q$26,Q$7*Q30*Q$26,$K269:P269),$K57:P57)</f>
        <v>4.4890589687089228</v>
      </c>
      <c r="R287" s="325">
        <f t="array" ref="R287">SUMPRODUCT(IF($K269:Q269&lt;R$7*R30*R$26,R$7*R30*R$26,$K269:Q269),$K57:Q57)</f>
        <v>4.4890589687089228</v>
      </c>
      <c r="S287" s="325">
        <f t="array" ref="S287">SUMPRODUCT(IF($K269:R269&lt;S$7*S30*S$26,S$7*S30*S$26,$K269:R269),$K57:R57)</f>
        <v>4.4890589687089228</v>
      </c>
      <c r="T287" s="325">
        <f t="array" ref="T287">SUMPRODUCT(IF($K269:S269&lt;T$7*T30*T$26,T$7*T30*T$26,$K269:S269),$K57:S57)</f>
        <v>4.4890589687089228</v>
      </c>
      <c r="U287" s="325">
        <f t="array" ref="U287">SUMPRODUCT(IF($K269:T269&lt;U$7*U30*U$26,U$7*U30*U$26,$K269:T269),$K57:T57)</f>
        <v>4.4890589687089228</v>
      </c>
      <c r="V287" s="325">
        <f t="array" ref="V287">SUMPRODUCT(IF($K269:U269&lt;V$7*V30*V$26,V$7*V30*V$26,$K269:U269),$K57:U57)</f>
        <v>4.4890589687089228</v>
      </c>
      <c r="W287" s="325">
        <f t="array" ref="W287">SUMPRODUCT(IF($K269:V269&lt;W$7*W30*W$26,W$7*W30*W$26,$K269:V269),$K57:V57)</f>
        <v>4.4890589687089228</v>
      </c>
      <c r="X287" s="325">
        <f t="array" ref="X287">SUMPRODUCT(IF($K269:W269&lt;X$7*X30*X$26,X$7*X30*X$26,$K269:W269),$K57:W57)</f>
        <v>4.4890589687089228</v>
      </c>
      <c r="Y287" s="325">
        <f t="array" ref="Y287">SUMPRODUCT(IF($K269:X269&lt;Y$7*Y30*Y$26,Y$7*Y30*Y$26,$K269:X269),$K57:X57)</f>
        <v>4.4890589687089228</v>
      </c>
      <c r="Z287" s="325">
        <f t="array" ref="Z287">SUMPRODUCT(IF($K269:Y269&lt;Z$7*Z30*Z$26,Z$7*Z30*Z$26,$K269:Y269),$K57:Y57)</f>
        <v>4.4935490659976889</v>
      </c>
      <c r="AA287" s="325">
        <f t="array" ref="AA287">SUMPRODUCT(IF($K269:Z269&lt;AA$7*AA30*AA$26,AA$7*AA30*AA$26,$K269:Z269),$K57:Z57)</f>
        <v>4.5174211692885313</v>
      </c>
      <c r="AB287" s="325">
        <f t="array" ref="AB287">SUMPRODUCT(IF($K269:AA269&lt;AB$7*AB30*AB$26,AB$7*AB30*AB$26,$K269:AA269),$K57:AA57)</f>
        <v>4.545783669197462</v>
      </c>
      <c r="AC287" s="325">
        <f t="array" ref="AC287">SUMPRODUCT(IF($K269:AB269&lt;AC$7*AC30*AC$26,AC$7*AC30*AC$26,$K269:AB269),$K57:AB57)</f>
        <v>4.5748260266793013</v>
      </c>
      <c r="AD287" s="325">
        <f t="array" ref="AD287">SUMPRODUCT(IF($K269:AC269&lt;AD$7*AD30*AD$26,AD$7*AD30*AD$26,$K269:AC269),$K57:AC57)</f>
        <v>4.604562255898756</v>
      </c>
      <c r="AE287" s="325">
        <f t="array" ref="AE287">SUMPRODUCT(IF($K269:AD269&lt;AE$7*AE30*AE$26,AE$7*AE30*AE$26,$K269:AD269),$K57:AD57)</f>
        <v>4.6350066384775204</v>
      </c>
      <c r="AF287" s="929" t="s">
        <v>188</v>
      </c>
      <c r="AG287" s="929"/>
      <c r="AH287" s="929"/>
      <c r="AI287" s="929"/>
      <c r="AJ287" s="1034"/>
    </row>
    <row r="288" spans="1:36" s="294" customFormat="1" ht="12.75" customHeight="1" outlineLevel="1">
      <c r="A288" s="553" t="s">
        <v>254</v>
      </c>
      <c r="B288" s="110"/>
      <c r="C288" s="110"/>
      <c r="D288" s="112"/>
      <c r="E288" s="16" t="s">
        <v>11</v>
      </c>
      <c r="F288" s="325"/>
      <c r="G288" s="325"/>
      <c r="H288" s="325"/>
      <c r="I288" s="309"/>
      <c r="J288" s="309"/>
      <c r="K288" s="325"/>
      <c r="L288" s="325">
        <f t="array" ref="L288">SUMPRODUCT(IF($K270:K270&lt;L$7*L31*L$26,L$7*L31*L$26,$K270:K270),$K58:K58)</f>
        <v>2.0393733921710009</v>
      </c>
      <c r="M288" s="325">
        <f t="array" ref="M288">SUMPRODUCT(IF($K270:L270&lt;M$7*M31*M$26,M$7*M31*M$26,$K270:L270),$K58:L58)</f>
        <v>27.592704654759096</v>
      </c>
      <c r="N288" s="325">
        <f t="array" ref="N288">SUMPRODUCT(IF($K270:M270&lt;N$7*N31*N$26,N$7*N31*N$26,$K270:M270),$K58:M58)</f>
        <v>60.091387626949285</v>
      </c>
      <c r="O288" s="325">
        <f t="array" ref="O288">SUMPRODUCT(IF($K270:N270&lt;O$7*O31*O$26,O$7*O31*O$26,$K270:N270),$K58:N58)</f>
        <v>108.86437464163885</v>
      </c>
      <c r="P288" s="325">
        <f t="array" ref="P288">SUMPRODUCT(IF($K270:O270&lt;P$7*P31*P$26,P$7*P31*P$26,$K270:O270),$K58:O58)</f>
        <v>136.97054802341563</v>
      </c>
      <c r="Q288" s="325">
        <f t="array" ref="Q288">SUMPRODUCT(IF($K270:P270&lt;Q$7*Q31*Q$26,Q$7*Q31*Q$26,$K270:P270),$K58:P58)</f>
        <v>161.4341012028799</v>
      </c>
      <c r="R288" s="325">
        <f t="array" ref="R288">SUMPRODUCT(IF($K270:Q270&lt;R$7*R31*R$26,R$7*R31*R$26,$K270:Q270),$K58:Q58)</f>
        <v>179.3639970936168</v>
      </c>
      <c r="S288" s="325">
        <f t="array" ref="S288">SUMPRODUCT(IF($K270:R270&lt;S$7*S31*S$26,S$7*S31*S$26,$K270:R270),$K58:R58)</f>
        <v>184.47880505324588</v>
      </c>
      <c r="T288" s="325">
        <f t="array" ref="T288">SUMPRODUCT(IF($K270:S270&lt;T$7*T31*T$26,T$7*T31*T$26,$K270:S270),$K58:S58)</f>
        <v>190.03130351075345</v>
      </c>
      <c r="U288" s="325">
        <f t="array" ref="U288">SUMPRODUCT(IF($K270:T270&lt;U$7*U31*U$26,U$7*U31*U$26,$K270:T270),$K58:T58)</f>
        <v>195.90162362688909</v>
      </c>
      <c r="V288" s="325">
        <f t="array" ref="V288">SUMPRODUCT(IF($K270:U270&lt;V$7*V31*V$26,V$7*V31*V$26,$K270:U270),$K58:U58)</f>
        <v>202.18143374923494</v>
      </c>
      <c r="W288" s="325">
        <f t="array" ref="W288">SUMPRODUCT(IF($K270:V270&lt;W$7*W31*W$26,W$7*W31*W$26,$K270:V270),$K58:V58)</f>
        <v>229.80847166465247</v>
      </c>
      <c r="X288" s="325">
        <f t="array" ref="X288">SUMPRODUCT(IF($K270:W270&lt;X$7*X31*X$26,X$7*X31*X$26,$K270:W270),$K58:W58)</f>
        <v>257.15451340558218</v>
      </c>
      <c r="Y288" s="325">
        <f t="array" ref="Y288">SUMPRODUCT(IF($K270:X270&lt;Y$7*Y31*Y$26,Y$7*Y31*Y$26,$K270:X270),$K58:X58)</f>
        <v>284.22176978007332</v>
      </c>
      <c r="Z288" s="325">
        <f t="array" ref="Z288">SUMPRODUCT(IF($K270:Y270&lt;Z$7*Z31*Z$26,Z$7*Z31*Z$26,$K270:Y270),$K58:Y58)</f>
        <v>311.01242950664164</v>
      </c>
      <c r="AA288" s="325">
        <f t="array" ref="AA288">SUMPRODUCT(IF($K270:Z270&lt;AA$7*AA31*AA$26,AA$7*AA31*AA$26,$K270:Z270),$K58:Z58)</f>
        <v>337.52865943497989</v>
      </c>
      <c r="AB288" s="325">
        <f t="array" ref="AB288">SUMPRODUCT(IF($K270:AA270&lt;AB$7*AB31*AB$26,AB$7*AB31*AB$26,$K270:AA270),$K58:AA58)</f>
        <v>363.7726047644627</v>
      </c>
      <c r="AC288" s="325">
        <f t="array" ref="AC288">SUMPRODUCT(IF($K270:AB270&lt;AC$7*AC31*AC$26,AC$7*AC31*AC$26,$K270:AB270),$K58:AB58)</f>
        <v>389.7463892604685</v>
      </c>
      <c r="AD288" s="325">
        <f t="array" ref="AD288">SUMPRODUCT(IF($K270:AC270&lt;AD$7*AD31*AD$26,AD$7*AD31*AD$26,$K270:AC270),$K58:AC58)</f>
        <v>415.45211546854</v>
      </c>
      <c r="AE288" s="325">
        <f t="array" ref="AE288">SUMPRODUCT(IF($K270:AD270&lt;AE$7*AE31*AE$26,AE$7*AE31*AE$26,$K270:AD270),$K58:AD58)</f>
        <v>440.89186492640465</v>
      </c>
      <c r="AF288" s="929" t="s">
        <v>188</v>
      </c>
      <c r="AG288" s="929"/>
      <c r="AH288" s="929"/>
      <c r="AI288" s="929"/>
      <c r="AJ288" s="1034"/>
    </row>
    <row r="289" spans="1:36" s="294" customFormat="1" ht="12.75" customHeight="1" outlineLevel="1">
      <c r="A289" s="553" t="s">
        <v>255</v>
      </c>
      <c r="B289" s="110"/>
      <c r="C289" s="110"/>
      <c r="D289" s="112"/>
      <c r="E289" s="16" t="s">
        <v>10</v>
      </c>
      <c r="F289" s="325"/>
      <c r="G289" s="325"/>
      <c r="H289" s="325"/>
      <c r="I289" s="309"/>
      <c r="J289" s="309"/>
      <c r="K289" s="325"/>
      <c r="L289" s="325">
        <f t="array" ref="L289">SUMPRODUCT(IF($K271:K271&lt;L$7*L32*L$26,L$7*L32*L$26,$K271:K271),$K59:K59)</f>
        <v>0</v>
      </c>
      <c r="M289" s="325">
        <f t="array" ref="M289">SUMPRODUCT(IF($K271:L271&lt;M$7*M32*M$26,M$7*M32*M$26,$K271:L271),$K59:L59)</f>
        <v>1.1748354268108487</v>
      </c>
      <c r="N289" s="325">
        <f t="array" ref="N289">SUMPRODUCT(IF($K271:M271&lt;N$7*N32*N$26,N$7*N32*N$26,$K271:M271),$K59:M59)</f>
        <v>1.6568191916563253</v>
      </c>
      <c r="O289" s="325">
        <f t="array" ref="O289">SUMPRODUCT(IF($K271:N271&lt;O$7*O32*O$26,O$7*O32*O$26,$K271:N271),$K59:N59)</f>
        <v>2.8617786037700172</v>
      </c>
      <c r="P289" s="325">
        <f t="array" ref="P289">SUMPRODUCT(IF($K271:O271&lt;P$7*P32*P$26,P$7*P32*P$26,$K271:O271),$K59:O59)</f>
        <v>3.8257461334609708</v>
      </c>
      <c r="Q289" s="325">
        <f t="array" ref="Q289">SUMPRODUCT(IF($K271:P271&lt;Q$7*Q32*Q$26,Q$7*Q32*Q$26,$K271:P271),$K59:P59)</f>
        <v>5.0307055455746621</v>
      </c>
      <c r="R289" s="325">
        <f t="array" ref="R289">SUMPRODUCT(IF($K271:Q271&lt;R$7*R32*R$26,R$7*R32*R$26,$K271:Q271),$K59:Q59)</f>
        <v>5.0307055455746621</v>
      </c>
      <c r="S289" s="325">
        <f t="array" ref="S289">SUMPRODUCT(IF($K271:R271&lt;S$7*S32*S$26,S$7*S32*S$26,$K271:R271),$K59:R59)</f>
        <v>5.0307055455746621</v>
      </c>
      <c r="T289" s="325">
        <f t="array" ref="T289">SUMPRODUCT(IF($K271:S271&lt;T$7*T32*T$26,T$7*T32*T$26,$K271:S271),$K59:S59)</f>
        <v>5.0307055455746621</v>
      </c>
      <c r="U289" s="325">
        <f t="array" ref="U289">SUMPRODUCT(IF($K271:T271&lt;U$7*U32*U$26,U$7*U32*U$26,$K271:T271),$K59:T59)</f>
        <v>5.0307055455746621</v>
      </c>
      <c r="V289" s="325">
        <f t="array" ref="V289">SUMPRODUCT(IF($K271:U271&lt;V$7*V32*V$26,V$7*V32*V$26,$K271:U271),$K59:U59)</f>
        <v>5.0307055455746621</v>
      </c>
      <c r="W289" s="325">
        <f t="array" ref="W289">SUMPRODUCT(IF($K271:V271&lt;W$7*W32*W$26,W$7*W32*W$26,$K271:V271),$K59:V59)</f>
        <v>5.0307055455746621</v>
      </c>
      <c r="X289" s="325">
        <f t="array" ref="X289">SUMPRODUCT(IF($K271:W271&lt;X$7*X32*X$26,X$7*X32*X$26,$K271:W271),$K59:W59)</f>
        <v>5.0307055455746621</v>
      </c>
      <c r="Y289" s="325">
        <f t="array" ref="Y289">SUMPRODUCT(IF($K271:X271&lt;Y$7*Y32*Y$26,Y$7*Y32*Y$26,$K271:X271),$K59:X59)</f>
        <v>5.0307055455746621</v>
      </c>
      <c r="Z289" s="325">
        <f t="array" ref="Z289">SUMPRODUCT(IF($K271:Y271&lt;Z$7*Z32*Z$26,Z$7*Z32*Z$26,$K271:Y271),$K59:Y59)</f>
        <v>5.0307055455746621</v>
      </c>
      <c r="AA289" s="325">
        <f t="array" ref="AA289">SUMPRODUCT(IF($K271:Z271&lt;AA$7*AA32*AA$26,AA$7*AA32*AA$26,$K271:Z271),$K59:Z59)</f>
        <v>5.0307055455746621</v>
      </c>
      <c r="AB289" s="325">
        <f t="array" ref="AB289">SUMPRODUCT(IF($K271:AA271&lt;AB$7*AB32*AB$26,AB$7*AB32*AB$26,$K271:AA271),$K59:AA59)</f>
        <v>5.0307055455746621</v>
      </c>
      <c r="AC289" s="325">
        <f t="array" ref="AC289">SUMPRODUCT(IF($K271:AB271&lt;AC$7*AC32*AC$26,AC$7*AC32*AC$26,$K271:AB271),$K59:AB59)</f>
        <v>5.0307055455746621</v>
      </c>
      <c r="AD289" s="325">
        <f t="array" ref="AD289">SUMPRODUCT(IF($K271:AC271&lt;AD$7*AD32*AD$26,AD$7*AD32*AD$26,$K271:AC271),$K59:AC59)</f>
        <v>5.0307055455746621</v>
      </c>
      <c r="AE289" s="325">
        <f t="array" ref="AE289">SUMPRODUCT(IF($K271:AD271&lt;AE$7*AE32*AE$26,AE$7*AE32*AE$26,$K271:AD271),$K59:AD59)</f>
        <v>5.0307055455746621</v>
      </c>
      <c r="AF289" s="929" t="s">
        <v>188</v>
      </c>
      <c r="AG289" s="929"/>
      <c r="AH289" s="929"/>
      <c r="AI289" s="929"/>
      <c r="AJ289" s="1034"/>
    </row>
    <row r="290" spans="1:36" s="294" customFormat="1" ht="12.75" customHeight="1" outlineLevel="1">
      <c r="A290" s="553" t="s">
        <v>256</v>
      </c>
      <c r="B290" s="110"/>
      <c r="C290" s="110"/>
      <c r="D290" s="112"/>
      <c r="E290" s="16" t="s">
        <v>339</v>
      </c>
      <c r="F290" s="325"/>
      <c r="G290" s="325"/>
      <c r="H290" s="325"/>
      <c r="I290" s="309"/>
      <c r="J290" s="309"/>
      <c r="K290" s="325"/>
      <c r="L290" s="325">
        <f t="array" ref="L290">SUMPRODUCT(IF($K272:K272&lt;L$7*L33*L$26,L$7*L33*L$26,$K272:K272),$K60:K60)</f>
        <v>287.81008615414441</v>
      </c>
      <c r="M290" s="325">
        <f t="array" ref="M290">SUMPRODUCT(IF($K272:L272&lt;M$7*M33*M$26,M$7*M33*M$26,$K272:L272),$K60:L60)</f>
        <v>672.48644624144185</v>
      </c>
      <c r="N290" s="325">
        <f t="array" ref="N290">SUMPRODUCT(IF($K272:M272&lt;N$7*N33*N$26,N$7*N33*N$26,$K272:M272),$K60:M60)</f>
        <v>1075.9376030084545</v>
      </c>
      <c r="O290" s="325">
        <f t="array" ref="O290">SUMPRODUCT(IF($K272:N272&lt;O$7*O33*O$26,O$7*O33*O$26,$K272:N272),$K60:N60)</f>
        <v>1325.1573977660921</v>
      </c>
      <c r="P290" s="325">
        <f t="array" ref="P290">SUMPRODUCT(IF($K272:O272&lt;P$7*P33*P$26,P$7*P33*P$26,$K272:O272),$K60:O60)</f>
        <v>1407.0896802425277</v>
      </c>
      <c r="Q290" s="325">
        <f t="array" ref="Q290">SUMPRODUCT(IF($K272:P272&lt;Q$7*Q33*Q$26,Q$7*Q33*Q$26,$K272:P272),$K60:P60)</f>
        <v>1497.3612228667118</v>
      </c>
      <c r="R290" s="325">
        <f t="array" ref="R290">SUMPRODUCT(IF($K272:Q272&lt;R$7*R33*R$26,R$7*R33*R$26,$K272:Q272),$K60:Q60)</f>
        <v>1586.051973500242</v>
      </c>
      <c r="S290" s="325">
        <f t="array" ref="S290">SUMPRODUCT(IF($K272:R272&lt;S$7*S33*S$26,S$7*S33*S$26,$K272:R272),$K60:R60)</f>
        <v>1702.1985850240769</v>
      </c>
      <c r="T290" s="325">
        <f t="array" ref="T290">SUMPRODUCT(IF($K272:S272&lt;T$7*T33*T$26,T$7*T33*T$26,$K272:S272),$K60:S60)</f>
        <v>1844.7471961111141</v>
      </c>
      <c r="U290" s="325">
        <f t="array" ref="U290">SUMPRODUCT(IF($K272:T272&lt;U$7*U33*U$26,U$7*U33*U$26,$K272:T272),$K60:T60)</f>
        <v>1984.6611538803947</v>
      </c>
      <c r="V290" s="325">
        <f t="array" ref="V290">SUMPRODUCT(IF($K272:U272&lt;V$7*V33*V$26,V$7*V33*V$26,$K272:U272),$K60:U60)</f>
        <v>2121.9404583319188</v>
      </c>
      <c r="W290" s="325">
        <f t="array" ref="W290">SUMPRODUCT(IF($K272:V272&lt;W$7*W33*W$26,W$7*W33*W$26,$K272:V272),$K60:V60)</f>
        <v>2256.5851094656864</v>
      </c>
      <c r="X290" s="325">
        <f t="array" ref="X290">SUMPRODUCT(IF($K272:W272&lt;X$7*X33*X$26,X$7*X33*X$26,$K272:W272),$K60:W60)</f>
        <v>2388.5951072816974</v>
      </c>
      <c r="Y290" s="325">
        <f t="array" ref="Y290">SUMPRODUCT(IF($K272:X272&lt;Y$7*Y33*Y$26,Y$7*Y33*Y$26,$K272:X272),$K60:X60)</f>
        <v>2517.9704517799519</v>
      </c>
      <c r="Z290" s="325">
        <f t="array" ref="Z290">SUMPRODUCT(IF($K272:Y272&lt;Z$7*Z33*Z$26,Z$7*Z33*Z$26,$K272:Y272),$K60:Y60)</f>
        <v>2644.7111429604502</v>
      </c>
      <c r="AA290" s="325">
        <f t="array" ref="AA290">SUMPRODUCT(IF($K272:Z272&lt;AA$7*AA33*AA$26,AA$7*AA33*AA$26,$K272:Z272),$K60:Z60)</f>
        <v>2768.8171808231918</v>
      </c>
      <c r="AB290" s="325">
        <f t="array" ref="AB290">SUMPRODUCT(IF($K272:AA272&lt;AB$7*AB33*AB$26,AB$7*AB33*AB$26,$K272:AA272),$K60:AA60)</f>
        <v>2893.3729706678623</v>
      </c>
      <c r="AC290" s="325">
        <f t="array" ref="AC290">SUMPRODUCT(IF($K272:AB272&lt;AC$7*AC33*AC$26,AC$7*AC33*AC$26,$K272:AB272),$K60:AB60)</f>
        <v>3019.9145571137146</v>
      </c>
      <c r="AD290" s="325">
        <f t="array" ref="AD290">SUMPRODUCT(IF($K272:AC272&lt;AD$7*AD33*AD$26,AD$7*AD33*AD$26,$K272:AC272),$K60:AC60)</f>
        <v>3147.2493126865575</v>
      </c>
      <c r="AE290" s="325">
        <f t="array" ref="AE290">SUMPRODUCT(IF($K272:AD272&lt;AE$7*AE33*AE$26,AE$7*AE33*AE$26,$K272:AD272),$K60:AD60)</f>
        <v>3238.8947990965926</v>
      </c>
      <c r="AF290" s="929" t="s">
        <v>188</v>
      </c>
      <c r="AG290" s="929"/>
      <c r="AH290" s="929"/>
      <c r="AI290" s="929"/>
      <c r="AJ290" s="1034"/>
    </row>
    <row r="291" spans="1:36" s="294" customFormat="1" ht="12.75" customHeight="1" outlineLevel="1">
      <c r="A291" s="553" t="s">
        <v>257</v>
      </c>
      <c r="B291" s="110"/>
      <c r="C291" s="110"/>
      <c r="D291" s="112"/>
      <c r="E291" s="16" t="s">
        <v>340</v>
      </c>
      <c r="F291" s="325"/>
      <c r="G291" s="325"/>
      <c r="H291" s="325"/>
      <c r="I291" s="309"/>
      <c r="J291" s="309"/>
      <c r="K291" s="325"/>
      <c r="L291" s="325">
        <f t="array" ref="L291">SUMPRODUCT(IF($K273:K273&lt;L$7*L34*L$26,L$7*L34*L$26,$K273:K273),$K61:K61)</f>
        <v>405.40740852124731</v>
      </c>
      <c r="M291" s="325">
        <f t="array" ref="M291">SUMPRODUCT(IF($K273:L273&lt;M$7*M34*M$26,M$7*M34*M$26,$K273:L273),$K61:L61)</f>
        <v>553.17770165750926</v>
      </c>
      <c r="N291" s="325">
        <f t="array" ref="N291">SUMPRODUCT(IF($K273:M273&lt;N$7*N34*N$26,N$7*N34*N$26,$K273:M273),$K61:M61)</f>
        <v>795.4740004597104</v>
      </c>
      <c r="O291" s="325">
        <f t="array" ref="O291">SUMPRODUCT(IF($K273:N273&lt;O$7*O34*O$26,O$7*O34*O$26,$K273:N273),$K61:N61)</f>
        <v>930.84067092375244</v>
      </c>
      <c r="P291" s="325">
        <f t="array" ref="P291">SUMPRODUCT(IF($K273:O273&lt;P$7*P34*P$26,P$7*P34*P$26,$K273:O273),$K61:O61)</f>
        <v>1131.610816906737</v>
      </c>
      <c r="Q291" s="325">
        <f t="array" ref="Q291">SUMPRODUCT(IF($K273:P273&lt;Q$7*Q34*Q$26,Q$7*Q34*Q$26,$K273:P273),$K61:P61)</f>
        <v>1131.610816906737</v>
      </c>
      <c r="R291" s="325">
        <f t="array" ref="R291">SUMPRODUCT(IF($K273:Q273&lt;R$7*R34*R$26,R$7*R34*R$26,$K273:Q273),$K61:Q61)</f>
        <v>1131.610816906737</v>
      </c>
      <c r="S291" s="325">
        <f t="array" ref="S291">SUMPRODUCT(IF($K273:R273&lt;S$7*S34*S$26,S$7*S34*S$26,$K273:R273),$K61:R61)</f>
        <v>1154.512718656737</v>
      </c>
      <c r="T291" s="325">
        <f t="array" ref="T291">SUMPRODUCT(IF($K273:S273&lt;T$7*T34*T$26,T$7*T34*T$26,$K273:S273),$K61:S61)</f>
        <v>1217.3841309536119</v>
      </c>
      <c r="U291" s="325">
        <f t="array" ref="U291">SUMPRODUCT(IF($K273:T273&lt;U$7*U34*U$26,U$7*U34*U$26,$K273:T273),$K61:T61)</f>
        <v>1273.1057173614245</v>
      </c>
      <c r="V291" s="325">
        <f t="array" ref="V291">SUMPRODUCT(IF($K273:U273&lt;V$7*V34*V$26,V$7*V34*V$26,$K273:U273),$K61:U61)</f>
        <v>1326.431275553701</v>
      </c>
      <c r="W291" s="325">
        <f t="array" ref="W291">SUMPRODUCT(IF($K273:V273&lt;W$7*W34*W$26,W$7*W34*W$26,$K273:V273),$K61:V61)</f>
        <v>1379.5726181813134</v>
      </c>
      <c r="X291" s="325">
        <f t="array" ref="X291">SUMPRODUCT(IF($K273:W273&lt;X$7*X34*X$26,X$7*X34*X$26,$K273:W273),$K61:W61)</f>
        <v>1432.5122205267282</v>
      </c>
      <c r="Y291" s="325">
        <f t="array" ref="Y291">SUMPRODUCT(IF($K273:X273&lt;Y$7*Y34*Y$26,Y$7*Y34*Y$26,$K273:X273),$K61:X61)</f>
        <v>1485.2320735793885</v>
      </c>
      <c r="Z291" s="325">
        <f t="array" ref="Z291">SUMPRODUCT(IF($K273:Y273&lt;Z$7*Z34*Z$26,Z$7*Z34*Z$26,$K273:Y273),$K61:Y61)</f>
        <v>1537.7136734499838</v>
      </c>
      <c r="AA291" s="325">
        <f t="array" ref="AA291">SUMPRODUCT(IF($K273:Z273&lt;AA$7*AA34*AA$26,AA$7*AA34*AA$26,$K273:Z273),$K61:Z61)</f>
        <v>1589.9380105761156</v>
      </c>
      <c r="AB291" s="325">
        <f t="array" ref="AB291">SUMPRODUCT(IF($K273:AA273&lt;AB$7*AB34*AB$26,AB$7*AB34*AB$26,$K273:AA273),$K61:AA61)</f>
        <v>1641.8855587154787</v>
      </c>
      <c r="AC291" s="325">
        <f t="array" ref="AC291">SUMPRODUCT(IF($K273:AB273&lt;AC$7*AC34*AC$26,AC$7*AC34*AC$26,$K273:AB273),$K61:AB61)</f>
        <v>1693.5362637226169</v>
      </c>
      <c r="AD291" s="325">
        <f t="array" ref="AD291">SUMPRODUCT(IF($K273:AC273&lt;AD$7*AD34*AD$26,AD$7*AD34*AD$26,$K273:AC273),$K61:AC61)</f>
        <v>1744.8695321052321</v>
      </c>
      <c r="AE291" s="325">
        <f t="array" ref="AE291">SUMPRODUCT(IF($K273:AD273&lt;AE$7*AE34*AE$26,AE$7*AE34*AE$26,$K273:AD273),$K61:AD61)</f>
        <v>1795.8642193559619</v>
      </c>
      <c r="AF291" s="929" t="s">
        <v>188</v>
      </c>
      <c r="AG291" s="929"/>
      <c r="AH291" s="929"/>
      <c r="AI291" s="929"/>
      <c r="AJ291" s="1034"/>
    </row>
    <row r="292" spans="1:36" s="294" customFormat="1" ht="12.75" customHeight="1" outlineLevel="1">
      <c r="A292" s="553" t="s">
        <v>258</v>
      </c>
      <c r="B292" s="110"/>
      <c r="C292" s="110"/>
      <c r="D292" s="112"/>
      <c r="E292" s="296" t="s">
        <v>530</v>
      </c>
      <c r="F292" s="302"/>
      <c r="G292" s="302"/>
      <c r="H292" s="302"/>
      <c r="I292" s="311"/>
      <c r="J292" s="311"/>
      <c r="K292" s="302"/>
      <c r="L292" s="302">
        <f t="array" ref="L292">SUMPRODUCT(IF($K274:K274&lt;L$7*L35*L$26,L$7*L35*L$26,$K274:K274),$K62:K62)</f>
        <v>150.21651118772505</v>
      </c>
      <c r="M292" s="302">
        <f t="array" ref="M292">SUMPRODUCT(IF($K274:L274&lt;M$7*M35*M$26,M$7*M35*M$26,$K274:L274),$K62:L62)</f>
        <v>308.92554457369897</v>
      </c>
      <c r="N292" s="302">
        <f t="array" ref="N292">SUMPRODUCT(IF($K274:M274&lt;N$7*N35*N$26,N$7*N35*N$26,$K274:M274),$K62:M62)</f>
        <v>526.43906306668782</v>
      </c>
      <c r="O292" s="302">
        <f t="array" ref="O292">SUMPRODUCT(IF($K274:N274&lt;O$7*O35*O$26,O$7*O35*O$26,$K274:N274),$K62:N62)</f>
        <v>780.89546673208031</v>
      </c>
      <c r="P292" s="302">
        <f t="array" ref="P292">SUMPRODUCT(IF($K274:O274&lt;P$7*P35*P$26,P$7*P35*P$26,$K274:O274),$K62:O62)</f>
        <v>1063.9901671390198</v>
      </c>
      <c r="Q292" s="302">
        <f t="array" ref="Q292">SUMPRODUCT(IF($K274:P274&lt;Q$7*Q35*Q$26,Q$7*Q35*Q$26,$K274:P274),$K62:P62)</f>
        <v>1419.6621006390199</v>
      </c>
      <c r="R292" s="302">
        <f t="array" ref="R292">SUMPRODUCT(IF($K274:Q274&lt;R$7*R35*R$26,R$7*R35*R$26,$K274:Q274),$K62:Q62)</f>
        <v>1885.7932888890198</v>
      </c>
      <c r="S292" s="302">
        <f t="array" ref="S292">SUMPRODUCT(IF($K274:R274&lt;S$7*S35*S$26,S$7*S35*S$26,$K274:R274),$K62:R62)</f>
        <v>2284.4228622592382</v>
      </c>
      <c r="T292" s="302">
        <f t="array" ref="T292">SUMPRODUCT(IF($K274:S274&lt;T$7*T35*T$26,T$7*T35*T$26,$K274:S274),$K62:S62)</f>
        <v>2529.0146606526864</v>
      </c>
      <c r="U292" s="302">
        <f t="array" ref="U292">SUMPRODUCT(IF($K274:T274&lt;U$7*U35*U$26,U$7*U35*U$26,$K274:T274),$K62:T62)</f>
        <v>2755.9674143813922</v>
      </c>
      <c r="V292" s="302">
        <f t="array" ref="V292">SUMPRODUCT(IF($K274:U274&lt;V$7*V35*V$26,V$7*V35*V$26,$K274:U274),$K62:U62)</f>
        <v>2983.07568022037</v>
      </c>
      <c r="W292" s="302">
        <f t="array" ref="W292">SUMPRODUCT(IF($K274:V274&lt;W$7*W35*W$26,W$7*W35*W$26,$K274:V274),$K62:V62)</f>
        <v>3158.5699070729638</v>
      </c>
      <c r="X292" s="302">
        <f t="array" ref="X292">SUMPRODUCT(IF($K274:W274&lt;X$7*X35*X$26,X$7*X35*X$26,$K274:W274),$K62:W62)</f>
        <v>3328.2192975441435</v>
      </c>
      <c r="Y292" s="302">
        <f t="array" ref="Y292">SUMPRODUCT(IF($K274:X274&lt;Y$7*Y35*Y$26,Y$7*Y35*Y$26,$K274:X274),$K62:X62)</f>
        <v>3492.2934121536609</v>
      </c>
      <c r="Z292" s="302">
        <f t="array" ref="Z292">SUMPRODUCT(IF($K274:Y274&lt;Z$7*Z35*Z$26,Z$7*Z35*Z$26,$K274:Y274),$K62:Y62)</f>
        <v>3650.8294345732138</v>
      </c>
      <c r="AA292" s="302">
        <f t="array" ref="AA292">SUMPRODUCT(IF($K274:Z274&lt;AA$7*AA35*AA$26,AA$7*AA35*AA$26,$K274:Z274),$K62:Z62)</f>
        <v>3804.1385700144056</v>
      </c>
      <c r="AB292" s="302">
        <f t="array" ref="AB292">SUMPRODUCT(IF($K274:AA274&lt;AB$7*AB35*AB$26,AB$7*AB35*AB$26,$K274:AA274),$K62:AA62)</f>
        <v>3952.4921586569426</v>
      </c>
      <c r="AC292" s="302">
        <f t="array" ref="AC292">SUMPRODUCT(IF($K274:AB274&lt;AC$7*AC35*AC$26,AC$7*AC35*AC$26,$K274:AB274),$K62:AB62)</f>
        <v>4095.7160066776769</v>
      </c>
      <c r="AD292" s="302">
        <f t="array" ref="AD292">SUMPRODUCT(IF($K274:AC274&lt;AD$7*AD35*AD$26,AD$7*AD35*AD$26,$K274:AC274),$K62:AC62)</f>
        <v>4233.7750420028651</v>
      </c>
      <c r="AE292" s="302">
        <f t="array" ref="AE292">SUMPRODUCT(IF($K274:AD274&lt;AE$7*AE35*AE$26,AE$7*AE35*AE$26,$K274:AD274),$K62:AD62)</f>
        <v>4367.0669222421393</v>
      </c>
      <c r="AF292" s="929" t="s">
        <v>188</v>
      </c>
      <c r="AG292" s="929"/>
      <c r="AH292" s="929"/>
      <c r="AI292" s="929"/>
      <c r="AJ292" s="1034"/>
    </row>
    <row r="293" spans="1:36" s="294" customFormat="1" ht="12.75" customHeight="1" outlineLevel="1">
      <c r="A293" s="553" t="s">
        <v>259</v>
      </c>
      <c r="B293" s="110"/>
      <c r="C293" s="110"/>
      <c r="D293" s="112"/>
      <c r="F293" s="324"/>
      <c r="G293" s="324"/>
      <c r="H293" s="324"/>
      <c r="I293" s="324"/>
      <c r="J293" s="324"/>
      <c r="K293" s="324"/>
      <c r="L293" s="324"/>
      <c r="M293" s="324"/>
      <c r="N293" s="342"/>
      <c r="O293" s="289"/>
      <c r="P293" s="324"/>
      <c r="Q293" s="324"/>
      <c r="R293" s="324"/>
      <c r="S293" s="324"/>
      <c r="T293" s="324"/>
      <c r="U293" s="324"/>
      <c r="V293" s="324"/>
      <c r="W293" s="324"/>
      <c r="X293" s="324"/>
      <c r="Y293" s="324"/>
      <c r="Z293" s="324"/>
      <c r="AA293" s="324"/>
      <c r="AB293" s="324"/>
      <c r="AC293" s="324"/>
      <c r="AD293" s="324"/>
      <c r="AE293" s="324"/>
      <c r="AF293" s="929"/>
      <c r="AG293" s="929"/>
      <c r="AH293" s="929"/>
      <c r="AI293" s="929"/>
      <c r="AJ293" s="1034"/>
    </row>
    <row r="294" spans="1:36" s="294" customFormat="1" ht="26.4" outlineLevel="1">
      <c r="A294" s="553" t="s">
        <v>260</v>
      </c>
      <c r="B294" s="110"/>
      <c r="C294" s="110"/>
      <c r="D294" s="112"/>
      <c r="E294" s="1100" t="s">
        <v>546</v>
      </c>
      <c r="F294" s="324"/>
      <c r="G294" s="324"/>
      <c r="H294" s="324"/>
      <c r="I294" s="324"/>
      <c r="J294" s="324"/>
      <c r="K294" s="324"/>
      <c r="L294" s="324"/>
      <c r="M294" s="324"/>
      <c r="N294" s="342"/>
      <c r="O294" s="289"/>
      <c r="P294" s="324"/>
      <c r="Q294" s="324"/>
      <c r="R294" s="324"/>
      <c r="S294" s="324"/>
      <c r="T294" s="324"/>
      <c r="U294" s="324"/>
      <c r="V294" s="324"/>
      <c r="W294" s="324"/>
      <c r="X294" s="324"/>
      <c r="Y294" s="324"/>
      <c r="Z294" s="324"/>
      <c r="AA294" s="324"/>
      <c r="AB294" s="324"/>
      <c r="AC294" s="324"/>
      <c r="AD294" s="324"/>
      <c r="AE294" s="324"/>
      <c r="AF294" s="929" t="s">
        <v>174</v>
      </c>
      <c r="AG294" s="929"/>
      <c r="AH294" s="929"/>
      <c r="AI294" s="929"/>
      <c r="AJ294" s="1034"/>
    </row>
    <row r="295" spans="1:36" s="294" customFormat="1" ht="12.75" customHeight="1" outlineLevel="1">
      <c r="A295" s="553" t="s">
        <v>261</v>
      </c>
      <c r="B295" s="110"/>
      <c r="C295" s="110"/>
      <c r="D295" s="112"/>
      <c r="E295" s="314" t="s">
        <v>529</v>
      </c>
      <c r="F295" s="316"/>
      <c r="G295" s="316"/>
      <c r="H295" s="316"/>
      <c r="I295" s="307"/>
      <c r="J295" s="307"/>
      <c r="K295" s="1097">
        <f>K277</f>
        <v>107.37290435780569</v>
      </c>
      <c r="L295" s="316">
        <f>(L286+IF(L268&lt;L$7*L29*L$26,L$7*L29*L$26,L268)*L56/2) / (SUM($K56:K56)+L56/2)</f>
        <v>107.52865290996338</v>
      </c>
      <c r="M295" s="316">
        <f>(M286+IF(M268&lt;M$7*M29*M$26,M$7*M29*M$26,M268)*M56/2) / (SUM($K56:L56)+M56/2)</f>
        <v>107.72668244704954</v>
      </c>
      <c r="N295" s="316">
        <f>(N286+IF(N268&lt;N$7*N29*N$26,N$7*N29*N$26,N268)*N56/2) / (SUM($K56:M56)+N56/2)</f>
        <v>107.90607638068273</v>
      </c>
      <c r="O295" s="316">
        <f>(O286+IF(O268&lt;O$7*O29*O$26,O$7*O29*O$26,O268)*O56/2) / (SUM($K56:N56)+O56/2)</f>
        <v>108.14471061130693</v>
      </c>
      <c r="P295" s="316">
        <f>(P286+IF(P268&lt;P$7*P29*P$26,P$7*P29*P$26,P268)*P56/2) / (SUM($K56:O56)+P56/2)</f>
        <v>108.32751009081106</v>
      </c>
      <c r="Q295" s="316">
        <f>(Q286+IF(Q268&lt;Q$7*Q29*Q$26,Q$7*Q29*Q$26,Q268)*Q56/2) / (SUM($K56:P56)+Q56/2)</f>
        <v>108.39630805140787</v>
      </c>
      <c r="R295" s="316">
        <f>(R286+IF(R268&lt;R$7*R29*R$26,R$7*R29*R$26,R268)*R56/2) / (SUM($K56:Q56)+R56/2)</f>
        <v>108.39630805140787</v>
      </c>
      <c r="S295" s="316">
        <f>(S286+IF(S268&lt;S$7*S29*S$26,S$7*S29*S$26,S268)*S56/2) / (SUM($K56:R56)+S56/2)</f>
        <v>108.39630805140787</v>
      </c>
      <c r="T295" s="316">
        <f>(T286+IF(T268&lt;T$7*T29*T$26,T$7*T29*T$26,T268)*T56/2) / (SUM($K56:S56)+T56/2)</f>
        <v>108.39630805140787</v>
      </c>
      <c r="U295" s="316">
        <f>(U286+IF(U268&lt;U$7*U29*U$26,U$7*U29*U$26,U268)*U56/2) / (SUM($K56:T56)+U56/2)</f>
        <v>108.39630805140787</v>
      </c>
      <c r="V295" s="316">
        <f>(V286+IF(V268&lt;V$7*V29*V$26,V$7*V29*V$26,V268)*V56/2) / (SUM($K56:U56)+V56/2)</f>
        <v>108.39630805140787</v>
      </c>
      <c r="W295" s="316">
        <f>(W286+IF(W268&lt;W$7*W29*W$26,W$7*W29*W$26,W268)*W56/2) / (SUM($K56:V56)+W56/2)</f>
        <v>108.39630805140787</v>
      </c>
      <c r="X295" s="316">
        <f>(X286+IF(X268&lt;X$7*X29*X$26,X$7*X29*X$26,X268)*X56/2) / (SUM($K56:W56)+X56/2)</f>
        <v>108.39630805140787</v>
      </c>
      <c r="Y295" s="316">
        <f>(Y286+IF(Y268&lt;Y$7*Y29*Y$26,Y$7*Y29*Y$26,Y268)*Y56/2) / (SUM($K56:X56)+Y56/2)</f>
        <v>108.39630805140787</v>
      </c>
      <c r="Z295" s="316">
        <f>(Z286+IF(Z268&lt;Z$7*Z29*Z$26,Z$7*Z29*Z$26,Z268)*Z56/2) / (SUM($K56:Y56)+Z56/2)</f>
        <v>108.39630805140787</v>
      </c>
      <c r="AA295" s="316">
        <f>(AA286+IF(AA268&lt;AA$7*AA29*AA$26,AA$7*AA29*AA$26,AA268)*AA56/2) / (SUM($K56:Z56)+AA56/2)</f>
        <v>108.39630805140787</v>
      </c>
      <c r="AB295" s="316">
        <f>(AB286+IF(AB268&lt;AB$7*AB29*AB$26,AB$7*AB29*AB$26,AB268)*AB56/2) / (SUM($K56:AA56)+AB56/2)</f>
        <v>108.39630805140787</v>
      </c>
      <c r="AC295" s="316">
        <f>(AC286+IF(AC268&lt;AC$7*AC29*AC$26,AC$7*AC29*AC$26,AC268)*AC56/2) / (SUM($K56:AB56)+AC56/2)</f>
        <v>108.39630805140787</v>
      </c>
      <c r="AD295" s="316">
        <f>(AD286+IF(AD268&lt;AD$7*AD29*AD$26,AD$7*AD29*AD$26,AD268)*AD56/2) / (SUM($K56:AC56)+AD56/2)</f>
        <v>108.39630805140787</v>
      </c>
      <c r="AE295" s="316">
        <f>(AE286+IF(AE268&lt;AE$7*AE29*AE$26,AE$7*AE29*AE$26,AE268)*AE56/2) / (SUM($K56:AD56)+AE56/2)</f>
        <v>108.39630805140787</v>
      </c>
      <c r="AF295" s="929" t="s">
        <v>188</v>
      </c>
      <c r="AG295" s="929"/>
      <c r="AH295" s="929"/>
      <c r="AI295" s="929"/>
      <c r="AJ295" s="1034"/>
    </row>
    <row r="296" spans="1:36" s="294" customFormat="1" ht="63.75" customHeight="1" outlineLevel="1">
      <c r="A296" s="553" t="s">
        <v>262</v>
      </c>
      <c r="B296" s="110"/>
      <c r="C296" s="110"/>
      <c r="D296" s="112"/>
      <c r="E296" s="16" t="s">
        <v>349</v>
      </c>
      <c r="F296" s="325"/>
      <c r="G296" s="325"/>
      <c r="H296" s="325"/>
      <c r="I296" s="309"/>
      <c r="J296" s="309"/>
      <c r="K296" s="1098">
        <f t="shared" ref="K296:K301" si="43">K278</f>
        <v>75.164173999897073</v>
      </c>
      <c r="L296" s="325">
        <f>(L287+IF(L269&lt;L$7*L30*L$26,L$7*L30*L$26,L269)*L57/2) / (SUM($K57:K57)+L57/2)</f>
        <v>75.260433482659934</v>
      </c>
      <c r="M296" s="325">
        <f>(M287+IF(M269&lt;M$7*M30*M$26,M$7*M30*M$26,M269)*M57/2) / (SUM($K57:L57)+M57/2)</f>
        <v>75.155913507034597</v>
      </c>
      <c r="N296" s="325">
        <f>(N287+IF(N269&lt;N$7*N30*N$26,N$7*N30*N$26,N269)*N57/2) / (SUM($K57:M57)+N57/2)</f>
        <v>74.304816865428023</v>
      </c>
      <c r="O296" s="325">
        <f>(O287+IF(O269&lt;O$7*O30*O$26,O$7*O30*O$26,O269)*O57/2) / (SUM($K57:N57)+O57/2)</f>
        <v>73.508538564618661</v>
      </c>
      <c r="P296" s="325">
        <f>(P287+IF(P269&lt;P$7*P30*P$26,P$7*P30*P$26,P269)*P57/2) / (SUM($K57:O57)+P57/2)</f>
        <v>73.11114094427009</v>
      </c>
      <c r="Q296" s="325">
        <f>(Q287+IF(Q269&lt;Q$7*Q30*Q$26,Q$7*Q30*Q$26,Q269)*Q57/2) / (SUM($K57:P57)+Q57/2)</f>
        <v>72.914578967432305</v>
      </c>
      <c r="R296" s="325">
        <f>(R287+IF(R269&lt;R$7*R30*R$26,R$7*R30*R$26,R269)*R57/2) / (SUM($K57:Q57)+R57/2)</f>
        <v>72.914578967432305</v>
      </c>
      <c r="S296" s="325">
        <f>(S287+IF(S269&lt;S$7*S30*S$26,S$7*S30*S$26,S269)*S57/2) / (SUM($K57:R57)+S57/2)</f>
        <v>72.914578967432305</v>
      </c>
      <c r="T296" s="325">
        <f>(T287+IF(T269&lt;T$7*T30*T$26,T$7*T30*T$26,T269)*T57/2) / (SUM($K57:S57)+T57/2)</f>
        <v>72.914578967432305</v>
      </c>
      <c r="U296" s="325">
        <f>(U287+IF(U269&lt;U$7*U30*U$26,U$7*U30*U$26,U269)*U57/2) / (SUM($K57:T57)+U57/2)</f>
        <v>72.914578967432305</v>
      </c>
      <c r="V296" s="325">
        <f>(V287+IF(V269&lt;V$7*V30*V$26,V$7*V30*V$26,V269)*V57/2) / (SUM($K57:U57)+V57/2)</f>
        <v>72.914578967432305</v>
      </c>
      <c r="W296" s="325">
        <f>(W287+IF(W269&lt;W$7*W30*W$26,W$7*W30*W$26,W269)*W57/2) / (SUM($K57:V57)+W57/2)</f>
        <v>72.914578967432305</v>
      </c>
      <c r="X296" s="325">
        <f>(X287+IF(X269&lt;X$7*X30*X$26,X$7*X30*X$26,X269)*X57/2) / (SUM($K57:W57)+X57/2)</f>
        <v>72.914578967432305</v>
      </c>
      <c r="Y296" s="325">
        <f>(Y287+IF(Y269&lt;Y$7*Y30*Y$26,Y$7*Y30*Y$26,Y269)*Y57/2) / (SUM($K57:X57)+Y57/2)</f>
        <v>72.914578967432305</v>
      </c>
      <c r="Z296" s="325">
        <f>(Z287+IF(Z269&lt;Z$7*Z30*Z$26,Z$7*Z30*Z$26,Z269)*Z57/2) / (SUM($K57:Y57)+Z57/2)</f>
        <v>72.987510411553515</v>
      </c>
      <c r="AA296" s="325">
        <f>(AA287+IF(AA269&lt;AA$7*AA30*AA$26,AA$7*AA30*AA$26,AA269)*AA57/2) / (SUM($K57:Z57)+AA57/2)</f>
        <v>73.375258572727574</v>
      </c>
      <c r="AB296" s="325">
        <f>(AB287+IF(AB269&lt;AB$7*AB30*AB$26,AB$7*AB30*AB$26,AB269)*AB57/2) / (SUM($K57:AA57)+AB57/2)</f>
        <v>73.835943039948617</v>
      </c>
      <c r="AC296" s="325">
        <f>(AC287+IF(AC269&lt;AC$7*AC30*AC$26,AC$7*AC30*AC$26,AC269)*AC57/2) / (SUM($K57:AB57)+AC57/2)</f>
        <v>74.307670251101513</v>
      </c>
      <c r="AD296" s="325">
        <f>(AD287+IF(AD269&lt;AD$7*AD30*AD$26,AD$7*AD30*AD$26,AD269)*AD57/2) / (SUM($K57:AC57)+AD57/2)</f>
        <v>74.790667834499089</v>
      </c>
      <c r="AE296" s="325">
        <f>(AE287+IF(AE269&lt;AE$7*AE30*AE$26,AE$7*AE30*AE$26,AE269)*AE57/2) / (SUM($K57:AD57)+AE57/2)</f>
        <v>75.285167762686143</v>
      </c>
      <c r="AF296" s="929" t="s">
        <v>188</v>
      </c>
      <c r="AG296" s="929"/>
      <c r="AH296" s="929"/>
      <c r="AI296" s="929"/>
      <c r="AJ296" s="1034"/>
    </row>
    <row r="297" spans="1:36" s="294" customFormat="1" ht="12.75" customHeight="1" outlineLevel="1">
      <c r="A297" s="553" t="s">
        <v>263</v>
      </c>
      <c r="B297" s="110"/>
      <c r="C297" s="110"/>
      <c r="D297" s="112"/>
      <c r="E297" s="16" t="s">
        <v>11</v>
      </c>
      <c r="F297" s="325"/>
      <c r="G297" s="325"/>
      <c r="H297" s="325"/>
      <c r="I297" s="309"/>
      <c r="J297" s="309"/>
      <c r="K297" s="1098">
        <f t="shared" si="43"/>
        <v>162.22454258279518</v>
      </c>
      <c r="L297" s="325">
        <f>(L288+IF(L270&lt;L$7*L31*L$26,L$7*L31*L$26,L270)*L58/2) / (SUM($K58:K58)+L58/2)</f>
        <v>167.12809160735424</v>
      </c>
      <c r="M297" s="325">
        <f>(M288+IF(M270&lt;M$7*M31*M$26,M$7*M31*M$26,M270)*M58/2) / (SUM($K58:L58)+M58/2)</f>
        <v>159.2922223347301</v>
      </c>
      <c r="N297" s="325">
        <f>(N288+IF(N270&lt;N$7*N31*N$26,N$7*N31*N$26,N270)*N58/2) / (SUM($K58:M58)+N58/2)</f>
        <v>152.69930286590292</v>
      </c>
      <c r="O297" s="325">
        <f>(O288+IF(O270&lt;O$7*O31*O$26,O$7*O31*O$26,O270)*O58/2) / (SUM($K58:N58)+O58/2)</f>
        <v>150.22355115977433</v>
      </c>
      <c r="P297" s="325">
        <f>(P288+IF(P270&lt;P$7*P31*P$26,P$7*P31*P$26,P270)*P58/2) / (SUM($K58:O58)+P58/2)</f>
        <v>148.64782363663625</v>
      </c>
      <c r="Q297" s="325">
        <f>(Q288+IF(Q270&lt;Q$7*Q31*Q$26,Q$7*Q31*Q$26,Q270)*Q58/2) / (SUM($K58:P58)+Q58/2)</f>
        <v>147.69400539125013</v>
      </c>
      <c r="R297" s="325">
        <f>(R288+IF(R270&lt;R$7*R31*R$26,R$7*R31*R$26,R270)*R58/2) / (SUM($K58:Q58)+R58/2)</f>
        <v>147.45637768111197</v>
      </c>
      <c r="S297" s="325">
        <f>(S288+IF(S270&lt;S$7*S31*S$26,S$7*S31*S$26,S270)*S58/2) / (SUM($K58:R58)+S58/2)</f>
        <v>147.24431295063104</v>
      </c>
      <c r="T297" s="325">
        <f>(T288+IF(T270&lt;T$7*T31*T$26,T$7*T31*T$26,T270)*T58/2) / (SUM($K58:S58)+T58/2)</f>
        <v>146.94030709527604</v>
      </c>
      <c r="U297" s="325">
        <f>(U288+IF(U270&lt;U$7*U31*U$26,U$7*U31*U$26,U270)*U58/2) / (SUM($K58:T58)+U58/2)</f>
        <v>146.65272996636037</v>
      </c>
      <c r="V297" s="325">
        <f>(V288+IF(V270&lt;V$7*V31*V$26,V$7*V31*V$26,V270)*V58/2) / (SUM($K58:U58)+V58/2)</f>
        <v>145.96913552891627</v>
      </c>
      <c r="W297" s="325">
        <f>(W288+IF(W270&lt;W$7*W31*W$26,W$7*W31*W$26,W270)*W58/2) / (SUM($K58:V58)+W58/2)</f>
        <v>144.95272993236924</v>
      </c>
      <c r="X297" s="325">
        <f>(X288+IF(X270&lt;X$7*X31*X$26,X$7*X31*X$26,X270)*X58/2) / (SUM($K58:W58)+X58/2)</f>
        <v>144.00371244365638</v>
      </c>
      <c r="Y297" s="325">
        <f>(Y288+IF(Y270&lt;Y$7*Y31*Y$26,Y$7*Y31*Y$26,Y270)*Y58/2) / (SUM($K58:X58)+Y58/2)</f>
        <v>143.10369938032721</v>
      </c>
      <c r="Z297" s="325">
        <f>(Z288+IF(Z270&lt;Z$7*Z31*Z$26,Z$7*Z31*Z$26,Z270)*Z58/2) / (SUM($K58:Y58)+Z58/2)</f>
        <v>142.24074859680155</v>
      </c>
      <c r="AA297" s="325">
        <f>(AA288+IF(AA270&lt;AA$7*AA31*AA$26,AA$7*AA31*AA$26,AA270)*AA58/2) / (SUM($K58:Z58)+AA58/2)</f>
        <v>141.40676189653428</v>
      </c>
      <c r="AB297" s="325">
        <f>(AB288+IF(AB270&lt;AB$7*AB31*AB$26,AB$7*AB31*AB$26,AB270)*AB58/2) / (SUM($K58:AA58)+AB58/2)</f>
        <v>140.59605065945098</v>
      </c>
      <c r="AC297" s="325">
        <f>(AC288+IF(AC270&lt;AC$7*AC31*AC$26,AC$7*AC31*AC$26,AC270)*AC58/2) / (SUM($K58:AB58)+AC58/2)</f>
        <v>139.8044991798379</v>
      </c>
      <c r="AD297" s="325">
        <f>(AD288+IF(AD270&lt;AD$7*AD31*AD$26,AD$7*AD31*AD$26,AD270)*AD58/2) / (SUM($K58:AC58)+AD58/2)</f>
        <v>139.02905400433033</v>
      </c>
      <c r="AE297" s="325">
        <f>(AE288+IF(AE270&lt;AE$7*AE31*AE$26,AE$7*AE31*AE$26,AE270)*AE58/2) / (SUM($K58:AD58)+AE58/2)</f>
        <v>138.36335339221992</v>
      </c>
      <c r="AF297" s="929" t="s">
        <v>188</v>
      </c>
      <c r="AG297" s="929"/>
      <c r="AH297" s="929"/>
      <c r="AI297" s="929"/>
      <c r="AJ297" s="1034"/>
    </row>
    <row r="298" spans="1:36" s="294" customFormat="1" ht="12.75" customHeight="1" outlineLevel="1">
      <c r="A298" s="553" t="s">
        <v>264</v>
      </c>
      <c r="B298" s="110"/>
      <c r="C298" s="110"/>
      <c r="D298" s="112"/>
      <c r="E298" s="16" t="s">
        <v>10</v>
      </c>
      <c r="F298" s="325"/>
      <c r="G298" s="325"/>
      <c r="H298" s="325"/>
      <c r="I298" s="309"/>
      <c r="J298" s="309"/>
      <c r="K298" s="1098">
        <f t="shared" si="43"/>
        <v>230.46463251450371</v>
      </c>
      <c r="L298" s="325">
        <f>(L289+IF(L271&lt;L$7*L32*L$26,L$7*L32*L$26,L271)*L59/2) / (SUM($K59:K59)+L59/2)</f>
        <v>234.96708536216983</v>
      </c>
      <c r="M298" s="325">
        <f>(M289+IF(M271&lt;M$7*M32*M$26,M$7*M32*M$26,M271)*M59/2) / (SUM($K59:L59)+M59/2)</f>
        <v>235.97121820559792</v>
      </c>
      <c r="N298" s="325">
        <f>(N289+IF(N271&lt;N$7*N32*N$26,N$7*N32*N$26,N271)*N59/2) / (SUM($K59:M59)+N59/2)</f>
        <v>237.82093660138648</v>
      </c>
      <c r="O298" s="325">
        <f>(O289+IF(O271&lt;O$7*O32*O$26,O$7*O32*O$26,O271)*O59/2) / (SUM($K59:N59)+O59/2)</f>
        <v>238.84016918682102</v>
      </c>
      <c r="P298" s="325">
        <f>(P289+IF(P271&lt;P$7*P32*P$26,P$7*P32*P$26,P271)*P59/2) / (SUM($K59:O59)+P59/2)</f>
        <v>239.36355889285497</v>
      </c>
      <c r="Q298" s="325">
        <f>(Q289+IF(Q271&lt;Q$7*Q32*Q$26,Q$7*Q32*Q$26,Q271)*Q59/2) / (SUM($K59:P59)+Q59/2)</f>
        <v>239.55740693212675</v>
      </c>
      <c r="R298" s="325">
        <f>(R289+IF(R271&lt;R$7*R32*R$26,R$7*R32*R$26,R271)*R59/2) / (SUM($K59:Q59)+R59/2)</f>
        <v>239.55740693212675</v>
      </c>
      <c r="S298" s="325">
        <f>(S289+IF(S271&lt;S$7*S32*S$26,S$7*S32*S$26,S271)*S59/2) / (SUM($K59:R59)+S59/2)</f>
        <v>239.55740693212675</v>
      </c>
      <c r="T298" s="325">
        <f>(T289+IF(T271&lt;T$7*T32*T$26,T$7*T32*T$26,T271)*T59/2) / (SUM($K59:S59)+T59/2)</f>
        <v>239.55740693212675</v>
      </c>
      <c r="U298" s="325">
        <f>(U289+IF(U271&lt;U$7*U32*U$26,U$7*U32*U$26,U271)*U59/2) / (SUM($K59:T59)+U59/2)</f>
        <v>239.55740693212675</v>
      </c>
      <c r="V298" s="325">
        <f>(V289+IF(V271&lt;V$7*V32*V$26,V$7*V32*V$26,V271)*V59/2) / (SUM($K59:U59)+V59/2)</f>
        <v>239.55740693212675</v>
      </c>
      <c r="W298" s="325">
        <f>(W289+IF(W271&lt;W$7*W32*W$26,W$7*W32*W$26,W271)*W59/2) / (SUM($K59:V59)+W59/2)</f>
        <v>239.55740693212675</v>
      </c>
      <c r="X298" s="325">
        <f>(X289+IF(X271&lt;X$7*X32*X$26,X$7*X32*X$26,X271)*X59/2) / (SUM($K59:W59)+X59/2)</f>
        <v>239.55740693212675</v>
      </c>
      <c r="Y298" s="325">
        <f>(Y289+IF(Y271&lt;Y$7*Y32*Y$26,Y$7*Y32*Y$26,Y271)*Y59/2) / (SUM($K59:X59)+Y59/2)</f>
        <v>239.55740693212675</v>
      </c>
      <c r="Z298" s="325">
        <f>(Z289+IF(Z271&lt;Z$7*Z32*Z$26,Z$7*Z32*Z$26,Z271)*Z59/2) / (SUM($K59:Y59)+Z59/2)</f>
        <v>239.55740693212675</v>
      </c>
      <c r="AA298" s="325">
        <f>(AA289+IF(AA271&lt;AA$7*AA32*AA$26,AA$7*AA32*AA$26,AA271)*AA59/2) / (SUM($K59:Z59)+AA59/2)</f>
        <v>239.55740693212675</v>
      </c>
      <c r="AB298" s="325">
        <f>(AB289+IF(AB271&lt;AB$7*AB32*AB$26,AB$7*AB32*AB$26,AB271)*AB59/2) / (SUM($K59:AA59)+AB59/2)</f>
        <v>239.55740693212675</v>
      </c>
      <c r="AC298" s="325">
        <f>(AC289+IF(AC271&lt;AC$7*AC32*AC$26,AC$7*AC32*AC$26,AC271)*AC59/2) / (SUM($K59:AB59)+AC59/2)</f>
        <v>239.55740693212675</v>
      </c>
      <c r="AD298" s="325">
        <f>(AD289+IF(AD271&lt;AD$7*AD32*AD$26,AD$7*AD32*AD$26,AD271)*AD59/2) / (SUM($K59:AC59)+AD59/2)</f>
        <v>239.55740693212675</v>
      </c>
      <c r="AE298" s="325">
        <f>(AE289+IF(AE271&lt;AE$7*AE32*AE$26,AE$7*AE32*AE$26,AE271)*AE59/2) / (SUM($K59:AD59)+AE59/2)</f>
        <v>239.55740693212675</v>
      </c>
      <c r="AF298" s="929" t="s">
        <v>188</v>
      </c>
      <c r="AG298" s="929"/>
      <c r="AH298" s="929"/>
      <c r="AI298" s="929"/>
      <c r="AJ298" s="1034"/>
    </row>
    <row r="299" spans="1:36" s="294" customFormat="1" ht="12.75" customHeight="1" outlineLevel="1">
      <c r="A299" s="553" t="s">
        <v>265</v>
      </c>
      <c r="B299" s="110"/>
      <c r="C299" s="110"/>
      <c r="D299" s="112"/>
      <c r="E299" s="16" t="s">
        <v>339</v>
      </c>
      <c r="F299" s="325"/>
      <c r="G299" s="325"/>
      <c r="H299" s="325"/>
      <c r="I299" s="309"/>
      <c r="J299" s="309"/>
      <c r="K299" s="1098">
        <f t="shared" si="43"/>
        <v>81.394255134090614</v>
      </c>
      <c r="L299" s="325">
        <f>(L290+IF(L272&lt;L$7*L33*L$26,L$7*L33*L$26,L272)*L60/2) / (SUM($K60:K60)+L60/2)</f>
        <v>82.097677386986945</v>
      </c>
      <c r="M299" s="325">
        <f>(M290+IF(M272&lt;M$7*M33*M$26,M$7*M33*M$26,M272)*M60/2) / (SUM($K60:L60)+M60/2)</f>
        <v>81.122073458446465</v>
      </c>
      <c r="N299" s="325">
        <f>(N290+IF(N272&lt;N$7*N33*N$26,N$7*N33*N$26,N272)*N60/2) / (SUM($K60:M60)+N60/2)</f>
        <v>79.427555434156361</v>
      </c>
      <c r="O299" s="325">
        <f>(O290+IF(O272&lt;O$7*O33*O$26,O$7*O33*O$26,O272)*O60/2) / (SUM($K60:N60)+O60/2)</f>
        <v>78.032989033204416</v>
      </c>
      <c r="P299" s="325">
        <f>(P290+IF(P272&lt;P$7*P33*P$26,P$7*P33*P$26,P272)*P60/2) / (SUM($K60:O60)+P60/2)</f>
        <v>76.731768548801625</v>
      </c>
      <c r="Q299" s="325">
        <f>(Q290+IF(Q272&lt;Q$7*Q33*Q$26,Q$7*Q33*Q$26,Q272)*Q60/2) / (SUM($K60:P60)+Q60/2)</f>
        <v>75.477655839786394</v>
      </c>
      <c r="R299" s="325">
        <f>(R290+IF(R272&lt;R$7*R33*R$26,R$7*R33*R$26,R272)*R60/2) / (SUM($K60:Q60)+R60/2)</f>
        <v>74.139848451576441</v>
      </c>
      <c r="S299" s="325">
        <f>(S290+IF(S272&lt;S$7*S33*S$26,S$7*S33*S$26,S272)*S60/2) / (SUM($K60:R60)+S60/2)</f>
        <v>72.605948193220158</v>
      </c>
      <c r="T299" s="325">
        <f>(T290+IF(T272&lt;T$7*T33*T$26,T$7*T33*T$26,T272)*T60/2) / (SUM($K60:S60)+T60/2)</f>
        <v>71.109863143272463</v>
      </c>
      <c r="U299" s="325">
        <f>(U290+IF(U272&lt;U$7*U33*U$26,U$7*U33*U$26,U272)*U60/2) / (SUM($K60:T60)+U60/2)</f>
        <v>69.778454635565708</v>
      </c>
      <c r="V299" s="325">
        <f>(V290+IF(V272&lt;V$7*V33*V$26,V$7*V33*V$26,V272)*V60/2) / (SUM($K60:U60)+V60/2)</f>
        <v>68.573037145235944</v>
      </c>
      <c r="W299" s="325">
        <f>(W290+IF(W272&lt;W$7*W33*W$26,W$7*W33*W$26,W272)*W60/2) / (SUM($K60:V60)+W60/2)</f>
        <v>67.466162446223549</v>
      </c>
      <c r="X299" s="325">
        <f>(X290+IF(X272&lt;X$7*X33*X$26,X$7*X33*X$26,X272)*X60/2) / (SUM($K60:W60)+X60/2)</f>
        <v>66.437815618556698</v>
      </c>
      <c r="Y299" s="325">
        <f>(Y290+IF(Y272&lt;Y$7*Y33*Y$26,Y$7*Y33*Y$26,Y272)*Y60/2) / (SUM($K60:X60)+Y60/2)</f>
        <v>65.47305832116372</v>
      </c>
      <c r="Z299" s="325">
        <f>(Z290+IF(Z272&lt;Z$7*Z33*Z$26,Z$7*Z33*Z$26,Z272)*Z60/2) / (SUM($K60:Y60)+Z60/2)</f>
        <v>64.560515238558907</v>
      </c>
      <c r="AA299" s="325">
        <f>(AA290+IF(AA272&lt;AA$7*AA33*AA$26,AA$7*AA33*AA$26,AA272)*AA60/2) / (SUM($K60:Z60)+AA60/2)</f>
        <v>63.713430660557982</v>
      </c>
      <c r="AB299" s="325">
        <f>(AB290+IF(AB272&lt;AB$7*AB33*AB$26,AB$7*AB33*AB$26,AB272)*AB60/2) / (SUM($K60:AA60)+AB60/2)</f>
        <v>62.98296099379268</v>
      </c>
      <c r="AC299" s="325">
        <f>(AC290+IF(AC272&lt;AC$7*AC33*AC$26,AC$7*AC33*AC$26,AC272)*AC60/2) / (SUM($K60:AB60)+AC60/2)</f>
        <v>62.36491845329568</v>
      </c>
      <c r="AD299" s="325">
        <f>(AD290+IF(AD272&lt;AD$7*AD33*AD$26,AD$7*AD33*AD$26,AD272)*AD60/2) / (SUM($K60:AC60)+AD60/2)</f>
        <v>61.8200243404522</v>
      </c>
      <c r="AE299" s="325">
        <f>(AE290+IF(AE272&lt;AE$7*AE33*AE$26,AE$7*AE33*AE$26,AE272)*AE60/2) / (SUM($K60:AD60)+AE60/2)</f>
        <v>60.543770295374252</v>
      </c>
      <c r="AF299" s="929" t="s">
        <v>188</v>
      </c>
      <c r="AG299" s="929"/>
      <c r="AH299" s="929"/>
      <c r="AI299" s="929"/>
      <c r="AJ299" s="1034"/>
    </row>
    <row r="300" spans="1:36" s="294" customFormat="1" ht="12.75" customHeight="1" outlineLevel="1">
      <c r="A300" s="553" t="s">
        <v>266</v>
      </c>
      <c r="B300" s="110"/>
      <c r="C300" s="110"/>
      <c r="D300" s="112"/>
      <c r="E300" s="16" t="s">
        <v>340</v>
      </c>
      <c r="F300" s="325"/>
      <c r="G300" s="325"/>
      <c r="H300" s="325"/>
      <c r="I300" s="309"/>
      <c r="J300" s="309"/>
      <c r="K300" s="1098">
        <f t="shared" si="43"/>
        <v>177.42118534846711</v>
      </c>
      <c r="L300" s="325">
        <f>(L291+IF(L273&lt;L$7*L34*L$26,L$7*L34*L$26,L273)*L61/2) / (SUM($K61:K61)+L61/2)</f>
        <v>177.91111918685164</v>
      </c>
      <c r="M300" s="325">
        <f>(M291+IF(M273&lt;M$7*M34*M$26,M$7*M34*M$26,M273)*M61/2) / (SUM($K61:L61)+M61/2)</f>
        <v>179.53297419025822</v>
      </c>
      <c r="N300" s="325">
        <f>(N291+IF(N273&lt;N$7*N34*N$26,N$7*N34*N$26,N273)*N61/2) / (SUM($K61:M61)+N61/2)</f>
        <v>176.73164121452325</v>
      </c>
      <c r="O300" s="325">
        <f>(O291+IF(O273&lt;O$7*O34*O$26,O$7*O34*O$26,O273)*O61/2) / (SUM($K61:N61)+O61/2)</f>
        <v>170.07103882497645</v>
      </c>
      <c r="P300" s="325">
        <f>(P291+IF(P273&lt;P$7*P34*P$26,P$7*P34*P$26,P273)*P61/2) / (SUM($K61:O61)+P61/2)</f>
        <v>167.20017980300489</v>
      </c>
      <c r="Q300" s="325">
        <f>(Q291+IF(Q273&lt;Q$7*Q34*Q$26,Q$7*Q34*Q$26,Q273)*Q61/2) / (SUM($K61:P61)+Q61/2)</f>
        <v>167.20017980300489</v>
      </c>
      <c r="R300" s="325">
        <f>(R291+IF(R273&lt;R$7*R34*R$26,R$7*R34*R$26,R273)*R61/2) / (SUM($K61:Q61)+R61/2)</f>
        <v>164.73004291421486</v>
      </c>
      <c r="S300" s="325">
        <f>(S291+IF(S273&lt;S$7*S34*S$26,S$7*S34*S$26,S273)*S61/2) / (SUM($K61:R61)+S61/2)</f>
        <v>156.09719312999994</v>
      </c>
      <c r="T300" s="325">
        <f>(T291+IF(T273&lt;T$7*T34*T$26,T$7*T34*T$26,T273)*T61/2) / (SUM($K61:S61)+T61/2)</f>
        <v>145.89864372085745</v>
      </c>
      <c r="U300" s="325">
        <f>(U291+IF(U273&lt;U$7*U34*U$26,U$7*U34*U$26,U273)*U61/2) / (SUM($K61:T61)+U61/2)</f>
        <v>137.76030699073269</v>
      </c>
      <c r="V300" s="325">
        <f>(V291+IF(V273&lt;V$7*V34*V$26,V$7*V34*V$26,V273)*V61/2) / (SUM($K61:U61)+V61/2)</f>
        <v>130.91455702636742</v>
      </c>
      <c r="W300" s="325">
        <f>(W291+IF(W273&lt;W$7*W34*W$26,W$7*W34*W$26,W273)*W61/2) / (SUM($K61:V61)+W61/2)</f>
        <v>125.14841293760755</v>
      </c>
      <c r="X300" s="325">
        <f>(X291+IF(X273&lt;X$7*X34*X$26,X$7*X34*X$26,X273)*X61/2) / (SUM($K61:W61)+X61/2)</f>
        <v>120.22020165249761</v>
      </c>
      <c r="Y300" s="325">
        <f>(Y291+IF(Y273&lt;Y$7*Y34*Y$26,Y$7*Y34*Y$26,Y273)*Y61/2) / (SUM($K61:X61)+Y61/2)</f>
        <v>115.95495769195905</v>
      </c>
      <c r="Z300" s="325">
        <f>(Z291+IF(Z273&lt;Z$7*Z34*Z$26,Z$7*Z34*Z$26,Z273)*Z61/2) / (SUM($K61:Y61)+Z61/2)</f>
        <v>112.22288066114457</v>
      </c>
      <c r="AA300" s="325">
        <f>(AA291+IF(AA273&lt;AA$7*AA34*AA$26,AA$7*AA34*AA$26,AA273)*AA61/2) / (SUM($K61:Z61)+AA61/2)</f>
        <v>108.92563428687545</v>
      </c>
      <c r="AB300" s="325">
        <f>(AB291+IF(AB273&lt;AB$7*AB34*AB$26,AB$7*AB34*AB$26,AB273)*AB61/2) / (SUM($K61:AA61)+AB61/2)</f>
        <v>105.98734739237672</v>
      </c>
      <c r="AC300" s="325">
        <f>(AC291+IF(AC273&lt;AC$7*AC34*AC$26,AC$7*AC34*AC$26,AC273)*AC61/2) / (SUM($K61:AB61)+AC61/2)</f>
        <v>103.34853609341295</v>
      </c>
      <c r="AD300" s="325">
        <f>(AD291+IF(AD273&lt;AD$7*AD34*AD$26,AD$7*AD34*AD$26,AD273)*AD61/2) / (SUM($K61:AC61)+AD61/2)</f>
        <v>100.96189767496989</v>
      </c>
      <c r="AE300" s="325">
        <f>(AE291+IF(AE273&lt;AE$7*AE34*AE$26,AE$7*AE34*AE$26,AE273)*AE61/2) / (SUM($K61:AD61)+AE61/2)</f>
        <v>98.789336517803804</v>
      </c>
      <c r="AF300" s="929" t="s">
        <v>188</v>
      </c>
      <c r="AG300" s="929"/>
      <c r="AH300" s="929"/>
      <c r="AI300" s="929"/>
      <c r="AJ300" s="1034"/>
    </row>
    <row r="301" spans="1:36" s="294" customFormat="1" ht="12.75" customHeight="1" outlineLevel="1">
      <c r="A301" s="553" t="s">
        <v>267</v>
      </c>
      <c r="B301" s="110"/>
      <c r="C301" s="110"/>
      <c r="D301" s="112"/>
      <c r="E301" s="296" t="s">
        <v>530</v>
      </c>
      <c r="F301" s="302"/>
      <c r="G301" s="302"/>
      <c r="H301" s="302"/>
      <c r="I301" s="311"/>
      <c r="J301" s="311"/>
      <c r="K301" s="1099">
        <f t="shared" si="43"/>
        <v>100.27804485161886</v>
      </c>
      <c r="L301" s="302">
        <f>(L292+IF(L274&lt;L$7*L35*L$26,L$7*L35*L$26,L274)*L62/2) / (SUM($K62:K62)+L62/2)</f>
        <v>101.5576323294457</v>
      </c>
      <c r="M301" s="302">
        <f>(M292+IF(M274&lt;M$7*M35*M$26,M$7*M35*M$26,M274)*M62/2) / (SUM($K62:L62)+M62/2)</f>
        <v>100.76774519184401</v>
      </c>
      <c r="N301" s="302">
        <f>(N292+IF(N274&lt;N$7*N35*N$26,N$7*N35*N$26,N274)*N62/2) / (SUM($K62:M62)+N62/2)</f>
        <v>101.04610680157428</v>
      </c>
      <c r="O301" s="302">
        <f>(O292+IF(O274&lt;O$7*O35*O$26,O$7*O35*O$26,O274)*O62/2) / (SUM($K62:N62)+O62/2)</f>
        <v>102.32878328643297</v>
      </c>
      <c r="P301" s="302">
        <f>(P292+IF(P274&lt;P$7*P35*P$26,P$7*P35*P$26,P274)*P62/2) / (SUM($K62:O62)+P62/2)</f>
        <v>100.52423474230137</v>
      </c>
      <c r="Q301" s="302">
        <f>(Q292+IF(Q274&lt;Q$7*Q35*Q$26,Q$7*Q35*Q$26,Q274)*Q62/2) / (SUM($K62:P62)+Q62/2)</f>
        <v>96.900075912524628</v>
      </c>
      <c r="R301" s="302">
        <f>(R292+IF(R274&lt;R$7*R35*R$26,R$7*R35*R$26,R274)*R62/2) / (SUM($K62:Q62)+R62/2)</f>
        <v>93.788596418411714</v>
      </c>
      <c r="S301" s="302">
        <f>(S292+IF(S274&lt;S$7*S35*S$26,S$7*S35*S$26,S274)*S62/2) / (SUM($K62:R62)+S62/2)</f>
        <v>91.590317062676974</v>
      </c>
      <c r="T301" s="302">
        <f>(T292+IF(T274&lt;T$7*T35*T$26,T$7*T35*T$26,T274)*T62/2) / (SUM($K62:S62)+T62/2)</f>
        <v>89.990840400389573</v>
      </c>
      <c r="U301" s="302">
        <f>(U292+IF(U274&lt;U$7*U35*U$26,U$7*U35*U$26,U274)*U62/2) / (SUM($K62:T62)+U62/2)</f>
        <v>88.457637981500383</v>
      </c>
      <c r="V301" s="302">
        <f>(V292+IF(V274&lt;V$7*V35*V$26,V$7*V35*V$26,V274)*V62/2) / (SUM($K62:U62)+V62/2)</f>
        <v>87.105655915546237</v>
      </c>
      <c r="W301" s="302">
        <f>(W292+IF(W274&lt;W$7*W35*W$26,W$7*W35*W$26,W274)*W62/2) / (SUM($K62:V62)+W62/2)</f>
        <v>85.908634907786038</v>
      </c>
      <c r="X301" s="302">
        <f>(X292+IF(X274&lt;X$7*X35*X$26,X$7*X35*X$26,X274)*X62/2) / (SUM($K62:W62)+X62/2)</f>
        <v>84.718446734458738</v>
      </c>
      <c r="Y301" s="302">
        <f>(Y292+IF(Y274&lt;Y$7*Y35*Y$26,Y$7*Y35*Y$26,Y274)*Y62/2) / (SUM($K62:X62)+Y62/2)</f>
        <v>83.537480080540718</v>
      </c>
      <c r="Z301" s="302">
        <f>(Z292+IF(Z274&lt;Z$7*Z35*Z$26,Z$7*Z35*Z$26,Z274)*Z62/2) / (SUM($K62:Y62)+Z62/2)</f>
        <v>82.368055913152645</v>
      </c>
      <c r="AA301" s="302">
        <f>(AA292+IF(AA274&lt;AA$7*AA35*AA$26,AA$7*AA35*AA$26,AA274)*AA62/2) / (SUM($K62:Z62)+AA62/2)</f>
        <v>81.21446086894656</v>
      </c>
      <c r="AB301" s="302">
        <f>(AB292+IF(AB274&lt;AB$7*AB35*AB$26,AB$7*AB35*AB$26,AB274)*AB62/2) / (SUM($K62:AA62)+AB62/2)</f>
        <v>80.075299133746768</v>
      </c>
      <c r="AC301" s="302">
        <f>(AC292+IF(AC274&lt;AC$7*AC35*AC$26,AC$7*AC35*AC$26,AC274)*AC62/2) / (SUM($K62:AB62)+AC62/2)</f>
        <v>78.946535321307792</v>
      </c>
      <c r="AD301" s="302">
        <f>(AD292+IF(AD274&lt;AD$7*AD35*AD$26,AD$7*AD35*AD$26,AD274)*AD62/2) / (SUM($K62:AC62)+AD62/2)</f>
        <v>77.865211068688382</v>
      </c>
      <c r="AE301" s="302">
        <f>(AE292+IF(AE274&lt;AE$7*AE35*AE$26,AE$7*AE35*AE$26,AE274)*AE62/2) / (SUM($K62:AD62)+AE62/2)</f>
        <v>76.728099118754528</v>
      </c>
      <c r="AF301" s="929" t="s">
        <v>188</v>
      </c>
      <c r="AG301" s="929"/>
      <c r="AH301" s="929"/>
      <c r="AI301" s="929"/>
      <c r="AJ301" s="1034"/>
    </row>
    <row r="302" spans="1:36" s="294" customFormat="1" ht="12.75" customHeight="1" outlineLevel="1">
      <c r="A302" s="553" t="s">
        <v>268</v>
      </c>
      <c r="B302" s="110"/>
      <c r="C302" s="110"/>
      <c r="D302" s="112"/>
      <c r="F302" s="324"/>
      <c r="G302" s="324"/>
      <c r="H302" s="324"/>
      <c r="I302" s="324"/>
      <c r="J302" s="324"/>
      <c r="K302" s="324"/>
      <c r="L302" s="324"/>
      <c r="M302" s="324"/>
      <c r="N302" s="342"/>
      <c r="O302" s="289"/>
      <c r="P302" s="324"/>
      <c r="Q302" s="324"/>
      <c r="R302" s="324"/>
      <c r="S302" s="324"/>
      <c r="T302" s="324"/>
      <c r="U302" s="324"/>
      <c r="V302" s="324"/>
      <c r="W302" s="324"/>
      <c r="X302" s="324"/>
      <c r="Y302" s="324"/>
      <c r="Z302" s="324"/>
      <c r="AA302" s="324"/>
      <c r="AB302" s="324"/>
      <c r="AC302" s="324"/>
      <c r="AD302" s="324"/>
      <c r="AE302" s="324"/>
      <c r="AF302" s="929"/>
      <c r="AG302" s="929"/>
      <c r="AH302" s="929"/>
      <c r="AI302" s="929"/>
      <c r="AJ302" s="1034"/>
    </row>
    <row r="303" spans="1:36" s="110" customFormat="1" ht="66" outlineLevel="1">
      <c r="A303" s="553">
        <v>266</v>
      </c>
      <c r="D303" s="112"/>
      <c r="E303" s="204" t="s">
        <v>547</v>
      </c>
      <c r="F303" s="305"/>
      <c r="G303" s="305"/>
      <c r="H303" s="305"/>
      <c r="I303" s="305"/>
      <c r="J303" s="305"/>
      <c r="K303" s="305"/>
      <c r="L303" s="305"/>
      <c r="M303" s="305"/>
      <c r="N303" s="345"/>
      <c r="O303" s="292"/>
      <c r="P303" s="305"/>
      <c r="Q303" s="305"/>
      <c r="R303" s="305"/>
      <c r="S303" s="305"/>
      <c r="T303" s="305"/>
      <c r="U303" s="305"/>
      <c r="V303" s="305"/>
      <c r="W303" s="305"/>
      <c r="X303" s="305"/>
      <c r="Y303" s="305"/>
      <c r="Z303" s="305"/>
      <c r="AA303" s="305"/>
      <c r="AB303" s="305"/>
      <c r="AC303" s="305"/>
      <c r="AD303" s="305"/>
      <c r="AE303" s="305"/>
      <c r="AF303" s="929" t="s">
        <v>179</v>
      </c>
      <c r="AG303" s="929"/>
      <c r="AH303" s="929"/>
      <c r="AI303" s="929"/>
      <c r="AJ303" s="1243" t="s">
        <v>596</v>
      </c>
    </row>
    <row r="304" spans="1:36" s="110" customFormat="1" ht="12.75" customHeight="1" outlineLevel="1">
      <c r="A304" s="553">
        <v>267</v>
      </c>
      <c r="D304" s="112"/>
      <c r="E304" s="314" t="s">
        <v>529</v>
      </c>
      <c r="F304" s="316"/>
      <c r="G304" s="316"/>
      <c r="H304" s="316"/>
      <c r="I304" s="316"/>
      <c r="J304" s="316"/>
      <c r="K304" s="316">
        <f t="shared" ref="K304:L310" si="44">K277*(K228-K258)/1000-K167</f>
        <v>0</v>
      </c>
      <c r="L304" s="316">
        <f t="shared" si="44"/>
        <v>0</v>
      </c>
      <c r="M304" s="316">
        <f t="shared" ref="M304:M310" si="45">M277*(M228-M258)/1000-M167</f>
        <v>0</v>
      </c>
      <c r="N304" s="317">
        <f t="shared" ref="N304:AE304" si="46">N277*(N228-N258)/1000-N167</f>
        <v>0</v>
      </c>
      <c r="O304" s="395">
        <f t="shared" si="46"/>
        <v>0</v>
      </c>
      <c r="P304" s="395">
        <f t="shared" si="46"/>
        <v>2.7855335944751156E-3</v>
      </c>
      <c r="Q304" s="395">
        <f t="shared" si="46"/>
        <v>5.5746053304678031E-3</v>
      </c>
      <c r="R304" s="395">
        <f t="shared" si="46"/>
        <v>5.5746053304678031E-3</v>
      </c>
      <c r="S304" s="395">
        <f t="shared" si="46"/>
        <v>5.5746053304678031E-3</v>
      </c>
      <c r="T304" s="395">
        <f t="shared" si="46"/>
        <v>5.5746053304678031E-3</v>
      </c>
      <c r="U304" s="395">
        <f t="shared" si="46"/>
        <v>5.5746053304678031E-3</v>
      </c>
      <c r="V304" s="395">
        <f t="shared" si="46"/>
        <v>5.5746053304678031E-3</v>
      </c>
      <c r="W304" s="395">
        <f t="shared" si="46"/>
        <v>5.5746053304678031E-3</v>
      </c>
      <c r="X304" s="395">
        <f t="shared" si="46"/>
        <v>5.5746053304678031E-3</v>
      </c>
      <c r="Y304" s="395">
        <f t="shared" si="46"/>
        <v>5.5746053304678031E-3</v>
      </c>
      <c r="Z304" s="395">
        <f t="shared" si="46"/>
        <v>5.5746053304678031E-3</v>
      </c>
      <c r="AA304" s="395">
        <f t="shared" si="46"/>
        <v>5.5746053304678031E-3</v>
      </c>
      <c r="AB304" s="395">
        <f t="shared" si="46"/>
        <v>5.5746053304678031E-3</v>
      </c>
      <c r="AC304" s="395">
        <f t="shared" si="46"/>
        <v>5.5746053304678031E-3</v>
      </c>
      <c r="AD304" s="395">
        <f t="shared" si="46"/>
        <v>5.5746053304678031E-3</v>
      </c>
      <c r="AE304" s="396">
        <f t="shared" si="46"/>
        <v>5.5746053304678031E-3</v>
      </c>
      <c r="AF304" s="929" t="s">
        <v>217</v>
      </c>
      <c r="AG304" s="929"/>
      <c r="AH304" s="1034"/>
      <c r="AI304" s="1034"/>
      <c r="AJ304" s="1034" t="s">
        <v>597</v>
      </c>
    </row>
    <row r="305" spans="1:36" s="110" customFormat="1" ht="12.75" customHeight="1" outlineLevel="1">
      <c r="A305" s="553">
        <v>268</v>
      </c>
      <c r="D305" s="112"/>
      <c r="E305" s="16" t="s">
        <v>349</v>
      </c>
      <c r="F305" s="325"/>
      <c r="G305" s="325"/>
      <c r="H305" s="325"/>
      <c r="I305" s="325"/>
      <c r="J305" s="325"/>
      <c r="K305" s="325">
        <f t="shared" si="44"/>
        <v>4.9914115934987791E-3</v>
      </c>
      <c r="L305" s="325">
        <f t="shared" si="44"/>
        <v>1.0441438670507548E-2</v>
      </c>
      <c r="M305" s="325">
        <f t="shared" si="45"/>
        <v>1.1124102279755063E-2</v>
      </c>
      <c r="N305" s="326">
        <f t="shared" ref="N305:AE305" si="47">N278*(N229-N259)/1000-N168</f>
        <v>1.208694654916645E-2</v>
      </c>
      <c r="O305" s="397">
        <f t="shared" si="47"/>
        <v>1.3059017253183701E-2</v>
      </c>
      <c r="P305" s="397">
        <f t="shared" si="47"/>
        <v>1.3504390379544803E-2</v>
      </c>
      <c r="Q305" s="397">
        <f t="shared" si="47"/>
        <v>1.371397793087786E-2</v>
      </c>
      <c r="R305" s="397">
        <f t="shared" si="47"/>
        <v>1.371397793087786E-2</v>
      </c>
      <c r="S305" s="397">
        <f t="shared" si="47"/>
        <v>1.371397793087786E-2</v>
      </c>
      <c r="T305" s="397">
        <f t="shared" si="47"/>
        <v>1.371397793087786E-2</v>
      </c>
      <c r="U305" s="397">
        <f t="shared" si="47"/>
        <v>1.371397793087786E-2</v>
      </c>
      <c r="V305" s="397">
        <f t="shared" si="47"/>
        <v>1.371397793087786E-2</v>
      </c>
      <c r="W305" s="397">
        <f t="shared" si="47"/>
        <v>1.371397793087786E-2</v>
      </c>
      <c r="X305" s="397">
        <f t="shared" si="47"/>
        <v>1.371397793087786E-2</v>
      </c>
      <c r="Y305" s="397">
        <f t="shared" si="47"/>
        <v>1.371397793087786E-2</v>
      </c>
      <c r="Z305" s="397">
        <f t="shared" si="47"/>
        <v>1.371397793087786E-2</v>
      </c>
      <c r="AA305" s="397">
        <f t="shared" si="47"/>
        <v>1.371397793087786E-2</v>
      </c>
      <c r="AB305" s="397">
        <f t="shared" si="47"/>
        <v>1.371397793087786E-2</v>
      </c>
      <c r="AC305" s="397">
        <f t="shared" si="47"/>
        <v>1.371397793087786E-2</v>
      </c>
      <c r="AD305" s="397">
        <f t="shared" si="47"/>
        <v>1.371397793087786E-2</v>
      </c>
      <c r="AE305" s="398">
        <f t="shared" si="47"/>
        <v>1.371397793087786E-2</v>
      </c>
      <c r="AF305" s="929" t="s">
        <v>217</v>
      </c>
      <c r="AG305" s="929"/>
      <c r="AH305" s="929"/>
      <c r="AI305" s="929"/>
      <c r="AJ305" s="1034" t="s">
        <v>597</v>
      </c>
    </row>
    <row r="306" spans="1:36" s="110" customFormat="1" ht="12.75" customHeight="1" outlineLevel="1">
      <c r="A306" s="553">
        <v>269</v>
      </c>
      <c r="D306" s="112"/>
      <c r="E306" s="16" t="s">
        <v>11</v>
      </c>
      <c r="F306" s="325"/>
      <c r="G306" s="325"/>
      <c r="H306" s="325"/>
      <c r="I306" s="325"/>
      <c r="J306" s="325"/>
      <c r="K306" s="325">
        <f t="shared" si="44"/>
        <v>6.0742736485813265E-3</v>
      </c>
      <c r="L306" s="325">
        <f t="shared" si="44"/>
        <v>8.8259144462781311E-2</v>
      </c>
      <c r="M306" s="325">
        <f t="shared" si="45"/>
        <v>0.25560490304158434</v>
      </c>
      <c r="N306" s="326">
        <f t="shared" ref="N306:AE306" si="48">N279*(N230-N260)/1000-N169</f>
        <v>0.48193074197835051</v>
      </c>
      <c r="O306" s="397">
        <f t="shared" si="48"/>
        <v>0.68894389299283953</v>
      </c>
      <c r="P306" s="397">
        <f t="shared" si="48"/>
        <v>0.82699182048282049</v>
      </c>
      <c r="Q306" s="397">
        <f t="shared" si="48"/>
        <v>0.9397226635598287</v>
      </c>
      <c r="R306" s="397">
        <f t="shared" si="48"/>
        <v>0.99976816013236736</v>
      </c>
      <c r="S306" s="397">
        <f t="shared" si="48"/>
        <v>1.027428173389463</v>
      </c>
      <c r="T306" s="397">
        <f t="shared" si="48"/>
        <v>1.0569410260549332</v>
      </c>
      <c r="U306" s="397">
        <f t="shared" si="48"/>
        <v>1.0882914157458172</v>
      </c>
      <c r="V306" s="397">
        <f t="shared" si="48"/>
        <v>1.1758611437977615</v>
      </c>
      <c r="W306" s="397">
        <f t="shared" si="48"/>
        <v>1.317873460112426</v>
      </c>
      <c r="X306" s="397">
        <f t="shared" si="48"/>
        <v>1.4584618806127527</v>
      </c>
      <c r="Y306" s="397">
        <f t="shared" si="48"/>
        <v>1.5976306498485606</v>
      </c>
      <c r="Z306" s="397">
        <f t="shared" si="48"/>
        <v>1.7353864046637937</v>
      </c>
      <c r="AA306" s="397">
        <f t="shared" si="48"/>
        <v>1.8717371647071475</v>
      </c>
      <c r="AB306" s="397">
        <f t="shared" si="48"/>
        <v>2.0066917754961673</v>
      </c>
      <c r="AC306" s="397">
        <f t="shared" si="48"/>
        <v>2.1402595840175485</v>
      </c>
      <c r="AD306" s="397">
        <f t="shared" si="48"/>
        <v>2.2724502411511009</v>
      </c>
      <c r="AE306" s="398">
        <f t="shared" si="48"/>
        <v>2.4049413739745349</v>
      </c>
      <c r="AF306" s="929" t="s">
        <v>217</v>
      </c>
      <c r="AG306" s="929"/>
      <c r="AH306" s="929"/>
      <c r="AI306" s="929"/>
      <c r="AJ306" s="1034" t="s">
        <v>597</v>
      </c>
    </row>
    <row r="307" spans="1:36" s="110" customFormat="1" ht="12.75" customHeight="1" outlineLevel="1">
      <c r="A307" s="553">
        <v>270</v>
      </c>
      <c r="D307" s="112"/>
      <c r="E307" s="16" t="s">
        <v>10</v>
      </c>
      <c r="F307" s="325"/>
      <c r="G307" s="325"/>
      <c r="H307" s="325"/>
      <c r="I307" s="325"/>
      <c r="J307" s="325"/>
      <c r="K307" s="325">
        <f t="shared" si="44"/>
        <v>0</v>
      </c>
      <c r="L307" s="325">
        <f t="shared" si="44"/>
        <v>2.5499802938929472E-3</v>
      </c>
      <c r="M307" s="325">
        <f t="shared" si="45"/>
        <v>6.6093178507205912E-3</v>
      </c>
      <c r="N307" s="326">
        <f t="shared" ref="N307:AE307" si="49">N280*(N231-N261)/1000-N170</f>
        <v>1.1908407758441221E-2</v>
      </c>
      <c r="O307" s="397">
        <f t="shared" si="49"/>
        <v>1.8783585105697533E-2</v>
      </c>
      <c r="P307" s="397">
        <f t="shared" si="49"/>
        <v>2.5156990357859607E-2</v>
      </c>
      <c r="Q307" s="397">
        <f t="shared" si="49"/>
        <v>2.844552561393459E-2</v>
      </c>
      <c r="R307" s="397">
        <f t="shared" si="49"/>
        <v>2.844552561393459E-2</v>
      </c>
      <c r="S307" s="397">
        <f t="shared" si="49"/>
        <v>2.844552561393459E-2</v>
      </c>
      <c r="T307" s="397">
        <f t="shared" si="49"/>
        <v>2.844552561393459E-2</v>
      </c>
      <c r="U307" s="397">
        <f t="shared" si="49"/>
        <v>2.844552561393459E-2</v>
      </c>
      <c r="V307" s="397">
        <f t="shared" si="49"/>
        <v>2.844552561393459E-2</v>
      </c>
      <c r="W307" s="397">
        <f t="shared" si="49"/>
        <v>2.844552561393459E-2</v>
      </c>
      <c r="X307" s="397">
        <f t="shared" si="49"/>
        <v>2.844552561393459E-2</v>
      </c>
      <c r="Y307" s="397">
        <f t="shared" si="49"/>
        <v>2.844552561393459E-2</v>
      </c>
      <c r="Z307" s="397">
        <f t="shared" si="49"/>
        <v>2.844552561393459E-2</v>
      </c>
      <c r="AA307" s="397">
        <f t="shared" si="49"/>
        <v>2.844552561393459E-2</v>
      </c>
      <c r="AB307" s="397">
        <f t="shared" si="49"/>
        <v>2.844552561393459E-2</v>
      </c>
      <c r="AC307" s="397">
        <f t="shared" si="49"/>
        <v>2.844552561393459E-2</v>
      </c>
      <c r="AD307" s="397">
        <f t="shared" si="49"/>
        <v>2.844552561393459E-2</v>
      </c>
      <c r="AE307" s="398">
        <f t="shared" si="49"/>
        <v>2.844552561393459E-2</v>
      </c>
      <c r="AF307" s="929" t="s">
        <v>217</v>
      </c>
      <c r="AG307" s="929"/>
      <c r="AH307" s="929"/>
      <c r="AI307" s="929"/>
      <c r="AJ307" s="1034" t="s">
        <v>597</v>
      </c>
    </row>
    <row r="308" spans="1:36" s="110" customFormat="1" ht="12.75" customHeight="1" outlineLevel="1">
      <c r="A308" s="553">
        <v>271</v>
      </c>
      <c r="D308" s="112"/>
      <c r="E308" s="16" t="s">
        <v>339</v>
      </c>
      <c r="F308" s="325"/>
      <c r="G308" s="325"/>
      <c r="H308" s="325"/>
      <c r="I308" s="325"/>
      <c r="J308" s="325"/>
      <c r="K308" s="325">
        <f t="shared" si="44"/>
        <v>0.25442411616026367</v>
      </c>
      <c r="L308" s="325">
        <f t="shared" si="44"/>
        <v>0.84890213463769837</v>
      </c>
      <c r="M308" s="325">
        <f t="shared" si="45"/>
        <v>1.5536695012958703</v>
      </c>
      <c r="N308" s="326">
        <f t="shared" ref="N308:AE308" si="50">N281*(N232-N262)/1000-N171</f>
        <v>2.1441042857753385</v>
      </c>
      <c r="O308" s="397">
        <f t="shared" si="50"/>
        <v>2.4482716092426755</v>
      </c>
      <c r="P308" s="397">
        <f t="shared" si="50"/>
        <v>2.6225815087148665</v>
      </c>
      <c r="Q308" s="397">
        <f t="shared" si="50"/>
        <v>2.8139626446335786</v>
      </c>
      <c r="R308" s="397">
        <f t="shared" si="50"/>
        <v>3.0379960967466269</v>
      </c>
      <c r="S308" s="397">
        <f t="shared" si="50"/>
        <v>3.3284063786423865</v>
      </c>
      <c r="T308" s="397">
        <f t="shared" si="50"/>
        <v>3.653771396839141</v>
      </c>
      <c r="U308" s="397">
        <f t="shared" si="50"/>
        <v>3.9874592271862723</v>
      </c>
      <c r="V308" s="397">
        <f t="shared" si="50"/>
        <v>4.3289000836920444</v>
      </c>
      <c r="W308" s="397">
        <f t="shared" si="50"/>
        <v>4.6706866090541279</v>
      </c>
      <c r="X308" s="397">
        <f t="shared" si="50"/>
        <v>5.0097808247696456</v>
      </c>
      <c r="Y308" s="397">
        <f t="shared" si="50"/>
        <v>5.3446726963207158</v>
      </c>
      <c r="Z308" s="397">
        <f t="shared" si="50"/>
        <v>5.6745193622538048</v>
      </c>
      <c r="AA308" s="397">
        <f t="shared" si="50"/>
        <v>5.998811416445279</v>
      </c>
      <c r="AB308" s="397">
        <f t="shared" si="50"/>
        <v>6.3172222665626432</v>
      </c>
      <c r="AC308" s="397">
        <f t="shared" si="50"/>
        <v>6.6295326180239345</v>
      </c>
      <c r="AD308" s="397">
        <f t="shared" si="50"/>
        <v>6.9355895719558669</v>
      </c>
      <c r="AE308" s="398">
        <f t="shared" si="50"/>
        <v>7.2394037431891238</v>
      </c>
      <c r="AF308" s="929" t="s">
        <v>217</v>
      </c>
      <c r="AG308" s="929"/>
      <c r="AH308" s="929"/>
      <c r="AI308" s="929"/>
      <c r="AJ308" s="1034" t="s">
        <v>597</v>
      </c>
    </row>
    <row r="309" spans="1:36" s="110" customFormat="1" ht="12.75" customHeight="1" outlineLevel="1">
      <c r="A309" s="553">
        <v>272</v>
      </c>
      <c r="D309" s="112"/>
      <c r="E309" s="16" t="s">
        <v>340</v>
      </c>
      <c r="F309" s="325"/>
      <c r="G309" s="325"/>
      <c r="H309" s="325"/>
      <c r="I309" s="325"/>
      <c r="J309" s="325"/>
      <c r="K309" s="325">
        <f t="shared" si="44"/>
        <v>0.66486814997484556</v>
      </c>
      <c r="L309" s="325">
        <f t="shared" si="44"/>
        <v>1.5720795806931604</v>
      </c>
      <c r="M309" s="325">
        <f t="shared" si="45"/>
        <v>2.2561036336235185</v>
      </c>
      <c r="N309" s="326">
        <f t="shared" ref="N309:AE309" si="51">N282*(N233-N263)/1000-N172</f>
        <v>2.9452660263885782</v>
      </c>
      <c r="O309" s="397">
        <f t="shared" si="51"/>
        <v>3.5465966465902672</v>
      </c>
      <c r="P309" s="397">
        <f t="shared" si="51"/>
        <v>3.9011229551727005</v>
      </c>
      <c r="Q309" s="397">
        <f t="shared" si="51"/>
        <v>3.8890131951727005</v>
      </c>
      <c r="R309" s="397">
        <f t="shared" si="51"/>
        <v>3.920172773211279</v>
      </c>
      <c r="S309" s="397">
        <f t="shared" si="51"/>
        <v>4.0911214258463433</v>
      </c>
      <c r="T309" s="397">
        <f t="shared" si="51"/>
        <v>4.074514220733823</v>
      </c>
      <c r="U309" s="397">
        <f t="shared" si="51"/>
        <v>4.1723897596952302</v>
      </c>
      <c r="V309" s="397">
        <f t="shared" si="51"/>
        <v>4.0754538510520595</v>
      </c>
      <c r="W309" s="397">
        <f t="shared" si="51"/>
        <v>3.4602216749682242</v>
      </c>
      <c r="X309" s="397">
        <f t="shared" si="51"/>
        <v>3.4344683918618264</v>
      </c>
      <c r="Y309" s="397">
        <f t="shared" si="51"/>
        <v>3.1633228389206365</v>
      </c>
      <c r="Z309" s="397">
        <f t="shared" si="51"/>
        <v>3.4372944542200714</v>
      </c>
      <c r="AA309" s="397">
        <f t="shared" si="51"/>
        <v>3.7242598376707723</v>
      </c>
      <c r="AB309" s="397">
        <f t="shared" si="51"/>
        <v>4.0312773374037274</v>
      </c>
      <c r="AC309" s="397">
        <f t="shared" si="51"/>
        <v>4.3409947148465049</v>
      </c>
      <c r="AD309" s="397">
        <f t="shared" si="51"/>
        <v>4.3462921531603884</v>
      </c>
      <c r="AE309" s="398">
        <f t="shared" si="51"/>
        <v>4.302530836332255</v>
      </c>
      <c r="AF309" s="929" t="s">
        <v>217</v>
      </c>
      <c r="AG309" s="929"/>
      <c r="AH309" s="929"/>
      <c r="AI309" s="929"/>
      <c r="AJ309" s="1034" t="s">
        <v>597</v>
      </c>
    </row>
    <row r="310" spans="1:36" s="110" customFormat="1" ht="12.75" customHeight="1" outlineLevel="1">
      <c r="A310" s="553">
        <v>273</v>
      </c>
      <c r="D310" s="112"/>
      <c r="E310" s="296" t="s">
        <v>530</v>
      </c>
      <c r="F310" s="302"/>
      <c r="G310" s="302"/>
      <c r="H310" s="302"/>
      <c r="I310" s="302"/>
      <c r="J310" s="302"/>
      <c r="K310" s="302">
        <f t="shared" si="44"/>
        <v>5.6523825593931258E-2</v>
      </c>
      <c r="L310" s="302">
        <f t="shared" si="44"/>
        <v>0.15985948955445498</v>
      </c>
      <c r="M310" s="302">
        <f t="shared" si="45"/>
        <v>0.34380285129378069</v>
      </c>
      <c r="N310" s="360">
        <f t="shared" ref="N310:AE310" si="52">N283*(N234-N264)/1000-N173</f>
        <v>0.54191449460515329</v>
      </c>
      <c r="O310" s="1092">
        <f t="shared" si="52"/>
        <v>0.79846765924135776</v>
      </c>
      <c r="P310" s="399">
        <f t="shared" si="52"/>
        <v>1.0929147690033234</v>
      </c>
      <c r="Q310" s="399">
        <f t="shared" si="52"/>
        <v>1.4160866404763741</v>
      </c>
      <c r="R310" s="399">
        <f t="shared" si="52"/>
        <v>1.7671368144275414</v>
      </c>
      <c r="S310" s="399">
        <f t="shared" si="52"/>
        <v>2.0333828095337916</v>
      </c>
      <c r="T310" s="399">
        <f t="shared" si="52"/>
        <v>2.2309284829355893</v>
      </c>
      <c r="U310" s="399">
        <f t="shared" si="52"/>
        <v>2.4212784293823311</v>
      </c>
      <c r="V310" s="399">
        <f t="shared" si="52"/>
        <v>2.5904816033847977</v>
      </c>
      <c r="W310" s="399">
        <f t="shared" si="52"/>
        <v>2.7364313196367767</v>
      </c>
      <c r="X310" s="399">
        <f t="shared" si="52"/>
        <v>2.8783928039280111</v>
      </c>
      <c r="Y310" s="399">
        <f t="shared" si="52"/>
        <v>3.0164604727183035</v>
      </c>
      <c r="Z310" s="399">
        <f t="shared" si="52"/>
        <v>3.1507470337560299</v>
      </c>
      <c r="AA310" s="399">
        <f t="shared" si="52"/>
        <v>3.2814651525700644</v>
      </c>
      <c r="AB310" s="399">
        <f t="shared" si="52"/>
        <v>3.4086233758637685</v>
      </c>
      <c r="AC310" s="399">
        <f t="shared" si="52"/>
        <v>3.5321009646057062</v>
      </c>
      <c r="AD310" s="399">
        <f t="shared" si="52"/>
        <v>3.6520198912842603</v>
      </c>
      <c r="AE310" s="400">
        <f t="shared" si="52"/>
        <v>3.7692114360584315</v>
      </c>
      <c r="AF310" s="929" t="s">
        <v>217</v>
      </c>
      <c r="AG310" s="929"/>
      <c r="AH310" s="1034"/>
      <c r="AI310" s="1034"/>
      <c r="AJ310" s="1034" t="s">
        <v>597</v>
      </c>
    </row>
    <row r="311" spans="1:36" s="110" customFormat="1" ht="12.75" customHeight="1" outlineLevel="1">
      <c r="A311" s="553">
        <v>274</v>
      </c>
      <c r="D311" s="112"/>
      <c r="E311" s="27" t="s">
        <v>531</v>
      </c>
      <c r="F311" s="318"/>
      <c r="G311" s="318"/>
      <c r="H311" s="318"/>
      <c r="I311" s="318"/>
      <c r="J311" s="318"/>
      <c r="K311" s="318">
        <f t="shared" ref="K311:P311" si="53">SUM(K304:K310)</f>
        <v>0.98688177697112056</v>
      </c>
      <c r="L311" s="318">
        <f t="shared" si="53"/>
        <v>2.6820917683124956</v>
      </c>
      <c r="M311" s="318">
        <f t="shared" si="53"/>
        <v>4.4269143093852295</v>
      </c>
      <c r="N311" s="319">
        <f t="shared" si="53"/>
        <v>6.1372109030550277</v>
      </c>
      <c r="O311" s="615">
        <f t="shared" si="53"/>
        <v>7.5141224104260216</v>
      </c>
      <c r="P311" s="616">
        <f t="shared" si="53"/>
        <v>8.4850579677055897</v>
      </c>
      <c r="Q311" s="616">
        <f t="shared" ref="Q311:AE311" si="54">SUM(Q304:Q310)</f>
        <v>9.1065192527177619</v>
      </c>
      <c r="R311" s="616">
        <f t="shared" si="54"/>
        <v>9.7728079533930945</v>
      </c>
      <c r="S311" s="616">
        <f t="shared" si="54"/>
        <v>10.528072896287263</v>
      </c>
      <c r="T311" s="616">
        <f t="shared" si="54"/>
        <v>11.063889235438767</v>
      </c>
      <c r="U311" s="616">
        <f t="shared" si="54"/>
        <v>11.717152940884931</v>
      </c>
      <c r="V311" s="616">
        <f t="shared" si="54"/>
        <v>12.218430790801943</v>
      </c>
      <c r="W311" s="616">
        <f t="shared" si="54"/>
        <v>12.232947172646837</v>
      </c>
      <c r="X311" s="616">
        <f t="shared" si="54"/>
        <v>12.828838010047516</v>
      </c>
      <c r="Y311" s="616">
        <f t="shared" si="54"/>
        <v>13.169820766683497</v>
      </c>
      <c r="Z311" s="616">
        <f t="shared" si="54"/>
        <v>14.045681363768979</v>
      </c>
      <c r="AA311" s="616">
        <f t="shared" si="54"/>
        <v>14.924007680268543</v>
      </c>
      <c r="AB311" s="616">
        <f t="shared" si="54"/>
        <v>15.811548864201587</v>
      </c>
      <c r="AC311" s="616">
        <f t="shared" si="54"/>
        <v>16.690621990368975</v>
      </c>
      <c r="AD311" s="616">
        <f t="shared" si="54"/>
        <v>17.254085966426899</v>
      </c>
      <c r="AE311" s="617">
        <f t="shared" si="54"/>
        <v>17.763821498429625</v>
      </c>
      <c r="AF311" s="929"/>
      <c r="AG311" s="929"/>
      <c r="AH311" s="929"/>
      <c r="AI311" s="929"/>
      <c r="AJ311" s="1034"/>
    </row>
    <row r="312" spans="1:36" s="110" customFormat="1" ht="12.75" customHeight="1" outlineLevel="1">
      <c r="A312" s="553">
        <v>275</v>
      </c>
      <c r="C312" s="111"/>
      <c r="D312" s="112"/>
      <c r="E312" s="113"/>
      <c r="F312" s="305"/>
      <c r="G312" s="305"/>
      <c r="H312" s="305"/>
      <c r="I312" s="305"/>
      <c r="J312" s="305"/>
      <c r="K312" s="305"/>
      <c r="L312" s="305"/>
      <c r="M312" s="305"/>
      <c r="N312" s="345"/>
      <c r="O312" s="292"/>
      <c r="P312" s="305"/>
      <c r="Q312" s="305"/>
      <c r="R312" s="305"/>
      <c r="S312" s="305"/>
      <c r="T312" s="305"/>
      <c r="U312" s="305"/>
      <c r="V312" s="305"/>
      <c r="W312" s="305"/>
      <c r="X312" s="305"/>
      <c r="Y312" s="305"/>
      <c r="Z312" s="305"/>
      <c r="AA312" s="305"/>
      <c r="AB312" s="305"/>
      <c r="AC312" s="305"/>
      <c r="AD312" s="305"/>
      <c r="AE312" s="305"/>
      <c r="AF312" s="929"/>
      <c r="AG312" s="929"/>
      <c r="AH312" s="929"/>
      <c r="AI312" s="929"/>
      <c r="AJ312" s="1034"/>
    </row>
    <row r="313" spans="1:36" s="110" customFormat="1" ht="79.2" outlineLevel="1">
      <c r="A313" s="553">
        <v>276</v>
      </c>
      <c r="B313" s="294"/>
      <c r="C313" s="294"/>
      <c r="D313" s="33"/>
      <c r="E313" s="204" t="s">
        <v>548</v>
      </c>
      <c r="F313" s="305"/>
      <c r="G313" s="305"/>
      <c r="H313" s="305"/>
      <c r="I313" s="305"/>
      <c r="J313" s="305"/>
      <c r="K313" s="305"/>
      <c r="L313" s="305"/>
      <c r="M313" s="305"/>
      <c r="N313" s="345"/>
      <c r="O313" s="292"/>
      <c r="P313" s="305"/>
      <c r="Q313" s="305"/>
      <c r="R313" s="305"/>
      <c r="S313" s="305"/>
      <c r="T313" s="305"/>
      <c r="U313" s="305"/>
      <c r="V313" s="305"/>
      <c r="W313" s="305"/>
      <c r="X313" s="305"/>
      <c r="Y313" s="305"/>
      <c r="Z313" s="305"/>
      <c r="AA313" s="305"/>
      <c r="AB313" s="305"/>
      <c r="AC313" s="305"/>
      <c r="AD313" s="305"/>
      <c r="AE313" s="305"/>
      <c r="AF313" s="929" t="s">
        <v>163</v>
      </c>
      <c r="AG313" s="929"/>
      <c r="AH313" s="929"/>
      <c r="AI313" s="929"/>
      <c r="AJ313" s="1243" t="s">
        <v>598</v>
      </c>
    </row>
    <row r="314" spans="1:36" s="110" customFormat="1" ht="12.75" customHeight="1" outlineLevel="2">
      <c r="A314" s="553">
        <v>277</v>
      </c>
      <c r="B314" s="294"/>
      <c r="C314" s="294"/>
      <c r="D314" s="33"/>
      <c r="E314" s="314" t="s">
        <v>529</v>
      </c>
      <c r="F314" s="316">
        <f t="shared" ref="F314:M320" si="55">F140*(F111+F121)/1000 + F158*(F248+F258)/1000</f>
        <v>0.41396176000000001</v>
      </c>
      <c r="G314" s="316">
        <f t="shared" si="55"/>
        <v>0.16263688900000001</v>
      </c>
      <c r="H314" s="316">
        <f t="shared" si="55"/>
        <v>0.41207295941425998</v>
      </c>
      <c r="I314" s="316">
        <f t="shared" si="55"/>
        <v>0.48692010585074991</v>
      </c>
      <c r="J314" s="316">
        <f t="shared" si="55"/>
        <v>0.51080576769520003</v>
      </c>
      <c r="K314" s="316">
        <f t="shared" si="55"/>
        <v>0.55367710800000003</v>
      </c>
      <c r="L314" s="316">
        <f t="shared" si="55"/>
        <v>0.57915161100000001</v>
      </c>
      <c r="M314" s="316">
        <f t="shared" si="55"/>
        <v>0.59035525699999991</v>
      </c>
      <c r="N314" s="316">
        <f>N140*(N111+N121)/1000 + N158*(N248+N258)/1000</f>
        <v>0.50933458300000001</v>
      </c>
      <c r="O314" s="395">
        <f t="shared" ref="O314:AE314" si="56">O140*(O111+O121)/1000 + O158*(O248+O258)/1000</f>
        <v>0.56000223000000005</v>
      </c>
      <c r="P314" s="395">
        <f t="shared" si="56"/>
        <v>0.52196014299999993</v>
      </c>
      <c r="Q314" s="395">
        <f t="shared" si="56"/>
        <v>0.54223086899999995</v>
      </c>
      <c r="R314" s="395">
        <f t="shared" si="56"/>
        <v>0</v>
      </c>
      <c r="S314" s="395">
        <f t="shared" si="56"/>
        <v>0</v>
      </c>
      <c r="T314" s="395">
        <f t="shared" si="56"/>
        <v>0</v>
      </c>
      <c r="U314" s="395">
        <f t="shared" si="56"/>
        <v>0</v>
      </c>
      <c r="V314" s="395">
        <f t="shared" si="56"/>
        <v>0</v>
      </c>
      <c r="W314" s="395">
        <f t="shared" si="56"/>
        <v>0</v>
      </c>
      <c r="X314" s="395">
        <f t="shared" si="56"/>
        <v>0</v>
      </c>
      <c r="Y314" s="395">
        <f t="shared" si="56"/>
        <v>0</v>
      </c>
      <c r="Z314" s="395">
        <f t="shared" si="56"/>
        <v>0</v>
      </c>
      <c r="AA314" s="395">
        <f t="shared" si="56"/>
        <v>0</v>
      </c>
      <c r="AB314" s="395">
        <f t="shared" si="56"/>
        <v>0</v>
      </c>
      <c r="AC314" s="395">
        <f t="shared" si="56"/>
        <v>0</v>
      </c>
      <c r="AD314" s="395">
        <f t="shared" si="56"/>
        <v>0</v>
      </c>
      <c r="AE314" s="396">
        <f t="shared" si="56"/>
        <v>0</v>
      </c>
      <c r="AF314" s="929" t="s">
        <v>179</v>
      </c>
      <c r="AG314" s="929" t="s">
        <v>219</v>
      </c>
      <c r="AH314" s="929"/>
      <c r="AI314" s="929"/>
      <c r="AJ314" s="1034"/>
    </row>
    <row r="315" spans="1:36" s="110" customFormat="1" ht="12.75" customHeight="1" outlineLevel="2">
      <c r="A315" s="553">
        <v>278</v>
      </c>
      <c r="B315" s="294"/>
      <c r="C315" s="294"/>
      <c r="D315" s="33"/>
      <c r="E315" s="16" t="s">
        <v>349</v>
      </c>
      <c r="F315" s="325">
        <f t="shared" si="55"/>
        <v>0.12953265</v>
      </c>
      <c r="G315" s="325">
        <f t="shared" si="55"/>
        <v>1.4075396E-2</v>
      </c>
      <c r="H315" s="325">
        <f t="shared" si="55"/>
        <v>5.2400481459999995E-2</v>
      </c>
      <c r="I315" s="325">
        <f t="shared" si="55"/>
        <v>0.10797205039999999</v>
      </c>
      <c r="J315" s="325">
        <f t="shared" si="55"/>
        <v>6.3886050243399994E-2</v>
      </c>
      <c r="K315" s="325">
        <f t="shared" si="55"/>
        <v>0.11697941100000001</v>
      </c>
      <c r="L315" s="325">
        <f t="shared" si="55"/>
        <v>0.11299272400000002</v>
      </c>
      <c r="M315" s="325">
        <f t="shared" si="55"/>
        <v>9.5978957999999989E-2</v>
      </c>
      <c r="N315" s="325">
        <f t="shared" ref="N315:N320" si="57">N141*(N112+N122)/1000 + N159*(N249+N259)/1000</f>
        <v>9.0931739999999997E-2</v>
      </c>
      <c r="O315" s="397">
        <f t="shared" ref="O315:AE315" si="58">O141*(O112+O122)/1000 + O159*(O249+O259)/1000</f>
        <v>8.8120348999999987E-2</v>
      </c>
      <c r="P315" s="397">
        <f t="shared" si="58"/>
        <v>6.8837204999999999E-2</v>
      </c>
      <c r="Q315" s="397">
        <f t="shared" si="58"/>
        <v>6.0752625999999997E-2</v>
      </c>
      <c r="R315" s="397">
        <f t="shared" si="58"/>
        <v>0</v>
      </c>
      <c r="S315" s="397">
        <f t="shared" si="58"/>
        <v>0</v>
      </c>
      <c r="T315" s="397">
        <f t="shared" si="58"/>
        <v>0</v>
      </c>
      <c r="U315" s="397">
        <f t="shared" si="58"/>
        <v>0</v>
      </c>
      <c r="V315" s="397">
        <f t="shared" si="58"/>
        <v>0</v>
      </c>
      <c r="W315" s="397">
        <f t="shared" si="58"/>
        <v>0</v>
      </c>
      <c r="X315" s="397">
        <f t="shared" si="58"/>
        <v>0</v>
      </c>
      <c r="Y315" s="397">
        <f t="shared" si="58"/>
        <v>0</v>
      </c>
      <c r="Z315" s="397">
        <f t="shared" si="58"/>
        <v>0</v>
      </c>
      <c r="AA315" s="397">
        <f t="shared" si="58"/>
        <v>0</v>
      </c>
      <c r="AB315" s="397">
        <f t="shared" si="58"/>
        <v>0</v>
      </c>
      <c r="AC315" s="397">
        <f t="shared" si="58"/>
        <v>0</v>
      </c>
      <c r="AD315" s="397">
        <f t="shared" si="58"/>
        <v>0</v>
      </c>
      <c r="AE315" s="398">
        <f t="shared" si="58"/>
        <v>0</v>
      </c>
      <c r="AF315" s="929" t="s">
        <v>179</v>
      </c>
      <c r="AG315" s="929" t="s">
        <v>219</v>
      </c>
      <c r="AH315" s="929"/>
      <c r="AI315" s="929"/>
      <c r="AJ315" s="1034"/>
    </row>
    <row r="316" spans="1:36" s="110" customFormat="1" ht="12.75" customHeight="1" outlineLevel="2">
      <c r="A316" s="553">
        <v>279</v>
      </c>
      <c r="B316" s="294"/>
      <c r="C316" s="294"/>
      <c r="D316" s="33"/>
      <c r="E316" s="16" t="s">
        <v>11</v>
      </c>
      <c r="F316" s="325">
        <f t="shared" si="55"/>
        <v>3.9508552800000003</v>
      </c>
      <c r="G316" s="325">
        <f t="shared" si="55"/>
        <v>4.2497729089999998</v>
      </c>
      <c r="H316" s="325">
        <f t="shared" si="55"/>
        <v>5.0895666185599993</v>
      </c>
      <c r="I316" s="325">
        <f t="shared" si="55"/>
        <v>6.0503774180499983</v>
      </c>
      <c r="J316" s="325">
        <f t="shared" si="55"/>
        <v>6.4394082612499988</v>
      </c>
      <c r="K316" s="325">
        <f t="shared" si="55"/>
        <v>7.1272603240000008</v>
      </c>
      <c r="L316" s="325">
        <f t="shared" si="55"/>
        <v>7.5257682859999999</v>
      </c>
      <c r="M316" s="325">
        <f t="shared" si="55"/>
        <v>7.6880897129999992</v>
      </c>
      <c r="N316" s="325">
        <f t="shared" si="57"/>
        <v>7.9379307329999991</v>
      </c>
      <c r="O316" s="397">
        <f t="shared" ref="O316:AE316" si="59">O142*(O113+O123)/1000 + O160*(O250+O260)/1000</f>
        <v>8.0948488320000003</v>
      </c>
      <c r="P316" s="397">
        <f t="shared" si="59"/>
        <v>8.0244355190000007</v>
      </c>
      <c r="Q316" s="397">
        <f t="shared" si="59"/>
        <v>7.9354001729999988</v>
      </c>
      <c r="R316" s="397">
        <f t="shared" si="59"/>
        <v>0</v>
      </c>
      <c r="S316" s="397">
        <f t="shared" si="59"/>
        <v>0</v>
      </c>
      <c r="T316" s="397">
        <f t="shared" si="59"/>
        <v>0</v>
      </c>
      <c r="U316" s="397">
        <f t="shared" si="59"/>
        <v>0</v>
      </c>
      <c r="V316" s="397">
        <f t="shared" si="59"/>
        <v>0</v>
      </c>
      <c r="W316" s="397">
        <f t="shared" si="59"/>
        <v>0</v>
      </c>
      <c r="X316" s="397">
        <f t="shared" si="59"/>
        <v>0</v>
      </c>
      <c r="Y316" s="397">
        <f t="shared" si="59"/>
        <v>0</v>
      </c>
      <c r="Z316" s="397">
        <f t="shared" si="59"/>
        <v>0</v>
      </c>
      <c r="AA316" s="397">
        <f t="shared" si="59"/>
        <v>0</v>
      </c>
      <c r="AB316" s="397">
        <f t="shared" si="59"/>
        <v>0</v>
      </c>
      <c r="AC316" s="397">
        <f t="shared" si="59"/>
        <v>0</v>
      </c>
      <c r="AD316" s="397">
        <f t="shared" si="59"/>
        <v>0</v>
      </c>
      <c r="AE316" s="398">
        <f t="shared" si="59"/>
        <v>0</v>
      </c>
      <c r="AF316" s="929" t="s">
        <v>179</v>
      </c>
      <c r="AG316" s="929" t="s">
        <v>219</v>
      </c>
      <c r="AH316" s="929"/>
      <c r="AI316" s="929"/>
      <c r="AJ316" s="1034"/>
    </row>
    <row r="317" spans="1:36" s="110" customFormat="1" ht="12.75" customHeight="1" outlineLevel="2">
      <c r="A317" s="553">
        <v>280</v>
      </c>
      <c r="B317" s="294"/>
      <c r="C317" s="294"/>
      <c r="D317" s="33"/>
      <c r="E317" s="16" t="s">
        <v>10</v>
      </c>
      <c r="F317" s="325">
        <f t="shared" si="55"/>
        <v>5.3999999999999994E-3</v>
      </c>
      <c r="G317" s="325">
        <f t="shared" si="55"/>
        <v>1.3090355999999999E-2</v>
      </c>
      <c r="H317" s="325">
        <f t="shared" si="55"/>
        <v>2.3729284699999999E-2</v>
      </c>
      <c r="I317" s="325">
        <f t="shared" si="55"/>
        <v>1.8123731000000001E-2</v>
      </c>
      <c r="J317" s="325">
        <f t="shared" si="55"/>
        <v>3.1732540359999999E-2</v>
      </c>
      <c r="K317" s="325">
        <f t="shared" si="55"/>
        <v>3.8942879E-2</v>
      </c>
      <c r="L317" s="325">
        <f t="shared" si="55"/>
        <v>4.3986963000000004E-2</v>
      </c>
      <c r="M317" s="325">
        <f t="shared" si="55"/>
        <v>4.6891084999999992E-2</v>
      </c>
      <c r="N317" s="325">
        <f t="shared" si="57"/>
        <v>4.9615844000000006E-2</v>
      </c>
      <c r="O317" s="397">
        <f t="shared" ref="O317:AE317" si="60">O143*(O114+O124)/1000 + O161*(O251+O261)/1000</f>
        <v>5.7536446999999998E-2</v>
      </c>
      <c r="P317" s="397">
        <f t="shared" si="60"/>
        <v>4.2243857000000003E-2</v>
      </c>
      <c r="Q317" s="397">
        <f t="shared" si="60"/>
        <v>5.3254587999999999E-2</v>
      </c>
      <c r="R317" s="397">
        <f t="shared" si="60"/>
        <v>0</v>
      </c>
      <c r="S317" s="397">
        <f t="shared" si="60"/>
        <v>0</v>
      </c>
      <c r="T317" s="397">
        <f t="shared" si="60"/>
        <v>0</v>
      </c>
      <c r="U317" s="397">
        <f t="shared" si="60"/>
        <v>0</v>
      </c>
      <c r="V317" s="397">
        <f t="shared" si="60"/>
        <v>0</v>
      </c>
      <c r="W317" s="397">
        <f t="shared" si="60"/>
        <v>0</v>
      </c>
      <c r="X317" s="397">
        <f t="shared" si="60"/>
        <v>0</v>
      </c>
      <c r="Y317" s="397">
        <f t="shared" si="60"/>
        <v>0</v>
      </c>
      <c r="Z317" s="397">
        <f t="shared" si="60"/>
        <v>0</v>
      </c>
      <c r="AA317" s="397">
        <f t="shared" si="60"/>
        <v>0</v>
      </c>
      <c r="AB317" s="397">
        <f t="shared" si="60"/>
        <v>0</v>
      </c>
      <c r="AC317" s="397">
        <f t="shared" si="60"/>
        <v>0</v>
      </c>
      <c r="AD317" s="397">
        <f t="shared" si="60"/>
        <v>0</v>
      </c>
      <c r="AE317" s="398">
        <f t="shared" si="60"/>
        <v>0</v>
      </c>
      <c r="AF317" s="929" t="s">
        <v>179</v>
      </c>
      <c r="AG317" s="929" t="s">
        <v>219</v>
      </c>
      <c r="AH317" s="929"/>
      <c r="AI317" s="929"/>
      <c r="AJ317" s="1034"/>
    </row>
    <row r="318" spans="1:36" s="110" customFormat="1" ht="12.75" customHeight="1" outlineLevel="2">
      <c r="A318" s="553">
        <v>281</v>
      </c>
      <c r="B318" s="294"/>
      <c r="C318" s="294"/>
      <c r="D318" s="33"/>
      <c r="E318" s="16" t="s">
        <v>339</v>
      </c>
      <c r="F318" s="325">
        <f t="shared" si="55"/>
        <v>4.1869800800000005</v>
      </c>
      <c r="G318" s="325">
        <f t="shared" si="55"/>
        <v>4.4946196810000005</v>
      </c>
      <c r="H318" s="325">
        <f t="shared" si="55"/>
        <v>4.3533828439027991</v>
      </c>
      <c r="I318" s="325">
        <f t="shared" si="55"/>
        <v>5.3593675109834491</v>
      </c>
      <c r="J318" s="325">
        <f t="shared" si="55"/>
        <v>6.1037070259736002</v>
      </c>
      <c r="K318" s="325">
        <f t="shared" si="55"/>
        <v>6.2107977910000001</v>
      </c>
      <c r="L318" s="325">
        <f t="shared" si="55"/>
        <v>6.9356407530000004</v>
      </c>
      <c r="M318" s="325">
        <f t="shared" si="55"/>
        <v>7.2198882399999995</v>
      </c>
      <c r="N318" s="325">
        <f t="shared" si="57"/>
        <v>7.9691562089999985</v>
      </c>
      <c r="O318" s="397">
        <f t="shared" ref="O318:AE318" si="61">O144*(O115+O125)/1000 + O162*(O252+O262)/1000</f>
        <v>8.759169442000001</v>
      </c>
      <c r="P318" s="397">
        <f t="shared" si="61"/>
        <v>8.6681318550000004</v>
      </c>
      <c r="Q318" s="397">
        <f t="shared" si="61"/>
        <v>8.7232046370000003</v>
      </c>
      <c r="R318" s="397">
        <f t="shared" si="61"/>
        <v>0</v>
      </c>
      <c r="S318" s="397">
        <f t="shared" si="61"/>
        <v>0</v>
      </c>
      <c r="T318" s="397">
        <f t="shared" si="61"/>
        <v>0</v>
      </c>
      <c r="U318" s="397">
        <f t="shared" si="61"/>
        <v>0</v>
      </c>
      <c r="V318" s="397">
        <f t="shared" si="61"/>
        <v>0</v>
      </c>
      <c r="W318" s="397">
        <f t="shared" si="61"/>
        <v>0</v>
      </c>
      <c r="X318" s="397">
        <f t="shared" si="61"/>
        <v>0</v>
      </c>
      <c r="Y318" s="397">
        <f t="shared" si="61"/>
        <v>0</v>
      </c>
      <c r="Z318" s="397">
        <f t="shared" si="61"/>
        <v>0</v>
      </c>
      <c r="AA318" s="397">
        <f t="shared" si="61"/>
        <v>0</v>
      </c>
      <c r="AB318" s="397">
        <f t="shared" si="61"/>
        <v>0</v>
      </c>
      <c r="AC318" s="397">
        <f t="shared" si="61"/>
        <v>0</v>
      </c>
      <c r="AD318" s="397">
        <f t="shared" si="61"/>
        <v>0</v>
      </c>
      <c r="AE318" s="398">
        <f t="shared" si="61"/>
        <v>0</v>
      </c>
      <c r="AF318" s="929" t="s">
        <v>179</v>
      </c>
      <c r="AG318" s="929" t="s">
        <v>219</v>
      </c>
      <c r="AH318" s="929"/>
      <c r="AI318" s="929"/>
      <c r="AJ318" s="1034"/>
    </row>
    <row r="319" spans="1:36" s="110" customFormat="1" ht="12.75" customHeight="1" outlineLevel="2">
      <c r="A319" s="553">
        <v>282</v>
      </c>
      <c r="B319" s="294"/>
      <c r="C319" s="294"/>
      <c r="D319" s="33"/>
      <c r="E319" s="16" t="s">
        <v>340</v>
      </c>
      <c r="F319" s="325">
        <f t="shared" si="55"/>
        <v>9.8100000000000007E-2</v>
      </c>
      <c r="G319" s="325">
        <f t="shared" si="55"/>
        <v>0.17201868399999998</v>
      </c>
      <c r="H319" s="325">
        <f t="shared" si="55"/>
        <v>0.21721885938639998</v>
      </c>
      <c r="I319" s="325">
        <f t="shared" si="55"/>
        <v>0.47161680655509991</v>
      </c>
      <c r="J319" s="325">
        <f t="shared" si="55"/>
        <v>1.4138436736538</v>
      </c>
      <c r="K319" s="325">
        <f t="shared" si="55"/>
        <v>2.0468048479999998</v>
      </c>
      <c r="L319" s="325">
        <f t="shared" si="55"/>
        <v>2.8240475410000001</v>
      </c>
      <c r="M319" s="325">
        <f t="shared" si="55"/>
        <v>3.640805179</v>
      </c>
      <c r="N319" s="325">
        <f t="shared" si="57"/>
        <v>4.1951680539999998</v>
      </c>
      <c r="O319" s="397">
        <f t="shared" ref="O319:AE319" si="62">O145*(O116+O126)/1000 + O163*(O253+O263)/1000</f>
        <v>4.9603236049999992</v>
      </c>
      <c r="P319" s="397">
        <f t="shared" si="62"/>
        <v>5.5274199179999997</v>
      </c>
      <c r="Q319" s="397">
        <f t="shared" si="62"/>
        <v>5.4945598640000002</v>
      </c>
      <c r="R319" s="397">
        <f t="shared" si="62"/>
        <v>0</v>
      </c>
      <c r="S319" s="397">
        <f t="shared" si="62"/>
        <v>0</v>
      </c>
      <c r="T319" s="397">
        <f t="shared" si="62"/>
        <v>0</v>
      </c>
      <c r="U319" s="397">
        <f t="shared" si="62"/>
        <v>0</v>
      </c>
      <c r="V319" s="397">
        <f t="shared" si="62"/>
        <v>0</v>
      </c>
      <c r="W319" s="397">
        <f t="shared" si="62"/>
        <v>0</v>
      </c>
      <c r="X319" s="397">
        <f t="shared" si="62"/>
        <v>0</v>
      </c>
      <c r="Y319" s="397">
        <f t="shared" si="62"/>
        <v>0</v>
      </c>
      <c r="Z319" s="397">
        <f t="shared" si="62"/>
        <v>0</v>
      </c>
      <c r="AA319" s="397">
        <f t="shared" si="62"/>
        <v>0</v>
      </c>
      <c r="AB319" s="397">
        <f t="shared" si="62"/>
        <v>0</v>
      </c>
      <c r="AC319" s="397">
        <f t="shared" si="62"/>
        <v>0</v>
      </c>
      <c r="AD319" s="397">
        <f t="shared" si="62"/>
        <v>0</v>
      </c>
      <c r="AE319" s="398">
        <f t="shared" si="62"/>
        <v>0</v>
      </c>
      <c r="AF319" s="929" t="s">
        <v>179</v>
      </c>
      <c r="AG319" s="929" t="s">
        <v>219</v>
      </c>
      <c r="AH319" s="929"/>
      <c r="AI319" s="929"/>
      <c r="AJ319" s="1034"/>
    </row>
    <row r="320" spans="1:36" s="110" customFormat="1" ht="12.75" customHeight="1" outlineLevel="2">
      <c r="A320" s="553">
        <v>283</v>
      </c>
      <c r="B320" s="294"/>
      <c r="C320" s="294"/>
      <c r="D320" s="33"/>
      <c r="E320" s="296" t="s">
        <v>530</v>
      </c>
      <c r="F320" s="302">
        <f t="shared" si="55"/>
        <v>3.8826109599999996</v>
      </c>
      <c r="G320" s="302">
        <f t="shared" si="55"/>
        <v>8.0206210149999997</v>
      </c>
      <c r="H320" s="302">
        <f t="shared" si="55"/>
        <v>8.7892939436962809</v>
      </c>
      <c r="I320" s="302">
        <f t="shared" si="55"/>
        <v>10.302513792381449</v>
      </c>
      <c r="J320" s="302">
        <f t="shared" si="55"/>
        <v>10.72971006440835</v>
      </c>
      <c r="K320" s="302">
        <f t="shared" si="55"/>
        <v>10.923066114952057</v>
      </c>
      <c r="L320" s="302">
        <f t="shared" si="55"/>
        <v>10.735911319917781</v>
      </c>
      <c r="M320" s="302">
        <f t="shared" si="55"/>
        <v>10.320140253857772</v>
      </c>
      <c r="N320" s="302">
        <f t="shared" si="57"/>
        <v>10.72894793155249</v>
      </c>
      <c r="O320" s="399">
        <f t="shared" ref="O320:AE320" si="63">O146*(O117+O127)/1000 + O164*(O254+O264)/1000</f>
        <v>10.639445488215626</v>
      </c>
      <c r="P320" s="399">
        <f t="shared" si="63"/>
        <v>10.782439468358969</v>
      </c>
      <c r="Q320" s="399">
        <f t="shared" si="63"/>
        <v>11.141078596605631</v>
      </c>
      <c r="R320" s="399">
        <f t="shared" si="63"/>
        <v>0</v>
      </c>
      <c r="S320" s="399">
        <f t="shared" si="63"/>
        <v>0</v>
      </c>
      <c r="T320" s="399">
        <f t="shared" si="63"/>
        <v>0</v>
      </c>
      <c r="U320" s="399">
        <f t="shared" si="63"/>
        <v>0</v>
      </c>
      <c r="V320" s="399">
        <f t="shared" si="63"/>
        <v>0</v>
      </c>
      <c r="W320" s="399">
        <f t="shared" si="63"/>
        <v>0</v>
      </c>
      <c r="X320" s="399">
        <f t="shared" si="63"/>
        <v>0</v>
      </c>
      <c r="Y320" s="399">
        <f t="shared" si="63"/>
        <v>0</v>
      </c>
      <c r="Z320" s="399">
        <f t="shared" si="63"/>
        <v>0</v>
      </c>
      <c r="AA320" s="399">
        <f t="shared" si="63"/>
        <v>0</v>
      </c>
      <c r="AB320" s="399">
        <f t="shared" si="63"/>
        <v>0</v>
      </c>
      <c r="AC320" s="399">
        <f t="shared" si="63"/>
        <v>0</v>
      </c>
      <c r="AD320" s="399">
        <f t="shared" si="63"/>
        <v>0</v>
      </c>
      <c r="AE320" s="400">
        <f t="shared" si="63"/>
        <v>0</v>
      </c>
      <c r="AF320" s="929" t="s">
        <v>179</v>
      </c>
      <c r="AG320" s="929" t="s">
        <v>219</v>
      </c>
      <c r="AH320" s="929"/>
      <c r="AI320" s="929"/>
      <c r="AJ320" s="1034"/>
    </row>
    <row r="321" spans="1:36" s="110" customFormat="1" ht="12.75" customHeight="1" outlineLevel="1">
      <c r="A321" s="553">
        <v>284</v>
      </c>
      <c r="C321" s="111"/>
      <c r="D321" s="112"/>
      <c r="E321" s="27" t="s">
        <v>531</v>
      </c>
      <c r="F321" s="318">
        <f t="shared" ref="F321:K321" si="64">SUM(F314:F320)</f>
        <v>12.667440729999999</v>
      </c>
      <c r="G321" s="318">
        <f t="shared" si="64"/>
        <v>17.126834930000001</v>
      </c>
      <c r="H321" s="318">
        <f t="shared" si="64"/>
        <v>18.937664991119739</v>
      </c>
      <c r="I321" s="318">
        <f t="shared" si="64"/>
        <v>22.796891415220745</v>
      </c>
      <c r="J321" s="318">
        <f t="shared" si="64"/>
        <v>25.293093383584349</v>
      </c>
      <c r="K321" s="318">
        <f t="shared" si="64"/>
        <v>27.017528475952059</v>
      </c>
      <c r="L321" s="318">
        <f t="shared" ref="L321:AE321" si="65">SUM(L314:L320)</f>
        <v>28.757499197917781</v>
      </c>
      <c r="M321" s="318">
        <f t="shared" si="65"/>
        <v>29.60214868585777</v>
      </c>
      <c r="N321" s="318">
        <f t="shared" si="65"/>
        <v>31.481085094552487</v>
      </c>
      <c r="O321" s="318">
        <f t="shared" si="65"/>
        <v>33.159446393215632</v>
      </c>
      <c r="P321" s="318">
        <f t="shared" si="65"/>
        <v>33.63546796535897</v>
      </c>
      <c r="Q321" s="318">
        <f t="shared" si="65"/>
        <v>33.950481353605625</v>
      </c>
      <c r="R321" s="318">
        <f t="shared" si="65"/>
        <v>0</v>
      </c>
      <c r="S321" s="318">
        <f t="shared" si="65"/>
        <v>0</v>
      </c>
      <c r="T321" s="318">
        <f t="shared" si="65"/>
        <v>0</v>
      </c>
      <c r="U321" s="318">
        <f t="shared" si="65"/>
        <v>0</v>
      </c>
      <c r="V321" s="318">
        <f t="shared" si="65"/>
        <v>0</v>
      </c>
      <c r="W321" s="318">
        <f t="shared" si="65"/>
        <v>0</v>
      </c>
      <c r="X321" s="318">
        <f t="shared" si="65"/>
        <v>0</v>
      </c>
      <c r="Y321" s="318">
        <f t="shared" si="65"/>
        <v>0</v>
      </c>
      <c r="Z321" s="318">
        <f t="shared" si="65"/>
        <v>0</v>
      </c>
      <c r="AA321" s="318">
        <f t="shared" si="65"/>
        <v>0</v>
      </c>
      <c r="AB321" s="318">
        <f t="shared" si="65"/>
        <v>0</v>
      </c>
      <c r="AC321" s="318">
        <f t="shared" si="65"/>
        <v>0</v>
      </c>
      <c r="AD321" s="318">
        <f t="shared" si="65"/>
        <v>0</v>
      </c>
      <c r="AE321" s="318">
        <f t="shared" si="65"/>
        <v>0</v>
      </c>
      <c r="AF321" s="929"/>
      <c r="AG321" s="929"/>
      <c r="AH321" s="929"/>
      <c r="AI321" s="929"/>
      <c r="AJ321" s="1034"/>
    </row>
    <row r="322" spans="1:36" s="294" customFormat="1" ht="12.75" customHeight="1" outlineLevel="1">
      <c r="A322" s="553">
        <v>285</v>
      </c>
      <c r="B322" s="110"/>
      <c r="C322" s="111"/>
      <c r="D322" s="112"/>
      <c r="F322" s="324"/>
      <c r="G322" s="324"/>
      <c r="H322" s="324"/>
      <c r="I322" s="324"/>
      <c r="J322" s="324"/>
      <c r="K322" s="324"/>
      <c r="L322" s="324"/>
      <c r="M322" s="324"/>
      <c r="N322" s="342"/>
      <c r="O322" s="289"/>
      <c r="P322" s="324"/>
      <c r="Q322" s="324"/>
      <c r="R322" s="324"/>
      <c r="S322" s="324"/>
      <c r="T322" s="324"/>
      <c r="U322" s="324"/>
      <c r="V322" s="324"/>
      <c r="W322" s="324"/>
      <c r="X322" s="324"/>
      <c r="Y322" s="324"/>
      <c r="Z322" s="324"/>
      <c r="AA322" s="324"/>
      <c r="AB322" s="324"/>
      <c r="AC322" s="324"/>
      <c r="AD322" s="324"/>
      <c r="AE322" s="324"/>
      <c r="AF322" s="929"/>
      <c r="AG322" s="929"/>
      <c r="AH322" s="929"/>
      <c r="AI322" s="929"/>
      <c r="AJ322" s="1034"/>
    </row>
    <row r="323" spans="1:36" s="110" customFormat="1" ht="39" customHeight="1" outlineLevel="1">
      <c r="A323" s="553">
        <v>286</v>
      </c>
      <c r="C323" s="111"/>
      <c r="D323" s="112"/>
      <c r="E323" s="204" t="s">
        <v>549</v>
      </c>
      <c r="F323" s="305"/>
      <c r="G323" s="305"/>
      <c r="H323" s="305"/>
      <c r="I323" s="305"/>
      <c r="J323" s="305"/>
      <c r="K323" s="305"/>
      <c r="L323" s="305"/>
      <c r="M323" s="305"/>
      <c r="N323" s="345"/>
      <c r="O323" s="292"/>
      <c r="P323" s="305"/>
      <c r="Q323" s="305"/>
      <c r="R323" s="305"/>
      <c r="S323" s="305"/>
      <c r="T323" s="305"/>
      <c r="U323" s="305"/>
      <c r="V323" s="305"/>
      <c r="W323" s="305"/>
      <c r="X323" s="305"/>
      <c r="Y323" s="305"/>
      <c r="Z323" s="305"/>
      <c r="AA323" s="305"/>
      <c r="AB323" s="305"/>
      <c r="AC323" s="305"/>
      <c r="AD323" s="305"/>
      <c r="AE323" s="305"/>
      <c r="AF323" s="929" t="s">
        <v>142</v>
      </c>
      <c r="AG323" s="929"/>
      <c r="AH323" s="929"/>
      <c r="AI323" s="929"/>
      <c r="AJ323" s="1034"/>
    </row>
    <row r="324" spans="1:36" s="110" customFormat="1" ht="12.75" customHeight="1" outlineLevel="2">
      <c r="A324" s="553">
        <v>287</v>
      </c>
      <c r="C324" s="111"/>
      <c r="D324" s="112"/>
      <c r="E324" s="314" t="s">
        <v>529</v>
      </c>
      <c r="F324" s="316"/>
      <c r="G324" s="316"/>
      <c r="H324" s="316"/>
      <c r="I324" s="316"/>
      <c r="J324" s="316"/>
      <c r="K324" s="316"/>
      <c r="L324" s="395">
        <f>'D-Managementprämie_Bestand'!M6*L26</f>
        <v>6.9887108857582857E-3</v>
      </c>
      <c r="M324" s="395">
        <f>'D-Managementprämie_Bestand'!N6*M26</f>
        <v>5.5313413170660648E-3</v>
      </c>
      <c r="N324" s="395">
        <f>'D-Managementprämie_Bestand'!O6*N26</f>
        <v>5.8475168045815252E-3</v>
      </c>
      <c r="O324" s="395">
        <f>'D-Managementprämie_Bestand'!P6</f>
        <v>0</v>
      </c>
      <c r="P324" s="395">
        <f>'D-Managementprämie_Bestand'!Q6</f>
        <v>0</v>
      </c>
      <c r="Q324" s="395">
        <f>'D-Managementprämie_Bestand'!R6</f>
        <v>0</v>
      </c>
      <c r="R324" s="395">
        <f>'D-Managementprämie_Bestand'!S6</f>
        <v>5.8475168045815252E-3</v>
      </c>
      <c r="S324" s="395">
        <f>'D-Managementprämie_Bestand'!T6</f>
        <v>5.7611003000803207E-3</v>
      </c>
      <c r="T324" s="395">
        <f>'D-Managementprämie_Bestand'!U6</f>
        <v>5.6759608867786426E-3</v>
      </c>
      <c r="U324" s="395">
        <f>'D-Managementprämie_Bestand'!V6</f>
        <v>5.59207969140753E-3</v>
      </c>
      <c r="V324" s="395">
        <f>'D-Managementprämie_Bestand'!W6</f>
        <v>5.5094381196133316E-3</v>
      </c>
      <c r="W324" s="395">
        <f>'D-Managementprämie_Bestand'!X6</f>
        <v>5.4280178518357949E-3</v>
      </c>
      <c r="X324" s="395">
        <f>'D-Managementprämie_Bestand'!Y6</f>
        <v>5.3478008392470891E-3</v>
      </c>
      <c r="Y324" s="395">
        <f>'D-Managementprämie_Bestand'!Z6</f>
        <v>5.2687692997508279E-3</v>
      </c>
      <c r="Z324" s="395">
        <f>'D-Managementprämie_Bestand'!AA6</f>
        <v>5.1909057140402245E-3</v>
      </c>
      <c r="AA324" s="395">
        <f>'D-Managementprämie_Bestand'!AB6</f>
        <v>5.1141928217145081E-3</v>
      </c>
      <c r="AB324" s="395">
        <f>'D-Managementprämie_Bestand'!AC6</f>
        <v>5.0386136174527174E-3</v>
      </c>
      <c r="AC324" s="395">
        <f>'D-Managementprämie_Bestand'!AD6</f>
        <v>4.9641513472440564E-3</v>
      </c>
      <c r="AD324" s="395">
        <f>'D-Managementprämie_Bestand'!AE6</f>
        <v>4.890789504673948E-3</v>
      </c>
      <c r="AE324" s="395">
        <f>'D-Managementprämie_Bestand'!AF6</f>
        <v>4.8185118272649737E-3</v>
      </c>
      <c r="AF324" s="929" t="s">
        <v>142</v>
      </c>
      <c r="AG324" s="929"/>
      <c r="AH324" s="929"/>
      <c r="AI324" s="929"/>
      <c r="AJ324" s="1034" t="s">
        <v>599</v>
      </c>
    </row>
    <row r="325" spans="1:36" s="110" customFormat="1" ht="12.75" customHeight="1" outlineLevel="2">
      <c r="A325" s="553">
        <v>288</v>
      </c>
      <c r="C325" s="111"/>
      <c r="D325" s="112"/>
      <c r="E325" s="16" t="s">
        <v>349</v>
      </c>
      <c r="F325" s="325"/>
      <c r="G325" s="325"/>
      <c r="H325" s="325"/>
      <c r="I325" s="325"/>
      <c r="J325" s="325"/>
      <c r="K325" s="325"/>
      <c r="L325" s="397">
        <f>'D-Managementprämie_Bestand'!M7*L27</f>
        <v>0</v>
      </c>
      <c r="M325" s="397">
        <f>'D-Managementprämie_Bestand'!N7*M27</f>
        <v>0</v>
      </c>
      <c r="N325" s="397">
        <f>'D-Managementprämie_Bestand'!O7*N27</f>
        <v>0</v>
      </c>
      <c r="O325" s="397">
        <f>'D-Managementprämie_Bestand'!P7</f>
        <v>0</v>
      </c>
      <c r="P325" s="397">
        <f>'D-Managementprämie_Bestand'!Q7</f>
        <v>0</v>
      </c>
      <c r="Q325" s="397">
        <f>'D-Managementprämie_Bestand'!R7</f>
        <v>0</v>
      </c>
      <c r="R325" s="397">
        <f>'D-Managementprämie_Bestand'!S7</f>
        <v>1.7597204494163902E-3</v>
      </c>
      <c r="S325" s="397">
        <f>'D-Managementprämie_Bestand'!T7</f>
        <v>1.7337147284890546E-3</v>
      </c>
      <c r="T325" s="397">
        <f>'D-Managementprämie_Bestand'!U7</f>
        <v>1.708093328560645E-3</v>
      </c>
      <c r="U325" s="397">
        <f>'D-Managementprämie_Bestand'!V7</f>
        <v>1.6828505700104879E-3</v>
      </c>
      <c r="V325" s="397">
        <f>'D-Managementprämie_Bestand'!W7</f>
        <v>1.6579808571531905E-3</v>
      </c>
      <c r="W325" s="397">
        <f>'D-Managementprämie_Bestand'!X7</f>
        <v>1.6334786769982175E-3</v>
      </c>
      <c r="X325" s="397">
        <f>'D-Managementprämie_Bestand'!Y7</f>
        <v>1.6093385980278005E-3</v>
      </c>
      <c r="Y325" s="397">
        <f>'D-Managementprämie_Bestand'!Z7</f>
        <v>1.5855552689929072E-3</v>
      </c>
      <c r="Z325" s="397">
        <f>'D-Managementprämie_Bestand'!AA7</f>
        <v>1.5621234177270024E-3</v>
      </c>
      <c r="AA325" s="397">
        <f>'D-Managementprämie_Bestand'!AB7</f>
        <v>1.5390378499773422E-3</v>
      </c>
      <c r="AB325" s="397">
        <f>'D-Managementprämie_Bestand'!AC7</f>
        <v>1.5162934482535393E-3</v>
      </c>
      <c r="AC325" s="397">
        <f>'D-Managementprämie_Bestand'!AD7</f>
        <v>1.4938851706931423E-3</v>
      </c>
      <c r="AD325" s="397">
        <f>'D-Managementprämie_Bestand'!AE7</f>
        <v>1.4718080499439826E-3</v>
      </c>
      <c r="AE325" s="397">
        <f>'D-Managementprämie_Bestand'!AF7</f>
        <v>1.4500571920630374E-3</v>
      </c>
      <c r="AF325" s="929" t="s">
        <v>142</v>
      </c>
      <c r="AG325" s="929"/>
      <c r="AH325" s="929"/>
      <c r="AI325" s="929"/>
      <c r="AJ325" s="1035" t="s">
        <v>600</v>
      </c>
    </row>
    <row r="326" spans="1:36" s="110" customFormat="1" ht="12.75" customHeight="1" outlineLevel="2">
      <c r="A326" s="553">
        <v>289</v>
      </c>
      <c r="C326" s="111"/>
      <c r="D326" s="112"/>
      <c r="E326" s="16" t="s">
        <v>11</v>
      </c>
      <c r="F326" s="325"/>
      <c r="G326" s="325"/>
      <c r="H326" s="325"/>
      <c r="I326" s="325"/>
      <c r="J326" s="325"/>
      <c r="K326" s="325"/>
      <c r="L326" s="397">
        <f>'D-Managementprämie_Bestand'!M8*L28</f>
        <v>0</v>
      </c>
      <c r="M326" s="397">
        <f>'D-Managementprämie_Bestand'!N8*M28</f>
        <v>0</v>
      </c>
      <c r="N326" s="397">
        <f>'D-Managementprämie_Bestand'!O8*N28</f>
        <v>0</v>
      </c>
      <c r="O326" s="397">
        <f>'D-Managementprämie_Bestand'!P8</f>
        <v>0</v>
      </c>
      <c r="P326" s="397">
        <f>'D-Managementprämie_Bestand'!Q8</f>
        <v>0</v>
      </c>
      <c r="Q326" s="397">
        <f>'D-Managementprämie_Bestand'!R8</f>
        <v>0</v>
      </c>
      <c r="R326" s="397">
        <f>'D-Managementprämie_Bestand'!S8</f>
        <v>6.0578518284840711E-2</v>
      </c>
      <c r="S326" s="397">
        <f>'D-Managementprämie_Bestand'!T8</f>
        <v>5.9683269246148488E-2</v>
      </c>
      <c r="T326" s="397">
        <f>'D-Managementprämie_Bestand'!U8</f>
        <v>5.8801250488816258E-2</v>
      </c>
      <c r="U326" s="397">
        <f>'D-Managementprämie_Bestand'!V8</f>
        <v>5.7932266491444596E-2</v>
      </c>
      <c r="V326" s="397">
        <f>'D-Managementprämie_Bestand'!W8</f>
        <v>5.7076124622112909E-2</v>
      </c>
      <c r="W326" s="397">
        <f>'D-Managementprämie_Bestand'!X8</f>
        <v>5.6232635095677753E-2</v>
      </c>
      <c r="X326" s="397">
        <f>'D-Managementprämie_Bestand'!Y8</f>
        <v>5.5401610931702226E-2</v>
      </c>
      <c r="Y326" s="397">
        <f>'D-Managementprämie_Bestand'!Z8</f>
        <v>5.4582867913007128E-2</v>
      </c>
      <c r="Z326" s="397">
        <f>'D-Managementprämie_Bestand'!AA8</f>
        <v>5.3776224544834612E-2</v>
      </c>
      <c r="AA326" s="397">
        <f>'D-Managementprämie_Bestand'!AB8</f>
        <v>5.2981502014615385E-2</v>
      </c>
      <c r="AB326" s="397">
        <f>'D-Managementprämie_Bestand'!AC8</f>
        <v>5.2198524152330436E-2</v>
      </c>
      <c r="AC326" s="397">
        <f>'D-Managementprämie_Bestand'!AD8</f>
        <v>5.1427117391458561E-2</v>
      </c>
      <c r="AD326" s="397">
        <f>'D-Managementprämie_Bestand'!AE8</f>
        <v>5.0667110730501043E-2</v>
      </c>
      <c r="AE326" s="397">
        <f>'D-Managementprämie_Bestand'!AF8</f>
        <v>4.9918335695074929E-2</v>
      </c>
      <c r="AF326" s="929" t="s">
        <v>142</v>
      </c>
      <c r="AG326" s="929"/>
      <c r="AH326" s="929"/>
      <c r="AI326" s="929"/>
      <c r="AJ326" s="1034"/>
    </row>
    <row r="327" spans="1:36" s="110" customFormat="1" ht="12.75" customHeight="1" outlineLevel="2">
      <c r="A327" s="553">
        <v>290</v>
      </c>
      <c r="C327" s="111"/>
      <c r="D327" s="112"/>
      <c r="E327" s="16" t="s">
        <v>10</v>
      </c>
      <c r="F327" s="325"/>
      <c r="G327" s="325"/>
      <c r="H327" s="325"/>
      <c r="I327" s="325"/>
      <c r="J327" s="325"/>
      <c r="K327" s="325"/>
      <c r="L327" s="397">
        <f>'D-Managementprämie_Bestand'!M9*L29</f>
        <v>1.9669000000000002E-4</v>
      </c>
      <c r="M327" s="397">
        <f>'D-Managementprämie_Bestand'!N9*M29</f>
        <v>2.1216200000000001E-4</v>
      </c>
      <c r="N327" s="397">
        <f>'D-Managementprämie_Bestand'!O9*N29</f>
        <v>3.4630000000000001E-4</v>
      </c>
      <c r="O327" s="397">
        <f>'D-Managementprämie_Bestand'!P9</f>
        <v>0</v>
      </c>
      <c r="P327" s="397">
        <f>'D-Managementprämie_Bestand'!Q9</f>
        <v>0</v>
      </c>
      <c r="Q327" s="397">
        <f>'D-Managementprämie_Bestand'!R9</f>
        <v>0</v>
      </c>
      <c r="R327" s="397">
        <f>'D-Managementprämie_Bestand'!S9</f>
        <v>3.3614016355650473E-4</v>
      </c>
      <c r="S327" s="397">
        <f>'D-Managementprämie_Bestand'!T9</f>
        <v>3.3117257493251703E-4</v>
      </c>
      <c r="T327" s="397">
        <f>'D-Managementprämie_Bestand'!U9</f>
        <v>3.2627839894829269E-4</v>
      </c>
      <c r="U327" s="397">
        <f>'D-Managementprämie_Bestand'!V9</f>
        <v>3.2145655068797316E-4</v>
      </c>
      <c r="V327" s="397">
        <f>'D-Managementprämie_Bestand'!W9</f>
        <v>3.1670596126893909E-4</v>
      </c>
      <c r="W327" s="397">
        <f>'D-Managementprämie_Bestand'!X9</f>
        <v>3.1202557760486618E-4</v>
      </c>
      <c r="X327" s="397">
        <f>'D-Managementprämie_Bestand'!Y9</f>
        <v>3.0741436217228196E-4</v>
      </c>
      <c r="Y327" s="397">
        <f>'D-Managementprämie_Bestand'!Z9</f>
        <v>3.0287129278057341E-4</v>
      </c>
      <c r="Z327" s="397">
        <f>'D-Managementprämie_Bestand'!AA9</f>
        <v>2.9839536234539253E-4</v>
      </c>
      <c r="AA327" s="397">
        <f>'D-Managementprämie_Bestand'!AB9</f>
        <v>2.939855786654114E-4</v>
      </c>
      <c r="AB327" s="397">
        <f>'D-Managementprämie_Bestand'!AC9</f>
        <v>2.8964096420237579E-4</v>
      </c>
      <c r="AC327" s="397">
        <f>'D-Managementprämie_Bestand'!AD9</f>
        <v>2.8536055586440964E-4</v>
      </c>
      <c r="AD327" s="397">
        <f>'D-Managementprämie_Bestand'!AE9</f>
        <v>2.8114340479252185E-4</v>
      </c>
      <c r="AE327" s="397">
        <f>'D-Managementprämie_Bestand'!AF9</f>
        <v>2.7698857615026789E-4</v>
      </c>
      <c r="AF327" s="929" t="s">
        <v>142</v>
      </c>
      <c r="AG327" s="929"/>
      <c r="AH327" s="929"/>
      <c r="AI327" s="929"/>
      <c r="AJ327" s="1034"/>
    </row>
    <row r="328" spans="1:36" s="110" customFormat="1" ht="12.75" customHeight="1" outlineLevel="2">
      <c r="A328" s="553">
        <v>291</v>
      </c>
      <c r="C328" s="111"/>
      <c r="D328" s="112"/>
      <c r="E328" s="16" t="s">
        <v>339</v>
      </c>
      <c r="F328" s="325"/>
      <c r="G328" s="325"/>
      <c r="H328" s="325"/>
      <c r="I328" s="325"/>
      <c r="J328" s="325"/>
      <c r="K328" s="325"/>
      <c r="L328" s="397">
        <f>'D-Managementprämie_Bestand'!M10*L30</f>
        <v>0.27028342599999999</v>
      </c>
      <c r="M328" s="397">
        <f>'D-Managementprämie_Bestand'!N10*M30</f>
        <v>0.30297696900000004</v>
      </c>
      <c r="N328" s="397">
        <f>'D-Managementprämie_Bestand'!O10*N30</f>
        <v>0.350982717</v>
      </c>
      <c r="O328" s="397">
        <f>'D-Managementprämie_Bestand'!P10</f>
        <v>0</v>
      </c>
      <c r="P328" s="397">
        <f>'D-Managementprämie_Bestand'!Q10</f>
        <v>0</v>
      </c>
      <c r="Q328" s="397">
        <f>'D-Managementprämie_Bestand'!R10</f>
        <v>0</v>
      </c>
      <c r="R328" s="397">
        <f>'D-Managementprämie_Bestand'!S10</f>
        <v>0.34068549782814445</v>
      </c>
      <c r="S328" s="397">
        <f>'D-Managementprämie_Bestand'!T10</f>
        <v>0.33565073677649704</v>
      </c>
      <c r="T328" s="397">
        <f>'D-Managementprämie_Bestand'!U10</f>
        <v>0.33069038106058823</v>
      </c>
      <c r="U328" s="397">
        <f>'D-Managementprämie_Bestand'!V10</f>
        <v>0.32580333109417564</v>
      </c>
      <c r="V328" s="397">
        <f>'D-Managementprämie_Bestand'!W10</f>
        <v>0.32098850354105979</v>
      </c>
      <c r="W328" s="397">
        <f>'D-Managementprämie_Bestand'!X10</f>
        <v>0.31624483107493584</v>
      </c>
      <c r="X328" s="397">
        <f>'D-Managementprämie_Bestand'!Y10</f>
        <v>0.31157126214279396</v>
      </c>
      <c r="Y328" s="397">
        <f>'D-Managementprämie_Bestand'!Z10</f>
        <v>0.30696676073181672</v>
      </c>
      <c r="Z328" s="397">
        <f>'D-Managementprämie_Bestand'!AA10</f>
        <v>0.30243030613972094</v>
      </c>
      <c r="AA328" s="397">
        <f>'D-Managementprämie_Bestand'!AB10</f>
        <v>0.29796089274849358</v>
      </c>
      <c r="AB328" s="397">
        <f>'D-Managementprämie_Bestand'!AC10</f>
        <v>0.29355752980147154</v>
      </c>
      <c r="AC328" s="397">
        <f>'D-Managementprämie_Bestand'!AD10</f>
        <v>0.28921924118371578</v>
      </c>
      <c r="AD328" s="397">
        <f>'D-Managementprämie_Bestand'!AE10</f>
        <v>0.28494506520563134</v>
      </c>
      <c r="AE328" s="397">
        <f>'D-Managementprämie_Bestand'!AF10</f>
        <v>0.2807340543897846</v>
      </c>
      <c r="AF328" s="929" t="s">
        <v>142</v>
      </c>
      <c r="AG328" s="929"/>
      <c r="AH328" s="929"/>
      <c r="AI328" s="929"/>
      <c r="AJ328" s="1034"/>
    </row>
    <row r="329" spans="1:36" s="110" customFormat="1" ht="12.75" customHeight="1" outlineLevel="2">
      <c r="A329" s="553">
        <v>292</v>
      </c>
      <c r="C329" s="111"/>
      <c r="D329" s="112"/>
      <c r="E329" s="16" t="s">
        <v>340</v>
      </c>
      <c r="F329" s="325"/>
      <c r="G329" s="325"/>
      <c r="H329" s="325"/>
      <c r="I329" s="325"/>
      <c r="J329" s="325"/>
      <c r="K329" s="325"/>
      <c r="L329" s="397">
        <f>'D-Managementprämie_Bestand'!M11*L31</f>
        <v>6.1518174000000002E-2</v>
      </c>
      <c r="M329" s="397">
        <f>'D-Managementprämie_Bestand'!N11*M31</f>
        <v>8.013342200000001E-2</v>
      </c>
      <c r="N329" s="397">
        <f>'D-Managementprämie_Bestand'!O11*N31</f>
        <v>9.025762200000001E-2</v>
      </c>
      <c r="O329" s="397">
        <f>'D-Managementprämie_Bestand'!P11</f>
        <v>0</v>
      </c>
      <c r="P329" s="397">
        <f>'D-Managementprämie_Bestand'!Q11</f>
        <v>0</v>
      </c>
      <c r="Q329" s="397">
        <f>'D-Managementprämie_Bestand'!R11</f>
        <v>0</v>
      </c>
      <c r="R329" s="397">
        <f>'D-Managementprämie_Bestand'!S11</f>
        <v>8.7609621199252627E-2</v>
      </c>
      <c r="S329" s="397">
        <f>'D-Managementprämie_Bestand'!T11</f>
        <v>8.631489773325382E-2</v>
      </c>
      <c r="T329" s="397">
        <f>'D-Managementprämie_Bestand'!U11</f>
        <v>8.5039308111580142E-2</v>
      </c>
      <c r="U329" s="397">
        <f>'D-Managementprämie_Bestand'!V11</f>
        <v>8.3782569568059254E-2</v>
      </c>
      <c r="V329" s="397">
        <f>'D-Managementprämie_Bestand'!W11</f>
        <v>8.2544403515329337E-2</v>
      </c>
      <c r="W329" s="397">
        <f>'D-Managementprämie_Bestand'!X11</f>
        <v>8.1324535483083105E-2</v>
      </c>
      <c r="X329" s="397">
        <f>'D-Managementprämie_Bestand'!Y11</f>
        <v>8.0122695057224733E-2</v>
      </c>
      <c r="Y329" s="397">
        <f>'D-Managementprämie_Bestand'!Z11</f>
        <v>7.8938615819925853E-2</v>
      </c>
      <c r="Z329" s="397">
        <f>'D-Managementprämie_Bestand'!AA11</f>
        <v>7.7772035290567351E-2</v>
      </c>
      <c r="AA329" s="397">
        <f>'D-Managementprämie_Bestand'!AB11</f>
        <v>7.6622694867554061E-2</v>
      </c>
      <c r="AB329" s="397">
        <f>'D-Managementprämie_Bestand'!AC11</f>
        <v>7.549033977098922E-2</v>
      </c>
      <c r="AC329" s="397">
        <f>'D-Managementprämie_Bestand'!AD11</f>
        <v>7.4374718986196284E-2</v>
      </c>
      <c r="AD329" s="397">
        <f>'D-Managementprämie_Bestand'!AE11</f>
        <v>7.3275585208075159E-2</v>
      </c>
      <c r="AE329" s="397">
        <f>'D-Managementprämie_Bestand'!AF11</f>
        <v>7.2192694786280959E-2</v>
      </c>
      <c r="AF329" s="929" t="s">
        <v>142</v>
      </c>
      <c r="AG329" s="929"/>
      <c r="AH329" s="929"/>
      <c r="AI329" s="929"/>
      <c r="AJ329" s="1034"/>
    </row>
    <row r="330" spans="1:36" s="110" customFormat="1" ht="12.75" customHeight="1" outlineLevel="2">
      <c r="A330" s="553">
        <v>293</v>
      </c>
      <c r="B330" s="294"/>
      <c r="C330" s="10"/>
      <c r="D330" s="33"/>
      <c r="E330" s="296" t="s">
        <v>530</v>
      </c>
      <c r="F330" s="302"/>
      <c r="G330" s="302"/>
      <c r="H330" s="302"/>
      <c r="I330" s="302"/>
      <c r="J330" s="302"/>
      <c r="K330" s="302"/>
      <c r="L330" s="397">
        <f>'D-Managementprämie_Bestand'!M12*L32</f>
        <v>2.7842141000000001E-2</v>
      </c>
      <c r="M330" s="397">
        <f>'D-Managementprämie_Bestand'!N12*M32</f>
        <v>3.2017428000000001E-2</v>
      </c>
      <c r="N330" s="397">
        <f>'D-Managementprämie_Bestand'!O12*N32</f>
        <v>3.6180617000000005E-2</v>
      </c>
      <c r="O330" s="397">
        <f>'D-Managementprämie_Bestand'!P12</f>
        <v>0</v>
      </c>
      <c r="P330" s="397">
        <f>'D-Managementprämie_Bestand'!Q12</f>
        <v>0</v>
      </c>
      <c r="Q330" s="397">
        <f>'D-Managementprämie_Bestand'!R12</f>
        <v>0</v>
      </c>
      <c r="R330" s="397">
        <f>'D-Managementprämie_Bestand'!S12</f>
        <v>3.5119140964352459E-2</v>
      </c>
      <c r="S330" s="397">
        <f>'D-Managementprämie_Bestand'!T12</f>
        <v>3.4600138881135431E-2</v>
      </c>
      <c r="T330" s="397">
        <f>'D-Managementprämie_Bestand'!U12</f>
        <v>3.408880677944378E-2</v>
      </c>
      <c r="U330" s="397">
        <f>'D-Managementprämie_Bestand'!V12</f>
        <v>3.3585031309796835E-2</v>
      </c>
      <c r="V330" s="397">
        <f>'D-Managementprämie_Bestand'!W12</f>
        <v>3.3088700797829398E-2</v>
      </c>
      <c r="W330" s="397">
        <f>'D-Managementprämie_Bestand'!X12</f>
        <v>3.2599705219536361E-2</v>
      </c>
      <c r="X330" s="397">
        <f>'D-Managementprämie_Bestand'!Y12</f>
        <v>3.2117936176883119E-2</v>
      </c>
      <c r="Y330" s="397">
        <f>'D-Managementprämie_Bestand'!Z12</f>
        <v>3.1643286873776474E-2</v>
      </c>
      <c r="Z330" s="397">
        <f>'D-Managementprämie_Bestand'!AA12</f>
        <v>3.1175652092390618E-2</v>
      </c>
      <c r="AA330" s="397">
        <f>'D-Managementprämie_Bestand'!AB12</f>
        <v>3.0714928169842975E-2</v>
      </c>
      <c r="AB330" s="397">
        <f>'D-Managementprämie_Bestand'!AC12</f>
        <v>3.0261012975214756E-2</v>
      </c>
      <c r="AC330" s="397">
        <f>'D-Managementprämie_Bestand'!AD12</f>
        <v>2.9813805886911092E-2</v>
      </c>
      <c r="AD330" s="397">
        <f>'D-Managementprämie_Bestand'!AE12</f>
        <v>2.9373207770355757E-2</v>
      </c>
      <c r="AE330" s="397">
        <f>'D-Managementprämie_Bestand'!AF12</f>
        <v>2.8939120956015529E-2</v>
      </c>
      <c r="AF330" s="929" t="s">
        <v>142</v>
      </c>
      <c r="AG330" s="929"/>
      <c r="AH330" s="929"/>
      <c r="AI330" s="929"/>
      <c r="AJ330" s="1034"/>
    </row>
    <row r="331" spans="1:36" s="110" customFormat="1" ht="12.75" customHeight="1" outlineLevel="2">
      <c r="A331" s="553">
        <v>294</v>
      </c>
      <c r="B331" s="294"/>
      <c r="C331" s="10"/>
      <c r="D331" s="33"/>
      <c r="E331" s="27" t="s">
        <v>531</v>
      </c>
      <c r="F331" s="318">
        <f t="shared" ref="F331:P331" si="66">SUM(F324:F330)</f>
        <v>0</v>
      </c>
      <c r="G331" s="318">
        <f t="shared" si="66"/>
        <v>0</v>
      </c>
      <c r="H331" s="318">
        <f t="shared" si="66"/>
        <v>0</v>
      </c>
      <c r="I331" s="318">
        <f t="shared" si="66"/>
        <v>0</v>
      </c>
      <c r="J331" s="318">
        <f t="shared" si="66"/>
        <v>0</v>
      </c>
      <c r="K331" s="318">
        <f t="shared" si="66"/>
        <v>0</v>
      </c>
      <c r="L331" s="318">
        <f t="shared" si="66"/>
        <v>0.36682914188575827</v>
      </c>
      <c r="M331" s="318">
        <f t="shared" si="66"/>
        <v>0.42087132231706614</v>
      </c>
      <c r="N331" s="319">
        <f t="shared" si="66"/>
        <v>0.48361477280458159</v>
      </c>
      <c r="O331" s="615">
        <f t="shared" si="66"/>
        <v>0</v>
      </c>
      <c r="P331" s="616">
        <f t="shared" si="66"/>
        <v>0</v>
      </c>
      <c r="Q331" s="616">
        <f t="shared" ref="Q331:AE331" si="67">SUM(Q324:Q330)</f>
        <v>0</v>
      </c>
      <c r="R331" s="616">
        <f t="shared" si="67"/>
        <v>0.53193615569414465</v>
      </c>
      <c r="S331" s="616">
        <f t="shared" si="67"/>
        <v>0.5240750302405367</v>
      </c>
      <c r="T331" s="616">
        <f t="shared" si="67"/>
        <v>0.51633007905471606</v>
      </c>
      <c r="U331" s="616">
        <f t="shared" si="67"/>
        <v>0.50869958527558223</v>
      </c>
      <c r="V331" s="616">
        <f t="shared" si="67"/>
        <v>0.50118185741436694</v>
      </c>
      <c r="W331" s="616">
        <f t="shared" si="67"/>
        <v>0.49377522897967191</v>
      </c>
      <c r="X331" s="616">
        <f t="shared" si="67"/>
        <v>0.48647805810805123</v>
      </c>
      <c r="Y331" s="616">
        <f t="shared" si="67"/>
        <v>0.4792887272000505</v>
      </c>
      <c r="Z331" s="616">
        <f t="shared" si="67"/>
        <v>0.47220564256162612</v>
      </c>
      <c r="AA331" s="616">
        <f t="shared" si="67"/>
        <v>0.4652272340508633</v>
      </c>
      <c r="AB331" s="616">
        <f t="shared" si="67"/>
        <v>0.45835195472991463</v>
      </c>
      <c r="AC331" s="616">
        <f t="shared" si="67"/>
        <v>0.45157828052208332</v>
      </c>
      <c r="AD331" s="616">
        <f t="shared" si="67"/>
        <v>0.44490470987397374</v>
      </c>
      <c r="AE331" s="617">
        <f t="shared" si="67"/>
        <v>0.43832976342263436</v>
      </c>
      <c r="AF331" s="929"/>
      <c r="AG331" s="929"/>
      <c r="AH331" s="929"/>
      <c r="AI331" s="929"/>
      <c r="AJ331" s="1034"/>
    </row>
    <row r="332" spans="1:36" s="110" customFormat="1" ht="12.75" customHeight="1" outlineLevel="1">
      <c r="A332" s="553">
        <v>295</v>
      </c>
      <c r="B332" s="294"/>
      <c r="C332" s="10"/>
      <c r="D332" s="33"/>
      <c r="E332" s="113"/>
      <c r="F332" s="305"/>
      <c r="G332" s="305"/>
      <c r="H332" s="305"/>
      <c r="I332" s="305"/>
      <c r="J332" s="305"/>
      <c r="K332" s="305"/>
      <c r="L332" s="305"/>
      <c r="M332" s="305"/>
      <c r="N332" s="345"/>
      <c r="O332" s="292"/>
      <c r="P332" s="305"/>
      <c r="Q332" s="559"/>
      <c r="R332" s="305"/>
      <c r="S332" s="305"/>
      <c r="T332" s="305"/>
      <c r="U332" s="305"/>
      <c r="V332" s="305"/>
      <c r="W332" s="305"/>
      <c r="X332" s="305"/>
      <c r="Y332" s="305"/>
      <c r="Z332" s="305"/>
      <c r="AA332" s="305"/>
      <c r="AB332" s="305"/>
      <c r="AC332" s="305"/>
      <c r="AD332" s="305"/>
      <c r="AE332" s="305"/>
      <c r="AF332" s="929"/>
      <c r="AG332" s="929"/>
      <c r="AH332" s="929"/>
      <c r="AI332" s="929"/>
      <c r="AJ332" s="1034"/>
    </row>
    <row r="333" spans="1:36" s="294" customFormat="1" ht="76.5" customHeight="1" outlineLevel="1">
      <c r="A333" s="553">
        <v>296</v>
      </c>
      <c r="C333" s="10"/>
      <c r="D333" s="33"/>
      <c r="E333" s="113" t="s">
        <v>550</v>
      </c>
      <c r="F333" s="305"/>
      <c r="G333" s="305"/>
      <c r="H333" s="305"/>
      <c r="I333" s="305"/>
      <c r="J333" s="305"/>
      <c r="K333" s="518"/>
      <c r="L333" s="518"/>
      <c r="M333" s="518"/>
      <c r="N333" s="518"/>
      <c r="O333" s="292"/>
      <c r="P333" s="305"/>
      <c r="Q333" s="305"/>
      <c r="R333" s="305"/>
      <c r="S333" s="305"/>
      <c r="T333" s="305"/>
      <c r="U333" s="305"/>
      <c r="V333" s="305"/>
      <c r="W333" s="305"/>
      <c r="X333" s="305"/>
      <c r="Y333" s="305"/>
      <c r="Z333" s="305"/>
      <c r="AA333" s="305"/>
      <c r="AB333" s="305"/>
      <c r="AC333" s="305"/>
      <c r="AD333" s="305"/>
      <c r="AE333" s="305"/>
      <c r="AF333" s="929" t="s">
        <v>142</v>
      </c>
      <c r="AG333" s="929"/>
      <c r="AH333" s="929"/>
      <c r="AI333" s="929"/>
      <c r="AJ333" s="1243" t="s">
        <v>601</v>
      </c>
    </row>
    <row r="334" spans="1:36" s="294" customFormat="1" ht="12.75" customHeight="1" outlineLevel="1">
      <c r="A334" s="553">
        <v>297</v>
      </c>
      <c r="C334" s="10"/>
      <c r="D334" s="33"/>
      <c r="E334" s="314" t="s">
        <v>529</v>
      </c>
      <c r="F334" s="307"/>
      <c r="G334" s="307"/>
      <c r="H334" s="307"/>
      <c r="I334" s="307"/>
      <c r="J334" s="307"/>
      <c r="K334" s="307"/>
      <c r="L334" s="307">
        <f t="shared" ref="L334:AE334" si="68">(L238-L248-L258)*L$181*L29/1000</f>
        <v>0.19525664964</v>
      </c>
      <c r="M334" s="307">
        <f t="shared" si="68"/>
        <v>0.16801185474999999</v>
      </c>
      <c r="N334" s="114">
        <f t="shared" si="68"/>
        <v>0.19086470711999998</v>
      </c>
      <c r="O334" s="306">
        <f t="shared" si="68"/>
        <v>0.30149508636</v>
      </c>
      <c r="P334" s="307">
        <f t="shared" si="68"/>
        <v>0.30839162758000005</v>
      </c>
      <c r="Q334" s="307">
        <f t="shared" si="68"/>
        <v>0.25985727893999999</v>
      </c>
      <c r="R334" s="307">
        <f t="shared" si="68"/>
        <v>0.28836135297376914</v>
      </c>
      <c r="S334" s="307">
        <f t="shared" si="68"/>
        <v>0.30496592950590728</v>
      </c>
      <c r="T334" s="307">
        <f t="shared" si="68"/>
        <v>0.31779823489225384</v>
      </c>
      <c r="U334" s="307">
        <f t="shared" si="68"/>
        <v>0.33094689210605194</v>
      </c>
      <c r="V334" s="307">
        <f t="shared" si="68"/>
        <v>0.34441850443341332</v>
      </c>
      <c r="W334" s="307">
        <f t="shared" si="68"/>
        <v>0.35821980207987159</v>
      </c>
      <c r="X334" s="307">
        <f t="shared" si="68"/>
        <v>0.37235764449222608</v>
      </c>
      <c r="Y334" s="307">
        <f t="shared" si="68"/>
        <v>0.38683902272148335</v>
      </c>
      <c r="Z334" s="307">
        <f t="shared" si="68"/>
        <v>0.36793258095560327</v>
      </c>
      <c r="AA334" s="307">
        <f t="shared" si="68"/>
        <v>0.35159072610151521</v>
      </c>
      <c r="AB334" s="307">
        <f t="shared" si="68"/>
        <v>0.34308258950833598</v>
      </c>
      <c r="AC334" s="307">
        <f t="shared" si="68"/>
        <v>0.34272422469057762</v>
      </c>
      <c r="AD334" s="307">
        <f t="shared" si="68"/>
        <v>0.31169567423826522</v>
      </c>
      <c r="AE334" s="114">
        <f t="shared" si="68"/>
        <v>0.31909667305396328</v>
      </c>
      <c r="AF334" s="929" t="s">
        <v>217</v>
      </c>
      <c r="AG334" s="929"/>
      <c r="AH334" s="929"/>
      <c r="AI334" s="929"/>
      <c r="AJ334" s="1034" t="s">
        <v>597</v>
      </c>
    </row>
    <row r="335" spans="1:36" s="294" customFormat="1" ht="12.75" customHeight="1" outlineLevel="1">
      <c r="A335" s="553">
        <v>298</v>
      </c>
      <c r="C335" s="10"/>
      <c r="D335" s="33"/>
      <c r="E335" s="16" t="s">
        <v>349</v>
      </c>
      <c r="F335" s="309"/>
      <c r="G335" s="309"/>
      <c r="H335" s="309"/>
      <c r="I335" s="309"/>
      <c r="J335" s="309"/>
      <c r="K335" s="309"/>
      <c r="L335" s="309">
        <f t="shared" ref="L335:AE335" si="69">(L239-L249-L259)*L$181*L30/1000</f>
        <v>5.0254388760000004E-2</v>
      </c>
      <c r="M335" s="309">
        <f t="shared" si="69"/>
        <v>3.7130952750000001E-2</v>
      </c>
      <c r="N335" s="115">
        <f t="shared" si="69"/>
        <v>5.4056943899999994E-2</v>
      </c>
      <c r="O335" s="308">
        <f t="shared" si="69"/>
        <v>7.9039575680000002E-2</v>
      </c>
      <c r="P335" s="309">
        <f t="shared" si="69"/>
        <v>7.1036475560000006E-2</v>
      </c>
      <c r="Q335" s="309">
        <f t="shared" si="69"/>
        <v>5.0956817940000003E-2</v>
      </c>
      <c r="R335" s="309">
        <f t="shared" si="69"/>
        <v>5.3867281007285717E-2</v>
      </c>
      <c r="S335" s="309">
        <f t="shared" si="69"/>
        <v>4.4202131336674409E-2</v>
      </c>
      <c r="T335" s="309">
        <f t="shared" si="69"/>
        <v>3.1070537361353644E-2</v>
      </c>
      <c r="U335" s="309">
        <f t="shared" si="69"/>
        <v>1.7737234048379558E-2</v>
      </c>
      <c r="V335" s="309">
        <f t="shared" si="69"/>
        <v>1.6824513502781774E-2</v>
      </c>
      <c r="W335" s="309">
        <f t="shared" si="69"/>
        <v>1.6108810330995895E-2</v>
      </c>
      <c r="X335" s="309">
        <f t="shared" si="69"/>
        <v>1.6528562239816798E-2</v>
      </c>
      <c r="Y335" s="309">
        <f t="shared" si="69"/>
        <v>1.6982501815412977E-2</v>
      </c>
      <c r="Z335" s="309">
        <f t="shared" si="69"/>
        <v>1.5221181108219928E-2</v>
      </c>
      <c r="AA335" s="309">
        <f t="shared" si="69"/>
        <v>1.5359751083012272E-2</v>
      </c>
      <c r="AB335" s="309">
        <f t="shared" si="69"/>
        <v>1.3692395213860543E-2</v>
      </c>
      <c r="AC335" s="309">
        <f t="shared" si="69"/>
        <v>1.4005499915594025E-2</v>
      </c>
      <c r="AD335" s="309">
        <f t="shared" si="69"/>
        <v>1.4207427173786799E-2</v>
      </c>
      <c r="AE335" s="115">
        <f t="shared" si="69"/>
        <v>1.4108828615658891E-2</v>
      </c>
      <c r="AF335" s="929" t="s">
        <v>217</v>
      </c>
      <c r="AG335" s="929"/>
      <c r="AH335" s="929"/>
      <c r="AI335" s="929"/>
      <c r="AJ335" s="1034" t="s">
        <v>597</v>
      </c>
    </row>
    <row r="336" spans="1:36" s="294" customFormat="1" ht="12.75" customHeight="1" outlineLevel="1">
      <c r="A336" s="553">
        <v>299</v>
      </c>
      <c r="C336" s="10"/>
      <c r="D336" s="33"/>
      <c r="E336" s="16" t="s">
        <v>11</v>
      </c>
      <c r="F336" s="309"/>
      <c r="G336" s="309"/>
      <c r="H336" s="309"/>
      <c r="I336" s="309"/>
      <c r="J336" s="309"/>
      <c r="K336" s="309"/>
      <c r="L336" s="309">
        <f t="shared" ref="L336:AE336" si="70">(L240-L250-L260)*L$181*L31/1000</f>
        <v>1.2578662947000001</v>
      </c>
      <c r="M336" s="309">
        <f t="shared" si="70"/>
        <v>1.09060801275</v>
      </c>
      <c r="N336" s="115">
        <f t="shared" si="70"/>
        <v>1.3388856355799998</v>
      </c>
      <c r="O336" s="308">
        <f t="shared" si="70"/>
        <v>1.9137529735999999</v>
      </c>
      <c r="P336" s="309">
        <f t="shared" si="70"/>
        <v>2.0597816845999999</v>
      </c>
      <c r="Q336" s="309">
        <f t="shared" si="70"/>
        <v>1.63802071356</v>
      </c>
      <c r="R336" s="309">
        <f t="shared" si="70"/>
        <v>2.0496324876794478</v>
      </c>
      <c r="S336" s="309">
        <f t="shared" si="70"/>
        <v>2.1399644031543454</v>
      </c>
      <c r="T336" s="309">
        <f t="shared" si="70"/>
        <v>2.184397471457117</v>
      </c>
      <c r="U336" s="309">
        <f t="shared" si="70"/>
        <v>2.1300708481916235</v>
      </c>
      <c r="V336" s="309">
        <f t="shared" si="70"/>
        <v>2.0415319216992831</v>
      </c>
      <c r="W336" s="309">
        <f t="shared" si="70"/>
        <v>1.8967260624517046</v>
      </c>
      <c r="X336" s="309">
        <f t="shared" si="70"/>
        <v>1.8039010451007809</v>
      </c>
      <c r="Y336" s="309">
        <f t="shared" si="70"/>
        <v>1.8026843427765522</v>
      </c>
      <c r="Z336" s="309">
        <f t="shared" si="70"/>
        <v>1.7559125112786531</v>
      </c>
      <c r="AA336" s="309">
        <f t="shared" si="70"/>
        <v>1.6048648746612268</v>
      </c>
      <c r="AB336" s="309">
        <f t="shared" si="70"/>
        <v>1.2460092310636619</v>
      </c>
      <c r="AC336" s="309">
        <f t="shared" si="70"/>
        <v>1.2480816577640956</v>
      </c>
      <c r="AD336" s="309">
        <f t="shared" si="70"/>
        <v>1.263914438107054</v>
      </c>
      <c r="AE336" s="115">
        <f t="shared" si="70"/>
        <v>1.3038429976369064</v>
      </c>
      <c r="AF336" s="929" t="s">
        <v>217</v>
      </c>
      <c r="AG336" s="929"/>
      <c r="AH336" s="929"/>
      <c r="AI336" s="929"/>
      <c r="AJ336" s="1034" t="s">
        <v>597</v>
      </c>
    </row>
    <row r="337" spans="1:36" s="294" customFormat="1" ht="12.75" customHeight="1" outlineLevel="1">
      <c r="A337" s="553">
        <v>300</v>
      </c>
      <c r="C337" s="10"/>
      <c r="D337" s="33"/>
      <c r="E337" s="16" t="s">
        <v>10</v>
      </c>
      <c r="F337" s="309"/>
      <c r="G337" s="309"/>
      <c r="H337" s="309"/>
      <c r="I337" s="309"/>
      <c r="J337" s="309"/>
      <c r="K337" s="309"/>
      <c r="L337" s="309">
        <f t="shared" ref="L337:AE337" si="71">(L241-L251-L261)*L$181*L32/1000</f>
        <v>5.6379285599999999E-3</v>
      </c>
      <c r="M337" s="309">
        <f t="shared" si="71"/>
        <v>5.0697669999999993E-3</v>
      </c>
      <c r="N337" s="115">
        <f t="shared" si="71"/>
        <v>8.2895616000000002E-3</v>
      </c>
      <c r="O337" s="308">
        <f t="shared" si="71"/>
        <v>1.3253944079999998E-2</v>
      </c>
      <c r="P337" s="309">
        <f t="shared" si="71"/>
        <v>1.0594728859999999E-2</v>
      </c>
      <c r="Q337" s="309">
        <f t="shared" si="71"/>
        <v>1.0906668360000002E-2</v>
      </c>
      <c r="R337" s="309">
        <f t="shared" si="71"/>
        <v>1.2062856361658667E-2</v>
      </c>
      <c r="S337" s="309">
        <f t="shared" si="71"/>
        <v>1.2757466161438498E-2</v>
      </c>
      <c r="T337" s="309">
        <f t="shared" si="71"/>
        <v>1.3294272689317837E-2</v>
      </c>
      <c r="U337" s="309">
        <f t="shared" si="71"/>
        <v>1.3844312983147231E-2</v>
      </c>
      <c r="V337" s="309">
        <f t="shared" si="71"/>
        <v>1.4407863274436413E-2</v>
      </c>
      <c r="W337" s="309">
        <f t="shared" si="71"/>
        <v>1.4985205104043059E-2</v>
      </c>
      <c r="X337" s="309">
        <f t="shared" si="71"/>
        <v>1.5576625419301156E-2</v>
      </c>
      <c r="Y337" s="309">
        <f t="shared" si="71"/>
        <v>1.6182416672868592E-2</v>
      </c>
      <c r="Z337" s="309">
        <f t="shared" si="71"/>
        <v>1.6213463996626942E-2</v>
      </c>
      <c r="AA337" s="309">
        <f t="shared" si="71"/>
        <v>1.6826607230687098E-2</v>
      </c>
      <c r="AB337" s="309">
        <f t="shared" si="71"/>
        <v>1.7454496732369817E-2</v>
      </c>
      <c r="AC337" s="309">
        <f t="shared" si="71"/>
        <v>1.3898366648973601E-2</v>
      </c>
      <c r="AD337" s="309">
        <f t="shared" si="71"/>
        <v>9.8071560998888082E-3</v>
      </c>
      <c r="AE337" s="115">
        <f t="shared" si="71"/>
        <v>8.9073033635203719E-3</v>
      </c>
      <c r="AF337" s="929" t="s">
        <v>217</v>
      </c>
      <c r="AG337" s="929"/>
      <c r="AH337" s="929"/>
      <c r="AI337" s="929"/>
      <c r="AJ337" s="1034" t="s">
        <v>597</v>
      </c>
    </row>
    <row r="338" spans="1:36" s="294" customFormat="1" ht="12.75" customHeight="1" outlineLevel="1">
      <c r="A338" s="553">
        <v>301</v>
      </c>
      <c r="C338" s="10"/>
      <c r="D338" s="33"/>
      <c r="E338" s="16" t="s">
        <v>339</v>
      </c>
      <c r="F338" s="309"/>
      <c r="G338" s="309"/>
      <c r="H338" s="309"/>
      <c r="I338" s="309"/>
      <c r="J338" s="309"/>
      <c r="K338" s="309"/>
      <c r="L338" s="309">
        <f t="shared" ref="L338:AE338" si="72">(L242-L252-L262)*L$181*L33/1000</f>
        <v>2.0892627151967997</v>
      </c>
      <c r="M338" s="309">
        <f t="shared" si="72"/>
        <v>1.9149699402832501</v>
      </c>
      <c r="N338" s="115">
        <f t="shared" si="72"/>
        <v>2.4707201656514393</v>
      </c>
      <c r="O338" s="308">
        <f t="shared" si="72"/>
        <v>3.5847821323641602</v>
      </c>
      <c r="P338" s="309">
        <f t="shared" si="72"/>
        <v>4.493032530941119</v>
      </c>
      <c r="Q338" s="309">
        <f t="shared" si="72"/>
        <v>3.5822847889613398</v>
      </c>
      <c r="R338" s="309">
        <f t="shared" si="72"/>
        <v>3.752621598555212</v>
      </c>
      <c r="S338" s="309">
        <f t="shared" si="72"/>
        <v>3.9614469517599757</v>
      </c>
      <c r="T338" s="309">
        <f t="shared" si="72"/>
        <v>4.0649950543913089</v>
      </c>
      <c r="U338" s="309">
        <f t="shared" si="72"/>
        <v>4.5471154569323256</v>
      </c>
      <c r="V338" s="309">
        <f t="shared" si="72"/>
        <v>4.7639116974323761</v>
      </c>
      <c r="W338" s="309">
        <f t="shared" si="72"/>
        <v>4.9468048282559067</v>
      </c>
      <c r="X338" s="309">
        <f t="shared" si="72"/>
        <v>5.1698245508146794</v>
      </c>
      <c r="Y338" s="309">
        <f t="shared" si="72"/>
        <v>5.468438319805986</v>
      </c>
      <c r="Z338" s="309">
        <f t="shared" si="72"/>
        <v>5.6013957251458635</v>
      </c>
      <c r="AA338" s="309">
        <f t="shared" si="72"/>
        <v>5.8276608190414514</v>
      </c>
      <c r="AB338" s="309">
        <f t="shared" si="72"/>
        <v>6.0152678091522089</v>
      </c>
      <c r="AC338" s="309">
        <f t="shared" si="72"/>
        <v>6.1396437740001248</v>
      </c>
      <c r="AD338" s="309">
        <f t="shared" si="72"/>
        <v>6.1748427936837604</v>
      </c>
      <c r="AE338" s="115">
        <f t="shared" si="72"/>
        <v>5.3830837613663123</v>
      </c>
      <c r="AF338" s="929" t="s">
        <v>217</v>
      </c>
      <c r="AG338" s="929"/>
      <c r="AH338" s="929"/>
      <c r="AI338" s="929"/>
      <c r="AJ338" s="1034" t="s">
        <v>597</v>
      </c>
    </row>
    <row r="339" spans="1:36" s="294" customFormat="1" ht="12.75" customHeight="1" outlineLevel="1">
      <c r="A339" s="553">
        <v>302</v>
      </c>
      <c r="C339" s="10"/>
      <c r="D339" s="33"/>
      <c r="E339" s="16" t="s">
        <v>340</v>
      </c>
      <c r="F339" s="309"/>
      <c r="G339" s="309"/>
      <c r="H339" s="309"/>
      <c r="I339" s="309"/>
      <c r="J339" s="309"/>
      <c r="K339" s="309"/>
      <c r="L339" s="309">
        <f t="shared" ref="L339:AE339" si="73">(L243-L253-L263)*L$181*L34/1000</f>
        <v>0.47114925453119999</v>
      </c>
      <c r="M339" s="309">
        <f t="shared" si="73"/>
        <v>0.49355675879624999</v>
      </c>
      <c r="N339" s="115">
        <f t="shared" si="73"/>
        <v>0.6586847961559199</v>
      </c>
      <c r="O339" s="308">
        <f t="shared" si="73"/>
        <v>1.11829163907604</v>
      </c>
      <c r="P339" s="309">
        <f t="shared" si="73"/>
        <v>1.36201836855248</v>
      </c>
      <c r="Q339" s="309">
        <f t="shared" si="73"/>
        <v>1.0722514890528001</v>
      </c>
      <c r="R339" s="309">
        <f t="shared" si="73"/>
        <v>1.1444997043816505</v>
      </c>
      <c r="S339" s="309">
        <f t="shared" si="73"/>
        <v>1.3200913702872359</v>
      </c>
      <c r="T339" s="309">
        <f t="shared" si="73"/>
        <v>1.524512572527571</v>
      </c>
      <c r="U339" s="309">
        <f t="shared" si="73"/>
        <v>1.8561680225766581</v>
      </c>
      <c r="V339" s="309">
        <f t="shared" si="73"/>
        <v>2.095935315232583</v>
      </c>
      <c r="W339" s="309">
        <f t="shared" si="73"/>
        <v>2.3456419726660549</v>
      </c>
      <c r="X339" s="309">
        <f t="shared" si="73"/>
        <v>2.6043193069169734</v>
      </c>
      <c r="Y339" s="309">
        <f t="shared" si="73"/>
        <v>2.8712806373737627</v>
      </c>
      <c r="Z339" s="309">
        <f t="shared" si="73"/>
        <v>3.1380069779847228</v>
      </c>
      <c r="AA339" s="309">
        <f t="shared" si="73"/>
        <v>3.4097114421719112</v>
      </c>
      <c r="AB339" s="309">
        <f t="shared" si="73"/>
        <v>3.672356497777991</v>
      </c>
      <c r="AC339" s="309">
        <f t="shared" si="73"/>
        <v>3.9478966815398113</v>
      </c>
      <c r="AD339" s="309">
        <f t="shared" si="73"/>
        <v>4.193818950371214</v>
      </c>
      <c r="AE339" s="115">
        <f t="shared" si="73"/>
        <v>4.0088395571485762</v>
      </c>
      <c r="AF339" s="929" t="s">
        <v>217</v>
      </c>
      <c r="AG339" s="929"/>
      <c r="AH339" s="929"/>
      <c r="AI339" s="929"/>
      <c r="AJ339" s="1034" t="s">
        <v>597</v>
      </c>
    </row>
    <row r="340" spans="1:36" s="294" customFormat="1" ht="12.75" customHeight="1" outlineLevel="1">
      <c r="A340" s="553">
        <v>303</v>
      </c>
      <c r="D340" s="33"/>
      <c r="E340" s="296" t="s">
        <v>530</v>
      </c>
      <c r="F340" s="311"/>
      <c r="G340" s="311"/>
      <c r="H340" s="311"/>
      <c r="I340" s="311"/>
      <c r="J340" s="311"/>
      <c r="K340" s="311"/>
      <c r="L340" s="311">
        <f t="shared" ref="L340:AE340" si="74">(L244-L254-L264)*L$181*L35/1000</f>
        <v>1.0421893729320362</v>
      </c>
      <c r="M340" s="311">
        <f t="shared" si="74"/>
        <v>0.9180265302524202</v>
      </c>
      <c r="N340" s="116">
        <f t="shared" si="74"/>
        <v>1.1209268524006719</v>
      </c>
      <c r="O340" s="310">
        <f t="shared" si="74"/>
        <v>1.7900056152615842</v>
      </c>
      <c r="P340" s="311">
        <f t="shared" si="74"/>
        <v>1.9176419185754072</v>
      </c>
      <c r="Q340" s="311">
        <f t="shared" si="74"/>
        <v>1.6827938182144175</v>
      </c>
      <c r="R340" s="311">
        <f t="shared" si="74"/>
        <v>1.9244971191249545</v>
      </c>
      <c r="S340" s="311">
        <f t="shared" si="74"/>
        <v>2.1854645153586607</v>
      </c>
      <c r="T340" s="311">
        <f t="shared" si="74"/>
        <v>2.3715594658828589</v>
      </c>
      <c r="U340" s="311">
        <f t="shared" si="74"/>
        <v>2.8258315835896606</v>
      </c>
      <c r="V340" s="311">
        <f t="shared" si="74"/>
        <v>2.9546312894447082</v>
      </c>
      <c r="W340" s="311">
        <f t="shared" si="74"/>
        <v>3.0748685981985728</v>
      </c>
      <c r="X340" s="311">
        <f t="shared" si="74"/>
        <v>3.1775354131524844</v>
      </c>
      <c r="Y340" s="311">
        <f t="shared" si="74"/>
        <v>3.2529751677240046</v>
      </c>
      <c r="Z340" s="311">
        <f t="shared" si="74"/>
        <v>3.2157622851904484</v>
      </c>
      <c r="AA340" s="311">
        <f t="shared" si="74"/>
        <v>3.0263302134429377</v>
      </c>
      <c r="AB340" s="311">
        <f t="shared" si="74"/>
        <v>2.8127738006176504</v>
      </c>
      <c r="AC340" s="311">
        <f t="shared" si="74"/>
        <v>2.6428387689846669</v>
      </c>
      <c r="AD340" s="311">
        <f t="shared" si="74"/>
        <v>2.6483908749450169</v>
      </c>
      <c r="AE340" s="116">
        <f t="shared" si="74"/>
        <v>2.2107528322726999</v>
      </c>
      <c r="AF340" s="929" t="s">
        <v>217</v>
      </c>
      <c r="AG340" s="929"/>
      <c r="AH340" s="1034"/>
      <c r="AI340" s="1034"/>
      <c r="AJ340" s="1034" t="s">
        <v>597</v>
      </c>
    </row>
    <row r="341" spans="1:36" s="294" customFormat="1" ht="12.75" customHeight="1" outlineLevel="1">
      <c r="A341" s="553">
        <v>304</v>
      </c>
      <c r="D341" s="33"/>
      <c r="E341" s="27" t="s">
        <v>531</v>
      </c>
      <c r="F341" s="312"/>
      <c r="G341" s="312"/>
      <c r="H341" s="312"/>
      <c r="I341" s="312"/>
      <c r="J341" s="312"/>
      <c r="K341" s="312"/>
      <c r="L341" s="312">
        <f>SUM(L334:L340)</f>
        <v>5.1116166043200355</v>
      </c>
      <c r="M341" s="312">
        <f>SUM(M334:M340)</f>
        <v>4.6273738165819207</v>
      </c>
      <c r="N341" s="117">
        <f>SUM(N334:N340)</f>
        <v>5.8424286624080306</v>
      </c>
      <c r="O341" s="290">
        <f>SUM(O334:O340)</f>
        <v>8.8006209664217838</v>
      </c>
      <c r="P341" s="312">
        <f>SUM(P334:P340)</f>
        <v>10.222497334669006</v>
      </c>
      <c r="Q341" s="312">
        <f t="shared" ref="Q341:AE341" si="75">SUM(Q334:Q340)</f>
        <v>8.2970715750285571</v>
      </c>
      <c r="R341" s="312">
        <f t="shared" si="75"/>
        <v>9.2255424000839792</v>
      </c>
      <c r="S341" s="312">
        <f t="shared" si="75"/>
        <v>9.9688927675642383</v>
      </c>
      <c r="T341" s="312">
        <f t="shared" si="75"/>
        <v>10.507627609201782</v>
      </c>
      <c r="U341" s="312">
        <f t="shared" si="75"/>
        <v>11.721714350427845</v>
      </c>
      <c r="V341" s="312">
        <f t="shared" si="75"/>
        <v>12.231661105019583</v>
      </c>
      <c r="W341" s="312">
        <f t="shared" si="75"/>
        <v>12.653355279087151</v>
      </c>
      <c r="X341" s="312">
        <f t="shared" si="75"/>
        <v>13.160043148136264</v>
      </c>
      <c r="Y341" s="312">
        <f t="shared" si="75"/>
        <v>13.815382408890072</v>
      </c>
      <c r="Z341" s="312">
        <f t="shared" si="75"/>
        <v>14.110444725660139</v>
      </c>
      <c r="AA341" s="312">
        <f t="shared" si="75"/>
        <v>14.252344433732743</v>
      </c>
      <c r="AB341" s="312">
        <f t="shared" si="75"/>
        <v>14.120636820066078</v>
      </c>
      <c r="AC341" s="312">
        <f t="shared" si="75"/>
        <v>14.349088973543845</v>
      </c>
      <c r="AD341" s="312">
        <f t="shared" si="75"/>
        <v>14.616677314618986</v>
      </c>
      <c r="AE341" s="117">
        <f t="shared" si="75"/>
        <v>13.248631953457638</v>
      </c>
      <c r="AF341" s="929"/>
      <c r="AG341" s="929"/>
      <c r="AH341" s="929"/>
      <c r="AI341" s="929"/>
      <c r="AJ341" s="1034"/>
    </row>
    <row r="342" spans="1:36" s="294" customFormat="1" ht="12.75" customHeight="1" outlineLevel="1">
      <c r="A342" s="553">
        <v>305</v>
      </c>
      <c r="C342" s="10"/>
      <c r="D342" s="33"/>
      <c r="E342" s="110"/>
      <c r="F342" s="305"/>
      <c r="G342" s="305"/>
      <c r="H342" s="305"/>
      <c r="I342" s="305"/>
      <c r="J342" s="305"/>
      <c r="K342" s="305"/>
      <c r="L342" s="305"/>
      <c r="M342" s="305"/>
      <c r="N342" s="345"/>
      <c r="O342" s="292"/>
      <c r="P342" s="305"/>
      <c r="Q342" s="305"/>
      <c r="R342" s="305"/>
      <c r="S342" s="305"/>
      <c r="T342" s="305"/>
      <c r="U342" s="305"/>
      <c r="V342" s="305"/>
      <c r="W342" s="305"/>
      <c r="X342" s="305"/>
      <c r="Y342" s="305"/>
      <c r="Z342" s="305"/>
      <c r="AA342" s="305"/>
      <c r="AB342" s="305"/>
      <c r="AC342" s="305"/>
      <c r="AD342" s="305"/>
      <c r="AE342" s="305"/>
      <c r="AF342" s="929"/>
      <c r="AG342" s="929"/>
      <c r="AH342" s="929"/>
      <c r="AI342" s="929"/>
      <c r="AJ342" s="1034"/>
    </row>
    <row r="343" spans="1:36" s="294" customFormat="1" ht="13.2" outlineLevel="1">
      <c r="A343" s="553">
        <v>306</v>
      </c>
      <c r="C343" s="10"/>
      <c r="D343" s="33"/>
      <c r="E343" s="113" t="s">
        <v>551</v>
      </c>
      <c r="F343" s="305"/>
      <c r="G343" s="305"/>
      <c r="H343" s="305"/>
      <c r="I343" s="305"/>
      <c r="J343" s="305"/>
      <c r="K343" s="518"/>
      <c r="L343" s="518"/>
      <c r="M343" s="518"/>
      <c r="N343" s="518"/>
      <c r="O343" s="292"/>
      <c r="P343" s="305"/>
      <c r="Q343" s="305"/>
      <c r="R343" s="305"/>
      <c r="S343" s="305"/>
      <c r="T343" s="305"/>
      <c r="U343" s="305"/>
      <c r="V343" s="305"/>
      <c r="W343" s="305"/>
      <c r="X343" s="305"/>
      <c r="Y343" s="305"/>
      <c r="Z343" s="305"/>
      <c r="AA343" s="305"/>
      <c r="AB343" s="305"/>
      <c r="AC343" s="305"/>
      <c r="AD343" s="305"/>
      <c r="AE343" s="305"/>
      <c r="AF343" s="929"/>
      <c r="AG343" s="929"/>
      <c r="AH343" s="929"/>
      <c r="AI343" s="929"/>
      <c r="AJ343" s="1034" t="s">
        <v>602</v>
      </c>
    </row>
    <row r="344" spans="1:36" s="294" customFormat="1" ht="12.75" customHeight="1" outlineLevel="1">
      <c r="A344" s="553">
        <v>307</v>
      </c>
      <c r="C344" s="10"/>
      <c r="D344" s="33"/>
      <c r="E344" s="314" t="s">
        <v>529</v>
      </c>
      <c r="F344" s="307">
        <f t="shared" ref="F344:M350" si="76">(F111*F29+F121*F38)*F$181/1000</f>
        <v>0.29207321312000001</v>
      </c>
      <c r="G344" s="307">
        <f t="shared" si="76"/>
        <v>0.10501383200846999</v>
      </c>
      <c r="H344" s="307">
        <f t="shared" si="76"/>
        <v>0.26600449367425993</v>
      </c>
      <c r="I344" s="307">
        <f t="shared" si="76"/>
        <v>0.2920044195007499</v>
      </c>
      <c r="J344" s="307">
        <f t="shared" si="76"/>
        <v>0.2261362852952</v>
      </c>
      <c r="K344" s="307">
        <f t="shared" si="76"/>
        <v>0.21487972800999999</v>
      </c>
      <c r="L344" s="307">
        <f t="shared" si="76"/>
        <v>0.19205411863999999</v>
      </c>
      <c r="M344" s="307">
        <f t="shared" si="76"/>
        <v>0.16630889274999999</v>
      </c>
      <c r="N344" s="307">
        <f>(N111*N29+N121*N38)*N$181/1000</f>
        <v>0.17315490799999997</v>
      </c>
      <c r="O344" s="307">
        <f t="shared" ref="O344:AE344" si="77">(O111*O29+O121*O38)*O$181/1000</f>
        <v>0.25396844524000001</v>
      </c>
      <c r="P344" s="307">
        <f t="shared" si="77"/>
        <v>0.2561051131</v>
      </c>
      <c r="Q344" s="307">
        <f t="shared" si="77"/>
        <v>0.21013767752000001</v>
      </c>
      <c r="R344" s="307">
        <f t="shared" si="77"/>
        <v>0</v>
      </c>
      <c r="S344" s="307">
        <f t="shared" si="77"/>
        <v>0</v>
      </c>
      <c r="T344" s="307">
        <f t="shared" si="77"/>
        <v>0</v>
      </c>
      <c r="U344" s="307">
        <f t="shared" si="77"/>
        <v>0</v>
      </c>
      <c r="V344" s="307">
        <f t="shared" si="77"/>
        <v>0</v>
      </c>
      <c r="W344" s="307">
        <f t="shared" si="77"/>
        <v>0</v>
      </c>
      <c r="X344" s="307">
        <f t="shared" si="77"/>
        <v>0</v>
      </c>
      <c r="Y344" s="307">
        <f t="shared" si="77"/>
        <v>0</v>
      </c>
      <c r="Z344" s="307">
        <f t="shared" si="77"/>
        <v>0</v>
      </c>
      <c r="AA344" s="307">
        <f t="shared" si="77"/>
        <v>0</v>
      </c>
      <c r="AB344" s="307">
        <f t="shared" si="77"/>
        <v>0</v>
      </c>
      <c r="AC344" s="307">
        <f t="shared" si="77"/>
        <v>0</v>
      </c>
      <c r="AD344" s="307">
        <f t="shared" si="77"/>
        <v>0</v>
      </c>
      <c r="AE344" s="307">
        <f t="shared" si="77"/>
        <v>0</v>
      </c>
      <c r="AF344" s="929" t="s">
        <v>179</v>
      </c>
      <c r="AG344" s="929"/>
      <c r="AH344" s="929"/>
      <c r="AI344" s="929"/>
      <c r="AJ344" s="1034"/>
    </row>
    <row r="345" spans="1:36" s="294" customFormat="1" ht="12.75" customHeight="1" outlineLevel="1">
      <c r="A345" s="553">
        <v>308</v>
      </c>
      <c r="C345" s="10"/>
      <c r="D345" s="33"/>
      <c r="E345" s="16" t="s">
        <v>349</v>
      </c>
      <c r="F345" s="309">
        <f t="shared" si="76"/>
        <v>9.8448630800000006E-2</v>
      </c>
      <c r="G345" s="309">
        <f t="shared" si="76"/>
        <v>1.0112351376089998E-2</v>
      </c>
      <c r="H345" s="309">
        <f t="shared" si="76"/>
        <v>4.000291416E-2</v>
      </c>
      <c r="I345" s="309">
        <f t="shared" si="76"/>
        <v>7.3559837999999989E-2</v>
      </c>
      <c r="J345" s="309">
        <f t="shared" si="76"/>
        <v>3.2998406843399997E-2</v>
      </c>
      <c r="K345" s="309">
        <f t="shared" si="76"/>
        <v>5.9097831299999994E-2</v>
      </c>
      <c r="L345" s="309">
        <f t="shared" si="76"/>
        <v>5.0229127780000001E-2</v>
      </c>
      <c r="M345" s="309">
        <f t="shared" si="76"/>
        <v>3.6937294750000002E-2</v>
      </c>
      <c r="N345" s="309">
        <f t="shared" ref="N345:N350" si="78">(N112*N30+N122*N39)*N$181/1000</f>
        <v>4.1243785060000003E-2</v>
      </c>
      <c r="O345" s="309">
        <f t="shared" ref="O345:AE345" si="79">(O112*O30+O122*O39)*O$181/1000</f>
        <v>5.1176493279999999E-2</v>
      </c>
      <c r="P345" s="309">
        <f t="shared" si="79"/>
        <v>4.5519695120000002E-2</v>
      </c>
      <c r="Q345" s="309">
        <f t="shared" si="79"/>
        <v>3.0488240739999999E-2</v>
      </c>
      <c r="R345" s="309">
        <f t="shared" si="79"/>
        <v>0</v>
      </c>
      <c r="S345" s="309">
        <f t="shared" si="79"/>
        <v>0</v>
      </c>
      <c r="T345" s="309">
        <f t="shared" si="79"/>
        <v>0</v>
      </c>
      <c r="U345" s="309">
        <f t="shared" si="79"/>
        <v>0</v>
      </c>
      <c r="V345" s="309">
        <f t="shared" si="79"/>
        <v>0</v>
      </c>
      <c r="W345" s="309">
        <f t="shared" si="79"/>
        <v>0</v>
      </c>
      <c r="X345" s="309">
        <f t="shared" si="79"/>
        <v>0</v>
      </c>
      <c r="Y345" s="309">
        <f t="shared" si="79"/>
        <v>0</v>
      </c>
      <c r="Z345" s="309">
        <f t="shared" si="79"/>
        <v>0</v>
      </c>
      <c r="AA345" s="309">
        <f t="shared" si="79"/>
        <v>0</v>
      </c>
      <c r="AB345" s="309">
        <f t="shared" si="79"/>
        <v>0</v>
      </c>
      <c r="AC345" s="309">
        <f t="shared" si="79"/>
        <v>0</v>
      </c>
      <c r="AD345" s="309">
        <f t="shared" si="79"/>
        <v>0</v>
      </c>
      <c r="AE345" s="309">
        <f t="shared" si="79"/>
        <v>0</v>
      </c>
      <c r="AF345" s="929" t="s">
        <v>179</v>
      </c>
      <c r="AG345" s="929"/>
      <c r="AH345" s="929"/>
      <c r="AI345" s="929"/>
      <c r="AJ345" s="1034"/>
    </row>
    <row r="346" spans="1:36" s="294" customFormat="1" ht="12.75" customHeight="1" outlineLevel="1">
      <c r="A346" s="553">
        <v>309</v>
      </c>
      <c r="C346" s="10"/>
      <c r="D346" s="33"/>
      <c r="E346" s="16" t="s">
        <v>11</v>
      </c>
      <c r="F346" s="309">
        <f t="shared" si="76"/>
        <v>1.4089689057600001</v>
      </c>
      <c r="G346" s="309">
        <f t="shared" si="76"/>
        <v>1.2336995107149298</v>
      </c>
      <c r="H346" s="309">
        <f t="shared" si="76"/>
        <v>1.6367263219999997</v>
      </c>
      <c r="I346" s="309">
        <f t="shared" si="76"/>
        <v>1.6963967063999998</v>
      </c>
      <c r="J346" s="309">
        <f t="shared" si="76"/>
        <v>1.44751619535</v>
      </c>
      <c r="K346" s="309">
        <f t="shared" si="76"/>
        <v>1.3450249499200002</v>
      </c>
      <c r="L346" s="309">
        <f t="shared" si="76"/>
        <v>1.2575831384799998</v>
      </c>
      <c r="M346" s="309">
        <f t="shared" si="76"/>
        <v>1.0957814199999998</v>
      </c>
      <c r="N346" s="309">
        <f t="shared" si="78"/>
        <v>1.3087707847599999</v>
      </c>
      <c r="O346" s="309">
        <f t="shared" ref="O346:AE346" si="80">(O113*O31+O123*O40)*O$181/1000</f>
        <v>1.71355489128</v>
      </c>
      <c r="P346" s="309">
        <f t="shared" si="80"/>
        <v>1.89561312136</v>
      </c>
      <c r="Q346" s="309">
        <f t="shared" si="80"/>
        <v>1.4399539238400001</v>
      </c>
      <c r="R346" s="309">
        <f t="shared" si="80"/>
        <v>0</v>
      </c>
      <c r="S346" s="309">
        <f t="shared" si="80"/>
        <v>0</v>
      </c>
      <c r="T346" s="309">
        <f t="shared" si="80"/>
        <v>0</v>
      </c>
      <c r="U346" s="309">
        <f t="shared" si="80"/>
        <v>0</v>
      </c>
      <c r="V346" s="309">
        <f t="shared" si="80"/>
        <v>0</v>
      </c>
      <c r="W346" s="309">
        <f t="shared" si="80"/>
        <v>0</v>
      </c>
      <c r="X346" s="309">
        <f t="shared" si="80"/>
        <v>0</v>
      </c>
      <c r="Y346" s="309">
        <f t="shared" si="80"/>
        <v>0</v>
      </c>
      <c r="Z346" s="309">
        <f t="shared" si="80"/>
        <v>0</v>
      </c>
      <c r="AA346" s="309">
        <f t="shared" si="80"/>
        <v>0</v>
      </c>
      <c r="AB346" s="309">
        <f t="shared" si="80"/>
        <v>0</v>
      </c>
      <c r="AC346" s="309">
        <f t="shared" si="80"/>
        <v>0</v>
      </c>
      <c r="AD346" s="309">
        <f t="shared" si="80"/>
        <v>0</v>
      </c>
      <c r="AE346" s="309">
        <f t="shared" si="80"/>
        <v>0</v>
      </c>
      <c r="AF346" s="929" t="s">
        <v>179</v>
      </c>
      <c r="AG346" s="929"/>
      <c r="AH346" s="929"/>
      <c r="AI346" s="929"/>
      <c r="AJ346" s="1034"/>
    </row>
    <row r="347" spans="1:36" s="294" customFormat="1" ht="12.75" customHeight="1" outlineLevel="1">
      <c r="A347" s="553">
        <v>310</v>
      </c>
      <c r="C347" s="10"/>
      <c r="D347" s="33"/>
      <c r="E347" s="16" t="s">
        <v>10</v>
      </c>
      <c r="F347" s="309">
        <f t="shared" si="76"/>
        <v>1.9314172799999999E-3</v>
      </c>
      <c r="G347" s="309">
        <f t="shared" si="76"/>
        <v>3.1261368130799999E-3</v>
      </c>
      <c r="H347" s="309">
        <f t="shared" si="76"/>
        <v>5.9217927999999998E-3</v>
      </c>
      <c r="I347" s="309">
        <f t="shared" si="76"/>
        <v>3.9321562499999999E-3</v>
      </c>
      <c r="J347" s="309">
        <f t="shared" si="76"/>
        <v>5.4060665100000007E-3</v>
      </c>
      <c r="K347" s="309">
        <f t="shared" si="76"/>
        <v>5.5775611600000002E-3</v>
      </c>
      <c r="L347" s="309">
        <f t="shared" si="76"/>
        <v>5.6387328600000005E-3</v>
      </c>
      <c r="M347" s="309">
        <f t="shared" si="76"/>
        <v>5.0720392499999994E-3</v>
      </c>
      <c r="N347" s="309">
        <f t="shared" si="78"/>
        <v>6.3954142800000001E-3</v>
      </c>
      <c r="O347" s="309">
        <f t="shared" ref="O347:AE347" si="81">(O114*O32+O124*O41)*O$181/1000</f>
        <v>9.5174142399999991E-3</v>
      </c>
      <c r="P347" s="309">
        <f t="shared" si="81"/>
        <v>7.6872786000000016E-3</v>
      </c>
      <c r="Q347" s="309">
        <f t="shared" si="81"/>
        <v>7.5227703000000012E-3</v>
      </c>
      <c r="R347" s="309">
        <f t="shared" si="81"/>
        <v>0</v>
      </c>
      <c r="S347" s="309">
        <f t="shared" si="81"/>
        <v>0</v>
      </c>
      <c r="T347" s="309">
        <f t="shared" si="81"/>
        <v>0</v>
      </c>
      <c r="U347" s="309">
        <f t="shared" si="81"/>
        <v>0</v>
      </c>
      <c r="V347" s="309">
        <f t="shared" si="81"/>
        <v>0</v>
      </c>
      <c r="W347" s="309">
        <f t="shared" si="81"/>
        <v>0</v>
      </c>
      <c r="X347" s="309">
        <f t="shared" si="81"/>
        <v>0</v>
      </c>
      <c r="Y347" s="309">
        <f t="shared" si="81"/>
        <v>0</v>
      </c>
      <c r="Z347" s="309">
        <f t="shared" si="81"/>
        <v>0</v>
      </c>
      <c r="AA347" s="309">
        <f t="shared" si="81"/>
        <v>0</v>
      </c>
      <c r="AB347" s="309">
        <f t="shared" si="81"/>
        <v>0</v>
      </c>
      <c r="AC347" s="309">
        <f t="shared" si="81"/>
        <v>0</v>
      </c>
      <c r="AD347" s="309">
        <f t="shared" si="81"/>
        <v>0</v>
      </c>
      <c r="AE347" s="309">
        <f t="shared" si="81"/>
        <v>0</v>
      </c>
      <c r="AF347" s="929" t="s">
        <v>179</v>
      </c>
      <c r="AG347" s="929"/>
      <c r="AH347" s="929"/>
      <c r="AI347" s="929"/>
      <c r="AJ347" s="1034"/>
    </row>
    <row r="348" spans="1:36" s="294" customFormat="1" ht="12.75" customHeight="1" outlineLevel="1">
      <c r="A348" s="553">
        <v>311</v>
      </c>
      <c r="C348" s="10"/>
      <c r="D348" s="33"/>
      <c r="E348" s="16" t="s">
        <v>339</v>
      </c>
      <c r="F348" s="309">
        <f t="shared" si="76"/>
        <v>2.1178559170288001</v>
      </c>
      <c r="G348" s="309">
        <f t="shared" si="76"/>
        <v>2.1137477995592371</v>
      </c>
      <c r="H348" s="309">
        <f t="shared" si="76"/>
        <v>2.4286296678346999</v>
      </c>
      <c r="I348" s="309">
        <f t="shared" si="76"/>
        <v>2.4982296734125504</v>
      </c>
      <c r="J348" s="309">
        <f t="shared" si="76"/>
        <v>2.1370692271902998</v>
      </c>
      <c r="K348" s="309">
        <f t="shared" si="76"/>
        <v>2.0847258126408099</v>
      </c>
      <c r="L348" s="309">
        <f t="shared" si="76"/>
        <v>2.0939042314399998</v>
      </c>
      <c r="M348" s="309">
        <f t="shared" si="76"/>
        <v>1.9391266764967501</v>
      </c>
      <c r="N348" s="309">
        <f t="shared" si="78"/>
        <v>2.3916418348726998</v>
      </c>
      <c r="O348" s="309">
        <f t="shared" ref="O348:AE348" si="82">(O115*O33+O125*O42)*O$181/1000</f>
        <v>3.1178115079337601</v>
      </c>
      <c r="P348" s="309">
        <f t="shared" si="82"/>
        <v>3.8547571148388795</v>
      </c>
      <c r="Q348" s="309">
        <f t="shared" si="82"/>
        <v>3.0320963474287397</v>
      </c>
      <c r="R348" s="309">
        <f t="shared" si="82"/>
        <v>0</v>
      </c>
      <c r="S348" s="309">
        <f t="shared" si="82"/>
        <v>0</v>
      </c>
      <c r="T348" s="309">
        <f t="shared" si="82"/>
        <v>0</v>
      </c>
      <c r="U348" s="309">
        <f t="shared" si="82"/>
        <v>0</v>
      </c>
      <c r="V348" s="309">
        <f t="shared" si="82"/>
        <v>0</v>
      </c>
      <c r="W348" s="309">
        <f t="shared" si="82"/>
        <v>0</v>
      </c>
      <c r="X348" s="309">
        <f t="shared" si="82"/>
        <v>0</v>
      </c>
      <c r="Y348" s="309">
        <f t="shared" si="82"/>
        <v>0</v>
      </c>
      <c r="Z348" s="309">
        <f t="shared" si="82"/>
        <v>0</v>
      </c>
      <c r="AA348" s="309">
        <f t="shared" si="82"/>
        <v>0</v>
      </c>
      <c r="AB348" s="309">
        <f t="shared" si="82"/>
        <v>0</v>
      </c>
      <c r="AC348" s="309">
        <f t="shared" si="82"/>
        <v>0</v>
      </c>
      <c r="AD348" s="309">
        <f t="shared" si="82"/>
        <v>0</v>
      </c>
      <c r="AE348" s="309">
        <f t="shared" si="82"/>
        <v>0</v>
      </c>
      <c r="AF348" s="929" t="s">
        <v>179</v>
      </c>
      <c r="AG348" s="929"/>
      <c r="AH348" s="929"/>
      <c r="AI348" s="929"/>
      <c r="AJ348" s="1034"/>
    </row>
    <row r="349" spans="1:36" s="294" customFormat="1" ht="12.75" customHeight="1" outlineLevel="1">
      <c r="A349" s="553">
        <v>312</v>
      </c>
      <c r="C349" s="10"/>
      <c r="D349" s="33"/>
      <c r="E349" s="16" t="s">
        <v>340</v>
      </c>
      <c r="F349" s="309">
        <f t="shared" si="76"/>
        <v>2.9034835018800002E-2</v>
      </c>
      <c r="G349" s="309">
        <f t="shared" si="76"/>
        <v>4.771344804335579E-2</v>
      </c>
      <c r="H349" s="309">
        <f t="shared" si="76"/>
        <v>7.6680883025999999E-2</v>
      </c>
      <c r="I349" s="309">
        <f t="shared" si="76"/>
        <v>0.12718753755509998</v>
      </c>
      <c r="J349" s="309">
        <f t="shared" si="76"/>
        <v>0.28150043965380001</v>
      </c>
      <c r="K349" s="309">
        <f t="shared" si="76"/>
        <v>0.37479973</v>
      </c>
      <c r="L349" s="309">
        <f t="shared" si="76"/>
        <v>0.47237686600000001</v>
      </c>
      <c r="M349" s="309">
        <f t="shared" si="76"/>
        <v>0.49372291699999998</v>
      </c>
      <c r="N349" s="309">
        <f t="shared" si="78"/>
        <v>0.64209140899999995</v>
      </c>
      <c r="O349" s="309">
        <f t="shared" ref="O349:AE349" si="83">(O116*O34+O126*O43)*O$181/1000</f>
        <v>0.96796362800000002</v>
      </c>
      <c r="P349" s="309">
        <f t="shared" si="83"/>
        <v>1.165232292</v>
      </c>
      <c r="Q349" s="309">
        <f t="shared" si="83"/>
        <v>0.91908276599999983</v>
      </c>
      <c r="R349" s="309">
        <f t="shared" si="83"/>
        <v>0</v>
      </c>
      <c r="S349" s="309">
        <f t="shared" si="83"/>
        <v>0</v>
      </c>
      <c r="T349" s="309">
        <f t="shared" si="83"/>
        <v>0</v>
      </c>
      <c r="U349" s="309">
        <f t="shared" si="83"/>
        <v>0</v>
      </c>
      <c r="V349" s="309">
        <f t="shared" si="83"/>
        <v>0</v>
      </c>
      <c r="W349" s="309">
        <f t="shared" si="83"/>
        <v>0</v>
      </c>
      <c r="X349" s="309">
        <f t="shared" si="83"/>
        <v>0</v>
      </c>
      <c r="Y349" s="309">
        <f t="shared" si="83"/>
        <v>0</v>
      </c>
      <c r="Z349" s="309">
        <f t="shared" si="83"/>
        <v>0</v>
      </c>
      <c r="AA349" s="309">
        <f t="shared" si="83"/>
        <v>0</v>
      </c>
      <c r="AB349" s="309">
        <f t="shared" si="83"/>
        <v>0</v>
      </c>
      <c r="AC349" s="309">
        <f t="shared" si="83"/>
        <v>0</v>
      </c>
      <c r="AD349" s="309">
        <f t="shared" si="83"/>
        <v>0</v>
      </c>
      <c r="AE349" s="309">
        <f t="shared" si="83"/>
        <v>0</v>
      </c>
      <c r="AF349" s="929" t="s">
        <v>179</v>
      </c>
      <c r="AG349" s="929"/>
      <c r="AH349" s="929"/>
      <c r="AI349" s="929"/>
      <c r="AJ349" s="1034"/>
    </row>
    <row r="350" spans="1:36" s="294" customFormat="1" ht="12.75" customHeight="1" outlineLevel="1">
      <c r="A350" s="553">
        <v>313</v>
      </c>
      <c r="C350" s="10"/>
      <c r="D350" s="33"/>
      <c r="E350" s="296" t="s">
        <v>530</v>
      </c>
      <c r="F350" s="311">
        <f t="shared" si="76"/>
        <v>0.53410125849599999</v>
      </c>
      <c r="G350" s="311">
        <f t="shared" si="76"/>
        <v>1.1811626028345956</v>
      </c>
      <c r="H350" s="311">
        <f t="shared" si="76"/>
        <v>1.3573761625877201</v>
      </c>
      <c r="I350" s="311">
        <f t="shared" si="76"/>
        <v>1.6225724000870998</v>
      </c>
      <c r="J350" s="311">
        <f t="shared" si="76"/>
        <v>1.4166823516922997</v>
      </c>
      <c r="K350" s="311">
        <f t="shared" si="76"/>
        <v>1.05277772906055</v>
      </c>
      <c r="L350" s="311">
        <f t="shared" si="76"/>
        <v>1.058441826388</v>
      </c>
      <c r="M350" s="311">
        <f t="shared" si="76"/>
        <v>0.91974929968274977</v>
      </c>
      <c r="N350" s="311">
        <f t="shared" si="78"/>
        <v>1.1142166543900001</v>
      </c>
      <c r="O350" s="311">
        <f t="shared" ref="O350:AE350" si="84">(O117*O35+O127*O44)*O$181/1000</f>
        <v>1.6898639748521196</v>
      </c>
      <c r="P350" s="311">
        <f t="shared" si="84"/>
        <v>1.81153974393616</v>
      </c>
      <c r="Q350" s="311">
        <f t="shared" si="84"/>
        <v>1.5664986330043003</v>
      </c>
      <c r="R350" s="311">
        <f t="shared" si="84"/>
        <v>0</v>
      </c>
      <c r="S350" s="311">
        <f t="shared" si="84"/>
        <v>0</v>
      </c>
      <c r="T350" s="311">
        <f t="shared" si="84"/>
        <v>0</v>
      </c>
      <c r="U350" s="311">
        <f t="shared" si="84"/>
        <v>0</v>
      </c>
      <c r="V350" s="311">
        <f t="shared" si="84"/>
        <v>0</v>
      </c>
      <c r="W350" s="311">
        <f t="shared" si="84"/>
        <v>0</v>
      </c>
      <c r="X350" s="311">
        <f t="shared" si="84"/>
        <v>0</v>
      </c>
      <c r="Y350" s="311">
        <f t="shared" si="84"/>
        <v>0</v>
      </c>
      <c r="Z350" s="311">
        <f t="shared" si="84"/>
        <v>0</v>
      </c>
      <c r="AA350" s="311">
        <f t="shared" si="84"/>
        <v>0</v>
      </c>
      <c r="AB350" s="311">
        <f t="shared" si="84"/>
        <v>0</v>
      </c>
      <c r="AC350" s="311">
        <f t="shared" si="84"/>
        <v>0</v>
      </c>
      <c r="AD350" s="311">
        <f t="shared" si="84"/>
        <v>0</v>
      </c>
      <c r="AE350" s="311">
        <f t="shared" si="84"/>
        <v>0</v>
      </c>
      <c r="AF350" s="929" t="s">
        <v>179</v>
      </c>
      <c r="AG350" s="929"/>
      <c r="AH350" s="929"/>
      <c r="AI350" s="929"/>
      <c r="AJ350" s="1034"/>
    </row>
    <row r="351" spans="1:36" s="294" customFormat="1" ht="12.75" customHeight="1" outlineLevel="1">
      <c r="A351" s="553">
        <v>314</v>
      </c>
      <c r="C351" s="10"/>
      <c r="D351" s="33"/>
      <c r="E351" s="27" t="s">
        <v>531</v>
      </c>
      <c r="F351" s="312">
        <f t="shared" ref="F351:L351" si="85">SUM(F344:F350)</f>
        <v>4.4824141775036006</v>
      </c>
      <c r="G351" s="312">
        <f t="shared" si="85"/>
        <v>4.6945756813497583</v>
      </c>
      <c r="H351" s="312">
        <f t="shared" si="85"/>
        <v>5.8113422360826803</v>
      </c>
      <c r="I351" s="312">
        <f t="shared" si="85"/>
        <v>6.3138827312054993</v>
      </c>
      <c r="J351" s="312">
        <f t="shared" si="85"/>
        <v>5.5473089725349993</v>
      </c>
      <c r="K351" s="312">
        <f t="shared" si="85"/>
        <v>5.1368833420913607</v>
      </c>
      <c r="L351" s="312">
        <f t="shared" si="85"/>
        <v>5.1302280415879995</v>
      </c>
      <c r="M351" s="312">
        <f t="shared" ref="M351:AE351" si="86">SUM(M344:M350)</f>
        <v>4.6566985399294998</v>
      </c>
      <c r="N351" s="312">
        <f t="shared" si="86"/>
        <v>5.6775147903626992</v>
      </c>
      <c r="O351" s="312">
        <f t="shared" si="86"/>
        <v>7.8038563548258795</v>
      </c>
      <c r="P351" s="312">
        <f t="shared" si="86"/>
        <v>9.036454358955039</v>
      </c>
      <c r="Q351" s="312">
        <f t="shared" si="86"/>
        <v>7.2057803588330405</v>
      </c>
      <c r="R351" s="312">
        <f t="shared" si="86"/>
        <v>0</v>
      </c>
      <c r="S351" s="312">
        <f t="shared" si="86"/>
        <v>0</v>
      </c>
      <c r="T351" s="312">
        <f t="shared" si="86"/>
        <v>0</v>
      </c>
      <c r="U351" s="312">
        <f t="shared" si="86"/>
        <v>0</v>
      </c>
      <c r="V351" s="312">
        <f t="shared" si="86"/>
        <v>0</v>
      </c>
      <c r="W351" s="312">
        <f t="shared" si="86"/>
        <v>0</v>
      </c>
      <c r="X351" s="312">
        <f t="shared" si="86"/>
        <v>0</v>
      </c>
      <c r="Y351" s="312">
        <f t="shared" si="86"/>
        <v>0</v>
      </c>
      <c r="Z351" s="312">
        <f t="shared" si="86"/>
        <v>0</v>
      </c>
      <c r="AA351" s="312">
        <f t="shared" si="86"/>
        <v>0</v>
      </c>
      <c r="AB351" s="312">
        <f t="shared" si="86"/>
        <v>0</v>
      </c>
      <c r="AC351" s="312">
        <f t="shared" si="86"/>
        <v>0</v>
      </c>
      <c r="AD351" s="312">
        <f t="shared" si="86"/>
        <v>0</v>
      </c>
      <c r="AE351" s="312">
        <f t="shared" si="86"/>
        <v>0</v>
      </c>
      <c r="AF351" s="929"/>
      <c r="AG351" s="929"/>
      <c r="AH351" s="929"/>
      <c r="AI351" s="929"/>
      <c r="AJ351" s="1034"/>
    </row>
    <row r="352" spans="1:36" s="294" customFormat="1" ht="12.75" customHeight="1" outlineLevel="1">
      <c r="A352" s="553">
        <v>315</v>
      </c>
      <c r="C352" s="10"/>
      <c r="D352" s="33"/>
      <c r="F352" s="324"/>
      <c r="G352" s="324"/>
      <c r="H352" s="324"/>
      <c r="I352" s="324"/>
      <c r="J352" s="324"/>
      <c r="K352" s="324"/>
      <c r="L352" s="324"/>
      <c r="M352" s="324"/>
      <c r="N352" s="342"/>
      <c r="O352" s="289"/>
      <c r="P352" s="324"/>
      <c r="Q352" s="324"/>
      <c r="R352" s="324"/>
      <c r="S352" s="324"/>
      <c r="T352" s="324"/>
      <c r="U352" s="324"/>
      <c r="V352" s="324"/>
      <c r="W352" s="324"/>
      <c r="X352" s="324"/>
      <c r="Y352" s="324"/>
      <c r="Z352" s="324"/>
      <c r="AA352" s="324"/>
      <c r="AB352" s="324"/>
      <c r="AC352" s="324"/>
      <c r="AD352" s="324"/>
      <c r="AE352" s="324"/>
      <c r="AF352" s="929"/>
      <c r="AG352" s="929"/>
      <c r="AH352" s="929"/>
      <c r="AI352" s="929"/>
      <c r="AJ352" s="1034"/>
    </row>
    <row r="353" spans="1:44" s="294" customFormat="1" ht="12.75" customHeight="1" outlineLevel="1">
      <c r="A353" s="553">
        <v>316</v>
      </c>
      <c r="C353" s="10"/>
      <c r="D353" s="33"/>
      <c r="E353" s="315" t="s">
        <v>552</v>
      </c>
      <c r="F353" s="324"/>
      <c r="G353" s="324"/>
      <c r="H353" s="324"/>
      <c r="I353" s="324"/>
      <c r="J353" s="324"/>
      <c r="K353" s="324"/>
      <c r="L353" s="324"/>
      <c r="M353" s="324"/>
      <c r="N353" s="342"/>
      <c r="O353" s="289"/>
      <c r="P353" s="324"/>
      <c r="Q353" s="324"/>
      <c r="R353" s="324"/>
      <c r="S353" s="324"/>
      <c r="T353" s="324"/>
      <c r="U353" s="324"/>
      <c r="V353" s="324"/>
      <c r="W353" s="324"/>
      <c r="X353" s="324"/>
      <c r="Y353" s="324"/>
      <c r="Z353" s="324"/>
      <c r="AA353" s="324"/>
      <c r="AB353" s="324"/>
      <c r="AC353" s="324"/>
      <c r="AD353" s="324"/>
      <c r="AE353" s="324"/>
      <c r="AF353" s="929"/>
      <c r="AG353" s="929"/>
      <c r="AH353" s="929"/>
      <c r="AI353" s="929"/>
      <c r="AJ353" s="1034"/>
    </row>
    <row r="354" spans="1:44" s="294" customFormat="1" ht="12.75" customHeight="1" outlineLevel="2">
      <c r="A354" s="553">
        <v>317</v>
      </c>
      <c r="C354" s="10"/>
      <c r="D354" s="33"/>
      <c r="E354" s="314" t="s">
        <v>529</v>
      </c>
      <c r="F354" s="320">
        <f>IF(F$5&lt;ControlPanel!$D$59,F344,F334)</f>
        <v>0.29207321312000001</v>
      </c>
      <c r="G354" s="316">
        <f>IF(G$5&lt;ControlPanel!$D$59,G344,G334)</f>
        <v>0.10501383200846999</v>
      </c>
      <c r="H354" s="316">
        <f>IF(H$5&lt;ControlPanel!$D$59,H344,H334)</f>
        <v>0.26600449367425993</v>
      </c>
      <c r="I354" s="316">
        <f>IF(I$5&lt;ControlPanel!$D$59,I344,I334)</f>
        <v>0.2920044195007499</v>
      </c>
      <c r="J354" s="316">
        <f>IF(J$5&lt;ControlPanel!$D$59,J344,J334)</f>
        <v>0.2261362852952</v>
      </c>
      <c r="K354" s="316">
        <f>IF(K$5&lt;ControlPanel!$D$59,K344,K334)</f>
        <v>0.21487972800999999</v>
      </c>
      <c r="L354" s="316">
        <f>IF(L$5&lt;ControlPanel!$D$59,L344,L334)</f>
        <v>0.19205411863999999</v>
      </c>
      <c r="M354" s="316">
        <f>IF(M$5&lt;ControlPanel!$D$59,M344,M334)</f>
        <v>0.16630889274999999</v>
      </c>
      <c r="N354" s="316">
        <f>IF(N$5&lt;ControlPanel!$D$59,N344,N334)</f>
        <v>0.17315490799999997</v>
      </c>
      <c r="O354" s="316">
        <f>IF(O$5&lt;ControlPanel!$D$59,O344,O334)</f>
        <v>0.25396844524000001</v>
      </c>
      <c r="P354" s="316">
        <f>IF(P$5&lt;ControlPanel!$D$59,P344,P334)</f>
        <v>0.2561051131</v>
      </c>
      <c r="Q354" s="316">
        <f>IF(Q$5&lt;ControlPanel!$D$59,Q344,Q334)</f>
        <v>0.21013767752000001</v>
      </c>
      <c r="R354" s="316">
        <f>IF(R$5&lt;ControlPanel!$D$59,R344,R334)</f>
        <v>0.28836135297376914</v>
      </c>
      <c r="S354" s="316">
        <f>IF(S$5&lt;ControlPanel!$D$59,S344,S334)</f>
        <v>0.30496592950590728</v>
      </c>
      <c r="T354" s="316">
        <f>IF(T$5&lt;ControlPanel!$D$59,T344,T334)</f>
        <v>0.31779823489225384</v>
      </c>
      <c r="U354" s="316">
        <f>IF(U$5&lt;ControlPanel!$D$59,U344,U334)</f>
        <v>0.33094689210605194</v>
      </c>
      <c r="V354" s="317">
        <f>IF(V$5&lt;ControlPanel!$D$59,V344,V334)</f>
        <v>0.34441850443341332</v>
      </c>
      <c r="W354" s="316">
        <f>IF(W$5&lt;ControlPanel!$D$59,W344,W334)</f>
        <v>0.35821980207987159</v>
      </c>
      <c r="X354" s="316">
        <f>IF(X$5&lt;ControlPanel!$D$59,X344,X334)</f>
        <v>0.37235764449222608</v>
      </c>
      <c r="Y354" s="316">
        <f>IF(Y$5&lt;ControlPanel!$D$59,Y344,Y334)</f>
        <v>0.38683902272148335</v>
      </c>
      <c r="Z354" s="316">
        <f>IF(Z$5&lt;ControlPanel!$D$59,Z344,Z334)</f>
        <v>0.36793258095560327</v>
      </c>
      <c r="AA354" s="316">
        <f>IF(AA$5&lt;ControlPanel!$D$59,AA344,AA334)</f>
        <v>0.35159072610151521</v>
      </c>
      <c r="AB354" s="316">
        <f>IF(AB$5&lt;ControlPanel!$D$59,AB344,AB334)</f>
        <v>0.34308258950833598</v>
      </c>
      <c r="AC354" s="316">
        <f>IF(AC$5&lt;ControlPanel!$D$59,AC344,AC334)</f>
        <v>0.34272422469057762</v>
      </c>
      <c r="AD354" s="316">
        <f>IF(AD$5&lt;ControlPanel!$D$59,AD344,AD334)</f>
        <v>0.31169567423826522</v>
      </c>
      <c r="AE354" s="317">
        <f>IF(AE$5&lt;ControlPanel!$D$59,AE344,AE334)</f>
        <v>0.31909667305396328</v>
      </c>
      <c r="AF354" s="929"/>
      <c r="AG354" s="929"/>
      <c r="AH354" s="929"/>
      <c r="AI354" s="929"/>
      <c r="AJ354" s="1034" t="s">
        <v>603</v>
      </c>
    </row>
    <row r="355" spans="1:44" s="294" customFormat="1" ht="12.75" customHeight="1" outlineLevel="2">
      <c r="A355" s="553">
        <v>318</v>
      </c>
      <c r="C355" s="10"/>
      <c r="D355" s="33"/>
      <c r="E355" s="16" t="s">
        <v>349</v>
      </c>
      <c r="F355" s="327">
        <f>IF(F$5&lt;ControlPanel!$D$59,F345,F335)</f>
        <v>9.8448630800000006E-2</v>
      </c>
      <c r="G355" s="325">
        <f>IF(G$5&lt;ControlPanel!$D$59,G345,G335)</f>
        <v>1.0112351376089998E-2</v>
      </c>
      <c r="H355" s="325">
        <f>IF(H$5&lt;ControlPanel!$D$59,H345,H335)</f>
        <v>4.000291416E-2</v>
      </c>
      <c r="I355" s="325">
        <f>IF(I$5&lt;ControlPanel!$D$59,I345,I335)</f>
        <v>7.3559837999999989E-2</v>
      </c>
      <c r="J355" s="325">
        <f>IF(J$5&lt;ControlPanel!$D$59,J345,J335)</f>
        <v>3.2998406843399997E-2</v>
      </c>
      <c r="K355" s="325">
        <f>IF(K$5&lt;ControlPanel!$D$59,K345,K335)</f>
        <v>5.9097831299999994E-2</v>
      </c>
      <c r="L355" s="325">
        <f>IF(L$5&lt;ControlPanel!$D$59,L345,L335)</f>
        <v>5.0229127780000001E-2</v>
      </c>
      <c r="M355" s="325">
        <f>IF(M$5&lt;ControlPanel!$D$59,M345,M335)</f>
        <v>3.6937294750000002E-2</v>
      </c>
      <c r="N355" s="325">
        <f>IF(N$5&lt;ControlPanel!$D$59,N345,N335)</f>
        <v>4.1243785060000003E-2</v>
      </c>
      <c r="O355" s="325">
        <f>IF(O$5&lt;ControlPanel!$D$59,O345,O335)</f>
        <v>5.1176493279999999E-2</v>
      </c>
      <c r="P355" s="325">
        <f>IF(P$5&lt;ControlPanel!$D$59,P345,P335)</f>
        <v>4.5519695120000002E-2</v>
      </c>
      <c r="Q355" s="325">
        <f>IF(Q$5&lt;ControlPanel!$D$59,Q345,Q335)</f>
        <v>3.0488240739999999E-2</v>
      </c>
      <c r="R355" s="325">
        <f>IF(R$5&lt;ControlPanel!$D$59,R345,R335)</f>
        <v>5.3867281007285717E-2</v>
      </c>
      <c r="S355" s="325">
        <f>IF(S$5&lt;ControlPanel!$D$59,S345,S335)</f>
        <v>4.4202131336674409E-2</v>
      </c>
      <c r="T355" s="325">
        <f>IF(T$5&lt;ControlPanel!$D$59,T345,T335)</f>
        <v>3.1070537361353644E-2</v>
      </c>
      <c r="U355" s="325">
        <f>IF(U$5&lt;ControlPanel!$D$59,U345,U335)</f>
        <v>1.7737234048379558E-2</v>
      </c>
      <c r="V355" s="326">
        <f>IF(V$5&lt;ControlPanel!$D$59,V345,V335)</f>
        <v>1.6824513502781774E-2</v>
      </c>
      <c r="W355" s="325">
        <f>IF(W$5&lt;ControlPanel!$D$59,W345,W335)</f>
        <v>1.6108810330995895E-2</v>
      </c>
      <c r="X355" s="325">
        <f>IF(X$5&lt;ControlPanel!$D$59,X345,X335)</f>
        <v>1.6528562239816798E-2</v>
      </c>
      <c r="Y355" s="325">
        <f>IF(Y$5&lt;ControlPanel!$D$59,Y345,Y335)</f>
        <v>1.6982501815412977E-2</v>
      </c>
      <c r="Z355" s="325">
        <f>IF(Z$5&lt;ControlPanel!$D$59,Z345,Z335)</f>
        <v>1.5221181108219928E-2</v>
      </c>
      <c r="AA355" s="325">
        <f>IF(AA$5&lt;ControlPanel!$D$59,AA345,AA335)</f>
        <v>1.5359751083012272E-2</v>
      </c>
      <c r="AB355" s="325">
        <f>IF(AB$5&lt;ControlPanel!$D$59,AB345,AB335)</f>
        <v>1.3692395213860543E-2</v>
      </c>
      <c r="AC355" s="325">
        <f>IF(AC$5&lt;ControlPanel!$D$59,AC345,AC335)</f>
        <v>1.4005499915594025E-2</v>
      </c>
      <c r="AD355" s="325">
        <f>IF(AD$5&lt;ControlPanel!$D$59,AD345,AD335)</f>
        <v>1.4207427173786799E-2</v>
      </c>
      <c r="AE355" s="326">
        <f>IF(AE$5&lt;ControlPanel!$D$59,AE345,AE335)</f>
        <v>1.4108828615658891E-2</v>
      </c>
      <c r="AF355" s="929"/>
      <c r="AG355" s="929"/>
      <c r="AH355" s="929"/>
      <c r="AI355" s="929"/>
      <c r="AJ355" s="1034"/>
    </row>
    <row r="356" spans="1:44" s="294" customFormat="1" ht="12.75" customHeight="1" outlineLevel="2">
      <c r="A356" s="553">
        <v>319</v>
      </c>
      <c r="C356" s="10"/>
      <c r="D356" s="33"/>
      <c r="E356" s="16" t="s">
        <v>11</v>
      </c>
      <c r="F356" s="327">
        <f>IF(F$5&lt;ControlPanel!$D$59,F346,F336)</f>
        <v>1.4089689057600001</v>
      </c>
      <c r="G356" s="325">
        <f>IF(G$5&lt;ControlPanel!$D$59,G346,G336)</f>
        <v>1.2336995107149298</v>
      </c>
      <c r="H356" s="325">
        <f>IF(H$5&lt;ControlPanel!$D$59,H346,H336)</f>
        <v>1.6367263219999997</v>
      </c>
      <c r="I356" s="325">
        <f>IF(I$5&lt;ControlPanel!$D$59,I346,I336)</f>
        <v>1.6963967063999998</v>
      </c>
      <c r="J356" s="325">
        <f>IF(J$5&lt;ControlPanel!$D$59,J346,J336)</f>
        <v>1.44751619535</v>
      </c>
      <c r="K356" s="325">
        <f>IF(K$5&lt;ControlPanel!$D$59,K346,K336)</f>
        <v>1.3450249499200002</v>
      </c>
      <c r="L356" s="325">
        <f>IF(L$5&lt;ControlPanel!$D$59,L346,L336)</f>
        <v>1.2575831384799998</v>
      </c>
      <c r="M356" s="325">
        <f>IF(M$5&lt;ControlPanel!$D$59,M346,M336)</f>
        <v>1.0957814199999998</v>
      </c>
      <c r="N356" s="325">
        <f>IF(N$5&lt;ControlPanel!$D$59,N346,N336)</f>
        <v>1.3087707847599999</v>
      </c>
      <c r="O356" s="325">
        <f>IF(O$5&lt;ControlPanel!$D$59,O346,O336)</f>
        <v>1.71355489128</v>
      </c>
      <c r="P356" s="325">
        <f>IF(P$5&lt;ControlPanel!$D$59,P346,P336)</f>
        <v>1.89561312136</v>
      </c>
      <c r="Q356" s="325">
        <f>IF(Q$5&lt;ControlPanel!$D$59,Q346,Q336)</f>
        <v>1.4399539238400001</v>
      </c>
      <c r="R356" s="325">
        <f>IF(R$5&lt;ControlPanel!$D$59,R346,R336)</f>
        <v>2.0496324876794478</v>
      </c>
      <c r="S356" s="325">
        <f>IF(S$5&lt;ControlPanel!$D$59,S346,S336)</f>
        <v>2.1399644031543454</v>
      </c>
      <c r="T356" s="325">
        <f>IF(T$5&lt;ControlPanel!$D$59,T346,T336)</f>
        <v>2.184397471457117</v>
      </c>
      <c r="U356" s="325">
        <f>IF(U$5&lt;ControlPanel!$D$59,U346,U336)</f>
        <v>2.1300708481916235</v>
      </c>
      <c r="V356" s="326">
        <f>IF(V$5&lt;ControlPanel!$D$59,V346,V336)</f>
        <v>2.0415319216992831</v>
      </c>
      <c r="W356" s="325">
        <f>IF(W$5&lt;ControlPanel!$D$59,W346,W336)</f>
        <v>1.8967260624517046</v>
      </c>
      <c r="X356" s="325">
        <f>IF(X$5&lt;ControlPanel!$D$59,X346,X336)</f>
        <v>1.8039010451007809</v>
      </c>
      <c r="Y356" s="325">
        <f>IF(Y$5&lt;ControlPanel!$D$59,Y346,Y336)</f>
        <v>1.8026843427765522</v>
      </c>
      <c r="Z356" s="325">
        <f>IF(Z$5&lt;ControlPanel!$D$59,Z346,Z336)</f>
        <v>1.7559125112786531</v>
      </c>
      <c r="AA356" s="325">
        <f>IF(AA$5&lt;ControlPanel!$D$59,AA346,AA336)</f>
        <v>1.6048648746612268</v>
      </c>
      <c r="AB356" s="325">
        <f>IF(AB$5&lt;ControlPanel!$D$59,AB346,AB336)</f>
        <v>1.2460092310636619</v>
      </c>
      <c r="AC356" s="325">
        <f>IF(AC$5&lt;ControlPanel!$D$59,AC346,AC336)</f>
        <v>1.2480816577640956</v>
      </c>
      <c r="AD356" s="325">
        <f>IF(AD$5&lt;ControlPanel!$D$59,AD346,AD336)</f>
        <v>1.263914438107054</v>
      </c>
      <c r="AE356" s="326">
        <f>IF(AE$5&lt;ControlPanel!$D$59,AE346,AE336)</f>
        <v>1.3038429976369064</v>
      </c>
      <c r="AF356" s="929"/>
      <c r="AG356" s="929"/>
      <c r="AH356" s="929"/>
      <c r="AI356" s="929"/>
      <c r="AJ356" s="1034"/>
      <c r="AK356" s="59"/>
      <c r="AL356" s="59"/>
      <c r="AM356" s="59"/>
      <c r="AN356" s="59"/>
      <c r="AO356" s="59"/>
      <c r="AP356" s="59"/>
      <c r="AQ356" s="59"/>
      <c r="AR356" s="59"/>
    </row>
    <row r="357" spans="1:44" s="294" customFormat="1" ht="12.75" customHeight="1" outlineLevel="2">
      <c r="A357" s="553">
        <v>320</v>
      </c>
      <c r="C357" s="10"/>
      <c r="D357" s="33"/>
      <c r="E357" s="16" t="s">
        <v>10</v>
      </c>
      <c r="F357" s="327">
        <f>IF(F$5&lt;ControlPanel!$D$59,F347,F337)</f>
        <v>1.9314172799999999E-3</v>
      </c>
      <c r="G357" s="325">
        <f>IF(G$5&lt;ControlPanel!$D$59,G347,G337)</f>
        <v>3.1261368130799999E-3</v>
      </c>
      <c r="H357" s="325">
        <f>IF(H$5&lt;ControlPanel!$D$59,H347,H337)</f>
        <v>5.9217927999999998E-3</v>
      </c>
      <c r="I357" s="325">
        <f>IF(I$5&lt;ControlPanel!$D$59,I347,I337)</f>
        <v>3.9321562499999999E-3</v>
      </c>
      <c r="J357" s="325">
        <f>IF(J$5&lt;ControlPanel!$D$59,J347,J337)</f>
        <v>5.4060665100000007E-3</v>
      </c>
      <c r="K357" s="325">
        <f>IF(K$5&lt;ControlPanel!$D$59,K347,K337)</f>
        <v>5.5775611600000002E-3</v>
      </c>
      <c r="L357" s="325">
        <f>IF(L$5&lt;ControlPanel!$D$59,L347,L337)</f>
        <v>5.6387328600000005E-3</v>
      </c>
      <c r="M357" s="325">
        <f>IF(M$5&lt;ControlPanel!$D$59,M347,M337)</f>
        <v>5.0720392499999994E-3</v>
      </c>
      <c r="N357" s="325">
        <f>IF(N$5&lt;ControlPanel!$D$59,N347,N337)</f>
        <v>6.3954142800000001E-3</v>
      </c>
      <c r="O357" s="325">
        <f>IF(O$5&lt;ControlPanel!$D$59,O347,O337)</f>
        <v>9.5174142399999991E-3</v>
      </c>
      <c r="P357" s="325">
        <f>IF(P$5&lt;ControlPanel!$D$59,P347,P337)</f>
        <v>7.6872786000000016E-3</v>
      </c>
      <c r="Q357" s="325">
        <f>IF(Q$5&lt;ControlPanel!$D$59,Q347,Q337)</f>
        <v>7.5227703000000012E-3</v>
      </c>
      <c r="R357" s="325">
        <f>IF(R$5&lt;ControlPanel!$D$59,R347,R337)</f>
        <v>1.2062856361658667E-2</v>
      </c>
      <c r="S357" s="325">
        <f>IF(S$5&lt;ControlPanel!$D$59,S347,S337)</f>
        <v>1.2757466161438498E-2</v>
      </c>
      <c r="T357" s="325">
        <f>IF(T$5&lt;ControlPanel!$D$59,T347,T337)</f>
        <v>1.3294272689317837E-2</v>
      </c>
      <c r="U357" s="325">
        <f>IF(U$5&lt;ControlPanel!$D$59,U347,U337)</f>
        <v>1.3844312983147231E-2</v>
      </c>
      <c r="V357" s="326">
        <f>IF(V$5&lt;ControlPanel!$D$59,V347,V337)</f>
        <v>1.4407863274436413E-2</v>
      </c>
      <c r="W357" s="325">
        <f>IF(W$5&lt;ControlPanel!$D$59,W347,W337)</f>
        <v>1.4985205104043059E-2</v>
      </c>
      <c r="X357" s="325">
        <f>IF(X$5&lt;ControlPanel!$D$59,X347,X337)</f>
        <v>1.5576625419301156E-2</v>
      </c>
      <c r="Y357" s="325">
        <f>IF(Y$5&lt;ControlPanel!$D$59,Y347,Y337)</f>
        <v>1.6182416672868592E-2</v>
      </c>
      <c r="Z357" s="325">
        <f>IF(Z$5&lt;ControlPanel!$D$59,Z347,Z337)</f>
        <v>1.6213463996626942E-2</v>
      </c>
      <c r="AA357" s="325">
        <f>IF(AA$5&lt;ControlPanel!$D$59,AA347,AA337)</f>
        <v>1.6826607230687098E-2</v>
      </c>
      <c r="AB357" s="325">
        <f>IF(AB$5&lt;ControlPanel!$D$59,AB347,AB337)</f>
        <v>1.7454496732369817E-2</v>
      </c>
      <c r="AC357" s="325">
        <f>IF(AC$5&lt;ControlPanel!$D$59,AC347,AC337)</f>
        <v>1.3898366648973601E-2</v>
      </c>
      <c r="AD357" s="325">
        <f>IF(AD$5&lt;ControlPanel!$D$59,AD347,AD337)</f>
        <v>9.8071560998888082E-3</v>
      </c>
      <c r="AE357" s="326">
        <f>IF(AE$5&lt;ControlPanel!$D$59,AE347,AE337)</f>
        <v>8.9073033635203719E-3</v>
      </c>
      <c r="AF357" s="929"/>
      <c r="AG357" s="929"/>
      <c r="AH357" s="929"/>
      <c r="AI357" s="929"/>
      <c r="AJ357" s="1040"/>
      <c r="AK357" s="73"/>
      <c r="AL357" s="73"/>
      <c r="AM357" s="73"/>
      <c r="AN357" s="73"/>
      <c r="AO357" s="73"/>
      <c r="AP357" s="73"/>
      <c r="AQ357" s="73"/>
      <c r="AR357" s="73"/>
    </row>
    <row r="358" spans="1:44" s="294" customFormat="1" ht="12.75" customHeight="1" outlineLevel="2">
      <c r="A358" s="553">
        <v>321</v>
      </c>
      <c r="C358" s="10"/>
      <c r="D358" s="33"/>
      <c r="E358" s="16" t="s">
        <v>339</v>
      </c>
      <c r="F358" s="327">
        <f>IF(F$5&lt;ControlPanel!$D$59,F348,F338)</f>
        <v>2.1178559170288001</v>
      </c>
      <c r="G358" s="325">
        <f>IF(G$5&lt;ControlPanel!$D$59,G348,G338)</f>
        <v>2.1137477995592371</v>
      </c>
      <c r="H358" s="325">
        <f>IF(H$5&lt;ControlPanel!$D$59,H348,H338)</f>
        <v>2.4286296678346999</v>
      </c>
      <c r="I358" s="325">
        <f>IF(I$5&lt;ControlPanel!$D$59,I348,I338)</f>
        <v>2.4982296734125504</v>
      </c>
      <c r="J358" s="325">
        <f>IF(J$5&lt;ControlPanel!$D$59,J348,J338)</f>
        <v>2.1370692271902998</v>
      </c>
      <c r="K358" s="325">
        <f>IF(K$5&lt;ControlPanel!$D$59,K348,K338)</f>
        <v>2.0847258126408099</v>
      </c>
      <c r="L358" s="325">
        <f>IF(L$5&lt;ControlPanel!$D$59,L348,L338)</f>
        <v>2.0939042314399998</v>
      </c>
      <c r="M358" s="325">
        <f>IF(M$5&lt;ControlPanel!$D$59,M348,M338)</f>
        <v>1.9391266764967501</v>
      </c>
      <c r="N358" s="325">
        <f>IF(N$5&lt;ControlPanel!$D$59,N348,N338)</f>
        <v>2.3916418348726998</v>
      </c>
      <c r="O358" s="325">
        <f>IF(O$5&lt;ControlPanel!$D$59,O348,O338)</f>
        <v>3.1178115079337601</v>
      </c>
      <c r="P358" s="325">
        <f>IF(P$5&lt;ControlPanel!$D$59,P348,P338)</f>
        <v>3.8547571148388795</v>
      </c>
      <c r="Q358" s="325">
        <f>IF(Q$5&lt;ControlPanel!$D$59,Q348,Q338)</f>
        <v>3.0320963474287397</v>
      </c>
      <c r="R358" s="325">
        <f>IF(R$5&lt;ControlPanel!$D$59,R348,R338)</f>
        <v>3.752621598555212</v>
      </c>
      <c r="S358" s="325">
        <f>IF(S$5&lt;ControlPanel!$D$59,S348,S338)</f>
        <v>3.9614469517599757</v>
      </c>
      <c r="T358" s="325">
        <f>IF(T$5&lt;ControlPanel!$D$59,T348,T338)</f>
        <v>4.0649950543913089</v>
      </c>
      <c r="U358" s="325">
        <f>IF(U$5&lt;ControlPanel!$D$59,U348,U338)</f>
        <v>4.5471154569323256</v>
      </c>
      <c r="V358" s="326">
        <f>IF(V$5&lt;ControlPanel!$D$59,V348,V338)</f>
        <v>4.7639116974323761</v>
      </c>
      <c r="W358" s="325">
        <f>IF(W$5&lt;ControlPanel!$D$59,W348,W338)</f>
        <v>4.9468048282559067</v>
      </c>
      <c r="X358" s="325">
        <f>IF(X$5&lt;ControlPanel!$D$59,X348,X338)</f>
        <v>5.1698245508146794</v>
      </c>
      <c r="Y358" s="325">
        <f>IF(Y$5&lt;ControlPanel!$D$59,Y348,Y338)</f>
        <v>5.468438319805986</v>
      </c>
      <c r="Z358" s="325">
        <f>IF(Z$5&lt;ControlPanel!$D$59,Z348,Z338)</f>
        <v>5.6013957251458635</v>
      </c>
      <c r="AA358" s="325">
        <f>IF(AA$5&lt;ControlPanel!$D$59,AA348,AA338)</f>
        <v>5.8276608190414514</v>
      </c>
      <c r="AB358" s="325">
        <f>IF(AB$5&lt;ControlPanel!$D$59,AB348,AB338)</f>
        <v>6.0152678091522089</v>
      </c>
      <c r="AC358" s="325">
        <f>IF(AC$5&lt;ControlPanel!$D$59,AC348,AC338)</f>
        <v>6.1396437740001248</v>
      </c>
      <c r="AD358" s="325">
        <f>IF(AD$5&lt;ControlPanel!$D$59,AD348,AD338)</f>
        <v>6.1748427936837604</v>
      </c>
      <c r="AE358" s="326">
        <f>IF(AE$5&lt;ControlPanel!$D$59,AE348,AE338)</f>
        <v>5.3830837613663123</v>
      </c>
      <c r="AF358" s="929"/>
      <c r="AG358" s="929"/>
      <c r="AH358" s="929"/>
      <c r="AI358" s="929"/>
      <c r="AJ358" s="1034"/>
      <c r="AK358" s="73"/>
      <c r="AL358" s="73"/>
      <c r="AM358" s="73"/>
      <c r="AN358" s="73"/>
      <c r="AO358" s="73"/>
      <c r="AP358" s="73"/>
      <c r="AQ358" s="73"/>
      <c r="AR358" s="73"/>
    </row>
    <row r="359" spans="1:44" s="294" customFormat="1" ht="12.75" customHeight="1" outlineLevel="2">
      <c r="A359" s="553">
        <v>322</v>
      </c>
      <c r="C359" s="10"/>
      <c r="D359" s="33"/>
      <c r="E359" s="16" t="s">
        <v>340</v>
      </c>
      <c r="F359" s="327">
        <f>IF(F$5&lt;ControlPanel!$D$59,F349,F339)</f>
        <v>2.9034835018800002E-2</v>
      </c>
      <c r="G359" s="325">
        <f>IF(G$5&lt;ControlPanel!$D$59,G349,G339)</f>
        <v>4.771344804335579E-2</v>
      </c>
      <c r="H359" s="325">
        <f>IF(H$5&lt;ControlPanel!$D$59,H349,H339)</f>
        <v>7.6680883025999999E-2</v>
      </c>
      <c r="I359" s="325">
        <f>IF(I$5&lt;ControlPanel!$D$59,I349,I339)</f>
        <v>0.12718753755509998</v>
      </c>
      <c r="J359" s="325">
        <f>IF(J$5&lt;ControlPanel!$D$59,J349,J339)</f>
        <v>0.28150043965380001</v>
      </c>
      <c r="K359" s="325">
        <f>IF(K$5&lt;ControlPanel!$D$59,K349,K339)</f>
        <v>0.37479973</v>
      </c>
      <c r="L359" s="325">
        <f>IF(L$5&lt;ControlPanel!$D$59,L349,L339)</f>
        <v>0.47237686600000001</v>
      </c>
      <c r="M359" s="325">
        <f>IF(M$5&lt;ControlPanel!$D$59,M349,M339)</f>
        <v>0.49372291699999998</v>
      </c>
      <c r="N359" s="325">
        <f>IF(N$5&lt;ControlPanel!$D$59,N349,N339)</f>
        <v>0.64209140899999995</v>
      </c>
      <c r="O359" s="325">
        <f>IF(O$5&lt;ControlPanel!$D$59,O349,O339)</f>
        <v>0.96796362800000002</v>
      </c>
      <c r="P359" s="325">
        <f>IF(P$5&lt;ControlPanel!$D$59,P349,P339)</f>
        <v>1.165232292</v>
      </c>
      <c r="Q359" s="325">
        <f>IF(Q$5&lt;ControlPanel!$D$59,Q349,Q339)</f>
        <v>0.91908276599999983</v>
      </c>
      <c r="R359" s="325">
        <f>IF(R$5&lt;ControlPanel!$D$59,R349,R339)</f>
        <v>1.1444997043816505</v>
      </c>
      <c r="S359" s="325">
        <f>IF(S$5&lt;ControlPanel!$D$59,S349,S339)</f>
        <v>1.3200913702872359</v>
      </c>
      <c r="T359" s="325">
        <f>IF(T$5&lt;ControlPanel!$D$59,T349,T339)</f>
        <v>1.524512572527571</v>
      </c>
      <c r="U359" s="325">
        <f>IF(U$5&lt;ControlPanel!$D$59,U349,U339)</f>
        <v>1.8561680225766581</v>
      </c>
      <c r="V359" s="326">
        <f>IF(V$5&lt;ControlPanel!$D$59,V349,V339)</f>
        <v>2.095935315232583</v>
      </c>
      <c r="W359" s="325">
        <f>IF(W$5&lt;ControlPanel!$D$59,W349,W339)</f>
        <v>2.3456419726660549</v>
      </c>
      <c r="X359" s="325">
        <f>IF(X$5&lt;ControlPanel!$D$59,X349,X339)</f>
        <v>2.6043193069169734</v>
      </c>
      <c r="Y359" s="325">
        <f>IF(Y$5&lt;ControlPanel!$D$59,Y349,Y339)</f>
        <v>2.8712806373737627</v>
      </c>
      <c r="Z359" s="325">
        <f>IF(Z$5&lt;ControlPanel!$D$59,Z349,Z339)</f>
        <v>3.1380069779847228</v>
      </c>
      <c r="AA359" s="325">
        <f>IF(AA$5&lt;ControlPanel!$D$59,AA349,AA339)</f>
        <v>3.4097114421719112</v>
      </c>
      <c r="AB359" s="325">
        <f>IF(AB$5&lt;ControlPanel!$D$59,AB349,AB339)</f>
        <v>3.672356497777991</v>
      </c>
      <c r="AC359" s="325">
        <f>IF(AC$5&lt;ControlPanel!$D$59,AC349,AC339)</f>
        <v>3.9478966815398113</v>
      </c>
      <c r="AD359" s="325">
        <f>IF(AD$5&lt;ControlPanel!$D$59,AD349,AD339)</f>
        <v>4.193818950371214</v>
      </c>
      <c r="AE359" s="326">
        <f>IF(AE$5&lt;ControlPanel!$D$59,AE349,AE339)</f>
        <v>4.0088395571485762</v>
      </c>
      <c r="AF359" s="929"/>
      <c r="AG359" s="929"/>
      <c r="AH359" s="929"/>
      <c r="AI359" s="929"/>
      <c r="AJ359" s="1034"/>
      <c r="AK359" s="73"/>
      <c r="AL359" s="73"/>
      <c r="AM359" s="73"/>
      <c r="AN359" s="73"/>
      <c r="AO359" s="73"/>
      <c r="AP359" s="73"/>
      <c r="AQ359" s="73"/>
      <c r="AR359" s="73"/>
    </row>
    <row r="360" spans="1:44" s="294" customFormat="1" ht="12.75" customHeight="1" outlineLevel="2">
      <c r="A360" s="553">
        <v>323</v>
      </c>
      <c r="C360" s="10"/>
      <c r="D360" s="33"/>
      <c r="E360" s="296" t="s">
        <v>530</v>
      </c>
      <c r="F360" s="303">
        <f>IF(F$5&lt;ControlPanel!$D$59,F350,F340)</f>
        <v>0.53410125849599999</v>
      </c>
      <c r="G360" s="302">
        <f>IF(G$5&lt;ControlPanel!$D$59,G350,G340)</f>
        <v>1.1811626028345956</v>
      </c>
      <c r="H360" s="302">
        <f>IF(H$5&lt;ControlPanel!$D$59,H350,H340)</f>
        <v>1.3573761625877201</v>
      </c>
      <c r="I360" s="302">
        <f>IF(I$5&lt;ControlPanel!$D$59,I350,I340)</f>
        <v>1.6225724000870998</v>
      </c>
      <c r="J360" s="302">
        <f>IF(J$5&lt;ControlPanel!$D$59,J350,J340)</f>
        <v>1.4166823516922997</v>
      </c>
      <c r="K360" s="302">
        <f>IF(K$5&lt;ControlPanel!$D$59,K350,K340)</f>
        <v>1.05277772906055</v>
      </c>
      <c r="L360" s="302">
        <f>IF(L$5&lt;ControlPanel!$D$59,L350,L340)</f>
        <v>1.058441826388</v>
      </c>
      <c r="M360" s="302">
        <f>IF(M$5&lt;ControlPanel!$D$59,M350,M340)</f>
        <v>0.91974929968274977</v>
      </c>
      <c r="N360" s="302">
        <f>IF(N$5&lt;ControlPanel!$D$59,N350,N340)</f>
        <v>1.1142166543900001</v>
      </c>
      <c r="O360" s="302">
        <f>IF(O$5&lt;ControlPanel!$D$59,O350,O340)</f>
        <v>1.6898639748521196</v>
      </c>
      <c r="P360" s="302">
        <f>IF(P$5&lt;ControlPanel!$D$59,P350,P340)</f>
        <v>1.81153974393616</v>
      </c>
      <c r="Q360" s="302">
        <f>IF(Q$5&lt;ControlPanel!$D$59,Q350,Q340)</f>
        <v>1.5664986330043003</v>
      </c>
      <c r="R360" s="302">
        <f>IF(R$5&lt;ControlPanel!$D$59,R350,R340)</f>
        <v>1.9244971191249545</v>
      </c>
      <c r="S360" s="302">
        <f>IF(S$5&lt;ControlPanel!$D$59,S350,S340)</f>
        <v>2.1854645153586607</v>
      </c>
      <c r="T360" s="302">
        <f>IF(T$5&lt;ControlPanel!$D$59,T350,T340)</f>
        <v>2.3715594658828589</v>
      </c>
      <c r="U360" s="302">
        <f>IF(U$5&lt;ControlPanel!$D$59,U350,U340)</f>
        <v>2.8258315835896606</v>
      </c>
      <c r="V360" s="55">
        <f>IF(V$5&lt;ControlPanel!$D$59,V350,V340)</f>
        <v>2.9546312894447082</v>
      </c>
      <c r="W360" s="302">
        <f>IF(W$5&lt;ControlPanel!$D$59,W350,W340)</f>
        <v>3.0748685981985728</v>
      </c>
      <c r="X360" s="302">
        <f>IF(X$5&lt;ControlPanel!$D$59,X350,X340)</f>
        <v>3.1775354131524844</v>
      </c>
      <c r="Y360" s="302">
        <f>IF(Y$5&lt;ControlPanel!$D$59,Y350,Y340)</f>
        <v>3.2529751677240046</v>
      </c>
      <c r="Z360" s="302">
        <f>IF(Z$5&lt;ControlPanel!$D$59,Z350,Z340)</f>
        <v>3.2157622851904484</v>
      </c>
      <c r="AA360" s="302">
        <f>IF(AA$5&lt;ControlPanel!$D$59,AA350,AA340)</f>
        <v>3.0263302134429377</v>
      </c>
      <c r="AB360" s="302">
        <f>IF(AB$5&lt;ControlPanel!$D$59,AB350,AB340)</f>
        <v>2.8127738006176504</v>
      </c>
      <c r="AC360" s="302">
        <f>IF(AC$5&lt;ControlPanel!$D$59,AC350,AC340)</f>
        <v>2.6428387689846669</v>
      </c>
      <c r="AD360" s="302">
        <f>IF(AD$5&lt;ControlPanel!$D$59,AD350,AD340)</f>
        <v>2.6483908749450169</v>
      </c>
      <c r="AE360" s="55">
        <f>IF(AE$5&lt;ControlPanel!$D$59,AE350,AE340)</f>
        <v>2.2107528322726999</v>
      </c>
      <c r="AF360" s="929"/>
      <c r="AG360" s="929"/>
      <c r="AH360" s="929"/>
      <c r="AI360" s="929"/>
      <c r="AJ360" s="1034"/>
      <c r="AK360" s="73"/>
      <c r="AL360" s="73"/>
      <c r="AM360" s="73"/>
      <c r="AN360" s="73"/>
      <c r="AO360" s="73"/>
      <c r="AP360" s="73"/>
      <c r="AQ360" s="73"/>
      <c r="AR360" s="73"/>
    </row>
    <row r="361" spans="1:44" s="294" customFormat="1" ht="12.75" customHeight="1" outlineLevel="1">
      <c r="A361" s="553">
        <v>324</v>
      </c>
      <c r="C361" s="10"/>
      <c r="D361" s="33"/>
      <c r="E361" s="27" t="s">
        <v>531</v>
      </c>
      <c r="F361" s="318">
        <f t="shared" ref="F361:M361" si="87">SUM(F354:F360)</f>
        <v>4.4824141775036006</v>
      </c>
      <c r="G361" s="318">
        <f t="shared" si="87"/>
        <v>4.6945756813497583</v>
      </c>
      <c r="H361" s="318">
        <f t="shared" si="87"/>
        <v>5.8113422360826803</v>
      </c>
      <c r="I361" s="318">
        <f t="shared" si="87"/>
        <v>6.3138827312054993</v>
      </c>
      <c r="J361" s="318">
        <f t="shared" si="87"/>
        <v>5.5473089725349993</v>
      </c>
      <c r="K361" s="318">
        <f t="shared" si="87"/>
        <v>5.1368833420913607</v>
      </c>
      <c r="L361" s="318">
        <f>SUM(L354:L360)</f>
        <v>5.1302280415879995</v>
      </c>
      <c r="M361" s="318">
        <f t="shared" si="87"/>
        <v>4.6566985399294998</v>
      </c>
      <c r="N361" s="319">
        <f>SUM(N354:N360)</f>
        <v>5.6775147903626992</v>
      </c>
      <c r="O361" s="293">
        <f>SUM(O354:O360)</f>
        <v>7.8038563548258795</v>
      </c>
      <c r="P361" s="318">
        <f>SUM(P354:P360)</f>
        <v>9.036454358955039</v>
      </c>
      <c r="Q361" s="318">
        <f t="shared" ref="Q361:AE361" si="88">SUM(Q354:Q360)</f>
        <v>7.2057803588330405</v>
      </c>
      <c r="R361" s="318">
        <f t="shared" si="88"/>
        <v>9.2255424000839792</v>
      </c>
      <c r="S361" s="318">
        <f t="shared" si="88"/>
        <v>9.9688927675642383</v>
      </c>
      <c r="T361" s="318">
        <f t="shared" si="88"/>
        <v>10.507627609201782</v>
      </c>
      <c r="U361" s="318">
        <f t="shared" si="88"/>
        <v>11.721714350427845</v>
      </c>
      <c r="V361" s="318">
        <f t="shared" si="88"/>
        <v>12.231661105019583</v>
      </c>
      <c r="W361" s="318">
        <f t="shared" si="88"/>
        <v>12.653355279087151</v>
      </c>
      <c r="X361" s="318">
        <f t="shared" si="88"/>
        <v>13.160043148136264</v>
      </c>
      <c r="Y361" s="318">
        <f t="shared" si="88"/>
        <v>13.815382408890072</v>
      </c>
      <c r="Z361" s="318">
        <f t="shared" si="88"/>
        <v>14.110444725660139</v>
      </c>
      <c r="AA361" s="318">
        <f t="shared" si="88"/>
        <v>14.252344433732743</v>
      </c>
      <c r="AB361" s="318">
        <f t="shared" si="88"/>
        <v>14.120636820066078</v>
      </c>
      <c r="AC361" s="318">
        <f t="shared" si="88"/>
        <v>14.349088973543845</v>
      </c>
      <c r="AD361" s="318">
        <f t="shared" si="88"/>
        <v>14.616677314618986</v>
      </c>
      <c r="AE361" s="319">
        <f t="shared" si="88"/>
        <v>13.248631953457638</v>
      </c>
      <c r="AF361" s="929"/>
      <c r="AG361" s="929"/>
      <c r="AH361" s="929"/>
      <c r="AI361" s="929"/>
      <c r="AJ361" s="1034"/>
    </row>
    <row r="362" spans="1:44" s="294" customFormat="1" ht="12.75" customHeight="1" outlineLevel="1">
      <c r="A362" s="553">
        <v>325</v>
      </c>
      <c r="C362" s="10"/>
      <c r="D362" s="29"/>
      <c r="E362" s="315"/>
      <c r="F362" s="324"/>
      <c r="G362" s="324"/>
      <c r="H362" s="324"/>
      <c r="I362" s="324"/>
      <c r="J362" s="324"/>
      <c r="K362" s="324"/>
      <c r="L362" s="324"/>
      <c r="M362" s="324"/>
      <c r="N362" s="342"/>
      <c r="O362" s="289"/>
      <c r="P362" s="324"/>
      <c r="Q362" s="324"/>
      <c r="R362" s="324"/>
      <c r="S362" s="324"/>
      <c r="T362" s="324"/>
      <c r="U362" s="324"/>
      <c r="V362" s="324"/>
      <c r="W362" s="324"/>
      <c r="X362" s="324"/>
      <c r="Y362" s="324"/>
      <c r="Z362" s="324"/>
      <c r="AA362" s="324"/>
      <c r="AB362" s="324"/>
      <c r="AC362" s="324"/>
      <c r="AD362" s="324"/>
      <c r="AE362" s="324"/>
      <c r="AF362" s="929"/>
      <c r="AG362" s="929"/>
      <c r="AH362" s="929"/>
      <c r="AI362" s="929"/>
      <c r="AJ362" s="1034"/>
    </row>
    <row r="363" spans="1:44" s="294" customFormat="1" ht="52.8" outlineLevel="1">
      <c r="A363" s="553">
        <v>326</v>
      </c>
      <c r="C363" s="10"/>
      <c r="D363" s="29"/>
      <c r="E363" s="315" t="s">
        <v>553</v>
      </c>
      <c r="F363" s="324"/>
      <c r="G363" s="324"/>
      <c r="H363" s="324"/>
      <c r="I363" s="324"/>
      <c r="J363" s="324"/>
      <c r="K363" s="324"/>
      <c r="L363" s="324"/>
      <c r="M363" s="324"/>
      <c r="N363" s="342"/>
      <c r="O363" s="289"/>
      <c r="P363" s="324"/>
      <c r="Q363" s="324"/>
      <c r="R363" s="324"/>
      <c r="S363" s="324"/>
      <c r="T363" s="324"/>
      <c r="U363" s="324"/>
      <c r="V363" s="324"/>
      <c r="W363" s="324"/>
      <c r="X363" s="324"/>
      <c r="Y363" s="324"/>
      <c r="Z363" s="324"/>
      <c r="AA363" s="324"/>
      <c r="AB363" s="324"/>
      <c r="AC363" s="324"/>
      <c r="AD363" s="324"/>
      <c r="AE363" s="324"/>
      <c r="AF363" s="929" t="s">
        <v>142</v>
      </c>
      <c r="AG363" s="929"/>
      <c r="AH363" s="929"/>
      <c r="AI363" s="929"/>
      <c r="AJ363" s="1243" t="s">
        <v>604</v>
      </c>
    </row>
    <row r="364" spans="1:44" s="294" customFormat="1" ht="12.75" customHeight="1" outlineLevel="2">
      <c r="A364" s="553">
        <v>327</v>
      </c>
      <c r="C364" s="10"/>
      <c r="D364" s="29"/>
      <c r="E364" s="314" t="s">
        <v>529</v>
      </c>
      <c r="F364" s="316">
        <f t="shared" ref="F364:AE364" si="89">F83*F47</f>
        <v>0</v>
      </c>
      <c r="G364" s="316">
        <f t="shared" si="89"/>
        <v>0</v>
      </c>
      <c r="H364" s="316">
        <f t="shared" si="89"/>
        <v>0</v>
      </c>
      <c r="I364" s="316">
        <f t="shared" si="89"/>
        <v>0</v>
      </c>
      <c r="J364" s="316">
        <f t="shared" si="89"/>
        <v>0</v>
      </c>
      <c r="K364" s="316">
        <f t="shared" si="89"/>
        <v>0.59589834152286625</v>
      </c>
      <c r="L364" s="316">
        <f t="shared" si="89"/>
        <v>0.59589834152286625</v>
      </c>
      <c r="M364" s="316">
        <f t="shared" si="89"/>
        <v>0.59589834152286625</v>
      </c>
      <c r="N364" s="317">
        <f t="shared" si="89"/>
        <v>0.59589834152286625</v>
      </c>
      <c r="O364" s="320">
        <f t="shared" si="89"/>
        <v>0.59589834152286625</v>
      </c>
      <c r="P364" s="316">
        <f t="shared" si="89"/>
        <v>0.59589834152286625</v>
      </c>
      <c r="Q364" s="316">
        <f t="shared" si="89"/>
        <v>0.59589834152286625</v>
      </c>
      <c r="R364" s="316">
        <f t="shared" si="89"/>
        <v>0.59589834152286625</v>
      </c>
      <c r="S364" s="316">
        <f t="shared" si="89"/>
        <v>0.59589834152286625</v>
      </c>
      <c r="T364" s="316">
        <f t="shared" si="89"/>
        <v>0.59589834152286625</v>
      </c>
      <c r="U364" s="316">
        <f t="shared" si="89"/>
        <v>0.59589834152286625</v>
      </c>
      <c r="V364" s="316">
        <f t="shared" si="89"/>
        <v>0.59589834152286625</v>
      </c>
      <c r="W364" s="316">
        <f t="shared" si="89"/>
        <v>0.59589834152286625</v>
      </c>
      <c r="X364" s="316">
        <f t="shared" si="89"/>
        <v>0.59589834152286625</v>
      </c>
      <c r="Y364" s="316">
        <f t="shared" si="89"/>
        <v>0.59589834152286625</v>
      </c>
      <c r="Z364" s="316">
        <f t="shared" si="89"/>
        <v>0.54195695216777517</v>
      </c>
      <c r="AA364" s="316">
        <f t="shared" si="89"/>
        <v>0.50533948832503828</v>
      </c>
      <c r="AB364" s="316">
        <f t="shared" si="89"/>
        <v>0.47262537548595118</v>
      </c>
      <c r="AC364" s="316">
        <f t="shared" si="89"/>
        <v>0.45094447604902621</v>
      </c>
      <c r="AD364" s="316">
        <f t="shared" si="89"/>
        <v>0.4038898480789026</v>
      </c>
      <c r="AE364" s="317">
        <f t="shared" si="89"/>
        <v>0.39783057582039583</v>
      </c>
      <c r="AF364" s="929" t="s">
        <v>142</v>
      </c>
      <c r="AG364" s="929"/>
      <c r="AH364" s="929"/>
      <c r="AI364" s="929"/>
      <c r="AJ364" s="1035" t="s">
        <v>605</v>
      </c>
    </row>
    <row r="365" spans="1:44" s="294" customFormat="1" ht="12.75" customHeight="1" outlineLevel="2">
      <c r="A365" s="553">
        <v>328</v>
      </c>
      <c r="C365" s="10"/>
      <c r="D365" s="29"/>
      <c r="E365" s="16" t="s">
        <v>349</v>
      </c>
      <c r="F365" s="325">
        <f t="shared" ref="F365:AE365" si="90">F84*F48</f>
        <v>0</v>
      </c>
      <c r="G365" s="325">
        <f t="shared" si="90"/>
        <v>0</v>
      </c>
      <c r="H365" s="325">
        <f t="shared" si="90"/>
        <v>0</v>
      </c>
      <c r="I365" s="325">
        <f t="shared" si="90"/>
        <v>0</v>
      </c>
      <c r="J365" s="325">
        <f t="shared" si="90"/>
        <v>0</v>
      </c>
      <c r="K365" s="325">
        <f t="shared" si="90"/>
        <v>0.10116121574165485</v>
      </c>
      <c r="L365" s="325">
        <f t="shared" si="90"/>
        <v>0.10116121574165485</v>
      </c>
      <c r="M365" s="325">
        <f t="shared" si="90"/>
        <v>0.10116121574165485</v>
      </c>
      <c r="N365" s="326">
        <f t="shared" si="90"/>
        <v>0.10116121574165485</v>
      </c>
      <c r="O365" s="327">
        <f t="shared" si="90"/>
        <v>0.10116121574165485</v>
      </c>
      <c r="P365" s="325">
        <f t="shared" si="90"/>
        <v>0.10116121574165485</v>
      </c>
      <c r="Q365" s="325">
        <f t="shared" si="90"/>
        <v>7.9133545585612253E-2</v>
      </c>
      <c r="R365" s="325">
        <f t="shared" si="90"/>
        <v>7.1727150881228011E-2</v>
      </c>
      <c r="S365" s="325">
        <f t="shared" si="90"/>
        <v>5.2864086060311559E-2</v>
      </c>
      <c r="T365" s="325">
        <f t="shared" si="90"/>
        <v>3.1357929537542545E-2</v>
      </c>
      <c r="U365" s="325">
        <f t="shared" si="90"/>
        <v>1.1322285335139877E-2</v>
      </c>
      <c r="V365" s="325">
        <f t="shared" si="90"/>
        <v>9.0650761329917826E-3</v>
      </c>
      <c r="W365" s="325">
        <f t="shared" si="90"/>
        <v>7.2445750895866442E-3</v>
      </c>
      <c r="X365" s="325">
        <f t="shared" si="90"/>
        <v>6.9699990613540114E-3</v>
      </c>
      <c r="Y365" s="325">
        <f t="shared" si="90"/>
        <v>6.741430146899088E-3</v>
      </c>
      <c r="Z365" s="325">
        <f t="shared" si="90"/>
        <v>3.8404013457238352E-3</v>
      </c>
      <c r="AA365" s="325">
        <f t="shared" si="90"/>
        <v>3.1931576106920346E-3</v>
      </c>
      <c r="AB365" s="325">
        <f t="shared" si="90"/>
        <v>1.0846120363654757E-3</v>
      </c>
      <c r="AC365" s="325">
        <f t="shared" si="90"/>
        <v>8.5736373947492247E-4</v>
      </c>
      <c r="AD365" s="325">
        <f t="shared" si="90"/>
        <v>5.6103056804173075E-4</v>
      </c>
      <c r="AE365" s="326">
        <f t="shared" si="90"/>
        <v>0</v>
      </c>
      <c r="AF365" s="929" t="s">
        <v>142</v>
      </c>
      <c r="AG365" s="929"/>
      <c r="AH365" s="929"/>
      <c r="AI365" s="929"/>
      <c r="AJ365" s="1034"/>
    </row>
    <row r="366" spans="1:44" s="294" customFormat="1" ht="12.75" customHeight="1" outlineLevel="2">
      <c r="A366" s="553">
        <v>329</v>
      </c>
      <c r="C366" s="10"/>
      <c r="D366" s="29"/>
      <c r="E366" s="16" t="s">
        <v>11</v>
      </c>
      <c r="F366" s="325">
        <f t="shared" ref="F366:AE366" si="91">F85*F49</f>
        <v>0</v>
      </c>
      <c r="G366" s="325">
        <f t="shared" si="91"/>
        <v>0</v>
      </c>
      <c r="H366" s="325">
        <f t="shared" si="91"/>
        <v>0</v>
      </c>
      <c r="I366" s="325">
        <f t="shared" si="91"/>
        <v>0</v>
      </c>
      <c r="J366" s="325">
        <f t="shared" si="91"/>
        <v>0</v>
      </c>
      <c r="K366" s="325">
        <f t="shared" si="91"/>
        <v>7.9245390822727533</v>
      </c>
      <c r="L366" s="325">
        <f t="shared" si="91"/>
        <v>7.9245390822727533</v>
      </c>
      <c r="M366" s="325">
        <f t="shared" si="91"/>
        <v>7.9245390822727533</v>
      </c>
      <c r="N366" s="326">
        <f t="shared" si="91"/>
        <v>7.9245390822727533</v>
      </c>
      <c r="O366" s="327">
        <f t="shared" si="91"/>
        <v>7.9245390822727533</v>
      </c>
      <c r="P366" s="325">
        <f t="shared" si="91"/>
        <v>7.9245390822727533</v>
      </c>
      <c r="Q366" s="325">
        <f t="shared" si="91"/>
        <v>7.7040643280932235</v>
      </c>
      <c r="R366" s="325">
        <f t="shared" si="91"/>
        <v>7.5428740510054375</v>
      </c>
      <c r="S366" s="325">
        <f t="shared" si="91"/>
        <v>7.4288216250548311</v>
      </c>
      <c r="T366" s="325">
        <f t="shared" si="91"/>
        <v>7.2918533006053305</v>
      </c>
      <c r="U366" s="325">
        <f t="shared" si="91"/>
        <v>6.8725383217574079</v>
      </c>
      <c r="V366" s="325">
        <f t="shared" si="91"/>
        <v>6.1092320442362009</v>
      </c>
      <c r="W366" s="325">
        <f t="shared" si="91"/>
        <v>5.1199079506909477</v>
      </c>
      <c r="X366" s="325">
        <f t="shared" si="91"/>
        <v>4.3311546587347163</v>
      </c>
      <c r="Y366" s="325">
        <f t="shared" si="91"/>
        <v>3.9042756106600809</v>
      </c>
      <c r="Z366" s="325">
        <f t="shared" si="91"/>
        <v>3.3236133815912274</v>
      </c>
      <c r="AA366" s="325">
        <f t="shared" si="91"/>
        <v>2.3853568935530132</v>
      </c>
      <c r="AB366" s="325">
        <f t="shared" si="91"/>
        <v>0.84162987310065895</v>
      </c>
      <c r="AC366" s="325">
        <f t="shared" si="91"/>
        <v>0.50688730032510243</v>
      </c>
      <c r="AD366" s="325">
        <f t="shared" si="91"/>
        <v>0.21674969820259962</v>
      </c>
      <c r="AE366" s="326">
        <f t="shared" si="91"/>
        <v>0</v>
      </c>
      <c r="AF366" s="929" t="s">
        <v>142</v>
      </c>
      <c r="AG366" s="929"/>
      <c r="AH366" s="929"/>
      <c r="AI366" s="929"/>
      <c r="AJ366" s="1034"/>
    </row>
    <row r="367" spans="1:44" s="294" customFormat="1" ht="12.75" customHeight="1" outlineLevel="2">
      <c r="A367" s="553">
        <v>330</v>
      </c>
      <c r="C367" s="10"/>
      <c r="D367" s="29"/>
      <c r="E367" s="16" t="s">
        <v>10</v>
      </c>
      <c r="F367" s="325">
        <f t="shared" ref="F367:AE367" si="92">F86*F50</f>
        <v>0</v>
      </c>
      <c r="G367" s="325">
        <f t="shared" si="92"/>
        <v>0</v>
      </c>
      <c r="H367" s="325">
        <f t="shared" si="92"/>
        <v>0</v>
      </c>
      <c r="I367" s="325">
        <f t="shared" si="92"/>
        <v>0</v>
      </c>
      <c r="J367" s="325">
        <f t="shared" si="92"/>
        <v>0</v>
      </c>
      <c r="K367" s="325">
        <f t="shared" si="92"/>
        <v>3.7412390998028656E-2</v>
      </c>
      <c r="L367" s="325">
        <f t="shared" si="92"/>
        <v>3.7412390998028656E-2</v>
      </c>
      <c r="M367" s="325">
        <f t="shared" si="92"/>
        <v>3.7412390998028656E-2</v>
      </c>
      <c r="N367" s="326">
        <f t="shared" si="92"/>
        <v>3.7412390998028656E-2</v>
      </c>
      <c r="O367" s="327">
        <f t="shared" si="92"/>
        <v>3.7412390998028656E-2</v>
      </c>
      <c r="P367" s="325">
        <f t="shared" si="92"/>
        <v>3.7412390998028656E-2</v>
      </c>
      <c r="Q367" s="325">
        <f t="shared" si="92"/>
        <v>3.7412390998028656E-2</v>
      </c>
      <c r="R367" s="325">
        <f t="shared" si="92"/>
        <v>3.7412390998028656E-2</v>
      </c>
      <c r="S367" s="325">
        <f t="shared" si="92"/>
        <v>3.7412390998028656E-2</v>
      </c>
      <c r="T367" s="325">
        <f t="shared" si="92"/>
        <v>3.7412390998028656E-2</v>
      </c>
      <c r="U367" s="325">
        <f t="shared" si="92"/>
        <v>3.7412390998028656E-2</v>
      </c>
      <c r="V367" s="325">
        <f t="shared" si="92"/>
        <v>3.7412390998028656E-2</v>
      </c>
      <c r="W367" s="325">
        <f t="shared" si="92"/>
        <v>3.7412390998028656E-2</v>
      </c>
      <c r="X367" s="325">
        <f t="shared" si="92"/>
        <v>3.7412390998028656E-2</v>
      </c>
      <c r="Y367" s="325">
        <f t="shared" si="92"/>
        <v>3.7412390998028656E-2</v>
      </c>
      <c r="Z367" s="325">
        <f t="shared" si="92"/>
        <v>3.5255721675931898E-2</v>
      </c>
      <c r="AA367" s="325">
        <f t="shared" si="92"/>
        <v>3.5255721675931898E-2</v>
      </c>
      <c r="AB367" s="325">
        <f t="shared" si="92"/>
        <v>3.5255721675931898E-2</v>
      </c>
      <c r="AC367" s="325">
        <f t="shared" si="92"/>
        <v>2.0118844946834122E-2</v>
      </c>
      <c r="AD367" s="325">
        <f t="shared" si="92"/>
        <v>4.1296561493336659E-3</v>
      </c>
      <c r="AE367" s="326">
        <f t="shared" si="92"/>
        <v>0</v>
      </c>
      <c r="AF367" s="929" t="s">
        <v>142</v>
      </c>
      <c r="AG367" s="929"/>
      <c r="AH367" s="929"/>
      <c r="AI367" s="929"/>
      <c r="AJ367" s="1034"/>
    </row>
    <row r="368" spans="1:44" s="294" customFormat="1" ht="12.75" customHeight="1" outlineLevel="2">
      <c r="A368" s="553">
        <v>331</v>
      </c>
      <c r="C368" s="10"/>
      <c r="D368" s="33"/>
      <c r="E368" s="16" t="s">
        <v>339</v>
      </c>
      <c r="F368" s="325">
        <f t="shared" ref="F368:AE368" si="93">F87*F51</f>
        <v>0</v>
      </c>
      <c r="G368" s="325">
        <f t="shared" si="93"/>
        <v>0</v>
      </c>
      <c r="H368" s="325">
        <f t="shared" si="93"/>
        <v>0</v>
      </c>
      <c r="I368" s="325">
        <f t="shared" si="93"/>
        <v>0</v>
      </c>
      <c r="J368" s="325">
        <f t="shared" si="93"/>
        <v>0</v>
      </c>
      <c r="K368" s="325">
        <f t="shared" si="93"/>
        <v>6.0139168669547871</v>
      </c>
      <c r="L368" s="325">
        <f t="shared" si="93"/>
        <v>5.9784568806193468</v>
      </c>
      <c r="M368" s="325">
        <f t="shared" si="93"/>
        <v>5.9311768988387614</v>
      </c>
      <c r="N368" s="326">
        <f t="shared" si="93"/>
        <v>5.8720769216130293</v>
      </c>
      <c r="O368" s="327">
        <f t="shared" si="93"/>
        <v>5.7072762129233041</v>
      </c>
      <c r="P368" s="325">
        <f t="shared" si="93"/>
        <v>5.5322549090503328</v>
      </c>
      <c r="Q368" s="325">
        <f t="shared" si="93"/>
        <v>5.2442237337911122</v>
      </c>
      <c r="R368" s="325">
        <f t="shared" si="93"/>
        <v>4.8907078366197974</v>
      </c>
      <c r="S368" s="325">
        <f t="shared" si="93"/>
        <v>4.5021302757619548</v>
      </c>
      <c r="T368" s="325">
        <f t="shared" si="93"/>
        <v>4.1498757420585815</v>
      </c>
      <c r="U368" s="325">
        <f t="shared" si="93"/>
        <v>3.8471909163520843</v>
      </c>
      <c r="V368" s="325">
        <f t="shared" si="93"/>
        <v>3.6009016566231895</v>
      </c>
      <c r="W368" s="325">
        <f t="shared" si="93"/>
        <v>3.362416669808018</v>
      </c>
      <c r="X368" s="325">
        <f t="shared" si="93"/>
        <v>2.9646729463510626</v>
      </c>
      <c r="Y368" s="325">
        <f t="shared" si="93"/>
        <v>2.755600394248884</v>
      </c>
      <c r="Z368" s="325">
        <f t="shared" si="93"/>
        <v>2.3480851114899872</v>
      </c>
      <c r="AA368" s="325">
        <f t="shared" si="93"/>
        <v>1.9718168299157017</v>
      </c>
      <c r="AB368" s="325">
        <f t="shared" si="93"/>
        <v>1.4793229511201422</v>
      </c>
      <c r="AC368" s="325">
        <f t="shared" si="93"/>
        <v>0.78191609611789203</v>
      </c>
      <c r="AD368" s="325">
        <f t="shared" si="93"/>
        <v>0.48002531726640046</v>
      </c>
      <c r="AE368" s="326">
        <f t="shared" si="93"/>
        <v>0</v>
      </c>
      <c r="AF368" s="929" t="s">
        <v>142</v>
      </c>
      <c r="AG368" s="929"/>
      <c r="AH368" s="929"/>
      <c r="AI368" s="929"/>
      <c r="AJ368" s="1034"/>
    </row>
    <row r="369" spans="1:47" s="294" customFormat="1" ht="12.75" customHeight="1" outlineLevel="2">
      <c r="A369" s="553">
        <v>332</v>
      </c>
      <c r="C369" s="10"/>
      <c r="D369" s="29"/>
      <c r="E369" s="16" t="s">
        <v>340</v>
      </c>
      <c r="F369" s="325">
        <f t="shared" ref="F369:AE369" si="94">F88*F52</f>
        <v>0</v>
      </c>
      <c r="G369" s="325">
        <f t="shared" si="94"/>
        <v>0</v>
      </c>
      <c r="H369" s="325">
        <f t="shared" si="94"/>
        <v>0</v>
      </c>
      <c r="I369" s="325">
        <f t="shared" si="94"/>
        <v>0</v>
      </c>
      <c r="J369" s="325">
        <f t="shared" si="94"/>
        <v>0</v>
      </c>
      <c r="K369" s="325">
        <f t="shared" si="94"/>
        <v>0.72095677622526411</v>
      </c>
      <c r="L369" s="325">
        <f t="shared" si="94"/>
        <v>0.72095677622526411</v>
      </c>
      <c r="M369" s="325">
        <f t="shared" si="94"/>
        <v>0.72095677622526411</v>
      </c>
      <c r="N369" s="326">
        <f t="shared" si="94"/>
        <v>0.72095677622526411</v>
      </c>
      <c r="O369" s="327">
        <f t="shared" si="94"/>
        <v>0.72095677622526411</v>
      </c>
      <c r="P369" s="325">
        <f t="shared" si="94"/>
        <v>0.72095677622526411</v>
      </c>
      <c r="Q369" s="325">
        <f t="shared" si="94"/>
        <v>0.70779873025242745</v>
      </c>
      <c r="R369" s="325">
        <f t="shared" si="94"/>
        <v>0.67015409610936971</v>
      </c>
      <c r="S369" s="325">
        <f t="shared" si="94"/>
        <v>0.5886254876290351</v>
      </c>
      <c r="T369" s="325">
        <f t="shared" si="94"/>
        <v>0.54948030085984612</v>
      </c>
      <c r="U369" s="325">
        <f t="shared" si="94"/>
        <v>0.41959031199187452</v>
      </c>
      <c r="V369" s="325">
        <f t="shared" si="94"/>
        <v>0.18563002464811498</v>
      </c>
      <c r="W369" s="325">
        <f t="shared" si="94"/>
        <v>0.13008602678610678</v>
      </c>
      <c r="X369" s="325">
        <f t="shared" si="94"/>
        <v>0.12996373387338628</v>
      </c>
      <c r="Y369" s="325">
        <f t="shared" si="94"/>
        <v>0.12978628925492908</v>
      </c>
      <c r="Z369" s="325">
        <f t="shared" si="94"/>
        <v>0.12428980987762621</v>
      </c>
      <c r="AA369" s="325">
        <f t="shared" si="94"/>
        <v>0.1175033883274389</v>
      </c>
      <c r="AB369" s="325">
        <f t="shared" si="94"/>
        <v>0.10084376585622522</v>
      </c>
      <c r="AC369" s="325">
        <f t="shared" si="94"/>
        <v>8.893242401487135E-2</v>
      </c>
      <c r="AD369" s="325">
        <f t="shared" si="94"/>
        <v>5.5540165577103229E-2</v>
      </c>
      <c r="AE369" s="326">
        <f t="shared" si="94"/>
        <v>0</v>
      </c>
      <c r="AF369" s="929" t="s">
        <v>142</v>
      </c>
      <c r="AG369" s="929"/>
      <c r="AH369" s="929"/>
      <c r="AI369" s="929"/>
      <c r="AJ369" s="1034"/>
    </row>
    <row r="370" spans="1:47" s="294" customFormat="1" ht="12.75" customHeight="1" outlineLevel="2">
      <c r="A370" s="553">
        <v>333</v>
      </c>
      <c r="C370" s="10"/>
      <c r="D370" s="29"/>
      <c r="E370" s="296" t="s">
        <v>530</v>
      </c>
      <c r="F370" s="302">
        <f t="shared" ref="F370:AE370" si="95">F89*F53</f>
        <v>0</v>
      </c>
      <c r="G370" s="302">
        <f t="shared" si="95"/>
        <v>0</v>
      </c>
      <c r="H370" s="302">
        <f t="shared" si="95"/>
        <v>0</v>
      </c>
      <c r="I370" s="302">
        <f t="shared" si="95"/>
        <v>0</v>
      </c>
      <c r="J370" s="302">
        <f t="shared" si="95"/>
        <v>0</v>
      </c>
      <c r="K370" s="302">
        <f t="shared" si="95"/>
        <v>9.8992046007707302</v>
      </c>
      <c r="L370" s="302">
        <f t="shared" si="95"/>
        <v>9.8992046007707302</v>
      </c>
      <c r="M370" s="302">
        <f t="shared" si="95"/>
        <v>9.8992046007707302</v>
      </c>
      <c r="N370" s="55">
        <f t="shared" si="95"/>
        <v>9.8992046007707302</v>
      </c>
      <c r="O370" s="303">
        <f t="shared" si="95"/>
        <v>9.8992046007707302</v>
      </c>
      <c r="P370" s="302">
        <f t="shared" si="95"/>
        <v>9.8992046007707302</v>
      </c>
      <c r="Q370" s="302">
        <f t="shared" si="95"/>
        <v>9.8743231184046909</v>
      </c>
      <c r="R370" s="302">
        <f t="shared" si="95"/>
        <v>9.8339025269570541</v>
      </c>
      <c r="S370" s="302">
        <f t="shared" si="95"/>
        <v>9.7918998861958393</v>
      </c>
      <c r="T370" s="302">
        <f t="shared" si="95"/>
        <v>9.7368305315089039</v>
      </c>
      <c r="U370" s="302">
        <f t="shared" si="95"/>
        <v>9.4203080911896588</v>
      </c>
      <c r="V370" s="302">
        <f t="shared" si="95"/>
        <v>8.9956933481227033</v>
      </c>
      <c r="W370" s="302">
        <f t="shared" si="95"/>
        <v>8.6231614633896339</v>
      </c>
      <c r="X370" s="302">
        <f t="shared" si="95"/>
        <v>8.0972890432583959</v>
      </c>
      <c r="Y370" s="302">
        <f t="shared" si="95"/>
        <v>7.306332544077935</v>
      </c>
      <c r="Z370" s="302">
        <f t="shared" si="95"/>
        <v>5.6871387273907796</v>
      </c>
      <c r="AA370" s="302">
        <f t="shared" si="95"/>
        <v>3.344398325548267</v>
      </c>
      <c r="AB370" s="302">
        <f t="shared" si="95"/>
        <v>1.5096140003144618</v>
      </c>
      <c r="AC370" s="302">
        <f t="shared" si="95"/>
        <v>0.41258647705966339</v>
      </c>
      <c r="AD370" s="302">
        <f t="shared" si="95"/>
        <v>0.12207424266830158</v>
      </c>
      <c r="AE370" s="55">
        <f t="shared" si="95"/>
        <v>0</v>
      </c>
      <c r="AF370" s="929" t="s">
        <v>142</v>
      </c>
      <c r="AG370" s="929"/>
      <c r="AH370" s="929"/>
      <c r="AI370" s="929"/>
      <c r="AJ370" s="1034"/>
    </row>
    <row r="371" spans="1:47" s="294" customFormat="1" ht="12.75" customHeight="1" outlineLevel="1">
      <c r="A371" s="553">
        <v>334</v>
      </c>
      <c r="C371" s="10"/>
      <c r="D371" s="29"/>
      <c r="E371" s="27" t="s">
        <v>531</v>
      </c>
      <c r="F371" s="318">
        <f t="shared" ref="F371:M371" si="96">SUM(F364:F370)</f>
        <v>0</v>
      </c>
      <c r="G371" s="318">
        <f t="shared" si="96"/>
        <v>0</v>
      </c>
      <c r="H371" s="318">
        <f t="shared" si="96"/>
        <v>0</v>
      </c>
      <c r="I371" s="318">
        <f t="shared" si="96"/>
        <v>0</v>
      </c>
      <c r="J371" s="318">
        <f t="shared" si="96"/>
        <v>0</v>
      </c>
      <c r="K371" s="318">
        <f t="shared" si="96"/>
        <v>25.293089274486086</v>
      </c>
      <c r="L371" s="318">
        <f t="shared" si="96"/>
        <v>25.257629288150646</v>
      </c>
      <c r="M371" s="318">
        <f t="shared" si="96"/>
        <v>25.210349306370059</v>
      </c>
      <c r="N371" s="319">
        <f>SUM(N364:N370)</f>
        <v>25.151249329144328</v>
      </c>
      <c r="O371" s="293">
        <f>SUM(O364:O370)</f>
        <v>24.986448620454603</v>
      </c>
      <c r="P371" s="318">
        <f>SUM(P364:P370)</f>
        <v>24.811427316581632</v>
      </c>
      <c r="Q371" s="318">
        <f t="shared" ref="Q371:AE371" si="97">SUM(Q364:Q370)</f>
        <v>24.242854188647961</v>
      </c>
      <c r="R371" s="318">
        <f t="shared" si="97"/>
        <v>23.642676394093783</v>
      </c>
      <c r="S371" s="318">
        <f t="shared" si="97"/>
        <v>22.997652093222868</v>
      </c>
      <c r="T371" s="318">
        <f t="shared" si="97"/>
        <v>22.392708537091099</v>
      </c>
      <c r="U371" s="318">
        <f t="shared" si="97"/>
        <v>21.20426065914706</v>
      </c>
      <c r="V371" s="318">
        <f t="shared" si="97"/>
        <v>19.533832882284095</v>
      </c>
      <c r="W371" s="318">
        <f t="shared" si="97"/>
        <v>17.876127418285186</v>
      </c>
      <c r="X371" s="318">
        <f t="shared" si="97"/>
        <v>16.163361113799809</v>
      </c>
      <c r="Y371" s="318">
        <f t="shared" si="97"/>
        <v>14.736047000909622</v>
      </c>
      <c r="Z371" s="318">
        <f t="shared" si="97"/>
        <v>12.064180105539052</v>
      </c>
      <c r="AA371" s="318">
        <f t="shared" si="97"/>
        <v>8.3628638049560831</v>
      </c>
      <c r="AB371" s="318">
        <f t="shared" si="97"/>
        <v>4.4403762995897367</v>
      </c>
      <c r="AC371" s="318">
        <f t="shared" si="97"/>
        <v>2.2622429822528645</v>
      </c>
      <c r="AD371" s="318">
        <f t="shared" si="97"/>
        <v>1.2829699585106829</v>
      </c>
      <c r="AE371" s="319">
        <f t="shared" si="97"/>
        <v>0.39783057582039583</v>
      </c>
      <c r="AF371" s="929"/>
      <c r="AG371" s="929"/>
      <c r="AH371" s="929"/>
      <c r="AI371" s="929"/>
      <c r="AJ371" s="1034"/>
    </row>
    <row r="372" spans="1:47" s="294" customFormat="1" ht="12" customHeight="1" outlineLevel="1">
      <c r="A372" s="553">
        <v>335</v>
      </c>
      <c r="C372" s="10"/>
      <c r="D372" s="29"/>
      <c r="E372" s="315"/>
      <c r="F372" s="324"/>
      <c r="G372" s="324"/>
      <c r="H372" s="324"/>
      <c r="I372" s="324"/>
      <c r="J372" s="324"/>
      <c r="K372" s="324"/>
      <c r="L372" s="1087"/>
      <c r="M372" s="1090"/>
      <c r="N372" s="324"/>
      <c r="O372" s="324"/>
      <c r="P372" s="324"/>
      <c r="Q372" s="324"/>
      <c r="R372" s="324"/>
      <c r="S372" s="324"/>
      <c r="T372" s="324"/>
      <c r="U372" s="324"/>
      <c r="V372" s="324"/>
      <c r="W372" s="324"/>
      <c r="X372" s="324"/>
      <c r="Y372" s="324"/>
      <c r="Z372" s="324"/>
      <c r="AA372" s="324"/>
      <c r="AB372" s="324"/>
      <c r="AC372" s="324"/>
      <c r="AD372" s="324"/>
      <c r="AE372" s="324"/>
      <c r="AF372" s="929"/>
      <c r="AG372" s="929"/>
      <c r="AH372" s="929"/>
      <c r="AI372" s="929"/>
      <c r="AJ372" s="1034"/>
    </row>
    <row r="373" spans="1:47" s="294" customFormat="1" ht="12.75" customHeight="1" outlineLevel="2">
      <c r="A373" s="553">
        <v>336</v>
      </c>
      <c r="C373" s="10"/>
      <c r="D373" s="29"/>
      <c r="E373" s="288" t="s">
        <v>554</v>
      </c>
      <c r="F373" s="324"/>
      <c r="G373" s="324"/>
      <c r="H373" s="324"/>
      <c r="I373" s="324"/>
      <c r="J373" s="324"/>
      <c r="K373" s="324"/>
      <c r="L373" s="348"/>
      <c r="M373" s="1090"/>
      <c r="N373" s="342"/>
      <c r="O373" s="289"/>
      <c r="P373" s="324"/>
      <c r="Q373" s="324"/>
      <c r="R373" s="324"/>
      <c r="S373" s="324"/>
      <c r="T373" s="324"/>
      <c r="U373" s="324"/>
      <c r="V373" s="324"/>
      <c r="W373" s="324"/>
      <c r="X373" s="324"/>
      <c r="Y373" s="324"/>
      <c r="Z373" s="324"/>
      <c r="AA373" s="324"/>
      <c r="AB373" s="324"/>
      <c r="AC373" s="324"/>
      <c r="AD373" s="324"/>
      <c r="AE373" s="324"/>
      <c r="AF373" s="929"/>
      <c r="AG373" s="931"/>
      <c r="AH373" s="931"/>
      <c r="AI373" s="931"/>
      <c r="AJ373" s="1034"/>
    </row>
    <row r="374" spans="1:47" s="294" customFormat="1" ht="26.4" outlineLevel="2">
      <c r="A374" s="553">
        <v>337</v>
      </c>
      <c r="C374" s="10"/>
      <c r="D374" s="29"/>
      <c r="E374" s="513" t="s">
        <v>555</v>
      </c>
      <c r="F374" s="320">
        <f t="shared" ref="F374:M374" si="98">F311</f>
        <v>0</v>
      </c>
      <c r="G374" s="1126">
        <f t="shared" si="98"/>
        <v>0</v>
      </c>
      <c r="H374" s="1126">
        <f t="shared" si="98"/>
        <v>0</v>
      </c>
      <c r="I374" s="1126">
        <f t="shared" si="98"/>
        <v>0</v>
      </c>
      <c r="J374" s="1126">
        <f t="shared" si="98"/>
        <v>0</v>
      </c>
      <c r="K374" s="1126">
        <f t="shared" si="98"/>
        <v>0.98688177697112056</v>
      </c>
      <c r="L374" s="1126">
        <f t="shared" si="98"/>
        <v>2.6820917683124956</v>
      </c>
      <c r="M374" s="1126">
        <f t="shared" si="98"/>
        <v>4.4269143093852295</v>
      </c>
      <c r="N374" s="317">
        <f t="shared" ref="N374:AE374" si="99">N311</f>
        <v>6.1372109030550277</v>
      </c>
      <c r="O374" s="1126">
        <f t="shared" si="99"/>
        <v>7.5141224104260216</v>
      </c>
      <c r="P374" s="1126">
        <f t="shared" si="99"/>
        <v>8.4850579677055897</v>
      </c>
      <c r="Q374" s="1126">
        <f t="shared" si="99"/>
        <v>9.1065192527177619</v>
      </c>
      <c r="R374" s="1126">
        <f t="shared" si="99"/>
        <v>9.7728079533930945</v>
      </c>
      <c r="S374" s="1126">
        <f t="shared" si="99"/>
        <v>10.528072896287263</v>
      </c>
      <c r="T374" s="1126">
        <f t="shared" si="99"/>
        <v>11.063889235438767</v>
      </c>
      <c r="U374" s="1126">
        <f t="shared" si="99"/>
        <v>11.717152940884931</v>
      </c>
      <c r="V374" s="1126">
        <f t="shared" si="99"/>
        <v>12.218430790801943</v>
      </c>
      <c r="W374" s="1126">
        <f t="shared" si="99"/>
        <v>12.232947172646837</v>
      </c>
      <c r="X374" s="1126">
        <f t="shared" si="99"/>
        <v>12.828838010047516</v>
      </c>
      <c r="Y374" s="1126">
        <f t="shared" si="99"/>
        <v>13.169820766683497</v>
      </c>
      <c r="Z374" s="1126">
        <f t="shared" si="99"/>
        <v>14.045681363768979</v>
      </c>
      <c r="AA374" s="1126">
        <f t="shared" si="99"/>
        <v>14.924007680268543</v>
      </c>
      <c r="AB374" s="1126">
        <f t="shared" si="99"/>
        <v>15.811548864201587</v>
      </c>
      <c r="AC374" s="1126">
        <f t="shared" si="99"/>
        <v>16.690621990368975</v>
      </c>
      <c r="AD374" s="1126">
        <f t="shared" si="99"/>
        <v>17.254085966426899</v>
      </c>
      <c r="AE374" s="317">
        <f t="shared" si="99"/>
        <v>17.763821498429625</v>
      </c>
      <c r="AF374" s="929" t="s">
        <v>220</v>
      </c>
      <c r="AG374" s="931"/>
      <c r="AH374" s="945"/>
      <c r="AI374" s="931"/>
      <c r="AJ374" s="1244" t="s">
        <v>618</v>
      </c>
      <c r="AK374" s="73"/>
      <c r="AL374" s="73"/>
      <c r="AM374" s="73"/>
      <c r="AN374" s="73"/>
      <c r="AO374" s="73"/>
      <c r="AP374" s="73"/>
      <c r="AQ374" s="73"/>
      <c r="AR374" s="73"/>
      <c r="AT374" s="73"/>
      <c r="AU374" s="73"/>
    </row>
    <row r="375" spans="1:47" s="294" customFormat="1" ht="12.75" customHeight="1" outlineLevel="2">
      <c r="A375" s="553">
        <v>338</v>
      </c>
      <c r="C375" s="10"/>
      <c r="D375" s="29"/>
      <c r="E375" s="16" t="s">
        <v>552</v>
      </c>
      <c r="F375" s="327">
        <f t="shared" ref="F375:N375" si="100">F361</f>
        <v>4.4824141775036006</v>
      </c>
      <c r="G375" s="325">
        <f t="shared" si="100"/>
        <v>4.6945756813497583</v>
      </c>
      <c r="H375" s="325">
        <f t="shared" si="100"/>
        <v>5.8113422360826803</v>
      </c>
      <c r="I375" s="325">
        <f t="shared" si="100"/>
        <v>6.3138827312054993</v>
      </c>
      <c r="J375" s="325">
        <f t="shared" si="100"/>
        <v>5.5473089725349993</v>
      </c>
      <c r="K375" s="325">
        <f>K361</f>
        <v>5.1368833420913607</v>
      </c>
      <c r="L375" s="325">
        <f>L361</f>
        <v>5.1302280415879995</v>
      </c>
      <c r="M375" s="325">
        <f>M361</f>
        <v>4.6566985399294998</v>
      </c>
      <c r="N375" s="326">
        <f t="shared" si="100"/>
        <v>5.6775147903626992</v>
      </c>
      <c r="O375" s="325">
        <f>O361</f>
        <v>7.8038563548258795</v>
      </c>
      <c r="P375" s="325">
        <f>P361</f>
        <v>9.036454358955039</v>
      </c>
      <c r="Q375" s="325">
        <f t="shared" ref="Q375:AE375" si="101">Q361</f>
        <v>7.2057803588330405</v>
      </c>
      <c r="R375" s="325">
        <f t="shared" si="101"/>
        <v>9.2255424000839792</v>
      </c>
      <c r="S375" s="325">
        <f t="shared" si="101"/>
        <v>9.9688927675642383</v>
      </c>
      <c r="T375" s="325">
        <f t="shared" si="101"/>
        <v>10.507627609201782</v>
      </c>
      <c r="U375" s="325">
        <f t="shared" si="101"/>
        <v>11.721714350427845</v>
      </c>
      <c r="V375" s="325">
        <f t="shared" si="101"/>
        <v>12.231661105019583</v>
      </c>
      <c r="W375" s="325">
        <f t="shared" si="101"/>
        <v>12.653355279087151</v>
      </c>
      <c r="X375" s="325">
        <f t="shared" si="101"/>
        <v>13.160043148136264</v>
      </c>
      <c r="Y375" s="325">
        <f t="shared" si="101"/>
        <v>13.815382408890072</v>
      </c>
      <c r="Z375" s="325">
        <f t="shared" si="101"/>
        <v>14.110444725660139</v>
      </c>
      <c r="AA375" s="325">
        <f t="shared" si="101"/>
        <v>14.252344433732743</v>
      </c>
      <c r="AB375" s="325">
        <f t="shared" si="101"/>
        <v>14.120636820066078</v>
      </c>
      <c r="AC375" s="325">
        <f t="shared" si="101"/>
        <v>14.349088973543845</v>
      </c>
      <c r="AD375" s="325">
        <f t="shared" si="101"/>
        <v>14.616677314618986</v>
      </c>
      <c r="AE375" s="326">
        <f t="shared" si="101"/>
        <v>13.248631953457638</v>
      </c>
      <c r="AF375" s="929"/>
      <c r="AG375" s="931"/>
      <c r="AH375" s="931"/>
      <c r="AI375" s="931"/>
      <c r="AJ375" s="945" t="s">
        <v>619</v>
      </c>
      <c r="AK375" s="73"/>
      <c r="AL375" s="73"/>
      <c r="AM375" s="73"/>
      <c r="AN375" s="73"/>
      <c r="AO375" s="73"/>
      <c r="AP375" s="73"/>
      <c r="AQ375" s="73"/>
      <c r="AR375" s="73"/>
      <c r="AT375" s="73"/>
      <c r="AU375" s="73"/>
    </row>
    <row r="376" spans="1:47" s="294" customFormat="1" ht="12.75" customHeight="1" outlineLevel="2">
      <c r="A376" s="553">
        <v>339</v>
      </c>
      <c r="C376" s="10"/>
      <c r="D376" s="29"/>
      <c r="E376" s="16" t="s">
        <v>556</v>
      </c>
      <c r="F376" s="327">
        <f t="shared" ref="F376:AE376" si="102">F16*F22/1000</f>
        <v>0</v>
      </c>
      <c r="G376" s="325">
        <f t="shared" si="102"/>
        <v>0.87088794588839991</v>
      </c>
      <c r="H376" s="325">
        <f t="shared" si="102"/>
        <v>0.12637701999999998</v>
      </c>
      <c r="I376" s="325">
        <f t="shared" si="102"/>
        <v>5.1966859999999997E-2</v>
      </c>
      <c r="J376" s="325">
        <f t="shared" si="102"/>
        <v>0.11954480000000001</v>
      </c>
      <c r="K376" s="325">
        <f t="shared" si="102"/>
        <v>0</v>
      </c>
      <c r="L376" s="325">
        <f t="shared" si="102"/>
        <v>0</v>
      </c>
      <c r="M376" s="325">
        <f t="shared" si="102"/>
        <v>0</v>
      </c>
      <c r="N376" s="326">
        <f t="shared" si="102"/>
        <v>0</v>
      </c>
      <c r="O376" s="325">
        <f t="shared" si="102"/>
        <v>0</v>
      </c>
      <c r="P376" s="325">
        <f t="shared" si="102"/>
        <v>0</v>
      </c>
      <c r="Q376" s="325">
        <f t="shared" si="102"/>
        <v>0</v>
      </c>
      <c r="R376" s="325">
        <f t="shared" si="102"/>
        <v>0</v>
      </c>
      <c r="S376" s="325">
        <f t="shared" si="102"/>
        <v>0</v>
      </c>
      <c r="T376" s="325">
        <f t="shared" si="102"/>
        <v>0</v>
      </c>
      <c r="U376" s="325">
        <f t="shared" si="102"/>
        <v>0</v>
      </c>
      <c r="V376" s="325">
        <f t="shared" si="102"/>
        <v>0</v>
      </c>
      <c r="W376" s="325">
        <f t="shared" si="102"/>
        <v>0</v>
      </c>
      <c r="X376" s="325">
        <f t="shared" si="102"/>
        <v>0</v>
      </c>
      <c r="Y376" s="325">
        <f t="shared" si="102"/>
        <v>0</v>
      </c>
      <c r="Z376" s="325">
        <f t="shared" si="102"/>
        <v>0</v>
      </c>
      <c r="AA376" s="325">
        <f t="shared" si="102"/>
        <v>0</v>
      </c>
      <c r="AB376" s="325">
        <f t="shared" si="102"/>
        <v>0</v>
      </c>
      <c r="AC376" s="325">
        <f t="shared" si="102"/>
        <v>0</v>
      </c>
      <c r="AD376" s="325">
        <f t="shared" si="102"/>
        <v>0</v>
      </c>
      <c r="AE376" s="326">
        <f t="shared" si="102"/>
        <v>0</v>
      </c>
      <c r="AF376" s="929"/>
      <c r="AG376" s="929"/>
      <c r="AH376" s="929"/>
      <c r="AI376" s="929"/>
      <c r="AJ376" s="1034"/>
      <c r="AK376" s="73"/>
      <c r="AL376" s="73"/>
      <c r="AM376" s="73"/>
      <c r="AN376" s="73"/>
      <c r="AO376" s="73"/>
      <c r="AP376" s="73"/>
      <c r="AQ376" s="73"/>
      <c r="AR376" s="73"/>
      <c r="AT376" s="73"/>
      <c r="AU376" s="73"/>
    </row>
    <row r="377" spans="1:47" s="294" customFormat="1" ht="52.5" customHeight="1" outlineLevel="2">
      <c r="A377" s="553">
        <v>340</v>
      </c>
      <c r="C377" s="10"/>
      <c r="D377" s="29"/>
      <c r="E377" s="16" t="s">
        <v>557</v>
      </c>
      <c r="F377" s="327">
        <f>F182*'D-vermiedene Netzentgelte'!F32*SUM('MOD-Berechnungen'!F242:F244)/1000
+F182*SUM('MOD-Berechnungen'!F238:F241)/1000</f>
        <v>0.33373085000000002</v>
      </c>
      <c r="G377" s="325">
        <f>G182*'D-vermiedene Netzentgelte'!G32*SUM('MOD-Berechnungen'!G242:G244)/1000
+G182*SUM('MOD-Berechnungen'!G238:G241)/1000</f>
        <v>0.40558795999999997</v>
      </c>
      <c r="H377" s="325">
        <f>H182*'D-vermiedene Netzentgelte'!H32*SUM('MOD-Berechnungen'!H242:H244)/1000
+H182*SUM('MOD-Berechnungen'!H238:H241)/1000</f>
        <v>0.43666439499999993</v>
      </c>
      <c r="I377" s="325">
        <f>I182*'D-vermiedene Netzentgelte'!I32*SUM('MOD-Berechnungen'!I242:I244)/1000
+I182*SUM('MOD-Berechnungen'!I238:I241)/1000</f>
        <v>0.50111063699999991</v>
      </c>
      <c r="J377" s="325">
        <f>J182*'D-vermiedene Netzentgelte'!J32*SUM('MOD-Berechnungen'!J242:J244)/1000
+J182*SUM('MOD-Berechnungen'!J238:J241)/1000</f>
        <v>0.69335669199999983</v>
      </c>
      <c r="K377" s="325">
        <f>K182*'D-vermiedene Netzentgelte'!K32*SUM('MOD-Berechnungen'!K242:K244)/1000
+K182*SUM('MOD-Berechnungen'!K238:K241)/1000</f>
        <v>0.74838364323231099</v>
      </c>
      <c r="L377" s="325">
        <f>L182*'D-vermiedene Netzentgelte'!L32*SUM('MOD-Berechnungen'!L242:L244)/1000
+L182*SUM('MOD-Berechnungen'!L238:L241)/1000</f>
        <v>0.85023012181916047</v>
      </c>
      <c r="M377" s="325">
        <f>M182*'D-vermiedene Netzentgelte'!M32*SUM('MOD-Berechnungen'!M242:M244)/1000
+M182*SUM('MOD-Berechnungen'!M238:M241)/1000</f>
        <v>0.95970784794646691</v>
      </c>
      <c r="N377" s="326">
        <f>N182*'D-vermiedene Netzentgelte'!N32*SUM(N242,N244)/1000
+N182*SUM('MOD-Berechnungen'!N238:N241)/1000</f>
        <v>0.67580048700000006</v>
      </c>
      <c r="O377" s="325">
        <f>O182*'D-vermiedene Netzentgelte'!O32*SUM(O242,O244)/1000
+O182*SUM('MOD-Berechnungen'!O238:O241)/1000</f>
        <v>0.54611158999999998</v>
      </c>
      <c r="P377" s="325">
        <f>P182*'D-vermiedene Netzentgelte'!P32*SUM(P242,P244)/1000
+P182*SUM('MOD-Berechnungen'!P238:P241)/1000</f>
        <v>0.35041700299999995</v>
      </c>
      <c r="Q377" s="325">
        <f>Q182*'D-vermiedene Netzentgelte'!Q32*SUM(Q242,Q244)/1000
+Q182*SUM('MOD-Berechnungen'!Q238:Q241)/1000</f>
        <v>0.34503326899999998</v>
      </c>
      <c r="R377" s="325">
        <f>R182*'D-vermiedene Netzentgelte'!R32*SUM(R242,R244)/1000
+R182*SUM('MOD-Berechnungen'!R238:R241)/1000</f>
        <v>0.39529223285472292</v>
      </c>
      <c r="S377" s="325">
        <f>S182*'D-vermiedene Netzentgelte'!S32*SUM(S242,S244)/1000
+S182*SUM('MOD-Berechnungen'!S238:S241)/1000</f>
        <v>0.39483670991250669</v>
      </c>
      <c r="T377" s="325">
        <f>T182*'D-vermiedene Netzentgelte'!T32*SUM(T242,T244)/1000
+T182*SUM('MOD-Berechnungen'!T238:T241)/1000</f>
        <v>0.39144361280094397</v>
      </c>
      <c r="U377" s="325">
        <f>U182*'D-vermiedene Netzentgelte'!U32*SUM(U242,U244)/1000
+U182*SUM('MOD-Berechnungen'!U238:U241)/1000</f>
        <v>0.37344520914703622</v>
      </c>
      <c r="V377" s="325">
        <f>V182*'D-vermiedene Netzentgelte'!V32*SUM(V242,V244)/1000
+V182*SUM('MOD-Berechnungen'!V238:V241)/1000</f>
        <v>0.3532008941170578</v>
      </c>
      <c r="W377" s="325">
        <f>W182*'D-vermiedene Netzentgelte'!W32*SUM(W242,W244)/1000
+W182*SUM('MOD-Berechnungen'!W238:W241)/1000</f>
        <v>0.32598606091160376</v>
      </c>
      <c r="X377" s="325">
        <f>X182*'D-vermiedene Netzentgelte'!X32*SUM(X242,X244)/1000
+X182*SUM('MOD-Berechnungen'!X238:X241)/1000</f>
        <v>0.30749723850826033</v>
      </c>
      <c r="Y377" s="325">
        <f>Y182*'D-vermiedene Netzentgelte'!Y32*SUM(Y242,Y244)/1000
+Y182*SUM('MOD-Berechnungen'!Y238:Y241)/1000</f>
        <v>0.30237451493645917</v>
      </c>
      <c r="Z377" s="325">
        <f>Z182*'D-vermiedene Netzentgelte'!Z32*SUM(Z242,Z244)/1000
+Z182*SUM('MOD-Berechnungen'!Z238:Z241)/1000</f>
        <v>0.28661310608684948</v>
      </c>
      <c r="AA377" s="325">
        <f>AA182*'D-vermiedene Netzentgelte'!AA32*SUM(AA242,AA244)/1000
+AA182*SUM('MOD-Berechnungen'!AA238:AA241)/1000</f>
        <v>0.25863916798875641</v>
      </c>
      <c r="AB377" s="325">
        <f>AB182*'D-vermiedene Netzentgelte'!AB32*SUM(AB242,AB244)/1000
+AB182*SUM('MOD-Berechnungen'!AB238:AB241)/1000</f>
        <v>0.20619207497042027</v>
      </c>
      <c r="AC377" s="325">
        <f>AC182*'D-vermiedene Netzentgelte'!AC32*SUM(AC242,AC244)/1000
+AC182*SUM('MOD-Berechnungen'!AC238:AC241)/1000</f>
        <v>0.20165929683442568</v>
      </c>
      <c r="AD377" s="325">
        <f>AD182*'D-vermiedene Netzentgelte'!AD32*SUM(AD242,AD244)/1000
+AD182*SUM('MOD-Berechnungen'!AD238:AD241)/1000</f>
        <v>0.19517146469229291</v>
      </c>
      <c r="AE377" s="326">
        <f>AE182*'D-vermiedene Netzentgelte'!AE32*SUM(AE242,AE244)/1000
+AE182*SUM('MOD-Berechnungen'!AE238:AE241)/1000</f>
        <v>0.1967660338330621</v>
      </c>
      <c r="AF377" s="929" t="s">
        <v>142</v>
      </c>
      <c r="AG377" s="931"/>
      <c r="AH377" s="931"/>
      <c r="AI377" s="931"/>
      <c r="AJ377" s="1245" t="s">
        <v>620</v>
      </c>
      <c r="AK377" s="73"/>
      <c r="AL377" s="73"/>
      <c r="AM377" s="73"/>
      <c r="AN377" s="73"/>
      <c r="AO377" s="73"/>
      <c r="AP377" s="73"/>
      <c r="AQ377" s="73"/>
      <c r="AR377" s="73"/>
      <c r="AT377" s="73"/>
      <c r="AU377" s="73"/>
    </row>
    <row r="378" spans="1:47" s="294" customFormat="1" ht="12.75" customHeight="1" outlineLevel="2">
      <c r="A378" s="553">
        <v>341</v>
      </c>
      <c r="C378" s="10"/>
      <c r="D378" s="29"/>
      <c r="E378" s="16" t="s">
        <v>558</v>
      </c>
      <c r="F378" s="327">
        <f t="shared" ref="F378:AE378" si="103">F183</f>
        <v>0.38450000000000001</v>
      </c>
      <c r="G378" s="325">
        <f t="shared" si="103"/>
        <v>0.42218865985000004</v>
      </c>
      <c r="H378" s="325">
        <f t="shared" si="103"/>
        <v>0.23028867101000003</v>
      </c>
      <c r="I378" s="325">
        <f t="shared" si="103"/>
        <v>0.15466122681000002</v>
      </c>
      <c r="J378" s="325">
        <f t="shared" si="103"/>
        <v>0.29887697133000007</v>
      </c>
      <c r="K378" s="325">
        <f t="shared" si="103"/>
        <v>0.19595140036000003</v>
      </c>
      <c r="L378" s="325">
        <f t="shared" si="103"/>
        <v>0.13908307713999998</v>
      </c>
      <c r="M378" s="325">
        <f t="shared" si="103"/>
        <v>0.14340741743000002</v>
      </c>
      <c r="N378" s="326">
        <f t="shared" si="103"/>
        <v>6.8122188890000004E-2</v>
      </c>
      <c r="O378" s="325">
        <f t="shared" si="103"/>
        <v>7.0404653730000002E-2</v>
      </c>
      <c r="P378" s="325">
        <f t="shared" si="103"/>
        <v>6.4167895450000012E-2</v>
      </c>
      <c r="Q378" s="325">
        <f t="shared" si="103"/>
        <v>5.9920528000000001E-2</v>
      </c>
      <c r="R378" s="325">
        <f t="shared" si="103"/>
        <v>6.1731625958799982E-2</v>
      </c>
      <c r="S378" s="325">
        <f t="shared" si="103"/>
        <v>6.2657600348181977E-2</v>
      </c>
      <c r="T378" s="325">
        <f t="shared" si="103"/>
        <v>6.3597464353404701E-2</v>
      </c>
      <c r="U378" s="325">
        <f t="shared" si="103"/>
        <v>6.4551426318705765E-2</v>
      </c>
      <c r="V378" s="325">
        <f t="shared" si="103"/>
        <v>6.5519697713486327E-2</v>
      </c>
      <c r="W378" s="325">
        <f t="shared" si="103"/>
        <v>6.6502493179188618E-2</v>
      </c>
      <c r="X378" s="325">
        <f t="shared" si="103"/>
        <v>6.7500030576876438E-2</v>
      </c>
      <c r="Y378" s="325">
        <f t="shared" si="103"/>
        <v>6.8512531035529581E-2</v>
      </c>
      <c r="Z378" s="325">
        <f t="shared" si="103"/>
        <v>6.9540219001062512E-2</v>
      </c>
      <c r="AA378" s="325">
        <f t="shared" si="103"/>
        <v>7.0583322286078443E-2</v>
      </c>
      <c r="AB378" s="325">
        <f t="shared" si="103"/>
        <v>7.1642072120369618E-2</v>
      </c>
      <c r="AC378" s="325">
        <f t="shared" si="103"/>
        <v>7.2716703202175159E-2</v>
      </c>
      <c r="AD378" s="325">
        <f t="shared" si="103"/>
        <v>7.380745375020778E-2</v>
      </c>
      <c r="AE378" s="326">
        <f t="shared" si="103"/>
        <v>7.4914565556460894E-2</v>
      </c>
      <c r="AF378" s="929" t="s">
        <v>142</v>
      </c>
      <c r="AG378" s="932"/>
      <c r="AH378" s="932"/>
      <c r="AI378" s="932"/>
      <c r="AJ378" s="1034"/>
      <c r="AK378" s="73"/>
      <c r="AL378" s="73"/>
      <c r="AM378" s="73"/>
      <c r="AN378" s="73"/>
      <c r="AO378" s="73"/>
      <c r="AP378" s="73"/>
      <c r="AQ378" s="73"/>
      <c r="AR378" s="73"/>
      <c r="AT378" s="73"/>
      <c r="AU378" s="73"/>
    </row>
    <row r="379" spans="1:47" s="294" customFormat="1" ht="29.25" customHeight="1" outlineLevel="2">
      <c r="A379" s="553">
        <v>342</v>
      </c>
      <c r="C379" s="10"/>
      <c r="D379" s="29"/>
      <c r="E379" s="16" t="s">
        <v>559</v>
      </c>
      <c r="F379" s="327">
        <f>IF(ControlPanel!$D$59&gt;F$5,F321-F311,F371)+F331</f>
        <v>12.667440729999999</v>
      </c>
      <c r="G379" s="325">
        <f>IF(ControlPanel!$D$59&gt;G$5,G321-G311,G371)+G331</f>
        <v>17.126834930000001</v>
      </c>
      <c r="H379" s="325">
        <f>IF(ControlPanel!$D$59&gt;H$5,H321-H311,H371)+H331</f>
        <v>18.937664991119739</v>
      </c>
      <c r="I379" s="325">
        <f>IF(ControlPanel!$D$59&gt;I$5,I321-I311,I371)+I331</f>
        <v>22.796891415220745</v>
      </c>
      <c r="J379" s="325">
        <f>IF(ControlPanel!$D$59&gt;J$5,J321-J311,J371)+J331</f>
        <v>25.293093383584349</v>
      </c>
      <c r="K379" s="325">
        <f>IF(ControlPanel!$D$59&gt;K$5,K321-K311,K371)+K331</f>
        <v>26.030646698980938</v>
      </c>
      <c r="L379" s="325">
        <f>IF(ControlPanel!$D$59&gt;L$5,L321-L311,L371)+L331</f>
        <v>26.442236571491044</v>
      </c>
      <c r="M379" s="325">
        <f>IF(ControlPanel!$D$59&gt;M$5,M321-M311,M371)+M331</f>
        <v>25.596105698789607</v>
      </c>
      <c r="N379" s="326">
        <f>IF(ControlPanel!$D$59&gt;N$5,N321-N311,N371)+N331</f>
        <v>25.827488964302042</v>
      </c>
      <c r="O379" s="325">
        <f>IF(ControlPanel!$D$59&gt;O$5,O321-O311,O371)+O331</f>
        <v>25.645323982789609</v>
      </c>
      <c r="P379" s="325">
        <f>IF(ControlPanel!$D$59&gt;P$5,P321-P311,P371)+P331</f>
        <v>25.15040999765338</v>
      </c>
      <c r="Q379" s="325">
        <f>IF(ControlPanel!$D$59&gt;Q$5,Q321-Q311,Q371)+Q331</f>
        <v>24.843962100887865</v>
      </c>
      <c r="R379" s="325">
        <f>IF(ControlPanel!$D$59&gt;R$5,R321-R311,R371)+R331</f>
        <v>24.174612549787927</v>
      </c>
      <c r="S379" s="325">
        <f>IF(ControlPanel!$D$59&gt;S$5,S321-S311,S371)+S331</f>
        <v>23.521727123463403</v>
      </c>
      <c r="T379" s="325">
        <f>IF(ControlPanel!$D$59&gt;T$5,T321-T311,T371)+T331</f>
        <v>22.909038616145814</v>
      </c>
      <c r="U379" s="325">
        <f>IF(ControlPanel!$D$59&gt;U$5,U321-U311,U371)+U331</f>
        <v>21.712960244422643</v>
      </c>
      <c r="V379" s="325">
        <f>IF(ControlPanel!$D$59&gt;V$5,V321-V311,V371)+V331</f>
        <v>20.035014739698461</v>
      </c>
      <c r="W379" s="325">
        <f>IF(ControlPanel!$D$59&gt;W$5,W321-W311,W371)+W331</f>
        <v>18.369902647264858</v>
      </c>
      <c r="X379" s="325">
        <f>IF(ControlPanel!$D$59&gt;X$5,X321-X311,X371)+X331</f>
        <v>16.64983917190786</v>
      </c>
      <c r="Y379" s="325">
        <f>IF(ControlPanel!$D$59&gt;Y$5,Y321-Y311,Y371)+Y331</f>
        <v>15.215335728109672</v>
      </c>
      <c r="Z379" s="325">
        <f>IF(ControlPanel!$D$59&gt;Z$5,Z321-Z311,Z371)+Z331</f>
        <v>12.536385748100678</v>
      </c>
      <c r="AA379" s="325">
        <f>IF(ControlPanel!$D$59&gt;AA$5,AA321-AA311,AA371)+AA331</f>
        <v>8.8280910390069458</v>
      </c>
      <c r="AB379" s="325">
        <f>IF(ControlPanel!$D$59&gt;AB$5,AB321-AB311,AB371)+AB331</f>
        <v>4.8987282543196518</v>
      </c>
      <c r="AC379" s="325">
        <f>IF(ControlPanel!$D$59&gt;AC$5,AC321-AC311,AC371)+AC331</f>
        <v>2.7138212627749478</v>
      </c>
      <c r="AD379" s="325">
        <f>IF(ControlPanel!$D$59&gt;AD$5,AD321-AD311,AD371)+AD331</f>
        <v>1.7278746683846566</v>
      </c>
      <c r="AE379" s="326">
        <f>IF(ControlPanel!$D$59&gt;AE$5,AE321-AE311,AE371)+AE331</f>
        <v>0.83616033924303013</v>
      </c>
      <c r="AF379" s="929" t="s">
        <v>220</v>
      </c>
      <c r="AG379" s="929"/>
      <c r="AH379" s="945"/>
      <c r="AI379" s="1039"/>
      <c r="AJ379" s="1034" t="s">
        <v>621</v>
      </c>
    </row>
    <row r="380" spans="1:47" s="294" customFormat="1" ht="29.25" customHeight="1" outlineLevel="2">
      <c r="A380" s="553" t="s">
        <v>270</v>
      </c>
      <c r="C380" s="10"/>
      <c r="D380" s="29"/>
      <c r="E380" s="296" t="s">
        <v>560</v>
      </c>
      <c r="F380" s="220">
        <v>-1.6799763492082525E-3</v>
      </c>
      <c r="G380" s="75">
        <v>-2.8624077349064143E-3</v>
      </c>
      <c r="H380" s="75">
        <v>3.6533487268301935E-3</v>
      </c>
      <c r="I380" s="75">
        <v>-1.7381631811784334E-3</v>
      </c>
      <c r="J380" s="75">
        <v>7.8679211882863532E-4</v>
      </c>
      <c r="K380" s="75">
        <v>3.674879619599624E-2</v>
      </c>
      <c r="L380" s="75">
        <v>-1.53525312683006E-2</v>
      </c>
      <c r="M380" s="75">
        <v>5.8973858480582605E-3</v>
      </c>
      <c r="N380" s="360">
        <v>1.2673943492223994E-2</v>
      </c>
      <c r="O380" s="75"/>
      <c r="P380" s="302">
        <v>-2.1220285848020475E-2</v>
      </c>
      <c r="Q380" s="302">
        <v>6.0000000000000001E-3</v>
      </c>
      <c r="R380" s="302"/>
      <c r="S380" s="302"/>
      <c r="T380" s="302"/>
      <c r="U380" s="302"/>
      <c r="V380" s="302"/>
      <c r="W380" s="302"/>
      <c r="X380" s="302"/>
      <c r="Y380" s="302"/>
      <c r="Z380" s="302"/>
      <c r="AA380" s="302"/>
      <c r="AB380" s="302"/>
      <c r="AC380" s="302"/>
      <c r="AD380" s="302"/>
      <c r="AE380" s="55"/>
      <c r="AF380" s="929"/>
      <c r="AG380" s="929"/>
      <c r="AH380" s="945"/>
      <c r="AI380" s="1039"/>
      <c r="AJ380" s="1040" t="s">
        <v>576</v>
      </c>
    </row>
    <row r="381" spans="1:47" s="294" customFormat="1" ht="145.19999999999999" outlineLevel="1">
      <c r="A381" s="553">
        <v>343</v>
      </c>
      <c r="C381" s="10"/>
      <c r="D381" s="29"/>
      <c r="E381" s="299" t="s">
        <v>554</v>
      </c>
      <c r="F381" s="1127">
        <f t="shared" ref="F381:M381" si="104">F374-F375+F376-F377+F378+F379+F380</f>
        <v>8.2341157261471896</v>
      </c>
      <c r="G381" s="1099">
        <f t="shared" si="104"/>
        <v>13.316885486653737</v>
      </c>
      <c r="H381" s="1099">
        <f t="shared" si="104"/>
        <v>13.049977399773889</v>
      </c>
      <c r="I381" s="1099">
        <f t="shared" si="104"/>
        <v>16.186787970644065</v>
      </c>
      <c r="J381" s="1099">
        <f t="shared" si="104"/>
        <v>19.471636282498178</v>
      </c>
      <c r="K381" s="1125">
        <f t="shared" si="104"/>
        <v>21.364961687184387</v>
      </c>
      <c r="L381" s="1099">
        <f t="shared" si="104"/>
        <v>23.267600722268078</v>
      </c>
      <c r="M381" s="1099">
        <f t="shared" si="104"/>
        <v>24.555918423576927</v>
      </c>
      <c r="N381" s="1128">
        <f>N374-N375+N376-N377+N378+N379+N380</f>
        <v>25.692180722376595</v>
      </c>
      <c r="O381" s="1099">
        <f t="shared" ref="O381:AE381" si="105">O374-O375+O376-O377+O378+O379+O380</f>
        <v>24.879883102119752</v>
      </c>
      <c r="P381" s="1099">
        <f t="shared" si="105"/>
        <v>24.29154421300591</v>
      </c>
      <c r="Q381" s="1099">
        <f t="shared" si="105"/>
        <v>26.465588253772587</v>
      </c>
      <c r="R381" s="1099">
        <f t="shared" si="105"/>
        <v>24.388317496201118</v>
      </c>
      <c r="S381" s="1099">
        <f t="shared" si="105"/>
        <v>23.748728142622102</v>
      </c>
      <c r="T381" s="1099">
        <f t="shared" si="105"/>
        <v>23.137454093935261</v>
      </c>
      <c r="U381" s="1099">
        <f t="shared" si="105"/>
        <v>21.399505052051399</v>
      </c>
      <c r="V381" s="1099">
        <f t="shared" si="105"/>
        <v>19.734103229077249</v>
      </c>
      <c r="W381" s="1099">
        <f t="shared" si="105"/>
        <v>17.690010973092129</v>
      </c>
      <c r="X381" s="1099">
        <f t="shared" si="105"/>
        <v>16.078636825887727</v>
      </c>
      <c r="Y381" s="1099">
        <f t="shared" si="105"/>
        <v>14.335912102002167</v>
      </c>
      <c r="Z381" s="1099">
        <f t="shared" si="105"/>
        <v>12.25454949912373</v>
      </c>
      <c r="AA381" s="1099">
        <f t="shared" si="105"/>
        <v>9.3116984398400682</v>
      </c>
      <c r="AB381" s="1099">
        <f t="shared" si="105"/>
        <v>6.4550902956051095</v>
      </c>
      <c r="AC381" s="1099">
        <f t="shared" si="105"/>
        <v>4.9264116859678273</v>
      </c>
      <c r="AD381" s="1099">
        <f t="shared" si="105"/>
        <v>4.2439193092504848</v>
      </c>
      <c r="AE381" s="1099">
        <f t="shared" si="105"/>
        <v>5.2294984159384157</v>
      </c>
      <c r="AF381" s="929" t="s">
        <v>155</v>
      </c>
      <c r="AG381" s="929"/>
      <c r="AH381" s="929"/>
      <c r="AI381" s="929"/>
      <c r="AJ381" s="1243" t="s">
        <v>622</v>
      </c>
      <c r="AK381" s="73"/>
      <c r="AL381" s="73"/>
      <c r="AM381" s="73"/>
      <c r="AN381" s="73"/>
      <c r="AO381" s="73"/>
      <c r="AP381" s="73"/>
      <c r="AQ381" s="73"/>
      <c r="AR381" s="73"/>
      <c r="AT381" s="73"/>
      <c r="AU381" s="73"/>
    </row>
    <row r="382" spans="1:47" s="294" customFormat="1" ht="13.2" outlineLevel="1">
      <c r="A382" s="553">
        <v>344</v>
      </c>
      <c r="C382" s="10"/>
      <c r="D382" s="29"/>
      <c r="F382" s="324"/>
      <c r="G382" s="324"/>
      <c r="H382" s="324"/>
      <c r="I382" s="324"/>
      <c r="J382" s="324"/>
      <c r="K382" s="324"/>
      <c r="L382" s="516"/>
      <c r="M382" s="1044"/>
      <c r="N382" s="342"/>
      <c r="O382" s="289"/>
      <c r="P382" s="324"/>
      <c r="Q382" s="324"/>
      <c r="R382" s="324"/>
      <c r="S382" s="324"/>
      <c r="T382" s="324"/>
      <c r="U382" s="324"/>
      <c r="V382" s="324"/>
      <c r="W382" s="324"/>
      <c r="X382" s="324"/>
      <c r="Y382" s="324"/>
      <c r="Z382" s="324"/>
      <c r="AA382" s="324"/>
      <c r="AB382" s="324"/>
      <c r="AC382" s="324"/>
      <c r="AD382" s="324"/>
      <c r="AE382" s="324"/>
      <c r="AF382" s="929"/>
      <c r="AG382" s="929"/>
      <c r="AH382" s="929"/>
      <c r="AI382" s="929"/>
      <c r="AJ382" s="1034"/>
      <c r="AK382" s="73"/>
      <c r="AL382" s="73"/>
      <c r="AM382" s="73"/>
      <c r="AN382" s="73"/>
      <c r="AO382" s="73"/>
      <c r="AP382" s="73"/>
      <c r="AQ382" s="73"/>
      <c r="AR382" s="73"/>
      <c r="AT382" s="73"/>
      <c r="AU382" s="73"/>
    </row>
    <row r="383" spans="1:47" s="294" customFormat="1" ht="13.2" outlineLevel="1">
      <c r="A383" s="553">
        <v>345</v>
      </c>
      <c r="C383" s="10"/>
      <c r="D383" s="29"/>
      <c r="E383" s="315" t="s">
        <v>561</v>
      </c>
      <c r="F383" s="324"/>
      <c r="G383" s="324"/>
      <c r="H383" s="324"/>
      <c r="I383" s="324"/>
      <c r="J383" s="324"/>
      <c r="K383" s="324"/>
      <c r="L383" s="324"/>
      <c r="M383" s="1087"/>
      <c r="N383" s="342"/>
      <c r="O383" s="289"/>
      <c r="P383" s="324"/>
      <c r="Q383" s="324"/>
      <c r="R383" s="324"/>
      <c r="S383" s="324"/>
      <c r="T383" s="324"/>
      <c r="U383" s="324"/>
      <c r="V383" s="324"/>
      <c r="W383" s="324"/>
      <c r="X383" s="324"/>
      <c r="Y383" s="324"/>
      <c r="Z383" s="324"/>
      <c r="AA383" s="324"/>
      <c r="AB383" s="324"/>
      <c r="AC383" s="324"/>
      <c r="AD383" s="324"/>
      <c r="AE383" s="324"/>
      <c r="AF383" s="929"/>
      <c r="AG383" s="929"/>
      <c r="AH383" s="929"/>
      <c r="AI383" s="929"/>
      <c r="AJ383" s="1034"/>
      <c r="AK383" s="73"/>
      <c r="AL383" s="73"/>
      <c r="AM383" s="73"/>
      <c r="AN383" s="73"/>
      <c r="AO383" s="73"/>
      <c r="AP383" s="73"/>
      <c r="AQ383" s="73"/>
      <c r="AR383" s="73"/>
      <c r="AT383" s="73"/>
      <c r="AU383" s="73"/>
    </row>
    <row r="384" spans="1:47" s="294" customFormat="1" ht="13.2" outlineLevel="1">
      <c r="A384" s="553">
        <v>346</v>
      </c>
      <c r="C384" s="10"/>
      <c r="D384" s="29"/>
      <c r="E384" s="295" t="s">
        <v>562</v>
      </c>
      <c r="F384" s="316"/>
      <c r="G384" s="316"/>
      <c r="H384" s="316"/>
      <c r="I384" s="316"/>
      <c r="J384" s="316"/>
      <c r="K384" s="316">
        <f t="shared" ref="K384:AE384" si="106">K361*(1-K8)</f>
        <v>0.51368833420913595</v>
      </c>
      <c r="L384" s="316">
        <f t="shared" si="106"/>
        <v>0.51302280415879986</v>
      </c>
      <c r="M384" s="316">
        <f t="shared" si="106"/>
        <v>0.46566985399294986</v>
      </c>
      <c r="N384" s="1126">
        <f t="shared" si="106"/>
        <v>0.56775147903626977</v>
      </c>
      <c r="O384" s="320">
        <f t="shared" si="106"/>
        <v>0.78038563548258777</v>
      </c>
      <c r="P384" s="1126">
        <f t="shared" si="106"/>
        <v>0.90364543589550372</v>
      </c>
      <c r="Q384" s="1126">
        <f t="shared" si="106"/>
        <v>0.72057803588330394</v>
      </c>
      <c r="R384" s="1126">
        <f t="shared" si="106"/>
        <v>0.9225542400083977</v>
      </c>
      <c r="S384" s="1126">
        <f t="shared" si="106"/>
        <v>0.99688927675642358</v>
      </c>
      <c r="T384" s="1126">
        <f t="shared" si="106"/>
        <v>1.050762760920178</v>
      </c>
      <c r="U384" s="1126">
        <f t="shared" si="106"/>
        <v>1.1721714350427843</v>
      </c>
      <c r="V384" s="1126">
        <f t="shared" si="106"/>
        <v>1.223166110501958</v>
      </c>
      <c r="W384" s="1126">
        <f t="shared" si="106"/>
        <v>1.2653355279087148</v>
      </c>
      <c r="X384" s="1126">
        <f t="shared" si="106"/>
        <v>1.316004314813626</v>
      </c>
      <c r="Y384" s="1126">
        <f t="shared" si="106"/>
        <v>1.3815382408890069</v>
      </c>
      <c r="Z384" s="1126">
        <f t="shared" si="106"/>
        <v>1.4110444725660136</v>
      </c>
      <c r="AA384" s="1126">
        <f t="shared" si="106"/>
        <v>1.425234443373274</v>
      </c>
      <c r="AB384" s="1126">
        <f t="shared" si="106"/>
        <v>1.4120636820066075</v>
      </c>
      <c r="AC384" s="1126">
        <f t="shared" si="106"/>
        <v>1.4349088973543842</v>
      </c>
      <c r="AD384" s="1126">
        <f t="shared" si="106"/>
        <v>1.4616677314618982</v>
      </c>
      <c r="AE384" s="317">
        <f t="shared" si="106"/>
        <v>1.3248631953457635</v>
      </c>
      <c r="AF384" s="929"/>
      <c r="AG384" s="929"/>
      <c r="AH384" s="929"/>
      <c r="AI384" s="929"/>
      <c r="AJ384" s="1034" t="s">
        <v>611</v>
      </c>
      <c r="AK384" s="73"/>
      <c r="AL384" s="73"/>
      <c r="AM384" s="73"/>
      <c r="AN384" s="73"/>
      <c r="AO384" s="73"/>
      <c r="AP384" s="73"/>
      <c r="AQ384" s="73"/>
      <c r="AR384" s="73"/>
      <c r="AT384" s="73"/>
      <c r="AU384" s="73"/>
    </row>
    <row r="385" spans="1:47" s="294" customFormat="1" ht="13.2" outlineLevel="1">
      <c r="A385" s="553">
        <v>347</v>
      </c>
      <c r="C385" s="10"/>
      <c r="D385" s="29"/>
      <c r="E385" s="297" t="s">
        <v>563</v>
      </c>
      <c r="F385" s="325"/>
      <c r="G385" s="325"/>
      <c r="H385" s="325"/>
      <c r="I385" s="325"/>
      <c r="J385" s="325"/>
      <c r="K385" s="325">
        <f t="shared" ref="K385:AE385" si="107">J381+J384</f>
        <v>19.471636282498178</v>
      </c>
      <c r="L385" s="325">
        <f t="shared" si="107"/>
        <v>21.878650021393522</v>
      </c>
      <c r="M385" s="325">
        <f t="shared" si="107"/>
        <v>23.780623526426879</v>
      </c>
      <c r="N385" s="325">
        <f t="shared" si="107"/>
        <v>25.021588277569876</v>
      </c>
      <c r="O385" s="327">
        <f t="shared" si="107"/>
        <v>26.259932201412866</v>
      </c>
      <c r="P385" s="325">
        <f t="shared" si="107"/>
        <v>25.66026873760234</v>
      </c>
      <c r="Q385" s="325">
        <f t="shared" si="107"/>
        <v>25.195189648901412</v>
      </c>
      <c r="R385" s="325">
        <f t="shared" si="107"/>
        <v>27.18616628965589</v>
      </c>
      <c r="S385" s="325">
        <f t="shared" si="107"/>
        <v>25.310871736209517</v>
      </c>
      <c r="T385" s="325">
        <f t="shared" si="107"/>
        <v>24.745617419378526</v>
      </c>
      <c r="U385" s="325">
        <f t="shared" si="107"/>
        <v>24.18821685485544</v>
      </c>
      <c r="V385" s="325">
        <f t="shared" si="107"/>
        <v>22.571676487094184</v>
      </c>
      <c r="W385" s="325">
        <f t="shared" si="107"/>
        <v>20.957269339579206</v>
      </c>
      <c r="X385" s="325">
        <f t="shared" si="107"/>
        <v>18.955346501000843</v>
      </c>
      <c r="Y385" s="325">
        <f t="shared" si="107"/>
        <v>17.394641140701353</v>
      </c>
      <c r="Z385" s="325">
        <f t="shared" si="107"/>
        <v>15.717450342891174</v>
      </c>
      <c r="AA385" s="325">
        <f t="shared" si="107"/>
        <v>13.665593971689743</v>
      </c>
      <c r="AB385" s="325">
        <f t="shared" si="107"/>
        <v>10.736932883213342</v>
      </c>
      <c r="AC385" s="325">
        <f t="shared" si="107"/>
        <v>7.867153977611717</v>
      </c>
      <c r="AD385" s="325">
        <f t="shared" si="107"/>
        <v>6.3613205833222111</v>
      </c>
      <c r="AE385" s="326">
        <f t="shared" si="107"/>
        <v>5.7055870407123832</v>
      </c>
      <c r="AF385" s="929"/>
      <c r="AG385" s="929"/>
      <c r="AH385" s="929"/>
      <c r="AI385" s="929"/>
      <c r="AJ385" s="1034" t="s">
        <v>612</v>
      </c>
      <c r="AK385" s="73"/>
      <c r="AL385" s="73"/>
      <c r="AM385" s="73"/>
      <c r="AN385" s="73"/>
      <c r="AO385" s="73"/>
      <c r="AP385" s="73"/>
      <c r="AQ385" s="73"/>
      <c r="AR385" s="73"/>
      <c r="AT385" s="73"/>
      <c r="AU385" s="73"/>
    </row>
    <row r="386" spans="1:47" s="294" customFormat="1" ht="13.2" outlineLevel="1">
      <c r="A386" s="553">
        <v>348</v>
      </c>
      <c r="B386" s="82"/>
      <c r="C386" s="315"/>
      <c r="D386" s="352"/>
      <c r="E386" s="297" t="s">
        <v>564</v>
      </c>
      <c r="F386" s="325"/>
      <c r="G386" s="325"/>
      <c r="H386" s="325"/>
      <c r="I386" s="325"/>
      <c r="J386" s="325"/>
      <c r="K386" s="325">
        <f t="shared" ref="K386:AE386" si="108">J393</f>
        <v>23.615724916227997</v>
      </c>
      <c r="L386" s="325">
        <f t="shared" si="108"/>
        <v>22.120712918692824</v>
      </c>
      <c r="M386" s="325">
        <f t="shared" si="108"/>
        <v>23.073170794494885</v>
      </c>
      <c r="N386" s="325">
        <f t="shared" si="108"/>
        <v>24.081463380121541</v>
      </c>
      <c r="O386" s="303">
        <f t="shared" si="108"/>
        <v>23.904481422649191</v>
      </c>
      <c r="P386" s="302">
        <f t="shared" si="108"/>
        <v>22.720840733526938</v>
      </c>
      <c r="Q386" s="302">
        <f t="shared" si="108"/>
        <v>24.044462332716385</v>
      </c>
      <c r="R386" s="302">
        <f t="shared" si="108"/>
        <v>22.392541356199846</v>
      </c>
      <c r="S386" s="302">
        <f t="shared" si="108"/>
        <v>21.743116545973187</v>
      </c>
      <c r="T386" s="302">
        <f t="shared" si="108"/>
        <v>19.632907021415757</v>
      </c>
      <c r="U386" s="302">
        <f t="shared" si="108"/>
        <v>19.097666927770476</v>
      </c>
      <c r="V386" s="302">
        <f t="shared" si="108"/>
        <v>17.345990870458547</v>
      </c>
      <c r="W386" s="302">
        <f t="shared" si="108"/>
        <v>15.806350554741584</v>
      </c>
      <c r="X386" s="302">
        <f t="shared" si="108"/>
        <v>13.790531548234977</v>
      </c>
      <c r="Y386" s="302">
        <f t="shared" si="108"/>
        <v>12.24728990496418</v>
      </c>
      <c r="Z386" s="302">
        <f t="shared" si="108"/>
        <v>10.547352933382658</v>
      </c>
      <c r="AA386" s="302">
        <f t="shared" si="108"/>
        <v>8.5112059838400285</v>
      </c>
      <c r="AB386" s="302">
        <f t="shared" si="108"/>
        <v>5.5461718488490632</v>
      </c>
      <c r="AC386" s="302">
        <f t="shared" si="108"/>
        <v>2.7089282503242851</v>
      </c>
      <c r="AD386" s="302">
        <f t="shared" si="108"/>
        <v>1.2467546513961976</v>
      </c>
      <c r="AE386" s="55">
        <f t="shared" si="108"/>
        <v>0.63787866400182835</v>
      </c>
      <c r="AF386" s="929"/>
      <c r="AG386" s="929"/>
      <c r="AH386" s="929"/>
      <c r="AI386" s="929"/>
      <c r="AJ386" s="1034" t="s">
        <v>613</v>
      </c>
      <c r="AK386" s="73"/>
      <c r="AL386" s="73"/>
      <c r="AM386" s="73"/>
      <c r="AN386" s="73"/>
      <c r="AO386" s="73"/>
      <c r="AP386" s="73"/>
      <c r="AQ386" s="73"/>
      <c r="AR386" s="73"/>
      <c r="AT386" s="73"/>
      <c r="AU386" s="73"/>
    </row>
    <row r="387" spans="1:47" s="294" customFormat="1" ht="13.2" outlineLevel="1">
      <c r="A387" s="553">
        <v>349</v>
      </c>
      <c r="C387" s="10"/>
      <c r="D387" s="29"/>
      <c r="E387" s="299" t="s">
        <v>565</v>
      </c>
      <c r="F387" s="318"/>
      <c r="G387" s="318"/>
      <c r="H387" s="318"/>
      <c r="I387" s="318"/>
      <c r="J387" s="318"/>
      <c r="K387" s="318">
        <f t="shared" ref="K387:P387" si="109">K386-K385</f>
        <v>4.1440886337298188</v>
      </c>
      <c r="L387" s="318">
        <f t="shared" si="109"/>
        <v>0.24206289729930219</v>
      </c>
      <c r="M387" s="318">
        <f t="shared" si="109"/>
        <v>-0.70745273193199409</v>
      </c>
      <c r="N387" s="319">
        <f t="shared" si="109"/>
        <v>-0.94012489744833516</v>
      </c>
      <c r="O387" s="1127">
        <f t="shared" si="109"/>
        <v>-2.3554507787636751</v>
      </c>
      <c r="P387" s="1099">
        <f t="shared" si="109"/>
        <v>-2.9394280040754026</v>
      </c>
      <c r="Q387" s="1099">
        <f t="shared" ref="Q387:AE387" si="110">Q386-Q385</f>
        <v>-1.1507273161850264</v>
      </c>
      <c r="R387" s="1099">
        <f t="shared" si="110"/>
        <v>-4.7936249334560443</v>
      </c>
      <c r="S387" s="1099">
        <f t="shared" si="110"/>
        <v>-3.5677551902363298</v>
      </c>
      <c r="T387" s="1099">
        <f t="shared" si="110"/>
        <v>-5.1127103979627684</v>
      </c>
      <c r="U387" s="1099">
        <f t="shared" si="110"/>
        <v>-5.0905499270849646</v>
      </c>
      <c r="V387" s="1099">
        <f t="shared" si="110"/>
        <v>-5.2256856166356371</v>
      </c>
      <c r="W387" s="1099">
        <f t="shared" si="110"/>
        <v>-5.1509187848376214</v>
      </c>
      <c r="X387" s="1099">
        <f t="shared" si="110"/>
        <v>-5.164814952765866</v>
      </c>
      <c r="Y387" s="1099">
        <f t="shared" si="110"/>
        <v>-5.1473512357371725</v>
      </c>
      <c r="Z387" s="1099">
        <f t="shared" si="110"/>
        <v>-5.1700974095085162</v>
      </c>
      <c r="AA387" s="1099">
        <f t="shared" si="110"/>
        <v>-5.1543879878497147</v>
      </c>
      <c r="AB387" s="1099">
        <f t="shared" si="110"/>
        <v>-5.1907610343642787</v>
      </c>
      <c r="AC387" s="1099">
        <f t="shared" si="110"/>
        <v>-5.1582257272874319</v>
      </c>
      <c r="AD387" s="1099">
        <f t="shared" si="110"/>
        <v>-5.1145659319260135</v>
      </c>
      <c r="AE387" s="1128">
        <f t="shared" si="110"/>
        <v>-5.0677083767105549</v>
      </c>
      <c r="AF387" s="929"/>
      <c r="AG387" s="929"/>
      <c r="AH387" s="929"/>
      <c r="AI387" s="929"/>
      <c r="AJ387" s="1034" t="s">
        <v>614</v>
      </c>
      <c r="AK387" s="73"/>
      <c r="AL387" s="73"/>
      <c r="AM387" s="73"/>
      <c r="AN387" s="73"/>
      <c r="AO387" s="73"/>
      <c r="AP387" s="73"/>
      <c r="AQ387" s="73"/>
      <c r="AR387" s="73"/>
      <c r="AT387" s="73"/>
      <c r="AU387" s="73"/>
    </row>
    <row r="388" spans="1:47" s="294" customFormat="1" ht="13.2" outlineLevel="1">
      <c r="A388" s="553">
        <v>350</v>
      </c>
      <c r="C388" s="10"/>
      <c r="D388" s="29"/>
      <c r="L388" s="73"/>
      <c r="N388" s="36"/>
      <c r="O388" s="313"/>
      <c r="AF388" s="929"/>
      <c r="AG388" s="929"/>
      <c r="AH388" s="929"/>
      <c r="AI388" s="929"/>
      <c r="AJ388" s="1034"/>
      <c r="AK388" s="73"/>
      <c r="AL388" s="73"/>
      <c r="AM388" s="73"/>
      <c r="AN388" s="73"/>
      <c r="AO388" s="73"/>
      <c r="AP388" s="73"/>
      <c r="AQ388" s="73"/>
      <c r="AR388" s="73"/>
      <c r="AT388" s="73"/>
      <c r="AU388" s="73"/>
    </row>
    <row r="389" spans="1:47" s="294" customFormat="1" ht="13.2" outlineLevel="1">
      <c r="A389" s="553">
        <v>351</v>
      </c>
      <c r="C389" s="10"/>
      <c r="D389" s="29"/>
      <c r="E389" s="315" t="s">
        <v>1030</v>
      </c>
      <c r="L389" s="73"/>
      <c r="N389" s="36"/>
      <c r="O389" s="313"/>
      <c r="AF389" s="929"/>
      <c r="AG389" s="929"/>
      <c r="AH389" s="929"/>
      <c r="AI389" s="929"/>
      <c r="AJ389" s="1034"/>
      <c r="AK389" s="73"/>
      <c r="AL389" s="73"/>
      <c r="AM389" s="73"/>
      <c r="AN389" s="73"/>
      <c r="AO389" s="73"/>
      <c r="AP389" s="73"/>
      <c r="AQ389" s="73"/>
      <c r="AR389" s="73"/>
      <c r="AT389" s="73"/>
      <c r="AU389" s="73"/>
    </row>
    <row r="390" spans="1:47" s="294" customFormat="1" ht="13.2" outlineLevel="1">
      <c r="A390" s="553">
        <v>352</v>
      </c>
      <c r="C390" s="10"/>
      <c r="D390" s="29"/>
      <c r="E390" s="295" t="s">
        <v>1031</v>
      </c>
      <c r="F390" s="320">
        <f t="shared" ref="F390:AE390" si="111">F9*(F381)</f>
        <v>0</v>
      </c>
      <c r="G390" s="1126">
        <f t="shared" si="111"/>
        <v>0</v>
      </c>
      <c r="H390" s="1126">
        <f t="shared" si="111"/>
        <v>0.39149932199321663</v>
      </c>
      <c r="I390" s="1126">
        <f t="shared" si="111"/>
        <v>1.6186787970644065</v>
      </c>
      <c r="J390" s="1126">
        <f t="shared" si="111"/>
        <v>1.9471636282498179</v>
      </c>
      <c r="K390" s="1126">
        <f t="shared" si="111"/>
        <v>2.1364961687184389</v>
      </c>
      <c r="L390" s="1126">
        <f t="shared" si="111"/>
        <v>2.3267600722268078</v>
      </c>
      <c r="M390" s="1126">
        <f t="shared" si="111"/>
        <v>1.4733551054146155</v>
      </c>
      <c r="N390" s="317">
        <f t="shared" si="111"/>
        <v>1.5415308433425956</v>
      </c>
      <c r="O390" s="320">
        <f t="shared" si="111"/>
        <v>1.4927929861271851</v>
      </c>
      <c r="P390" s="1126">
        <f t="shared" si="111"/>
        <v>1.9433235370404729</v>
      </c>
      <c r="Q390" s="1126">
        <f t="shared" si="111"/>
        <v>2.6465588253772587</v>
      </c>
      <c r="R390" s="1126">
        <f t="shared" si="111"/>
        <v>1.463299049772067</v>
      </c>
      <c r="S390" s="1126">
        <f t="shared" si="111"/>
        <v>1.424923688557326</v>
      </c>
      <c r="T390" s="1126">
        <f t="shared" si="111"/>
        <v>1.3882472456361157</v>
      </c>
      <c r="U390" s="1126">
        <f t="shared" si="111"/>
        <v>1.2839703031230838</v>
      </c>
      <c r="V390" s="1126">
        <f t="shared" si="111"/>
        <v>1.1840461937446349</v>
      </c>
      <c r="W390" s="1126">
        <f t="shared" si="111"/>
        <v>1.0614006583855278</v>
      </c>
      <c r="X390" s="1126">
        <f t="shared" si="111"/>
        <v>0.96471820955326359</v>
      </c>
      <c r="Y390" s="1126">
        <f t="shared" si="111"/>
        <v>0.86015472612013</v>
      </c>
      <c r="Z390" s="1126">
        <f t="shared" si="111"/>
        <v>0.73527296994742375</v>
      </c>
      <c r="AA390" s="1126">
        <f t="shared" si="111"/>
        <v>0.55870190639040407</v>
      </c>
      <c r="AB390" s="1126">
        <f t="shared" si="111"/>
        <v>0.38730541773630656</v>
      </c>
      <c r="AC390" s="1126">
        <f t="shared" si="111"/>
        <v>0.29558470115806962</v>
      </c>
      <c r="AD390" s="1126">
        <f t="shared" si="111"/>
        <v>0.25463515855502905</v>
      </c>
      <c r="AE390" s="317">
        <f t="shared" si="111"/>
        <v>0.31376990495630491</v>
      </c>
      <c r="AF390" s="929" t="s">
        <v>155</v>
      </c>
      <c r="AG390" s="929"/>
      <c r="AH390" s="929"/>
      <c r="AI390" s="929"/>
      <c r="AJ390" s="1034" t="s">
        <v>615</v>
      </c>
      <c r="AK390" s="73"/>
      <c r="AL390" s="73"/>
      <c r="AM390" s="73"/>
      <c r="AN390" s="73"/>
      <c r="AO390" s="73"/>
      <c r="AP390" s="73"/>
      <c r="AQ390" s="73"/>
      <c r="AR390" s="73"/>
      <c r="AT390" s="73"/>
      <c r="AU390" s="73"/>
    </row>
    <row r="391" spans="1:47" s="294" customFormat="1" ht="13.2" outlineLevel="1">
      <c r="A391" s="553">
        <v>353</v>
      </c>
      <c r="B391" s="356"/>
      <c r="C391" s="354"/>
      <c r="D391" s="355"/>
      <c r="E391" s="297" t="s">
        <v>1032</v>
      </c>
      <c r="F391" s="303">
        <f>IF(ControlPanel!$D$59&gt;F$5,F10,
  IF(ControlPanel!$D$59&lt;F$5,E391+F387+E392,
     IF('D-Kontostand aktuelles Jahr'!$B$6="endogen",'MOD-Jahresgang'!$Q$9+'D-Prognosefehler Kontostand'!$F$6,
                    'D-Kontostand aktuelles Jahr'!$F$6+'D-Prognosefehler Kontostand'!$F$6)))</f>
        <v>0</v>
      </c>
      <c r="G391" s="302">
        <f>IF(ControlPanel!$D$59&gt;G$5,G10,
  IF(ControlPanel!$D$59&lt;G$5,F391+G387+F392,
     IF('D-Kontostand aktuelles Jahr'!$B$6="endogen",'MOD-Jahresgang'!$Q$9+'D-Prognosefehler Kontostand'!$F$6,
                    'D-Kontostand aktuelles Jahr'!$F$6+'D-Prognosefehler Kontostand'!$F$6)))</f>
        <v>-1.11629894236</v>
      </c>
      <c r="H391" s="302">
        <f>IF(ControlPanel!$D$59&gt;H$5,H10,
  IF(ControlPanel!$D$59&lt;H$5,G391+H387+G392,
     IF('D-Kontostand aktuelles Jahr'!$B$6="endogen",'MOD-Jahresgang'!$Q$9+'D-Prognosefehler Kontostand'!$F$6,
                    'D-Kontostand aktuelles Jahr'!$F$6+'D-Prognosefehler Kontostand'!$F$6)))</f>
        <v>-0.71124112144000007</v>
      </c>
      <c r="I391" s="325">
        <f>IF(ControlPanel!$D$59&gt;I$5,I10,
  IF(ControlPanel!$D$59&lt;I$5,H391+I387+H392,
     IF('D-Kontostand aktuelles Jahr'!$B$6="endogen",'MOD-Jahresgang'!$Q$9+'D-Prognosefehler Kontostand'!$F$6,
                    'D-Kontostand aktuelles Jahr'!$F$6+'D-Prognosefehler Kontostand'!$F$6)))</f>
        <v>-2.5889139132900003</v>
      </c>
      <c r="J391" s="325">
        <f>IF(ControlPanel!$D$59&gt;J$5,J10,
  IF(ControlPanel!$D$59&lt;J$5,I391+J387+I392,
     IF('D-Kontostand aktuelles Jahr'!$B$6="endogen",'MOD-Jahresgang'!$Q$9+'D-Prognosefehler Kontostand'!$F$6,
                    'D-Kontostand aktuelles Jahr'!$F$6+'D-Prognosefehler Kontostand'!$F$6)))</f>
        <v>-2.1969250054800002</v>
      </c>
      <c r="K391" s="325">
        <f>IF(ControlPanel!$D$59&gt;K$5,K10,
  IF(ControlPanel!$D$59&lt;K$5,J391+K387+J392,
     IF('D-Kontostand aktuelles Jahr'!$B$6="endogen",'MOD-Jahresgang'!$Q$9+'D-Prognosefehler Kontostand'!$F$6,
                    'D-Kontostand aktuelles Jahr'!$F$6+'D-Prognosefehler Kontostand'!$F$6)))</f>
        <v>1.38074493721</v>
      </c>
      <c r="L391" s="325">
        <f>IF(ControlPanel!$D$59&gt;L$5,L10,
  IF(ControlPanel!$D$59&lt;L$5,K391+L387+K392,
     IF('D-Kontostand aktuelles Jahr'!$B$6="endogen",'MOD-Jahresgang'!$Q$9+'D-Prognosefehler Kontostand'!$F$6,
                    'D-Kontostand aktuelles Jahr'!$F$6+'D-Prognosefehler Kontostand'!$F$6)))</f>
        <v>2.5211899999999998</v>
      </c>
      <c r="M391" s="325">
        <f>IF(ControlPanel!$D$59&gt;M$5,M10,
  IF(ControlPanel!$D$59&lt;M$5,L391+M387+L392,
     IF('D-Kontostand aktuelles Jahr'!$B$6="endogen",'MOD-Jahresgang'!$Q$9+'D-Prognosefehler Kontostand'!$F$6,
                    'D-Kontostand aktuelles Jahr'!$F$6+'D-Prognosefehler Kontostand'!$F$6)))</f>
        <v>1.9478101488699999</v>
      </c>
      <c r="N391" s="325">
        <f>IF(ControlPanel!$D$59&gt;N$5,N10,
  IF(ControlPanel!$D$59&lt;N$5,M391+N387+M392,
     IF('D-Kontostand aktuelles Jahr'!$B$6="endogen",'MOD-Jahresgang'!$Q$9+'D-Prognosefehler Kontostand'!$F$6,
                    'D-Kontostand aktuelles Jahr'!$F$6+'D-Prognosefehler Kontostand'!$F$6)))</f>
        <v>3.3292301430700002</v>
      </c>
      <c r="O391" s="327">
        <f>IF(ControlPanel!$D$59&gt;O$5,O10,
  IF(ControlPanel!$D$59&lt;O$5,N391+O387+N392,
     IF('D-Kontostand aktuelles Jahr'!$B$6="endogen",'MOD-Jahresgang'!$Q$9+'D-Prognosefehler Kontostand'!$F$6,
                    'D-Kontostand aktuelles Jahr'!$F$6+'D-Prognosefehler Kontostand'!$F$6)))</f>
        <v>3.6518353547200002</v>
      </c>
      <c r="P391" s="325">
        <f>IF(ControlPanel!$D$59&gt;P$5,P10,
  IF(ControlPanel!$D$59&lt;P$5,O391+P387+O392,
     IF('D-Kontostand aktuelles Jahr'!$B$6="endogen",'MOD-Jahresgang'!$Q$9+'D-Prognosefehler Kontostand'!$F$6,
                    'D-Kontostand aktuelles Jahr'!$F$6+'D-Prognosefehler Kontostand'!$F$6)))</f>
        <v>2.19040541733</v>
      </c>
      <c r="Q391" s="325">
        <f>IF(ControlPanel!$D$59&gt;Q$5,Q10,
  IF(ControlPanel!$D$59&lt;Q$5,P391+Q387+P392,
     IF('D-Kontostand aktuelles Jahr'!$B$6="endogen",'MOD-Jahresgang'!$Q$9+'D-Prognosefehler Kontostand'!$F$6,
                    'D-Kontostand aktuelles Jahr'!$F$6+'D-Prognosefehler Kontostand'!$F$6)))</f>
        <v>-4.0803942770500008</v>
      </c>
      <c r="R391" s="325">
        <f>IF(ControlPanel!$D$59&gt;R$5,R10,
  IF(ControlPanel!$D$59&lt;R$5,Q391+R387+Q392,
     IF('D-Kontostand aktuelles Jahr'!$B$6="endogen",'MOD-Jahresgang'!$Q$9+'D-Prognosefehler Kontostand'!$F$6,
                    'D-Kontostand aktuelles Jahr'!$F$6+'D-Prognosefehler Kontostand'!$F$6)))</f>
        <v>0</v>
      </c>
      <c r="S391" s="325">
        <f>IF(ControlPanel!$D$59&gt;S$5,S10,
  IF(ControlPanel!$D$59&lt;S$5,R391+S387+R392,
     IF('D-Kontostand aktuelles Jahr'!$B$6="endogen",'MOD-Jahresgang'!$Q$9+'D-Prognosefehler Kontostand'!$F$6,
                    'D-Kontostand aktuelles Jahr'!$F$6+'D-Prognosefehler Kontostand'!$F$6)))</f>
        <v>0.54074480976367045</v>
      </c>
      <c r="T391" s="325">
        <f>IF(ControlPanel!$D$59&gt;T$5,T10,
  IF(ControlPanel!$D$59&lt;T$5,S391+T387+S392,
     IF('D-Kontostand aktuelles Jahr'!$B$6="endogen",'MOD-Jahresgang'!$Q$9+'D-Prognosefehler Kontostand'!$F$6,
                    'D-Kontostand aktuelles Jahr'!$F$6+'D-Prognosefehler Kontostand'!$F$6)))</f>
        <v>0.42803441180090207</v>
      </c>
      <c r="U391" s="325">
        <f>IF(ControlPanel!$D$59&gt;U$5,U10,
  IF(ControlPanel!$D$59&lt;U$5,T391+U387+T392,
     IF('D-Kontostand aktuelles Jahr'!$B$6="endogen",'MOD-Jahresgang'!$Q$9+'D-Prognosefehler Kontostand'!$F$6,
                    'D-Kontostand aktuelles Jahr'!$F$6+'D-Prognosefehler Kontostand'!$F$6)))</f>
        <v>0.3374844847159375</v>
      </c>
      <c r="V391" s="325">
        <f>IF(ControlPanel!$D$59&gt;V$5,V10,
  IF(ControlPanel!$D$59&lt;V$5,U391+V387+U392,
     IF('D-Kontostand aktuelles Jahr'!$B$6="endogen",'MOD-Jahresgang'!$Q$9+'D-Prognosefehler Kontostand'!$F$6,
                    'D-Kontostand aktuelles Jahr'!$F$6+'D-Prognosefehler Kontostand'!$F$6)))</f>
        <v>0.11179886808030037</v>
      </c>
      <c r="W391" s="325">
        <f>IF(ControlPanel!$D$59&gt;W$5,W10,
  IF(ControlPanel!$D$59&lt;W$5,V391+W387+V392,
     IF('D-Kontostand aktuelles Jahr'!$B$6="endogen",'MOD-Jahresgang'!$Q$9+'D-Prognosefehler Kontostand'!$F$6,
                    'D-Kontostand aktuelles Jahr'!$F$6+'D-Prognosefehler Kontostand'!$F$6)))</f>
        <v>-3.9119916757321072E-2</v>
      </c>
      <c r="X391" s="325">
        <f>IF(ControlPanel!$D$59&gt;X$5,X10,
  IF(ControlPanel!$D$59&lt;X$5,W391+X387+W392,
     IF('D-Kontostand aktuelles Jahr'!$B$6="endogen",'MOD-Jahresgang'!$Q$9+'D-Prognosefehler Kontostand'!$F$6,
                    'D-Kontostand aktuelles Jahr'!$F$6+'D-Prognosefehler Kontostand'!$F$6)))</f>
        <v>-0.20393486952318707</v>
      </c>
      <c r="Y391" s="325">
        <f>IF(ControlPanel!$D$59&gt;Y$5,Y10,
  IF(ControlPanel!$D$59&lt;Y$5,X391+Y387+X392,
     IF('D-Kontostand aktuelles Jahr'!$B$6="endogen",'MOD-Jahresgang'!$Q$9+'D-Prognosefehler Kontostand'!$F$6,
                    'D-Kontostand aktuelles Jahr'!$F$6+'D-Prognosefehler Kontostand'!$F$6)))</f>
        <v>-0.35128610526035953</v>
      </c>
      <c r="Z391" s="325">
        <f>IF(ControlPanel!$D$59&gt;Z$5,Z10,
  IF(ControlPanel!$D$59&lt;Z$5,Y391+Z387+Y392,
     IF('D-Kontostand aktuelles Jahr'!$B$6="endogen",'MOD-Jahresgang'!$Q$9+'D-Prognosefehler Kontostand'!$F$6,
                    'D-Kontostand aktuelles Jahr'!$F$6+'D-Prognosefehler Kontostand'!$F$6)))</f>
        <v>-0.52138351476887568</v>
      </c>
      <c r="AA391" s="325">
        <f>IF(ControlPanel!$D$59&gt;AA$5,AA10,
  IF(ControlPanel!$D$59&lt;AA$5,Z391+AA387+Z392,
     IF('D-Kontostand aktuelles Jahr'!$B$6="endogen",'MOD-Jahresgang'!$Q$9+'D-Prognosefehler Kontostand'!$F$6,
                    'D-Kontostand aktuelles Jahr'!$F$6+'D-Prognosefehler Kontostand'!$F$6)))</f>
        <v>-0.67577150261859043</v>
      </c>
      <c r="AB391" s="325">
        <f>IF(ControlPanel!$D$59&gt;AB$5,AB10,
  IF(ControlPanel!$D$59&lt;AB$5,AA391+AB387+AA392,
     IF('D-Kontostand aktuelles Jahr'!$B$6="endogen",'MOD-Jahresgang'!$Q$9+'D-Prognosefehler Kontostand'!$F$6,
                    'D-Kontostand aktuelles Jahr'!$F$6+'D-Prognosefehler Kontostand'!$F$6)))</f>
        <v>-0.86653253698286914</v>
      </c>
      <c r="AC391" s="325">
        <f>IF(ControlPanel!$D$59&gt;AC$5,AC10,
  IF(ControlPanel!$D$59&lt;AC$5,AB391+AC387+AB392,
     IF('D-Kontostand aktuelles Jahr'!$B$6="endogen",'MOD-Jahresgang'!$Q$9+'D-Prognosefehler Kontostand'!$F$6,
                    'D-Kontostand aktuelles Jahr'!$F$6+'D-Prognosefehler Kontostand'!$F$6)))</f>
        <v>-1.024758264270301</v>
      </c>
      <c r="AD391" s="325">
        <f>IF(ControlPanel!$D$59&gt;AD$5,AD10,
  IF(ControlPanel!$D$59&lt;AD$5,AC391+AD387+AC392,
     IF('D-Kontostand aktuelles Jahr'!$B$6="endogen",'MOD-Jahresgang'!$Q$9+'D-Prognosefehler Kontostand'!$F$6,
                    'D-Kontostand aktuelles Jahr'!$F$6+'D-Prognosefehler Kontostand'!$F$6)))</f>
        <v>-1.1393241961963145</v>
      </c>
      <c r="AE391" s="326">
        <f>IF(ControlPanel!$D$59&gt;AE$5,AE10,
  IF(ControlPanel!$D$59&lt;AE$5,AD391+AE387+AD392,
     IF('D-Kontostand aktuelles Jahr'!$B$6="endogen",'MOD-Jahresgang'!$Q$9+'D-Prognosefehler Kontostand'!$F$6,
                    'D-Kontostand aktuelles Jahr'!$F$6+'D-Prognosefehler Kontostand'!$F$6)))</f>
        <v>-1.2070325729068694</v>
      </c>
      <c r="AF391" s="929" t="s">
        <v>158</v>
      </c>
      <c r="AG391" s="929"/>
      <c r="AH391" s="929"/>
      <c r="AI391" s="929"/>
      <c r="AJ391" s="1034" t="s">
        <v>616</v>
      </c>
      <c r="AK391" s="73"/>
      <c r="AL391" s="73"/>
      <c r="AM391" s="73"/>
      <c r="AN391" s="73"/>
      <c r="AO391" s="73"/>
      <c r="AP391" s="73"/>
      <c r="AQ391" s="73"/>
      <c r="AR391" s="73"/>
      <c r="AT391" s="73"/>
      <c r="AU391" s="73"/>
    </row>
    <row r="392" spans="1:47" s="294" customFormat="1" ht="13.2" outlineLevel="1">
      <c r="A392" s="1213" t="s">
        <v>308</v>
      </c>
      <c r="B392" s="356"/>
      <c r="C392" s="354"/>
      <c r="D392" s="355"/>
      <c r="E392" s="297" t="s">
        <v>1033</v>
      </c>
      <c r="F392" s="303">
        <f>'D-Zuschuss'!F$6</f>
        <v>0</v>
      </c>
      <c r="G392" s="302">
        <f>'D-Zuschuss'!G$6</f>
        <v>0</v>
      </c>
      <c r="H392" s="302">
        <f>'D-Zuschuss'!H$6</f>
        <v>0</v>
      </c>
      <c r="I392" s="325">
        <f>'D-Zuschuss'!I$6</f>
        <v>0</v>
      </c>
      <c r="J392" s="325">
        <f>'D-Zuschuss'!J$6</f>
        <v>0</v>
      </c>
      <c r="K392" s="325">
        <f>'D-Zuschuss'!K$6</f>
        <v>0</v>
      </c>
      <c r="L392" s="325">
        <f>'D-Zuschuss'!L$6</f>
        <v>0</v>
      </c>
      <c r="M392" s="325">
        <f>'D-Zuschuss'!M$6</f>
        <v>0</v>
      </c>
      <c r="N392" s="325">
        <f>'D-Zuschuss'!N$6</f>
        <v>0</v>
      </c>
      <c r="O392" s="303">
        <f>'D-Zuschuss'!O$6</f>
        <v>0</v>
      </c>
      <c r="P392" s="302">
        <f>'D-Zuschuss'!P$6</f>
        <v>0</v>
      </c>
      <c r="Q392" s="302">
        <f>'D-Zuschuss'!Q$6</f>
        <v>10.8</v>
      </c>
      <c r="R392" s="302">
        <f>'D-Zuschuss'!R$6</f>
        <v>4.1085000000000003</v>
      </c>
      <c r="S392" s="302">
        <f>'D-Zuschuss'!S$6</f>
        <v>5</v>
      </c>
      <c r="T392" s="302">
        <f>'D-Zuschuss'!T$6</f>
        <v>5</v>
      </c>
      <c r="U392" s="302">
        <f>'D-Zuschuss'!U$6</f>
        <v>5</v>
      </c>
      <c r="V392" s="302">
        <f>'D-Zuschuss'!V$6</f>
        <v>5</v>
      </c>
      <c r="W392" s="302">
        <f>'D-Zuschuss'!W$6</f>
        <v>5</v>
      </c>
      <c r="X392" s="302">
        <f>'D-Zuschuss'!X$6</f>
        <v>5</v>
      </c>
      <c r="Y392" s="302">
        <f>'D-Zuschuss'!Y$6</f>
        <v>5</v>
      </c>
      <c r="Z392" s="302">
        <f>'D-Zuschuss'!Z$6</f>
        <v>5</v>
      </c>
      <c r="AA392" s="302">
        <f>'D-Zuschuss'!AA$6</f>
        <v>5</v>
      </c>
      <c r="AB392" s="302">
        <f>'D-Zuschuss'!AB$6</f>
        <v>5</v>
      </c>
      <c r="AC392" s="302">
        <f>'D-Zuschuss'!AC$6</f>
        <v>5</v>
      </c>
      <c r="AD392" s="302">
        <f>'D-Zuschuss'!AD$6</f>
        <v>5</v>
      </c>
      <c r="AE392" s="55">
        <f>'D-Zuschuss'!AE$6</f>
        <v>5</v>
      </c>
      <c r="AF392" s="929" t="s">
        <v>158</v>
      </c>
      <c r="AG392" s="929"/>
      <c r="AH392" s="929"/>
      <c r="AI392" s="929"/>
      <c r="AJ392" s="1034"/>
      <c r="AK392" s="73"/>
      <c r="AL392" s="73"/>
      <c r="AM392" s="73"/>
      <c r="AN392" s="73"/>
      <c r="AO392" s="73"/>
      <c r="AP392" s="73"/>
      <c r="AQ392" s="73"/>
      <c r="AR392" s="73"/>
      <c r="AT392" s="73"/>
      <c r="AU392" s="73"/>
    </row>
    <row r="393" spans="1:47" s="294" customFormat="1" ht="13.2" outlineLevel="1">
      <c r="A393" s="553">
        <v>354</v>
      </c>
      <c r="B393" s="356"/>
      <c r="C393" s="354"/>
      <c r="D393" s="355"/>
      <c r="E393" s="299" t="s">
        <v>1034</v>
      </c>
      <c r="F393" s="318">
        <f>F381+F390-F391</f>
        <v>8.2341157261471896</v>
      </c>
      <c r="G393" s="318">
        <f>G381+G390-G391</f>
        <v>14.433184429013737</v>
      </c>
      <c r="H393" s="318">
        <f>H381+H390-H391</f>
        <v>14.152717843207107</v>
      </c>
      <c r="I393" s="318">
        <f>I381+I390-I391-I392</f>
        <v>20.394380680998474</v>
      </c>
      <c r="J393" s="318">
        <f t="shared" ref="J393:AE393" si="112">J381+J390-J391-J392</f>
        <v>23.615724916227997</v>
      </c>
      <c r="K393" s="318">
        <f t="shared" si="112"/>
        <v>22.120712918692824</v>
      </c>
      <c r="L393" s="318">
        <f t="shared" si="112"/>
        <v>23.073170794494885</v>
      </c>
      <c r="M393" s="318">
        <f t="shared" si="112"/>
        <v>24.081463380121541</v>
      </c>
      <c r="N393" s="319">
        <f t="shared" si="112"/>
        <v>23.904481422649191</v>
      </c>
      <c r="O393" s="293">
        <f t="shared" si="112"/>
        <v>22.720840733526938</v>
      </c>
      <c r="P393" s="318">
        <f t="shared" si="112"/>
        <v>24.044462332716385</v>
      </c>
      <c r="Q393" s="318">
        <f t="shared" si="112"/>
        <v>22.392541356199846</v>
      </c>
      <c r="R393" s="318">
        <f t="shared" si="112"/>
        <v>21.743116545973187</v>
      </c>
      <c r="S393" s="318">
        <f t="shared" si="112"/>
        <v>19.632907021415757</v>
      </c>
      <c r="T393" s="318">
        <f t="shared" si="112"/>
        <v>19.097666927770476</v>
      </c>
      <c r="U393" s="318">
        <f t="shared" si="112"/>
        <v>17.345990870458547</v>
      </c>
      <c r="V393" s="318">
        <f t="shared" si="112"/>
        <v>15.806350554741584</v>
      </c>
      <c r="W393" s="318">
        <f t="shared" si="112"/>
        <v>13.790531548234977</v>
      </c>
      <c r="X393" s="318">
        <f t="shared" si="112"/>
        <v>12.24728990496418</v>
      </c>
      <c r="Y393" s="318">
        <f t="shared" si="112"/>
        <v>10.547352933382658</v>
      </c>
      <c r="Z393" s="318">
        <f t="shared" si="112"/>
        <v>8.5112059838400285</v>
      </c>
      <c r="AA393" s="318">
        <f t="shared" si="112"/>
        <v>5.5461718488490632</v>
      </c>
      <c r="AB393" s="318">
        <f t="shared" si="112"/>
        <v>2.7089282503242851</v>
      </c>
      <c r="AC393" s="318">
        <f t="shared" si="112"/>
        <v>1.2467546513961976</v>
      </c>
      <c r="AD393" s="318">
        <f t="shared" si="112"/>
        <v>0.63787866400182835</v>
      </c>
      <c r="AE393" s="319">
        <f t="shared" si="112"/>
        <v>1.7503008938015903</v>
      </c>
      <c r="AF393" s="929"/>
      <c r="AG393" s="929"/>
      <c r="AH393" s="929"/>
      <c r="AI393" s="929"/>
      <c r="AJ393" s="1034" t="s">
        <v>617</v>
      </c>
      <c r="AK393" s="73"/>
      <c r="AL393" s="73"/>
      <c r="AM393" s="73"/>
      <c r="AN393" s="73"/>
      <c r="AO393" s="73"/>
      <c r="AP393" s="73"/>
      <c r="AQ393" s="73"/>
      <c r="AR393" s="73"/>
      <c r="AT393" s="73"/>
      <c r="AU393" s="73"/>
    </row>
    <row r="394" spans="1:47" s="294" customFormat="1" ht="13.2" outlineLevel="1">
      <c r="A394" s="553">
        <v>355</v>
      </c>
      <c r="B394" s="357"/>
      <c r="C394" s="354"/>
      <c r="D394" s="355"/>
      <c r="F394" s="324"/>
      <c r="G394" s="324"/>
      <c r="H394" s="324"/>
      <c r="I394" s="324"/>
      <c r="J394" s="324"/>
      <c r="K394" s="324"/>
      <c r="L394" s="324"/>
      <c r="M394" s="324"/>
      <c r="N394" s="342"/>
      <c r="O394" s="289"/>
      <c r="P394" s="324"/>
      <c r="Q394" s="324"/>
      <c r="R394" s="324"/>
      <c r="S394" s="324"/>
      <c r="T394" s="324"/>
      <c r="U394" s="324"/>
      <c r="V394" s="324"/>
      <c r="W394" s="324"/>
      <c r="X394" s="324"/>
      <c r="Y394" s="324"/>
      <c r="Z394" s="324"/>
      <c r="AA394" s="324"/>
      <c r="AB394" s="324"/>
      <c r="AC394" s="324"/>
      <c r="AD394" s="324"/>
      <c r="AE394" s="324"/>
      <c r="AF394" s="929"/>
      <c r="AG394" s="929"/>
      <c r="AH394" s="929"/>
      <c r="AI394" s="929"/>
      <c r="AJ394" s="1034"/>
      <c r="AK394" s="73"/>
      <c r="AL394" s="73"/>
      <c r="AM394" s="73"/>
      <c r="AN394" s="73"/>
      <c r="AO394" s="73"/>
      <c r="AP394" s="73"/>
      <c r="AQ394" s="73"/>
      <c r="AR394" s="73"/>
      <c r="AT394" s="73"/>
      <c r="AU394" s="73"/>
    </row>
    <row r="395" spans="1:47" s="294" customFormat="1" ht="13.2" outlineLevel="1">
      <c r="A395" s="553">
        <v>356</v>
      </c>
      <c r="B395" s="356"/>
      <c r="C395" s="356"/>
      <c r="D395" s="356"/>
      <c r="E395" s="315" t="s">
        <v>566</v>
      </c>
      <c r="L395" s="73"/>
      <c r="N395" s="36"/>
      <c r="O395" s="313"/>
      <c r="AF395" s="929"/>
      <c r="AG395" s="929"/>
      <c r="AH395" s="929"/>
      <c r="AI395" s="929"/>
      <c r="AJ395" s="1034"/>
      <c r="AK395" s="73"/>
      <c r="AL395" s="73"/>
      <c r="AM395" s="73"/>
      <c r="AN395" s="73"/>
      <c r="AO395" s="73"/>
      <c r="AP395" s="73"/>
      <c r="AQ395" s="73"/>
      <c r="AR395" s="73"/>
      <c r="AT395" s="73"/>
      <c r="AU395" s="73"/>
    </row>
    <row r="396" spans="1:47" s="294" customFormat="1" ht="13.2" outlineLevel="1">
      <c r="A396" s="553">
        <v>357</v>
      </c>
      <c r="B396" s="356"/>
      <c r="C396" s="356"/>
      <c r="D396" s="356"/>
      <c r="E396" s="295" t="s">
        <v>567</v>
      </c>
      <c r="F396" s="316">
        <f t="shared" ref="F396:AE396" si="113">F381/F186*100</f>
        <v>2.0469999999999997</v>
      </c>
      <c r="G396" s="316">
        <f t="shared" si="113"/>
        <v>3.2569808831230973</v>
      </c>
      <c r="H396" s="316">
        <f t="shared" si="113"/>
        <v>3.3121213422965754</v>
      </c>
      <c r="I396" s="316">
        <f t="shared" si="113"/>
        <v>4.1882948767683201</v>
      </c>
      <c r="J396" s="316">
        <f t="shared" si="113"/>
        <v>5.1450044762037139</v>
      </c>
      <c r="K396" s="316">
        <f t="shared" si="113"/>
        <v>5.9592027659530515</v>
      </c>
      <c r="L396" s="74">
        <f t="shared" si="113"/>
        <v>6.3929131867893636</v>
      </c>
      <c r="M396" s="316">
        <f t="shared" si="113"/>
        <v>6.9980836091826388</v>
      </c>
      <c r="N396" s="317">
        <f t="shared" si="113"/>
        <v>7.2878425413756611</v>
      </c>
      <c r="O396" s="320">
        <f t="shared" si="113"/>
        <v>7.0146464699364097</v>
      </c>
      <c r="P396" s="316">
        <f t="shared" si="113"/>
        <v>6.8254988735517106</v>
      </c>
      <c r="Q396" s="316">
        <f t="shared" si="113"/>
        <v>7.6827342258007807</v>
      </c>
      <c r="R396" s="316">
        <f t="shared" si="113"/>
        <v>7.1175261413705311</v>
      </c>
      <c r="S396" s="316">
        <f t="shared" si="113"/>
        <v>6.9406170618742689</v>
      </c>
      <c r="T396" s="316">
        <f t="shared" si="113"/>
        <v>6.782001819821101</v>
      </c>
      <c r="U396" s="316">
        <f t="shared" si="113"/>
        <v>6.2787874984556833</v>
      </c>
      <c r="V396" s="316">
        <f t="shared" si="113"/>
        <v>5.7911672643090348</v>
      </c>
      <c r="W396" s="316">
        <f t="shared" si="113"/>
        <v>5.1916915283458289</v>
      </c>
      <c r="X396" s="316">
        <f t="shared" si="113"/>
        <v>4.7186199775317608</v>
      </c>
      <c r="Y396" s="316">
        <f t="shared" si="113"/>
        <v>4.2053447941743798</v>
      </c>
      <c r="Z396" s="316">
        <f t="shared" si="113"/>
        <v>3.5915285202539482</v>
      </c>
      <c r="AA396" s="316">
        <f t="shared" si="113"/>
        <v>2.7265282158982087</v>
      </c>
      <c r="AB396" s="316">
        <f t="shared" si="113"/>
        <v>1.8883180910247044</v>
      </c>
      <c r="AC396" s="316">
        <f t="shared" si="113"/>
        <v>1.4407769124568168</v>
      </c>
      <c r="AD396" s="316">
        <f t="shared" si="113"/>
        <v>1.2411501682326822</v>
      </c>
      <c r="AE396" s="317">
        <f t="shared" si="113"/>
        <v>1.529829765264298</v>
      </c>
      <c r="AF396" s="929"/>
      <c r="AG396" s="929"/>
      <c r="AH396" s="929"/>
      <c r="AI396" s="929"/>
      <c r="AJ396" s="1034" t="s">
        <v>607</v>
      </c>
      <c r="AK396" s="73"/>
      <c r="AL396" s="73"/>
      <c r="AM396" s="73"/>
      <c r="AN396" s="73"/>
      <c r="AO396" s="73"/>
      <c r="AP396" s="73"/>
      <c r="AQ396" s="73"/>
      <c r="AR396" s="73"/>
      <c r="AT396" s="73"/>
      <c r="AU396" s="73"/>
    </row>
    <row r="397" spans="1:47" s="294" customFormat="1" ht="13.2" outlineLevel="1">
      <c r="A397" s="553">
        <v>358</v>
      </c>
      <c r="B397" s="356"/>
      <c r="C397" s="356"/>
      <c r="D397" s="356"/>
      <c r="E397" s="297" t="s">
        <v>568</v>
      </c>
      <c r="F397" s="325">
        <f t="shared" ref="F397:M397" si="114">F390/F$186*100</f>
        <v>0</v>
      </c>
      <c r="G397" s="325">
        <f t="shared" si="114"/>
        <v>0</v>
      </c>
      <c r="H397" s="325">
        <f t="shared" si="114"/>
        <v>9.9363640268897269E-2</v>
      </c>
      <c r="I397" s="325">
        <f t="shared" si="114"/>
        <v>0.41882948767683209</v>
      </c>
      <c r="J397" s="325">
        <f t="shared" si="114"/>
        <v>0.51450044762037139</v>
      </c>
      <c r="K397" s="325">
        <f t="shared" si="114"/>
        <v>0.59592027659530522</v>
      </c>
      <c r="L397" s="325">
        <f t="shared" si="114"/>
        <v>0.6392913186789364</v>
      </c>
      <c r="M397" s="325">
        <f t="shared" si="114"/>
        <v>0.41988501655095822</v>
      </c>
      <c r="N397" s="326">
        <f>N390/N$186*100</f>
        <v>0.4372705524825396</v>
      </c>
      <c r="O397" s="327">
        <f>O390/O$186*100</f>
        <v>0.42087878819618457</v>
      </c>
      <c r="P397" s="325">
        <f>P390/P$186*100</f>
        <v>0.54603990988413686</v>
      </c>
      <c r="Q397" s="325">
        <f t="shared" ref="Q397:AE397" si="115">Q390/Q$186*100</f>
        <v>0.76827342258007802</v>
      </c>
      <c r="R397" s="325">
        <f t="shared" si="115"/>
        <v>0.42705156848223186</v>
      </c>
      <c r="S397" s="325">
        <f t="shared" si="115"/>
        <v>0.41643702371245611</v>
      </c>
      <c r="T397" s="325">
        <f t="shared" si="115"/>
        <v>0.40692010918926608</v>
      </c>
      <c r="U397" s="325">
        <f t="shared" si="115"/>
        <v>0.37672724990734097</v>
      </c>
      <c r="V397" s="325">
        <f t="shared" si="115"/>
        <v>0.34747003585854214</v>
      </c>
      <c r="W397" s="325">
        <f t="shared" si="115"/>
        <v>0.31150149170074976</v>
      </c>
      <c r="X397" s="325">
        <f t="shared" si="115"/>
        <v>0.2831171986519056</v>
      </c>
      <c r="Y397" s="325">
        <f t="shared" si="115"/>
        <v>0.25232068765046278</v>
      </c>
      <c r="Z397" s="325">
        <f t="shared" si="115"/>
        <v>0.21549171121523691</v>
      </c>
      <c r="AA397" s="325">
        <f t="shared" si="115"/>
        <v>0.1635916929538925</v>
      </c>
      <c r="AB397" s="325">
        <f t="shared" si="115"/>
        <v>0.11329908546148226</v>
      </c>
      <c r="AC397" s="325">
        <f t="shared" si="115"/>
        <v>8.6446614747409001E-2</v>
      </c>
      <c r="AD397" s="325">
        <f t="shared" si="115"/>
        <v>7.4469010093960925E-2</v>
      </c>
      <c r="AE397" s="326">
        <f t="shared" si="115"/>
        <v>9.1789785915857874E-2</v>
      </c>
      <c r="AF397" s="929"/>
      <c r="AG397" s="929"/>
      <c r="AH397" s="929"/>
      <c r="AI397" s="929"/>
      <c r="AJ397" s="1034" t="s">
        <v>608</v>
      </c>
      <c r="AK397" s="73"/>
      <c r="AL397" s="73"/>
      <c r="AM397" s="73"/>
      <c r="AN397" s="73"/>
      <c r="AO397" s="73"/>
      <c r="AP397" s="73"/>
      <c r="AQ397" s="73"/>
      <c r="AR397" s="73"/>
      <c r="AT397" s="73"/>
      <c r="AU397" s="73"/>
    </row>
    <row r="398" spans="1:47" s="294" customFormat="1" ht="13.2" outlineLevel="1">
      <c r="A398" s="553">
        <v>359</v>
      </c>
      <c r="E398" s="297" t="s">
        <v>569</v>
      </c>
      <c r="F398" s="325">
        <f>-F391/F$186*100</f>
        <v>0</v>
      </c>
      <c r="G398" s="325">
        <f>-G391/G$186*100</f>
        <v>0.27301911687690317</v>
      </c>
      <c r="H398" s="325">
        <f>-H391/H$186*100</f>
        <v>0.18051501743452761</v>
      </c>
      <c r="I398" s="325">
        <f>-I391/I$186*100</f>
        <v>0.66987563555484619</v>
      </c>
      <c r="J398" s="325">
        <f>-J391/J$186*100</f>
        <v>0.580495076175914</v>
      </c>
      <c r="K398" s="325">
        <f t="shared" ref="K398:AE398" si="116">-K391/K$186*100</f>
        <v>-0.38512304254835578</v>
      </c>
      <c r="L398" s="325">
        <f t="shared" si="116"/>
        <v>-0.69271211027684976</v>
      </c>
      <c r="M398" s="325">
        <f t="shared" si="116"/>
        <v>-0.55509788074223432</v>
      </c>
      <c r="N398" s="326">
        <f t="shared" si="116"/>
        <v>-0.94436923548353968</v>
      </c>
      <c r="O398" s="327">
        <f t="shared" si="116"/>
        <v>-1.0296002547372551</v>
      </c>
      <c r="P398" s="325">
        <f t="shared" si="116"/>
        <v>-0.61546559483866781</v>
      </c>
      <c r="Q398" s="325">
        <f t="shared" si="116"/>
        <v>1.1845036077210573</v>
      </c>
      <c r="R398" s="325">
        <f t="shared" si="116"/>
        <v>0</v>
      </c>
      <c r="S398" s="325">
        <f t="shared" si="116"/>
        <v>-0.15803383786392977</v>
      </c>
      <c r="T398" s="325">
        <f t="shared" si="116"/>
        <v>-0.12546454540738267</v>
      </c>
      <c r="U398" s="325">
        <f t="shared" si="116"/>
        <v>-9.9020671665210114E-2</v>
      </c>
      <c r="V398" s="325">
        <f t="shared" si="116"/>
        <v>-3.2808480704583497E-2</v>
      </c>
      <c r="W398" s="325">
        <f t="shared" si="116"/>
        <v>1.1480973116834488E-2</v>
      </c>
      <c r="X398" s="325">
        <f t="shared" si="116"/>
        <v>5.9849050629596133E-2</v>
      </c>
      <c r="Y398" s="325">
        <f t="shared" si="116"/>
        <v>0.10304745059200858</v>
      </c>
      <c r="Z398" s="325">
        <f t="shared" si="116"/>
        <v>0.15280559790603168</v>
      </c>
      <c r="AA398" s="325">
        <f t="shared" si="116"/>
        <v>0.19787046168788544</v>
      </c>
      <c r="AB398" s="325">
        <f t="shared" si="116"/>
        <v>0.25348817617010533</v>
      </c>
      <c r="AC398" s="325">
        <f t="shared" si="116"/>
        <v>0.29970050051144126</v>
      </c>
      <c r="AD398" s="325">
        <f t="shared" si="116"/>
        <v>0.33319964748112973</v>
      </c>
      <c r="AE398" s="326">
        <f t="shared" si="116"/>
        <v>0.35310353131546357</v>
      </c>
      <c r="AF398" s="929"/>
      <c r="AG398" s="929"/>
      <c r="AH398" s="929"/>
      <c r="AI398" s="929"/>
      <c r="AJ398" s="1034" t="s">
        <v>609</v>
      </c>
      <c r="AK398" s="73"/>
      <c r="AL398" s="73"/>
      <c r="AM398" s="73"/>
      <c r="AN398" s="73"/>
      <c r="AO398" s="73"/>
      <c r="AP398" s="73"/>
      <c r="AQ398" s="73"/>
      <c r="AR398" s="73"/>
      <c r="AT398" s="73"/>
      <c r="AU398" s="73"/>
    </row>
    <row r="399" spans="1:47" s="82" customFormat="1" ht="13.2" outlineLevel="1">
      <c r="A399" s="553">
        <v>360</v>
      </c>
      <c r="B399" s="294"/>
      <c r="C399" s="294"/>
      <c r="D399" s="294"/>
      <c r="E399" s="299" t="s">
        <v>570</v>
      </c>
      <c r="F399" s="1042">
        <f>F393/F$186*100</f>
        <v>2.0469999999999997</v>
      </c>
      <c r="G399" s="1042">
        <f>G393/G$186*100</f>
        <v>3.5300000000000007</v>
      </c>
      <c r="H399" s="1042">
        <f>H393/H$186*100</f>
        <v>3.5920000000000005</v>
      </c>
      <c r="I399" s="1042">
        <f t="shared" ref="I399:N399" si="117">I393/I$186*100</f>
        <v>5.2769999999999992</v>
      </c>
      <c r="J399" s="1042">
        <f t="shared" si="117"/>
        <v>6.2399999999999993</v>
      </c>
      <c r="K399" s="1042">
        <f t="shared" si="117"/>
        <v>6.17</v>
      </c>
      <c r="L399" s="1042">
        <f t="shared" si="117"/>
        <v>6.3394923951914501</v>
      </c>
      <c r="M399" s="1042">
        <f>M393/M$186*100</f>
        <v>6.862870744991362</v>
      </c>
      <c r="N399" s="1124">
        <f t="shared" si="117"/>
        <v>6.7807438583746604</v>
      </c>
      <c r="O399" s="1137">
        <f>O393/O$186*100</f>
        <v>6.405925003395339</v>
      </c>
      <c r="P399" s="1042">
        <f>P393/P$186*100</f>
        <v>6.7560731885971812</v>
      </c>
      <c r="Q399" s="1042">
        <f t="shared" ref="Q399:AE399" si="118">Q393/Q$186*100</f>
        <v>6.5003634995875359</v>
      </c>
      <c r="R399" s="1042">
        <f t="shared" si="118"/>
        <v>6.3455464049513157</v>
      </c>
      <c r="S399" s="1042">
        <f t="shared" si="118"/>
        <v>5.7377594551042073</v>
      </c>
      <c r="T399" s="1042">
        <f t="shared" si="118"/>
        <v>5.5978679128930713</v>
      </c>
      <c r="U399" s="1042">
        <f t="shared" si="118"/>
        <v>5.0894537215159117</v>
      </c>
      <c r="V399" s="1042">
        <f t="shared" si="118"/>
        <v>4.6385294957784931</v>
      </c>
      <c r="W399" s="1042">
        <f t="shared" si="118"/>
        <v>4.0472663312227866</v>
      </c>
      <c r="X399" s="1042">
        <f t="shared" si="118"/>
        <v>3.5942292522672457</v>
      </c>
      <c r="Y399" s="1042">
        <f t="shared" si="118"/>
        <v>3.0939960732966507</v>
      </c>
      <c r="Z399" s="1042">
        <f t="shared" si="118"/>
        <v>2.4944400473394257</v>
      </c>
      <c r="AA399" s="1042">
        <f t="shared" si="118"/>
        <v>1.6239565889944165</v>
      </c>
      <c r="AB399" s="1042">
        <f t="shared" si="118"/>
        <v>0.7924471987414281</v>
      </c>
      <c r="AC399" s="1042">
        <f t="shared" si="118"/>
        <v>0.36462549858475624</v>
      </c>
      <c r="AD399" s="1042">
        <f t="shared" si="118"/>
        <v>0.18655001507974711</v>
      </c>
      <c r="AE399" s="1124">
        <f t="shared" si="118"/>
        <v>0.51203044585412305</v>
      </c>
      <c r="AF399" s="929"/>
      <c r="AG399" s="933"/>
      <c r="AH399" s="933"/>
      <c r="AI399" s="933"/>
      <c r="AJ399" s="1034" t="s">
        <v>610</v>
      </c>
      <c r="AK399" s="353"/>
      <c r="AL399" s="353"/>
      <c r="AM399" s="353"/>
      <c r="AN399" s="353"/>
      <c r="AO399" s="353"/>
      <c r="AP399" s="353"/>
      <c r="AQ399" s="353"/>
      <c r="AR399" s="353"/>
      <c r="AT399" s="353"/>
      <c r="AU399" s="353"/>
    </row>
    <row r="400" spans="1:47" s="294" customFormat="1" ht="13.2" outlineLevel="1">
      <c r="A400" s="553">
        <v>361</v>
      </c>
      <c r="B400" s="357"/>
      <c r="C400" s="354"/>
      <c r="D400" s="355"/>
      <c r="F400" s="348"/>
      <c r="G400" s="348"/>
      <c r="H400" s="348"/>
      <c r="I400" s="348"/>
      <c r="J400" s="348"/>
      <c r="K400" s="348"/>
      <c r="L400" s="324"/>
      <c r="M400" s="348"/>
      <c r="N400" s="350"/>
      <c r="O400" s="289"/>
      <c r="P400" s="324"/>
      <c r="Q400" s="324"/>
      <c r="R400" s="324"/>
      <c r="S400" s="324"/>
      <c r="T400" s="324"/>
      <c r="U400" s="324"/>
      <c r="V400" s="324"/>
      <c r="W400" s="324"/>
      <c r="X400" s="324"/>
      <c r="Y400" s="324"/>
      <c r="Z400" s="324"/>
      <c r="AA400" s="324"/>
      <c r="AB400" s="324"/>
      <c r="AC400" s="324"/>
      <c r="AD400" s="324"/>
      <c r="AE400" s="324"/>
      <c r="AF400" s="929"/>
      <c r="AG400" s="929"/>
      <c r="AH400" s="929"/>
      <c r="AI400" s="929"/>
      <c r="AJ400" s="1034"/>
    </row>
    <row r="401" spans="1:36" s="294" customFormat="1" ht="13.2" outlineLevel="1">
      <c r="A401" s="553">
        <v>362</v>
      </c>
      <c r="B401" s="356"/>
      <c r="C401" s="356"/>
      <c r="D401" s="356"/>
      <c r="E401" s="166" t="s">
        <v>571</v>
      </c>
      <c r="F401" s="1129">
        <v>2.0470000000000002</v>
      </c>
      <c r="G401" s="1129">
        <v>3.53</v>
      </c>
      <c r="H401" s="1129">
        <v>3.5920000000000001</v>
      </c>
      <c r="I401" s="1129">
        <v>5.2770000000000001</v>
      </c>
      <c r="J401" s="1129">
        <v>6.24</v>
      </c>
      <c r="K401" s="1129">
        <v>6.17</v>
      </c>
      <c r="L401" s="1129">
        <v>6.3540000000000001</v>
      </c>
      <c r="M401" s="1129">
        <v>6.88</v>
      </c>
      <c r="N401" s="358">
        <v>6.7919999999999998</v>
      </c>
      <c r="O401" s="84">
        <v>6.4050000000000002</v>
      </c>
      <c r="P401" s="1129">
        <v>6.7560000000000002</v>
      </c>
      <c r="Q401" s="1126"/>
      <c r="R401" s="1126"/>
      <c r="S401" s="1126"/>
      <c r="T401" s="1126"/>
      <c r="U401" s="1126"/>
      <c r="V401" s="1126"/>
      <c r="W401" s="1126"/>
      <c r="X401" s="1126"/>
      <c r="Y401" s="1126"/>
      <c r="Z401" s="1126"/>
      <c r="AA401" s="1126"/>
      <c r="AB401" s="1126"/>
      <c r="AC401" s="1126"/>
      <c r="AD401" s="1126"/>
      <c r="AE401" s="317"/>
      <c r="AF401" s="929"/>
      <c r="AG401" s="929"/>
      <c r="AH401" s="929"/>
      <c r="AI401" s="929"/>
      <c r="AJ401" s="1034"/>
    </row>
    <row r="402" spans="1:36" s="294" customFormat="1" ht="13.2" outlineLevel="1">
      <c r="A402" s="553">
        <v>363</v>
      </c>
      <c r="B402" s="356"/>
      <c r="C402" s="356"/>
      <c r="D402" s="356"/>
      <c r="E402" s="1130" t="s">
        <v>572</v>
      </c>
      <c r="F402" s="329">
        <f t="shared" ref="F402:L402" si="119">(-F401+F399)/F401*100</f>
        <v>-2.1694636533955185E-14</v>
      </c>
      <c r="G402" s="329">
        <f t="shared" si="119"/>
        <v>2.5160861747878903E-14</v>
      </c>
      <c r="H402" s="329">
        <f t="shared" si="119"/>
        <v>1.2363285352173235E-14</v>
      </c>
      <c r="I402" s="329">
        <f t="shared" si="119"/>
        <v>-1.6831124117872375E-14</v>
      </c>
      <c r="J402" s="329">
        <f t="shared" si="119"/>
        <v>-1.423362852083534E-14</v>
      </c>
      <c r="K402" s="329">
        <f t="shared" si="119"/>
        <v>0</v>
      </c>
      <c r="L402" s="329">
        <f t="shared" si="119"/>
        <v>-0.22832239232845383</v>
      </c>
      <c r="M402" s="329">
        <f>(-M401+M399)/M401*100</f>
        <v>-0.24897172977671414</v>
      </c>
      <c r="N402" s="359">
        <f>(-N401+N399)/N401*100</f>
        <v>-0.16572646680417241</v>
      </c>
      <c r="O402" s="1135">
        <f>(-O401+O399)/O401*100</f>
        <v>1.4441895321447955E-2</v>
      </c>
      <c r="P402" s="1135">
        <f>(-P401+P399)/P401*100</f>
        <v>1.0833125692861626E-3</v>
      </c>
      <c r="Q402" s="325"/>
      <c r="R402" s="325"/>
      <c r="S402" s="325"/>
      <c r="T402" s="325"/>
      <c r="U402" s="325"/>
      <c r="V402" s="325"/>
      <c r="W402" s="325"/>
      <c r="X402" s="325"/>
      <c r="Y402" s="325"/>
      <c r="Z402" s="325"/>
      <c r="AA402" s="325"/>
      <c r="AB402" s="325"/>
      <c r="AC402" s="325"/>
      <c r="AD402" s="325"/>
      <c r="AE402" s="326"/>
      <c r="AF402" s="929"/>
      <c r="AG402" s="929"/>
      <c r="AH402" s="929"/>
      <c r="AI402" s="929"/>
      <c r="AJ402" s="1034"/>
    </row>
    <row r="403" spans="1:36" s="294" customFormat="1" ht="13.2" outlineLevel="1">
      <c r="A403" s="553">
        <v>364</v>
      </c>
      <c r="B403" s="356"/>
      <c r="C403" s="356"/>
      <c r="D403" s="356"/>
      <c r="E403" s="167" t="s">
        <v>573</v>
      </c>
      <c r="F403" s="75">
        <f t="shared" ref="F403:P403" si="120">F186*(F401-F399)/(1+F9)/100</f>
        <v>1.7863614785728775E-15</v>
      </c>
      <c r="G403" s="75">
        <f t="shared" si="120"/>
        <v>-3.6315135800005308E-15</v>
      </c>
      <c r="H403" s="75">
        <f t="shared" si="120"/>
        <v>-1.6987775650909044E-15</v>
      </c>
      <c r="I403" s="75">
        <f t="shared" si="120"/>
        <v>3.1205486595365809E-15</v>
      </c>
      <c r="J403" s="75">
        <f t="shared" si="120"/>
        <v>3.0557950518893146E-15</v>
      </c>
      <c r="K403" s="75">
        <f t="shared" si="120"/>
        <v>0</v>
      </c>
      <c r="L403" s="75">
        <f t="shared" si="120"/>
        <v>4.8001612561083727E-2</v>
      </c>
      <c r="M403" s="75">
        <f t="shared" si="120"/>
        <v>5.670347366927049E-2</v>
      </c>
      <c r="N403" s="360">
        <f t="shared" si="120"/>
        <v>3.7435675227176654E-2</v>
      </c>
      <c r="O403" s="1136">
        <f t="shared" si="120"/>
        <v>-3.0951379419927668E-3</v>
      </c>
      <c r="P403" s="1136">
        <f t="shared" si="120"/>
        <v>-2.4117950085325777E-4</v>
      </c>
      <c r="Q403" s="302"/>
      <c r="R403" s="302"/>
      <c r="S403" s="302"/>
      <c r="T403" s="302"/>
      <c r="U403" s="302"/>
      <c r="V403" s="302"/>
      <c r="W403" s="302"/>
      <c r="X403" s="302"/>
      <c r="Y403" s="302"/>
      <c r="Z403" s="302"/>
      <c r="AA403" s="302"/>
      <c r="AB403" s="302"/>
      <c r="AC403" s="302"/>
      <c r="AD403" s="302"/>
      <c r="AE403" s="55"/>
      <c r="AF403" s="929"/>
      <c r="AG403" s="929"/>
      <c r="AH403" s="929"/>
      <c r="AI403" s="929"/>
      <c r="AJ403" s="1040" t="s">
        <v>606</v>
      </c>
    </row>
    <row r="405" spans="1:36" ht="12.75" customHeight="1">
      <c r="L405" s="1044"/>
    </row>
  </sheetData>
  <conditionalFormatting sqref="O385:AE386 O396:AE399 O378:AE378 O390:AE390 O393:AE393 F374:M374 F396:M399 F390:M390 F393:M393 F391:H391 F384:I384 F385:M387 F381:AE381 F378:M378 F375:AE377">
    <cfRule type="cellIs" dxfId="181" priority="101" operator="lessThan">
      <formula>0</formula>
    </cfRule>
  </conditionalFormatting>
  <conditionalFormatting sqref="J384:M384 O384:AE384">
    <cfRule type="cellIs" dxfId="180" priority="73" operator="lessThan">
      <formula>0</formula>
    </cfRule>
  </conditionalFormatting>
  <conditionalFormatting sqref="O387:AE387">
    <cfRule type="cellIs" dxfId="179" priority="70" operator="lessThan">
      <formula>0</formula>
    </cfRule>
  </conditionalFormatting>
  <conditionalFormatting sqref="AT381:AU391 AT374:AU378 AT393:AU399">
    <cfRule type="cellIs" dxfId="178" priority="45" operator="lessThan">
      <formula>0</formula>
    </cfRule>
    <cfRule type="cellIs" dxfId="177" priority="46" operator="greaterThan">
      <formula>0</formula>
    </cfRule>
  </conditionalFormatting>
  <conditionalFormatting sqref="O374:AE374">
    <cfRule type="cellIs" dxfId="176" priority="44" operator="lessThan">
      <formula>0</formula>
    </cfRule>
  </conditionalFormatting>
  <conditionalFormatting sqref="N378:AE378 N396:AE399 N385:AE386 N393:AE393 N390:AE390 F374:AE374">
    <cfRule type="cellIs" dxfId="175" priority="38" operator="lessThan">
      <formula>0</formula>
    </cfRule>
  </conditionalFormatting>
  <conditionalFormatting sqref="N384:AE384">
    <cfRule type="cellIs" dxfId="174" priority="37" operator="lessThan">
      <formula>0</formula>
    </cfRule>
  </conditionalFormatting>
  <conditionalFormatting sqref="N387:AE387">
    <cfRule type="cellIs" dxfId="173" priority="36" operator="lessThan">
      <formula>0</formula>
    </cfRule>
  </conditionalFormatting>
  <conditionalFormatting sqref="F401:M403">
    <cfRule type="cellIs" dxfId="172" priority="11" operator="lessThan">
      <formula>0</formula>
    </cfRule>
  </conditionalFormatting>
  <conditionalFormatting sqref="N401:N403">
    <cfRule type="cellIs" dxfId="171" priority="10" operator="lessThan">
      <formula>0</formula>
    </cfRule>
  </conditionalFormatting>
  <conditionalFormatting sqref="O401:AE403">
    <cfRule type="cellIs" dxfId="170" priority="9" operator="lessThan">
      <formula>0</formula>
    </cfRule>
  </conditionalFormatting>
  <conditionalFormatting sqref="F392:H392">
    <cfRule type="cellIs" dxfId="169" priority="8" operator="lessThan">
      <formula>0</formula>
    </cfRule>
  </conditionalFormatting>
  <conditionalFormatting sqref="AT392:AU392">
    <cfRule type="cellIs" dxfId="168" priority="6" operator="lessThan">
      <formula>0</formula>
    </cfRule>
    <cfRule type="cellIs" dxfId="167" priority="7" operator="greaterThan">
      <formula>0</formula>
    </cfRule>
  </conditionalFormatting>
  <conditionalFormatting sqref="F391:AE391">
    <cfRule type="cellIs" dxfId="166" priority="1" operator="lessThan">
      <formula>0</formula>
    </cfRule>
  </conditionalFormatting>
  <conditionalFormatting sqref="O392:AE392 I392:M392">
    <cfRule type="cellIs" dxfId="165" priority="4" operator="lessThan">
      <formula>0</formula>
    </cfRule>
  </conditionalFormatting>
  <conditionalFormatting sqref="N392:AE392">
    <cfRule type="cellIs" dxfId="164" priority="3" operator="lessThan">
      <formula>0</formula>
    </cfRule>
  </conditionalFormatting>
  <conditionalFormatting sqref="O391:AE391 I391:M391">
    <cfRule type="cellIs" dxfId="163" priority="2" operator="lessThan">
      <formula>0</formula>
    </cfRule>
  </conditionalFormatting>
  <pageMargins left="0.78740157480314965" right="0.78740157480314965" top="0.98425196850393704" bottom="0.98425196850393704" header="0.59055118110236227" footer="0.59055118110236227"/>
  <pageSetup paperSize="9" scale="49" fitToHeight="0" orientation="portrait" horizontalDpi="4294967293" verticalDpi="1200" r:id="rId1"/>
  <headerFooter scaleWithDoc="0">
    <oddHeader>&amp;C&amp;"Arial,Fett"&amp;18EEG Calculator</oddHeader>
    <oddFooter>&amp;L&amp;F  &amp;A  S. &amp;P/&amp;N&amp;R&amp;D  &amp;T</oddFooter>
  </headerFooter>
  <rowBreaks count="2" manualBreakCount="2">
    <brk id="178" max="16383" man="1"/>
    <brk id="322" max="16383" man="1"/>
  </rowBreaks>
  <legacyDrawing r:id="rId2"/>
  <extLst>
    <ext xmlns:x14="http://schemas.microsoft.com/office/spreadsheetml/2009/9/main" uri="{78C0D931-6437-407d-A8EE-F0AAD7539E65}">
      <x14:conditionalFormattings>
        <x14:conditionalFormatting xmlns:xm="http://schemas.microsoft.com/office/excel/2006/main">
          <x14:cfRule type="cellIs" priority="20" operator="greaterThan" id="{A77EB1FA-0A05-460A-8E96-9A6E69AA8CB3}">
            <xm:f>ControlPanel!$D$59-1</xm:f>
            <x14:dxf>
              <font>
                <color rgb="FF9C6500"/>
              </font>
              <fill>
                <patternFill>
                  <fgColor indexed="64"/>
                  <bgColor rgb="FFFFEB9C"/>
                </patternFill>
              </fill>
            </x14:dxf>
          </x14:cfRule>
          <x14:cfRule type="cellIs" priority="21" operator="lessThan" id="{C3B94459-6175-4F53-8EF3-C690D2E437DA}">
            <xm:f>ControlPanel!$D$59</xm:f>
            <x14:dxf>
              <font>
                <color rgb="FF006100"/>
              </font>
              <fill>
                <patternFill>
                  <fgColor indexed="64"/>
                  <bgColor rgb="FFC6EFCE"/>
                </patternFill>
              </fill>
            </x14:dxf>
          </x14:cfRule>
          <x14:cfRule type="cellIs" priority="22" operator="lessThan" id="{296FA047-9DC5-41A0-99B3-BE3ACCFD1551}">
            <xm:f>ControlPanel!$D$59+1</xm:f>
            <x14:dxf>
              <font>
                <color rgb="FF006100"/>
              </font>
              <fill>
                <patternFill>
                  <fgColor indexed="64"/>
                  <bgColor rgb="FFC6EFCE"/>
                </patternFill>
              </fill>
            </x14:dxf>
          </x14:cfRule>
          <xm:sqref>F5:J5</xm:sqref>
        </x14:conditionalFormatting>
        <x14:conditionalFormatting xmlns:xm="http://schemas.microsoft.com/office/excel/2006/main">
          <x14:cfRule type="cellIs" priority="17" operator="greaterThan" id="{2740C5AF-DCAA-4995-97CB-087C580AEA95}">
            <xm:f>ControlPanel!$D$59-1</xm:f>
            <x14:dxf>
              <font>
                <color rgb="FF9C6500"/>
              </font>
              <fill>
                <patternFill>
                  <fgColor indexed="64"/>
                  <bgColor rgb="FFFFEB9C"/>
                </patternFill>
              </fill>
            </x14:dxf>
          </x14:cfRule>
          <x14:cfRule type="cellIs" priority="18" operator="lessThan" id="{1966C67C-FD31-445F-B49D-1785429C4487}">
            <xm:f>ControlPanel!$D$59</xm:f>
            <x14:dxf>
              <font>
                <color rgb="FF006100"/>
              </font>
              <fill>
                <patternFill>
                  <fgColor indexed="64"/>
                  <bgColor rgb="FFC6EFCE"/>
                </patternFill>
              </fill>
            </x14:dxf>
          </x14:cfRule>
          <x14:cfRule type="cellIs" priority="19" operator="lessThan" id="{4DF6242A-A746-4DC1-B5F0-98790C88F393}">
            <xm:f>ControlPanel!$D$59+1</xm:f>
            <x14:dxf>
              <font>
                <color rgb="FF006100"/>
              </font>
              <fill>
                <patternFill>
                  <fgColor indexed="64"/>
                  <bgColor rgb="FFC6EFCE"/>
                </patternFill>
              </fill>
            </x14:dxf>
          </x14:cfRule>
          <xm:sqref>K5:AE5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46">
    <tabColor rgb="FF00B0F0"/>
    <pageSetUpPr fitToPage="1"/>
  </sheetPr>
  <dimension ref="A1:U1266"/>
  <sheetViews>
    <sheetView zoomScaleNormal="100" workbookViewId="0">
      <pane xSplit="2" ySplit="5" topLeftCell="I6" activePane="bottomRight" state="frozen"/>
      <selection activeCell="I45" sqref="I45"/>
      <selection pane="topRight" activeCell="I45" sqref="I45"/>
      <selection pane="bottomLeft" activeCell="I45" sqref="I45"/>
      <selection pane="bottomRight" activeCell="B18" sqref="B18:B24"/>
    </sheetView>
  </sheetViews>
  <sheetFormatPr defaultColWidth="11.5546875" defaultRowHeight="13.2" outlineLevelRow="2" outlineLevelCol="1"/>
  <cols>
    <col min="1" max="1" width="5.88671875" style="9" customWidth="1"/>
    <col min="2" max="2" width="44.5546875" style="294" customWidth="1"/>
    <col min="3" max="3" width="15.6640625" style="294" customWidth="1"/>
    <col min="4" max="4" width="20.6640625" style="10" customWidth="1"/>
    <col min="5" max="5" width="22.109375" style="10" customWidth="1"/>
    <col min="6" max="10" width="15.5546875" style="9" customWidth="1" outlineLevel="1"/>
    <col min="11" max="17" width="15.5546875" style="9" customWidth="1"/>
    <col min="18" max="18" width="8.88671875" style="222" hidden="1" customWidth="1" outlineLevel="1"/>
    <col min="19" max="19" width="9.44140625" style="222" hidden="1" customWidth="1" outlineLevel="1"/>
    <col min="20" max="20" width="42.88671875" style="222" customWidth="1" collapsed="1"/>
    <col min="21" max="21" width="10.6640625" style="222" customWidth="1"/>
    <col min="22" max="16384" width="11.5546875" style="9"/>
  </cols>
  <sheetData>
    <row r="1" spans="1:21">
      <c r="A1" s="41" t="s">
        <v>74</v>
      </c>
      <c r="B1" s="20" t="s">
        <v>623</v>
      </c>
      <c r="C1" s="20"/>
      <c r="D1" s="19"/>
      <c r="E1" s="19"/>
      <c r="F1" s="205"/>
      <c r="I1" s="205"/>
      <c r="R1" s="9"/>
      <c r="S1" s="205"/>
      <c r="T1" s="9"/>
      <c r="U1" s="9"/>
    </row>
    <row r="2" spans="1:21" s="136" customFormat="1" ht="13.8" thickBot="1">
      <c r="F2" s="221"/>
      <c r="I2" s="440" t="s">
        <v>637</v>
      </c>
      <c r="R2" s="9" t="s">
        <v>156</v>
      </c>
      <c r="S2" s="9" t="s">
        <v>145</v>
      </c>
    </row>
    <row r="3" spans="1:21">
      <c r="A3" s="41"/>
      <c r="B3" s="1000" t="s">
        <v>624</v>
      </c>
      <c r="C3" s="136"/>
      <c r="D3" s="136"/>
      <c r="E3" s="136"/>
      <c r="F3" s="205"/>
      <c r="I3" s="1009">
        <f>ControlPanel!$D$59-1</f>
        <v>2021</v>
      </c>
      <c r="J3" s="549"/>
      <c r="R3" s="587"/>
      <c r="S3" s="587" t="s">
        <v>158</v>
      </c>
      <c r="T3" s="136"/>
    </row>
    <row r="4" spans="1:21">
      <c r="B4" s="1001" t="s">
        <v>625</v>
      </c>
      <c r="C4" s="10"/>
      <c r="E4" s="1011">
        <v>9</v>
      </c>
      <c r="F4" s="211">
        <v>10</v>
      </c>
      <c r="G4" s="212">
        <v>11</v>
      </c>
      <c r="H4" s="212">
        <v>12</v>
      </c>
      <c r="I4" s="211">
        <v>1</v>
      </c>
      <c r="J4" s="212">
        <v>2</v>
      </c>
      <c r="K4" s="212">
        <v>3</v>
      </c>
      <c r="L4" s="212">
        <v>4</v>
      </c>
      <c r="M4" s="212">
        <v>5</v>
      </c>
      <c r="N4" s="212">
        <v>6</v>
      </c>
      <c r="O4" s="212">
        <v>7</v>
      </c>
      <c r="P4" s="212">
        <v>8</v>
      </c>
      <c r="Q4" s="1010">
        <v>9</v>
      </c>
      <c r="R4" s="136"/>
      <c r="S4" s="136"/>
      <c r="T4" s="136"/>
      <c r="U4" s="136"/>
    </row>
    <row r="5" spans="1:21" ht="15" customHeight="1">
      <c r="A5" s="927" t="s">
        <v>157</v>
      </c>
      <c r="E5" s="228" t="str">
        <f>CONCATENATE("Sept ",$I$3-1)</f>
        <v>Sept 2020</v>
      </c>
      <c r="F5" s="228" t="str">
        <f>CONCATENATE("Okt ",$I$3-1)</f>
        <v>Okt 2020</v>
      </c>
      <c r="G5" s="228" t="str">
        <f>CONCATENATE("Nov ",$I$3-1)</f>
        <v>Nov 2020</v>
      </c>
      <c r="H5" s="228" t="str">
        <f>CONCATENATE("Dez ",$I$3-1)</f>
        <v>Dez 2020</v>
      </c>
      <c r="I5" s="228" t="str">
        <f>CONCATENATE("Jan ",$I$3)</f>
        <v>Jan 2021</v>
      </c>
      <c r="J5" s="228" t="str">
        <f>CONCATENATE("Feb ",$I$3)</f>
        <v>Feb 2021</v>
      </c>
      <c r="K5" s="228" t="str">
        <f>CONCATENATE("Mar ",$I$3)</f>
        <v>Mar 2021</v>
      </c>
      <c r="L5" s="228" t="str">
        <f>CONCATENATE("Apr ",$I$3)</f>
        <v>Apr 2021</v>
      </c>
      <c r="M5" s="228" t="str">
        <f>CONCATENATE("Mai ",$I$3)</f>
        <v>Mai 2021</v>
      </c>
      <c r="N5" s="228" t="str">
        <f>CONCATENATE("Jun ",$I$3)</f>
        <v>Jun 2021</v>
      </c>
      <c r="O5" s="228" t="str">
        <f>CONCATENATE("Jul ",$I$3)</f>
        <v>Jul 2021</v>
      </c>
      <c r="P5" s="228" t="str">
        <f>CONCATENATE("Aug ",$I$3)</f>
        <v>Aug 2021</v>
      </c>
      <c r="Q5" s="228" t="str">
        <f>CONCATENATE("Sep ",$I$3)</f>
        <v>Sep 2021</v>
      </c>
      <c r="R5" s="136"/>
      <c r="S5" s="136"/>
      <c r="T5" s="136"/>
      <c r="U5" s="136"/>
    </row>
    <row r="6" spans="1:21" s="136" customFormat="1" ht="15" customHeight="1" thickBot="1">
      <c r="A6" s="553">
        <v>6</v>
      </c>
      <c r="B6" s="548" t="s">
        <v>626</v>
      </c>
      <c r="C6" s="1006"/>
      <c r="D6" s="1006"/>
      <c r="E6" s="1006"/>
      <c r="F6" s="1165"/>
      <c r="G6" s="1002"/>
      <c r="H6" s="1002"/>
      <c r="I6" s="1002"/>
      <c r="J6" s="1002"/>
      <c r="K6" s="1002"/>
      <c r="L6" s="1002"/>
      <c r="M6" s="1002"/>
      <c r="N6" s="1002"/>
      <c r="O6" s="1002"/>
      <c r="P6" s="1002"/>
      <c r="Q6" s="1003"/>
      <c r="R6" s="548"/>
      <c r="S6" s="548" t="s">
        <v>146</v>
      </c>
      <c r="T6" s="574"/>
    </row>
    <row r="7" spans="1:21" s="136" customFormat="1" ht="15" customHeight="1" thickBot="1">
      <c r="A7" s="553">
        <v>7</v>
      </c>
      <c r="B7" s="209" t="s">
        <v>627</v>
      </c>
      <c r="C7" s="1007"/>
      <c r="D7" s="1007"/>
      <c r="E7" s="1008"/>
      <c r="F7" s="1004">
        <f t="shared" ref="F7:Q7" si="0">F6*0.000000001</f>
        <v>0</v>
      </c>
      <c r="G7" s="1004">
        <f t="shared" si="0"/>
        <v>0</v>
      </c>
      <c r="H7" s="1004">
        <f t="shared" si="0"/>
        <v>0</v>
      </c>
      <c r="I7" s="1004">
        <f t="shared" si="0"/>
        <v>0</v>
      </c>
      <c r="J7" s="1004">
        <f t="shared" si="0"/>
        <v>0</v>
      </c>
      <c r="K7" s="1004">
        <f>K6*0.000000001</f>
        <v>0</v>
      </c>
      <c r="L7" s="1004">
        <f t="shared" si="0"/>
        <v>0</v>
      </c>
      <c r="M7" s="1004">
        <f t="shared" si="0"/>
        <v>0</v>
      </c>
      <c r="N7" s="1004">
        <f>N6*0.000000001</f>
        <v>0</v>
      </c>
      <c r="O7" s="1004">
        <f t="shared" si="0"/>
        <v>0</v>
      </c>
      <c r="P7" s="1004">
        <f t="shared" si="0"/>
        <v>0</v>
      </c>
      <c r="Q7" s="1004">
        <f t="shared" si="0"/>
        <v>0</v>
      </c>
      <c r="R7" s="548"/>
      <c r="S7" s="548" t="s">
        <v>161</v>
      </c>
      <c r="T7" s="574"/>
      <c r="U7" s="1209"/>
    </row>
    <row r="8" spans="1:21" s="136" customFormat="1" ht="15" customHeight="1">
      <c r="A8" s="553">
        <v>8</v>
      </c>
      <c r="B8" s="514" t="s">
        <v>628</v>
      </c>
      <c r="C8" s="1006"/>
      <c r="D8" s="1006"/>
      <c r="E8" s="1006"/>
      <c r="F8" s="515">
        <f ca="1">E9+OFFSET(F10,0,-$C$12)</f>
        <v>6.8109165205800002</v>
      </c>
      <c r="G8" s="515">
        <f ca="1">F9+OFFSET(G10,0,-$C$12)</f>
        <v>6.2791967876614754</v>
      </c>
      <c r="H8" s="515">
        <f ca="1">G9+OFFSET(H10,0,-$C$12)</f>
        <v>6.4884034794298975</v>
      </c>
      <c r="I8" s="515">
        <f ca="1">H9+OFFSET(I10,0,-$C$12)</f>
        <v>6.4776746152379738</v>
      </c>
      <c r="J8" s="515">
        <f t="shared" ref="J8:Q8" ca="1" si="1">I9+OFFSET(J10,0,-$C$12)</f>
        <v>6.3156467845427215</v>
      </c>
      <c r="K8" s="515">
        <f t="shared" ca="1" si="1"/>
        <v>6.3475834864032361</v>
      </c>
      <c r="L8" s="515">
        <f t="shared" ca="1" si="1"/>
        <v>5.6013591530750455</v>
      </c>
      <c r="M8" s="515">
        <f t="shared" ca="1" si="1"/>
        <v>4.8296225458217181</v>
      </c>
      <c r="N8" s="515">
        <f t="shared" ca="1" si="1"/>
        <v>3.9929663663252959</v>
      </c>
      <c r="O8" s="515">
        <f t="shared" ca="1" si="1"/>
        <v>2.9732865414827838</v>
      </c>
      <c r="P8" s="515">
        <f t="shared" ca="1" si="1"/>
        <v>2.1122711457047885</v>
      </c>
      <c r="Q8" s="974">
        <f t="shared" ca="1" si="1"/>
        <v>1.2368541955468775</v>
      </c>
      <c r="R8" s="222"/>
      <c r="S8" s="222"/>
    </row>
    <row r="9" spans="1:21" s="136" customFormat="1" ht="15" customHeight="1">
      <c r="A9" s="553">
        <v>9</v>
      </c>
      <c r="B9" s="208" t="s">
        <v>629</v>
      </c>
      <c r="C9" s="206"/>
      <c r="D9" s="207"/>
      <c r="E9" s="229">
        <f ca="1">OFFSET('MOD-Berechnungen'!$I10,0,'MOD-Jahresgang'!$I$3-2013)+OFFSET('MOD-Berechnungen'!$I392,0,'MOD-Jahresgang'!$I$3-2013)</f>
        <v>6.7196057229499999</v>
      </c>
      <c r="F9" s="213">
        <f ca="1">IF(ISNUMBER(F6),F7,E9+OFFSET(F10,0,-$C$12))</f>
        <v>6.8109165205800002</v>
      </c>
      <c r="G9" s="213">
        <f t="shared" ref="G9:Q9" ca="1" si="2">IF(ISNUMBER(G6),G7,F9+OFFSET(G10,0,-$C$12))</f>
        <v>6.2791967876614754</v>
      </c>
      <c r="H9" s="213">
        <f t="shared" ca="1" si="2"/>
        <v>6.4884034794298975</v>
      </c>
      <c r="I9" s="213">
        <f t="shared" ca="1" si="2"/>
        <v>6.4776746152379738</v>
      </c>
      <c r="J9" s="213">
        <f t="shared" ca="1" si="2"/>
        <v>6.3156467845427215</v>
      </c>
      <c r="K9" s="213">
        <f ca="1">IF(ISNUMBER(K6),K7,J9+OFFSET(K10,0,-$C$12))</f>
        <v>6.3475834864032361</v>
      </c>
      <c r="L9" s="213">
        <f t="shared" ca="1" si="2"/>
        <v>5.6013591530750455</v>
      </c>
      <c r="M9" s="213">
        <f t="shared" ca="1" si="2"/>
        <v>4.8296225458217181</v>
      </c>
      <c r="N9" s="213">
        <f ca="1">IF(ISNUMBER(N6),N7,M9+OFFSET(N10,0,-$C$12))</f>
        <v>3.9929663663252959</v>
      </c>
      <c r="O9" s="213">
        <f t="shared" ca="1" si="2"/>
        <v>2.9732865414827838</v>
      </c>
      <c r="P9" s="213">
        <f t="shared" ca="1" si="2"/>
        <v>2.1122711457047885</v>
      </c>
      <c r="Q9" s="213">
        <f t="shared" ca="1" si="2"/>
        <v>1.2368541955468775</v>
      </c>
      <c r="R9" s="222"/>
      <c r="S9" s="221"/>
    </row>
    <row r="10" spans="1:21" s="136" customFormat="1" ht="15" customHeight="1">
      <c r="A10" s="553">
        <v>10</v>
      </c>
      <c r="B10" s="208" t="s">
        <v>630</v>
      </c>
      <c r="C10" s="206"/>
      <c r="D10" s="207"/>
      <c r="E10" s="420">
        <f>91310797.6300004/10^9</f>
        <v>9.1310797630000398E-2</v>
      </c>
      <c r="F10" s="226">
        <f ca="1">F106</f>
        <v>-0.53171973291852492</v>
      </c>
      <c r="G10" s="227">
        <f ca="1">G106</f>
        <v>0.20920669176842197</v>
      </c>
      <c r="H10" s="227">
        <f t="shared" ref="H10:Q10" ca="1" si="3">H106</f>
        <v>-1.0728864191924002E-2</v>
      </c>
      <c r="I10" s="226">
        <f t="shared" ca="1" si="3"/>
        <v>-0.1620278306952522</v>
      </c>
      <c r="J10" s="227">
        <f t="shared" ca="1" si="3"/>
        <v>3.1936701860514206E-2</v>
      </c>
      <c r="K10" s="227">
        <f t="shared" ca="1" si="3"/>
        <v>-0.7462243333281906</v>
      </c>
      <c r="L10" s="227">
        <f t="shared" ca="1" si="3"/>
        <v>-0.77173660725332738</v>
      </c>
      <c r="M10" s="227">
        <f t="shared" ca="1" si="3"/>
        <v>-0.83665617949642224</v>
      </c>
      <c r="N10" s="227">
        <f t="shared" ca="1" si="3"/>
        <v>-1.0196798248425121</v>
      </c>
      <c r="O10" s="227">
        <f t="shared" ca="1" si="3"/>
        <v>-0.86101539577799513</v>
      </c>
      <c r="P10" s="227">
        <f ca="1">P106</f>
        <v>-0.87541695015791099</v>
      </c>
      <c r="Q10" s="975">
        <f t="shared" ca="1" si="3"/>
        <v>-0.68517660441913586</v>
      </c>
      <c r="R10" s="586"/>
      <c r="S10" s="441"/>
    </row>
    <row r="11" spans="1:21" s="136" customFormat="1" ht="15" customHeight="1">
      <c r="A11" s="553">
        <v>11</v>
      </c>
      <c r="B11" s="208" t="s">
        <v>631</v>
      </c>
      <c r="F11" s="226"/>
      <c r="G11" s="227">
        <f>G7-F7</f>
        <v>0</v>
      </c>
      <c r="H11" s="227">
        <f t="shared" ref="H11:Q11" si="4">H7-G7</f>
        <v>0</v>
      </c>
      <c r="I11" s="226">
        <f t="shared" si="4"/>
        <v>0</v>
      </c>
      <c r="J11" s="227">
        <f t="shared" si="4"/>
        <v>0</v>
      </c>
      <c r="K11" s="227">
        <f t="shared" si="4"/>
        <v>0</v>
      </c>
      <c r="L11" s="227">
        <f t="shared" si="4"/>
        <v>0</v>
      </c>
      <c r="M11" s="227">
        <f t="shared" si="4"/>
        <v>0</v>
      </c>
      <c r="N11" s="227">
        <f t="shared" si="4"/>
        <v>0</v>
      </c>
      <c r="O11" s="227">
        <f t="shared" si="4"/>
        <v>0</v>
      </c>
      <c r="P11" s="227">
        <f t="shared" si="4"/>
        <v>0</v>
      </c>
      <c r="Q11" s="975">
        <f t="shared" si="4"/>
        <v>0</v>
      </c>
      <c r="R11" s="222"/>
      <c r="S11" s="221"/>
    </row>
    <row r="12" spans="1:21" s="136" customFormat="1" ht="30" customHeight="1">
      <c r="A12" s="553">
        <v>12</v>
      </c>
      <c r="B12" s="442" t="s">
        <v>632</v>
      </c>
      <c r="C12" s="443">
        <v>1</v>
      </c>
      <c r="D12" s="10"/>
      <c r="F12" s="221"/>
      <c r="I12" s="221"/>
      <c r="P12" s="444"/>
      <c r="Q12" s="444"/>
      <c r="R12" s="222"/>
      <c r="S12" s="221"/>
    </row>
    <row r="13" spans="1:21" s="136" customFormat="1" ht="15" customHeight="1">
      <c r="A13" s="553">
        <v>13</v>
      </c>
      <c r="B13" s="445" t="s">
        <v>633</v>
      </c>
      <c r="F13" s="221"/>
      <c r="I13" s="221"/>
      <c r="R13" s="222"/>
      <c r="S13" s="221"/>
    </row>
    <row r="14" spans="1:21" s="136" customFormat="1" ht="15" customHeight="1">
      <c r="A14" s="553">
        <v>14</v>
      </c>
      <c r="B14" s="445"/>
      <c r="F14" s="221"/>
      <c r="I14" s="221"/>
      <c r="R14" s="222"/>
      <c r="S14" s="221"/>
    </row>
    <row r="15" spans="1:21" ht="15.75" customHeight="1" outlineLevel="1">
      <c r="A15" s="553">
        <v>15</v>
      </c>
      <c r="B15" s="208" t="s">
        <v>634</v>
      </c>
      <c r="C15" s="206" t="s">
        <v>49</v>
      </c>
      <c r="D15" s="207"/>
      <c r="E15" s="213"/>
      <c r="F15" s="213">
        <v>0.99441288064982081</v>
      </c>
      <c r="G15" s="210">
        <v>1.0615770076261226</v>
      </c>
      <c r="H15" s="210">
        <v>1.016616689841304</v>
      </c>
      <c r="I15" s="213">
        <v>1.0654120167840537</v>
      </c>
      <c r="J15" s="210">
        <v>1.0808045297769597</v>
      </c>
      <c r="K15" s="210">
        <v>1.0285210198134074</v>
      </c>
      <c r="L15" s="210">
        <v>0.97918443519059672</v>
      </c>
      <c r="M15" s="210">
        <v>0.98647178203863473</v>
      </c>
      <c r="N15" s="210">
        <v>0.94383927292442515</v>
      </c>
      <c r="O15" s="210">
        <v>0.93996955672495841</v>
      </c>
      <c r="P15" s="210">
        <v>0.92452828083915595</v>
      </c>
      <c r="Q15" s="973">
        <v>0.97866252779055829</v>
      </c>
      <c r="S15" s="221"/>
      <c r="T15" s="136"/>
    </row>
    <row r="16" spans="1:21" ht="15" customHeight="1" outlineLevel="1">
      <c r="A16" s="553">
        <v>16</v>
      </c>
      <c r="D16" s="26"/>
      <c r="E16" s="214"/>
      <c r="F16" s="313"/>
      <c r="G16" s="294"/>
      <c r="H16" s="294"/>
      <c r="I16" s="313"/>
      <c r="J16" s="294"/>
      <c r="K16" s="294"/>
      <c r="L16" s="294"/>
      <c r="M16" s="294"/>
      <c r="N16" s="294"/>
      <c r="O16" s="294"/>
      <c r="P16" s="294"/>
      <c r="Q16" s="294"/>
      <c r="S16" s="221"/>
      <c r="T16" s="136"/>
    </row>
    <row r="17" spans="1:20" ht="15" customHeight="1" outlineLevel="1">
      <c r="A17" s="553">
        <v>17</v>
      </c>
      <c r="B17" s="315" t="s">
        <v>635</v>
      </c>
      <c r="D17" s="26"/>
      <c r="E17" s="215"/>
      <c r="F17" s="205"/>
      <c r="I17" s="205"/>
      <c r="S17" s="221"/>
      <c r="T17" s="136"/>
    </row>
    <row r="18" spans="1:20" ht="15" customHeight="1" outlineLevel="2">
      <c r="A18" s="553">
        <v>18</v>
      </c>
      <c r="B18" s="295" t="s">
        <v>529</v>
      </c>
      <c r="C18" s="979"/>
      <c r="D18" s="980"/>
      <c r="E18" s="980"/>
      <c r="F18" s="76">
        <v>274</v>
      </c>
      <c r="G18" s="23">
        <v>282</v>
      </c>
      <c r="H18" s="23">
        <v>359</v>
      </c>
      <c r="I18" s="76">
        <v>411</v>
      </c>
      <c r="J18" s="23">
        <v>409</v>
      </c>
      <c r="K18" s="23">
        <v>477</v>
      </c>
      <c r="L18" s="23">
        <v>446</v>
      </c>
      <c r="M18" s="23">
        <v>399</v>
      </c>
      <c r="N18" s="23">
        <v>295</v>
      </c>
      <c r="O18" s="23">
        <v>238</v>
      </c>
      <c r="P18" s="23">
        <v>254</v>
      </c>
      <c r="Q18" s="77">
        <v>263</v>
      </c>
      <c r="S18" s="221"/>
      <c r="T18" s="136"/>
    </row>
    <row r="19" spans="1:20" ht="15" customHeight="1" outlineLevel="2">
      <c r="A19" s="553">
        <v>19</v>
      </c>
      <c r="B19" s="297" t="s">
        <v>349</v>
      </c>
      <c r="C19" s="217"/>
      <c r="D19" s="203"/>
      <c r="E19" s="203"/>
      <c r="F19" s="78">
        <v>260</v>
      </c>
      <c r="G19" s="321">
        <v>251</v>
      </c>
      <c r="H19" s="321">
        <v>260</v>
      </c>
      <c r="I19" s="78">
        <v>259</v>
      </c>
      <c r="J19" s="321">
        <v>236</v>
      </c>
      <c r="K19" s="321">
        <v>259</v>
      </c>
      <c r="L19" s="321">
        <v>251</v>
      </c>
      <c r="M19" s="321">
        <v>259</v>
      </c>
      <c r="N19" s="321">
        <v>251</v>
      </c>
      <c r="O19" s="321">
        <v>259</v>
      </c>
      <c r="P19" s="321">
        <v>259</v>
      </c>
      <c r="Q19" s="387">
        <v>251</v>
      </c>
      <c r="S19" s="221"/>
      <c r="T19" s="136"/>
    </row>
    <row r="20" spans="1:20" ht="15" customHeight="1" outlineLevel="2">
      <c r="A20" s="553">
        <v>20</v>
      </c>
      <c r="B20" s="297" t="s">
        <v>11</v>
      </c>
      <c r="C20" s="217"/>
      <c r="D20" s="203"/>
      <c r="E20" s="203"/>
      <c r="F20" s="78">
        <v>502</v>
      </c>
      <c r="G20" s="321">
        <v>486</v>
      </c>
      <c r="H20" s="321">
        <v>502</v>
      </c>
      <c r="I20" s="78">
        <v>502</v>
      </c>
      <c r="J20" s="321">
        <v>454</v>
      </c>
      <c r="K20" s="321">
        <v>502</v>
      </c>
      <c r="L20" s="321">
        <v>486</v>
      </c>
      <c r="M20" s="321">
        <v>502</v>
      </c>
      <c r="N20" s="321">
        <v>486</v>
      </c>
      <c r="O20" s="321">
        <v>502</v>
      </c>
      <c r="P20" s="321">
        <v>502</v>
      </c>
      <c r="Q20" s="387">
        <v>486</v>
      </c>
      <c r="S20" s="221"/>
      <c r="T20" s="136"/>
    </row>
    <row r="21" spans="1:20" ht="15" customHeight="1" outlineLevel="2">
      <c r="A21" s="553">
        <v>21</v>
      </c>
      <c r="B21" s="297" t="s">
        <v>10</v>
      </c>
      <c r="C21" s="217"/>
      <c r="D21" s="203"/>
      <c r="E21" s="203"/>
      <c r="F21" s="78">
        <v>350</v>
      </c>
      <c r="G21" s="321">
        <v>298</v>
      </c>
      <c r="H21" s="321">
        <v>318</v>
      </c>
      <c r="I21" s="78">
        <v>318</v>
      </c>
      <c r="J21" s="321">
        <v>277</v>
      </c>
      <c r="K21" s="321">
        <v>349</v>
      </c>
      <c r="L21" s="321">
        <v>362</v>
      </c>
      <c r="M21" s="321">
        <v>413</v>
      </c>
      <c r="N21" s="321">
        <v>394</v>
      </c>
      <c r="O21" s="321">
        <v>413</v>
      </c>
      <c r="P21" s="321">
        <v>414</v>
      </c>
      <c r="Q21" s="387">
        <v>395</v>
      </c>
      <c r="S21" s="221"/>
      <c r="T21" s="136"/>
    </row>
    <row r="22" spans="1:20" ht="15" customHeight="1" outlineLevel="2">
      <c r="A22" s="553">
        <v>22</v>
      </c>
      <c r="B22" s="297" t="s">
        <v>339</v>
      </c>
      <c r="C22" s="217"/>
      <c r="D22" s="203"/>
      <c r="E22" s="203"/>
      <c r="F22" s="78">
        <v>167</v>
      </c>
      <c r="G22" s="321">
        <v>164</v>
      </c>
      <c r="H22" s="321">
        <v>197</v>
      </c>
      <c r="I22" s="78">
        <v>229</v>
      </c>
      <c r="J22" s="321">
        <v>186</v>
      </c>
      <c r="K22" s="321">
        <v>181</v>
      </c>
      <c r="L22" s="321">
        <v>118</v>
      </c>
      <c r="M22" s="321">
        <v>103</v>
      </c>
      <c r="N22" s="321">
        <v>96</v>
      </c>
      <c r="O22" s="321">
        <v>102</v>
      </c>
      <c r="P22" s="321">
        <v>100</v>
      </c>
      <c r="Q22" s="387">
        <v>120</v>
      </c>
      <c r="S22" s="221"/>
      <c r="T22" s="136"/>
    </row>
    <row r="23" spans="1:20" ht="15" customHeight="1" outlineLevel="2">
      <c r="A23" s="553">
        <v>23</v>
      </c>
      <c r="B23" s="297" t="s">
        <v>340</v>
      </c>
      <c r="C23" s="217"/>
      <c r="D23" s="203"/>
      <c r="E23" s="203"/>
      <c r="F23" s="78">
        <v>490</v>
      </c>
      <c r="G23" s="321">
        <v>397</v>
      </c>
      <c r="H23" s="321">
        <v>523</v>
      </c>
      <c r="I23" s="78">
        <v>425</v>
      </c>
      <c r="J23" s="321">
        <v>324</v>
      </c>
      <c r="K23" s="321">
        <v>442</v>
      </c>
      <c r="L23" s="321">
        <v>286</v>
      </c>
      <c r="M23" s="321">
        <v>273</v>
      </c>
      <c r="N23" s="321">
        <v>321</v>
      </c>
      <c r="O23" s="321">
        <v>146</v>
      </c>
      <c r="P23" s="321">
        <v>280</v>
      </c>
      <c r="Q23" s="387">
        <v>280</v>
      </c>
      <c r="S23" s="221"/>
      <c r="T23" s="136"/>
    </row>
    <row r="24" spans="1:20" ht="15" customHeight="1" outlineLevel="2">
      <c r="A24" s="553">
        <v>24</v>
      </c>
      <c r="B24" s="298" t="s">
        <v>530</v>
      </c>
      <c r="C24" s="981"/>
      <c r="D24" s="982"/>
      <c r="E24" s="982"/>
      <c r="F24" s="79">
        <v>71</v>
      </c>
      <c r="G24" s="25">
        <v>30</v>
      </c>
      <c r="H24" s="25">
        <v>18</v>
      </c>
      <c r="I24" s="79">
        <v>23</v>
      </c>
      <c r="J24" s="25">
        <v>36</v>
      </c>
      <c r="K24" s="25">
        <v>79</v>
      </c>
      <c r="L24" s="25">
        <v>108</v>
      </c>
      <c r="M24" s="25">
        <v>118</v>
      </c>
      <c r="N24" s="25">
        <v>126</v>
      </c>
      <c r="O24" s="25">
        <v>126</v>
      </c>
      <c r="P24" s="25">
        <v>111</v>
      </c>
      <c r="Q24" s="80">
        <v>99</v>
      </c>
      <c r="S24" s="221"/>
      <c r="T24" s="136"/>
    </row>
    <row r="25" spans="1:20" ht="15" customHeight="1" outlineLevel="1">
      <c r="A25" s="553">
        <v>25</v>
      </c>
      <c r="D25" s="26"/>
      <c r="E25" s="215"/>
      <c r="F25" s="313"/>
      <c r="G25" s="294"/>
      <c r="H25" s="294"/>
      <c r="I25" s="313"/>
      <c r="J25" s="294"/>
      <c r="K25" s="294"/>
      <c r="L25" s="294"/>
      <c r="M25" s="294"/>
      <c r="N25" s="294"/>
      <c r="O25" s="294"/>
      <c r="P25" s="294"/>
      <c r="Q25" s="294"/>
      <c r="S25" s="221"/>
      <c r="T25" s="136"/>
    </row>
    <row r="26" spans="1:20" ht="15" customHeight="1" outlineLevel="1">
      <c r="A26" s="553">
        <v>26</v>
      </c>
      <c r="B26" s="315" t="s">
        <v>636</v>
      </c>
      <c r="C26" s="82" t="str">
        <f>CONCATENATE("Fin ",$I$3-2)</f>
        <v>Fin 2019</v>
      </c>
      <c r="D26" s="82" t="str">
        <f>CONCATENATE("Fin ",$I$3-1)</f>
        <v>Fin 2020</v>
      </c>
      <c r="E26" s="82" t="str">
        <f>CONCATENATE("Fin ",$I$3)</f>
        <v>Fin 2021</v>
      </c>
      <c r="F26" s="216" t="s">
        <v>638</v>
      </c>
      <c r="I26" s="205"/>
      <c r="S26" s="221"/>
      <c r="T26" s="136"/>
    </row>
    <row r="27" spans="1:20" ht="15" customHeight="1" outlineLevel="2">
      <c r="A27" s="553">
        <v>27</v>
      </c>
      <c r="B27" s="295" t="s">
        <v>529</v>
      </c>
      <c r="C27" s="230">
        <f ca="1">OFFSET('MOD-Berechnungen'!$I209,0,'MOD-Jahresgang'!$I$3-2013-2)</f>
        <v>1.8454332599999996</v>
      </c>
      <c r="D27" s="231">
        <f ca="1">OFFSET('MOD-Berechnungen'!$I209,0,'MOD-Jahresgang'!$I$3-2013-1)</f>
        <v>1.8584332599999995</v>
      </c>
      <c r="E27" s="231">
        <f ca="1">OFFSET('MOD-Berechnungen'!$I209,0,'MOD-Jahresgang'!$I$3-2013)</f>
        <v>1.8584332599999995</v>
      </c>
      <c r="F27" s="76">
        <f ca="1">$C27+($D27-$C27)*F$4/12</f>
        <v>1.8562665933333329</v>
      </c>
      <c r="G27" s="23">
        <f t="shared" ref="G27:H33" ca="1" si="5">$C27+($D27-$C27)*G$4/12</f>
        <v>1.8573499266666662</v>
      </c>
      <c r="H27" s="23">
        <f t="shared" ca="1" si="5"/>
        <v>1.8584332599999995</v>
      </c>
      <c r="I27" s="76">
        <f ca="1">$D27+($E27-$D27)*I$4/12</f>
        <v>1.8584332599999995</v>
      </c>
      <c r="J27" s="23">
        <f t="shared" ref="J27:Q33" ca="1" si="6">$D27+($E27-$D27)*J$4/12</f>
        <v>1.8584332599999995</v>
      </c>
      <c r="K27" s="23">
        <f t="shared" ca="1" si="6"/>
        <v>1.8584332599999995</v>
      </c>
      <c r="L27" s="23">
        <f t="shared" ca="1" si="6"/>
        <v>1.8584332599999995</v>
      </c>
      <c r="M27" s="23">
        <f t="shared" ca="1" si="6"/>
        <v>1.8584332599999995</v>
      </c>
      <c r="N27" s="23">
        <f t="shared" ca="1" si="6"/>
        <v>1.8584332599999995</v>
      </c>
      <c r="O27" s="23">
        <f t="shared" ca="1" si="6"/>
        <v>1.8584332599999995</v>
      </c>
      <c r="P27" s="23">
        <f t="shared" ca="1" si="6"/>
        <v>1.8584332599999995</v>
      </c>
      <c r="Q27" s="77">
        <f t="shared" ca="1" si="6"/>
        <v>1.8584332599999995</v>
      </c>
      <c r="S27" s="221"/>
      <c r="T27" s="136"/>
    </row>
    <row r="28" spans="1:20" ht="15" customHeight="1" outlineLevel="2">
      <c r="A28" s="553">
        <v>28</v>
      </c>
      <c r="B28" s="297" t="s">
        <v>349</v>
      </c>
      <c r="C28" s="232">
        <f ca="1">OFFSET('MOD-Berechnungen'!$I210,0,'MOD-Jahresgang'!$I$3-2013-2)</f>
        <v>0.62766499999999992</v>
      </c>
      <c r="D28" s="233">
        <f ca="1">OFFSET('MOD-Berechnungen'!$I210,0,'MOD-Jahresgang'!$I$3-2013-1)</f>
        <v>0.62966499999999992</v>
      </c>
      <c r="E28" s="233">
        <f ca="1">OFFSET('MOD-Berechnungen'!$I210,0,'MOD-Jahresgang'!$I$3-2013)</f>
        <v>0.45201479999999999</v>
      </c>
      <c r="F28" s="78">
        <f t="shared" ref="F28:F33" ca="1" si="7">$C28+($D28-$C28)*F$4/12</f>
        <v>0.62933166666666662</v>
      </c>
      <c r="G28" s="321">
        <f t="shared" ca="1" si="5"/>
        <v>0.62949833333333327</v>
      </c>
      <c r="H28" s="321">
        <f t="shared" ca="1" si="5"/>
        <v>0.62966499999999992</v>
      </c>
      <c r="I28" s="78">
        <f t="shared" ref="I28:I33" ca="1" si="8">$D28+($E28-$D28)*I$4/12</f>
        <v>0.61486081666666659</v>
      </c>
      <c r="J28" s="321">
        <f t="shared" ca="1" si="6"/>
        <v>0.60005663333333326</v>
      </c>
      <c r="K28" s="321">
        <f t="shared" ca="1" si="6"/>
        <v>0.58525244999999992</v>
      </c>
      <c r="L28" s="321">
        <f t="shared" ca="1" si="6"/>
        <v>0.57044826666666659</v>
      </c>
      <c r="M28" s="321">
        <f t="shared" ca="1" si="6"/>
        <v>0.55564408333333326</v>
      </c>
      <c r="N28" s="321">
        <f t="shared" ca="1" si="6"/>
        <v>0.54083989999999993</v>
      </c>
      <c r="O28" s="321">
        <f t="shared" ca="1" si="6"/>
        <v>0.5260357166666666</v>
      </c>
      <c r="P28" s="321">
        <f t="shared" ca="1" si="6"/>
        <v>0.51123153333333327</v>
      </c>
      <c r="Q28" s="387">
        <f t="shared" ca="1" si="6"/>
        <v>0.49642734999999993</v>
      </c>
      <c r="S28" s="221"/>
      <c r="T28" s="136"/>
    </row>
    <row r="29" spans="1:20" ht="15" customHeight="1" outlineLevel="2">
      <c r="A29" s="553">
        <v>29</v>
      </c>
      <c r="B29" s="297" t="s">
        <v>11</v>
      </c>
      <c r="C29" s="232">
        <f ca="1">OFFSET('MOD-Berechnungen'!$I211,0,'MOD-Jahresgang'!$I$3-2013-2)</f>
        <v>7.6477302999999992</v>
      </c>
      <c r="D29" s="233">
        <f ca="1">OFFSET('MOD-Berechnungen'!$I211,0,'MOD-Jahresgang'!$I$3-2013-1)</f>
        <v>7.8237302999999994</v>
      </c>
      <c r="E29" s="233">
        <f ca="1">OFFSET('MOD-Berechnungen'!$I211,0,'MOD-Jahresgang'!$I$3-2013)</f>
        <v>7.5366149399999998</v>
      </c>
      <c r="F29" s="78">
        <f t="shared" ca="1" si="7"/>
        <v>7.7943969666666657</v>
      </c>
      <c r="G29" s="321">
        <f t="shared" ca="1" si="5"/>
        <v>7.8090636333333325</v>
      </c>
      <c r="H29" s="321">
        <f t="shared" ca="1" si="5"/>
        <v>7.8237302999999994</v>
      </c>
      <c r="I29" s="78">
        <f t="shared" ca="1" si="8"/>
        <v>7.7998040199999998</v>
      </c>
      <c r="J29" s="321">
        <f t="shared" ca="1" si="6"/>
        <v>7.7758777399999994</v>
      </c>
      <c r="K29" s="321">
        <f t="shared" ca="1" si="6"/>
        <v>7.751951459999999</v>
      </c>
      <c r="L29" s="321">
        <f t="shared" ca="1" si="6"/>
        <v>7.7280251799999995</v>
      </c>
      <c r="M29" s="321">
        <f t="shared" ca="1" si="6"/>
        <v>7.7040989</v>
      </c>
      <c r="N29" s="321">
        <f t="shared" ca="1" si="6"/>
        <v>7.6801726199999996</v>
      </c>
      <c r="O29" s="321">
        <f t="shared" ca="1" si="6"/>
        <v>7.6562463399999992</v>
      </c>
      <c r="P29" s="321">
        <f t="shared" ca="1" si="6"/>
        <v>7.6323200599999996</v>
      </c>
      <c r="Q29" s="387">
        <f t="shared" ca="1" si="6"/>
        <v>7.6083937800000001</v>
      </c>
      <c r="S29" s="221"/>
      <c r="T29" s="136"/>
    </row>
    <row r="30" spans="1:20" ht="15" customHeight="1" outlineLevel="2">
      <c r="A30" s="553">
        <v>30</v>
      </c>
      <c r="B30" s="297" t="s">
        <v>10</v>
      </c>
      <c r="C30" s="232">
        <f ca="1">OFFSET('MOD-Berechnungen'!$I212,0,'MOD-Jahresgang'!$I$3-2013-2)</f>
        <v>0.05</v>
      </c>
      <c r="D30" s="233">
        <f ca="1">OFFSET('MOD-Berechnungen'!$I212,0,'MOD-Jahresgang'!$I$3-2013-1)</f>
        <v>5.5E-2</v>
      </c>
      <c r="E30" s="233">
        <f ca="1">OFFSET('MOD-Berechnungen'!$I212,0,'MOD-Jahresgang'!$I$3-2013)</f>
        <v>5.5E-2</v>
      </c>
      <c r="F30" s="78">
        <f t="shared" ca="1" si="7"/>
        <v>5.4166666666666669E-2</v>
      </c>
      <c r="G30" s="321">
        <f t="shared" ca="1" si="5"/>
        <v>5.4583333333333331E-2</v>
      </c>
      <c r="H30" s="321">
        <f t="shared" ca="1" si="5"/>
        <v>5.5E-2</v>
      </c>
      <c r="I30" s="78">
        <f t="shared" ca="1" si="8"/>
        <v>5.5E-2</v>
      </c>
      <c r="J30" s="321">
        <f t="shared" ca="1" si="6"/>
        <v>5.5E-2</v>
      </c>
      <c r="K30" s="321">
        <f t="shared" ca="1" si="6"/>
        <v>5.5E-2</v>
      </c>
      <c r="L30" s="321">
        <f t="shared" ca="1" si="6"/>
        <v>5.5E-2</v>
      </c>
      <c r="M30" s="321">
        <f t="shared" ca="1" si="6"/>
        <v>5.5E-2</v>
      </c>
      <c r="N30" s="321">
        <f t="shared" ca="1" si="6"/>
        <v>5.5E-2</v>
      </c>
      <c r="O30" s="321">
        <f t="shared" ca="1" si="6"/>
        <v>5.5E-2</v>
      </c>
      <c r="P30" s="321">
        <f t="shared" ca="1" si="6"/>
        <v>5.5E-2</v>
      </c>
      <c r="Q30" s="387">
        <f t="shared" ca="1" si="6"/>
        <v>5.5E-2</v>
      </c>
      <c r="S30" s="221"/>
      <c r="T30" s="136"/>
    </row>
    <row r="31" spans="1:20" ht="15" customHeight="1" outlineLevel="2">
      <c r="A31" s="553">
        <v>31</v>
      </c>
      <c r="B31" s="297" t="s">
        <v>339</v>
      </c>
      <c r="C31" s="232">
        <f ca="1">OFFSET('MOD-Berechnungen'!$I213,0,'MOD-Jahresgang'!$I$3-2013-2)</f>
        <v>54.152999999999999</v>
      </c>
      <c r="D31" s="233">
        <f ca="1">OFFSET('MOD-Berechnungen'!$I213,0,'MOD-Jahresgang'!$I$3-2013-1)</f>
        <v>54.953000000000003</v>
      </c>
      <c r="E31" s="233">
        <f ca="1">OFFSET('MOD-Berechnungen'!$I213,0,'MOD-Jahresgang'!$I$3-2013)</f>
        <v>54.64720689</v>
      </c>
      <c r="F31" s="78">
        <f t="shared" ca="1" si="7"/>
        <v>54.81966666666667</v>
      </c>
      <c r="G31" s="321">
        <f t="shared" ca="1" si="5"/>
        <v>54.886333333333333</v>
      </c>
      <c r="H31" s="321">
        <f t="shared" ca="1" si="5"/>
        <v>54.953000000000003</v>
      </c>
      <c r="I31" s="78">
        <f t="shared" ca="1" si="8"/>
        <v>54.927517240833339</v>
      </c>
      <c r="J31" s="321">
        <f t="shared" ca="1" si="6"/>
        <v>54.902034481666668</v>
      </c>
      <c r="K31" s="321">
        <f t="shared" ca="1" si="6"/>
        <v>54.876551722500004</v>
      </c>
      <c r="L31" s="321">
        <f t="shared" ca="1" si="6"/>
        <v>54.851068963333333</v>
      </c>
      <c r="M31" s="321">
        <f t="shared" ca="1" si="6"/>
        <v>54.825586204166669</v>
      </c>
      <c r="N31" s="321">
        <f t="shared" ca="1" si="6"/>
        <v>54.800103445000005</v>
      </c>
      <c r="O31" s="321">
        <f t="shared" ca="1" si="6"/>
        <v>54.774620685833334</v>
      </c>
      <c r="P31" s="321">
        <f t="shared" ca="1" si="6"/>
        <v>54.74913792666667</v>
      </c>
      <c r="Q31" s="387">
        <f t="shared" ca="1" si="6"/>
        <v>54.723655167499999</v>
      </c>
      <c r="S31" s="221"/>
      <c r="T31" s="136"/>
    </row>
    <row r="32" spans="1:20" ht="15" customHeight="1" outlineLevel="2">
      <c r="A32" s="553">
        <v>32</v>
      </c>
      <c r="B32" s="297" t="s">
        <v>340</v>
      </c>
      <c r="C32" s="232">
        <f ca="1">OFFSET('MOD-Berechnungen'!$I214,0,'MOD-Jahresgang'!$I$3-2013-2)</f>
        <v>7.7659999999999991</v>
      </c>
      <c r="D32" s="233">
        <f ca="1">OFFSET('MOD-Berechnungen'!$I214,0,'MOD-Jahresgang'!$I$3-2013-1)</f>
        <v>7.7659999999999991</v>
      </c>
      <c r="E32" s="233">
        <f ca="1">OFFSET('MOD-Berechnungen'!$I214,0,'MOD-Jahresgang'!$I$3-2013)</f>
        <v>7.7659999999999991</v>
      </c>
      <c r="F32" s="78">
        <f t="shared" ca="1" si="7"/>
        <v>7.7659999999999991</v>
      </c>
      <c r="G32" s="321">
        <f t="shared" ca="1" si="5"/>
        <v>7.7659999999999991</v>
      </c>
      <c r="H32" s="321">
        <f t="shared" ca="1" si="5"/>
        <v>7.7659999999999991</v>
      </c>
      <c r="I32" s="78">
        <f t="shared" ca="1" si="8"/>
        <v>7.7659999999999991</v>
      </c>
      <c r="J32" s="321">
        <f t="shared" ca="1" si="6"/>
        <v>7.7659999999999991</v>
      </c>
      <c r="K32" s="321">
        <f t="shared" ca="1" si="6"/>
        <v>7.7659999999999991</v>
      </c>
      <c r="L32" s="321">
        <f t="shared" ca="1" si="6"/>
        <v>7.7659999999999991</v>
      </c>
      <c r="M32" s="321">
        <f t="shared" ca="1" si="6"/>
        <v>7.7659999999999991</v>
      </c>
      <c r="N32" s="321">
        <f t="shared" ca="1" si="6"/>
        <v>7.7659999999999991</v>
      </c>
      <c r="O32" s="321">
        <f t="shared" ca="1" si="6"/>
        <v>7.7659999999999991</v>
      </c>
      <c r="P32" s="321">
        <f t="shared" ca="1" si="6"/>
        <v>7.7659999999999991</v>
      </c>
      <c r="Q32" s="387">
        <f t="shared" ca="1" si="6"/>
        <v>7.7659999999999991</v>
      </c>
      <c r="S32" s="221"/>
      <c r="T32" s="136"/>
    </row>
    <row r="33" spans="1:20" ht="15" customHeight="1" outlineLevel="2">
      <c r="A33" s="553">
        <v>33</v>
      </c>
      <c r="B33" s="298" t="s">
        <v>530</v>
      </c>
      <c r="C33" s="234">
        <f ca="1">OFFSET('MOD-Berechnungen'!$I215,0,'MOD-Jahresgang'!$I$3-2013-2)</f>
        <v>47.484999999999999</v>
      </c>
      <c r="D33" s="235">
        <f ca="1">OFFSET('MOD-Berechnungen'!$I215,0,'MOD-Jahresgang'!$I$3-2013-1)</f>
        <v>51.475999999999999</v>
      </c>
      <c r="E33" s="235">
        <f ca="1">OFFSET('MOD-Berechnungen'!$I215,0,'MOD-Jahresgang'!$I$3-2013)</f>
        <v>56.816137519999998</v>
      </c>
      <c r="F33" s="79">
        <f t="shared" ca="1" si="7"/>
        <v>50.810833333333335</v>
      </c>
      <c r="G33" s="25">
        <f t="shared" ca="1" si="5"/>
        <v>51.143416666666667</v>
      </c>
      <c r="H33" s="25">
        <f t="shared" ca="1" si="5"/>
        <v>51.475999999999999</v>
      </c>
      <c r="I33" s="79">
        <f t="shared" ca="1" si="8"/>
        <v>51.921011460000003</v>
      </c>
      <c r="J33" s="25">
        <f t="shared" ca="1" si="6"/>
        <v>52.366022919999999</v>
      </c>
      <c r="K33" s="25">
        <f t="shared" ca="1" si="6"/>
        <v>52.811034379999995</v>
      </c>
      <c r="L33" s="25">
        <f t="shared" ca="1" si="6"/>
        <v>53.256045839999999</v>
      </c>
      <c r="M33" s="25">
        <f t="shared" ca="1" si="6"/>
        <v>53.701057300000002</v>
      </c>
      <c r="N33" s="25">
        <f t="shared" ca="1" si="6"/>
        <v>54.146068759999999</v>
      </c>
      <c r="O33" s="25">
        <f t="shared" ca="1" si="6"/>
        <v>54.591080219999995</v>
      </c>
      <c r="P33" s="25">
        <f t="shared" ca="1" si="6"/>
        <v>55.036091679999998</v>
      </c>
      <c r="Q33" s="80">
        <f t="shared" ca="1" si="6"/>
        <v>55.481103140000002</v>
      </c>
      <c r="S33" s="221"/>
      <c r="T33" s="136"/>
    </row>
    <row r="34" spans="1:20" ht="15" customHeight="1" outlineLevel="1">
      <c r="A34" s="553">
        <v>34</v>
      </c>
      <c r="D34" s="26"/>
      <c r="E34" s="215"/>
      <c r="F34" s="205"/>
      <c r="I34" s="205"/>
      <c r="S34" s="221"/>
      <c r="T34" s="136"/>
    </row>
    <row r="35" spans="1:20" ht="29.25" customHeight="1" outlineLevel="1">
      <c r="A35" s="553">
        <v>35</v>
      </c>
      <c r="B35" s="204" t="s">
        <v>639</v>
      </c>
      <c r="C35" s="82"/>
      <c r="D35" s="82">
        <f>$I$3</f>
        <v>2021</v>
      </c>
      <c r="E35" s="82"/>
      <c r="F35" s="205"/>
      <c r="I35" s="205"/>
      <c r="S35" s="221"/>
      <c r="T35" s="136"/>
    </row>
    <row r="36" spans="1:20" ht="15" customHeight="1" outlineLevel="1">
      <c r="A36" s="553">
        <v>36</v>
      </c>
      <c r="B36" s="295" t="s">
        <v>640</v>
      </c>
      <c r="C36" s="979"/>
      <c r="D36" s="996">
        <f ca="1">OFFSET('MOD-Berechnungen'!$I7,0,'MOD-Jahresgang'!$I$3-2013)</f>
        <v>40.74</v>
      </c>
      <c r="E36" s="983"/>
      <c r="F36" s="222"/>
      <c r="G36" s="222"/>
      <c r="H36" s="222"/>
      <c r="I36" s="222"/>
      <c r="J36" s="222"/>
      <c r="K36" s="222"/>
      <c r="L36" s="222"/>
      <c r="M36" s="222"/>
      <c r="N36" s="222"/>
      <c r="O36" s="222"/>
      <c r="P36" s="222"/>
      <c r="Q36" s="222"/>
      <c r="S36" s="221"/>
      <c r="T36" s="136"/>
    </row>
    <row r="37" spans="1:20" ht="15" customHeight="1" outlineLevel="1">
      <c r="A37" s="553">
        <v>37</v>
      </c>
      <c r="B37" s="297" t="s">
        <v>641</v>
      </c>
      <c r="C37" s="217"/>
      <c r="D37" s="997">
        <f ca="1">OFFSET('MOD-Berechnungen'!$I8,0,'MOD-Jahresgang'!$I$3-2013)</f>
        <v>0.9</v>
      </c>
      <c r="E37" s="984"/>
      <c r="F37" s="222"/>
      <c r="G37" s="222"/>
      <c r="H37" s="222"/>
      <c r="I37" s="222"/>
      <c r="J37" s="222"/>
      <c r="K37" s="222"/>
      <c r="L37" s="222"/>
      <c r="M37" s="222"/>
      <c r="N37" s="222"/>
      <c r="O37" s="222"/>
      <c r="P37" s="222"/>
      <c r="Q37" s="222"/>
      <c r="S37" s="221"/>
      <c r="T37" s="136"/>
    </row>
    <row r="38" spans="1:20" ht="15" customHeight="1" outlineLevel="1">
      <c r="A38" s="553">
        <v>38</v>
      </c>
      <c r="B38" s="298" t="s">
        <v>642</v>
      </c>
      <c r="C38" s="981"/>
      <c r="D38" s="998">
        <f ca="1">D37*D36</f>
        <v>36.666000000000004</v>
      </c>
      <c r="E38" s="985"/>
      <c r="F38" s="977">
        <f ca="1">$D$38</f>
        <v>36.666000000000004</v>
      </c>
      <c r="G38" s="977">
        <f ca="1">$D$38</f>
        <v>36.666000000000004</v>
      </c>
      <c r="H38" s="977">
        <f ca="1">$D$38</f>
        <v>36.666000000000004</v>
      </c>
      <c r="I38" s="976">
        <f ca="1">$D$38</f>
        <v>36.666000000000004</v>
      </c>
      <c r="J38" s="977">
        <f t="shared" ref="J38:Q38" ca="1" si="9">$D$38</f>
        <v>36.666000000000004</v>
      </c>
      <c r="K38" s="977">
        <f t="shared" ca="1" si="9"/>
        <v>36.666000000000004</v>
      </c>
      <c r="L38" s="977">
        <f t="shared" ca="1" si="9"/>
        <v>36.666000000000004</v>
      </c>
      <c r="M38" s="977">
        <f t="shared" ca="1" si="9"/>
        <v>36.666000000000004</v>
      </c>
      <c r="N38" s="977">
        <f t="shared" ca="1" si="9"/>
        <v>36.666000000000004</v>
      </c>
      <c r="O38" s="977">
        <f t="shared" ca="1" si="9"/>
        <v>36.666000000000004</v>
      </c>
      <c r="P38" s="977">
        <f t="shared" ca="1" si="9"/>
        <v>36.666000000000004</v>
      </c>
      <c r="Q38" s="978">
        <f t="shared" ca="1" si="9"/>
        <v>36.666000000000004</v>
      </c>
      <c r="S38" s="221"/>
      <c r="T38" s="136"/>
    </row>
    <row r="39" spans="1:20" ht="15" customHeight="1" outlineLevel="1">
      <c r="A39" s="553">
        <v>39</v>
      </c>
      <c r="B39" s="315"/>
      <c r="D39" s="26"/>
      <c r="E39" s="215"/>
      <c r="F39" s="217"/>
      <c r="G39" s="203"/>
      <c r="H39" s="203"/>
      <c r="I39" s="205"/>
      <c r="S39" s="221"/>
      <c r="T39" s="136"/>
    </row>
    <row r="40" spans="1:20" outlineLevel="1">
      <c r="A40" s="553">
        <v>40</v>
      </c>
      <c r="B40" s="315" t="s">
        <v>643</v>
      </c>
      <c r="C40" s="82">
        <f>$I$3-1</f>
        <v>2020</v>
      </c>
      <c r="D40" s="82">
        <f>$I$3</f>
        <v>2021</v>
      </c>
      <c r="F40" s="205"/>
      <c r="I40" s="205"/>
      <c r="S40" s="221"/>
      <c r="T40" s="136"/>
    </row>
    <row r="41" spans="1:20" outlineLevel="2">
      <c r="A41" s="553">
        <v>41</v>
      </c>
      <c r="B41" s="295" t="s">
        <v>529</v>
      </c>
      <c r="C41" s="230">
        <f ca="1">OFFSET('MOD-Berechnungen'!$I140,0,'MOD-Jahresgang'!$I$3-2013-1)</f>
        <v>94.824277922477592</v>
      </c>
      <c r="D41" s="993">
        <f ca="1">OFFSET('MOD-Berechnungen'!$I140,0,'MOD-Jahresgang'!$I$3-2013)</f>
        <v>96.066608000039679</v>
      </c>
      <c r="E41" s="980"/>
      <c r="F41" s="76">
        <f ca="1">$C41</f>
        <v>94.824277922477592</v>
      </c>
      <c r="G41" s="23">
        <f ca="1">$C41</f>
        <v>94.824277922477592</v>
      </c>
      <c r="H41" s="23">
        <f ca="1">$C41</f>
        <v>94.824277922477592</v>
      </c>
      <c r="I41" s="76">
        <f ca="1">$D41</f>
        <v>96.066608000039679</v>
      </c>
      <c r="J41" s="1005">
        <f t="shared" ref="J41:P41" ca="1" si="10">$D41</f>
        <v>96.066608000039679</v>
      </c>
      <c r="K41" s="1005">
        <f t="shared" ca="1" si="10"/>
        <v>96.066608000039679</v>
      </c>
      <c r="L41" s="1005">
        <f t="shared" ca="1" si="10"/>
        <v>96.066608000039679</v>
      </c>
      <c r="M41" s="1005">
        <f t="shared" ca="1" si="10"/>
        <v>96.066608000039679</v>
      </c>
      <c r="N41" s="1005">
        <f t="shared" ca="1" si="10"/>
        <v>96.066608000039679</v>
      </c>
      <c r="O41" s="1005">
        <f t="shared" ca="1" si="10"/>
        <v>96.066608000039679</v>
      </c>
      <c r="P41" s="1005">
        <f t="shared" ca="1" si="10"/>
        <v>96.066608000039679</v>
      </c>
      <c r="Q41" s="77">
        <f ca="1">$D41</f>
        <v>96.066608000039679</v>
      </c>
      <c r="R41" s="294"/>
      <c r="S41" s="294" t="s">
        <v>176</v>
      </c>
      <c r="T41" s="333"/>
    </row>
    <row r="42" spans="1:20" outlineLevel="2">
      <c r="A42" s="553">
        <v>42</v>
      </c>
      <c r="B42" s="297" t="s">
        <v>349</v>
      </c>
      <c r="C42" s="232">
        <f ca="1">OFFSET('MOD-Berechnungen'!$I141,0,'MOD-Jahresgang'!$I$3-2013-1)</f>
        <v>69.098674383868556</v>
      </c>
      <c r="D42" s="994">
        <f ca="1">OFFSET('MOD-Berechnungen'!$I141,0,'MOD-Jahresgang'!$I$3-2013)</f>
        <v>71.292092493824555</v>
      </c>
      <c r="E42" s="203"/>
      <c r="F42" s="78">
        <f t="shared" ref="F42:H47" ca="1" si="11">$C42</f>
        <v>69.098674383868556</v>
      </c>
      <c r="G42" s="321">
        <f t="shared" ca="1" si="11"/>
        <v>69.098674383868556</v>
      </c>
      <c r="H42" s="321">
        <f t="shared" ca="1" si="11"/>
        <v>69.098674383868556</v>
      </c>
      <c r="I42" s="78">
        <f t="shared" ref="I42:Q47" ca="1" si="12">$D42</f>
        <v>71.292092493824555</v>
      </c>
      <c r="J42" s="321">
        <f t="shared" ca="1" si="12"/>
        <v>71.292092493824555</v>
      </c>
      <c r="K42" s="321">
        <f t="shared" ca="1" si="12"/>
        <v>71.292092493824555</v>
      </c>
      <c r="L42" s="321">
        <f t="shared" ca="1" si="12"/>
        <v>71.292092493824555</v>
      </c>
      <c r="M42" s="321">
        <f t="shared" ca="1" si="12"/>
        <v>71.292092493824555</v>
      </c>
      <c r="N42" s="321">
        <f t="shared" ca="1" si="12"/>
        <v>71.292092493824555</v>
      </c>
      <c r="O42" s="321">
        <f t="shared" ca="1" si="12"/>
        <v>71.292092493824555</v>
      </c>
      <c r="P42" s="321">
        <f t="shared" ca="1" si="12"/>
        <v>71.292092493824555</v>
      </c>
      <c r="Q42" s="387">
        <f t="shared" ca="1" si="12"/>
        <v>71.292092493824555</v>
      </c>
      <c r="R42" s="294"/>
      <c r="S42" s="294" t="s">
        <v>176</v>
      </c>
      <c r="T42" s="136"/>
    </row>
    <row r="43" spans="1:20" outlineLevel="2">
      <c r="A43" s="553">
        <v>43</v>
      </c>
      <c r="B43" s="297" t="s">
        <v>11</v>
      </c>
      <c r="C43" s="232">
        <f ca="1">OFFSET('MOD-Berechnungen'!$I142,0,'MOD-Jahresgang'!$I$3-2013-1)</f>
        <v>192.3639566092275</v>
      </c>
      <c r="D43" s="994">
        <f ca="1">OFFSET('MOD-Berechnungen'!$I142,0,'MOD-Jahresgang'!$I$3-2013)</f>
        <v>197.60807852307477</v>
      </c>
      <c r="E43" s="203"/>
      <c r="F43" s="78">
        <f t="shared" ca="1" si="11"/>
        <v>192.3639566092275</v>
      </c>
      <c r="G43" s="321">
        <f t="shared" ca="1" si="11"/>
        <v>192.3639566092275</v>
      </c>
      <c r="H43" s="321">
        <f t="shared" ca="1" si="11"/>
        <v>192.3639566092275</v>
      </c>
      <c r="I43" s="78">
        <f t="shared" ca="1" si="12"/>
        <v>197.60807852307477</v>
      </c>
      <c r="J43" s="321">
        <f t="shared" ca="1" si="12"/>
        <v>197.60807852307477</v>
      </c>
      <c r="K43" s="321">
        <f t="shared" ca="1" si="12"/>
        <v>197.60807852307477</v>
      </c>
      <c r="L43" s="321">
        <f t="shared" ca="1" si="12"/>
        <v>197.60807852307477</v>
      </c>
      <c r="M43" s="321">
        <f t="shared" ca="1" si="12"/>
        <v>197.60807852307477</v>
      </c>
      <c r="N43" s="321">
        <f t="shared" ca="1" si="12"/>
        <v>197.60807852307477</v>
      </c>
      <c r="O43" s="321">
        <f t="shared" ca="1" si="12"/>
        <v>197.60807852307477</v>
      </c>
      <c r="P43" s="321">
        <f t="shared" ca="1" si="12"/>
        <v>197.60807852307477</v>
      </c>
      <c r="Q43" s="387">
        <f t="shared" ca="1" si="12"/>
        <v>197.60807852307477</v>
      </c>
      <c r="R43" s="294"/>
      <c r="S43" s="294" t="s">
        <v>176</v>
      </c>
      <c r="T43" s="136"/>
    </row>
    <row r="44" spans="1:20" outlineLevel="2">
      <c r="A44" s="553">
        <v>44</v>
      </c>
      <c r="B44" s="297" t="s">
        <v>10</v>
      </c>
      <c r="C44" s="232">
        <f ca="1">OFFSET('MOD-Berechnungen'!$I143,0,'MOD-Jahresgang'!$I$3-2013-1)</f>
        <v>245.91407182317226</v>
      </c>
      <c r="D44" s="994">
        <f ca="1">OFFSET('MOD-Berechnungen'!$I143,0,'MOD-Jahresgang'!$I$3-2013)</f>
        <v>248.65452372169901</v>
      </c>
      <c r="E44" s="203"/>
      <c r="F44" s="78">
        <f t="shared" ca="1" si="11"/>
        <v>245.91407182317226</v>
      </c>
      <c r="G44" s="321">
        <f t="shared" ca="1" si="11"/>
        <v>245.91407182317226</v>
      </c>
      <c r="H44" s="321">
        <f t="shared" ca="1" si="11"/>
        <v>245.91407182317226</v>
      </c>
      <c r="I44" s="78">
        <f t="shared" ca="1" si="12"/>
        <v>248.65452372169901</v>
      </c>
      <c r="J44" s="321">
        <f t="shared" ca="1" si="12"/>
        <v>248.65452372169901</v>
      </c>
      <c r="K44" s="321">
        <f t="shared" ca="1" si="12"/>
        <v>248.65452372169901</v>
      </c>
      <c r="L44" s="321">
        <f t="shared" ca="1" si="12"/>
        <v>248.65452372169901</v>
      </c>
      <c r="M44" s="321">
        <f t="shared" ca="1" si="12"/>
        <v>248.65452372169901</v>
      </c>
      <c r="N44" s="321">
        <f t="shared" ca="1" si="12"/>
        <v>248.65452372169901</v>
      </c>
      <c r="O44" s="321">
        <f t="shared" ca="1" si="12"/>
        <v>248.65452372169901</v>
      </c>
      <c r="P44" s="321">
        <f t="shared" ca="1" si="12"/>
        <v>248.65452372169901</v>
      </c>
      <c r="Q44" s="387">
        <f t="shared" ca="1" si="12"/>
        <v>248.65452372169901</v>
      </c>
      <c r="R44" s="294"/>
      <c r="S44" s="294" t="s">
        <v>176</v>
      </c>
      <c r="T44" s="136"/>
    </row>
    <row r="45" spans="1:20" outlineLevel="2">
      <c r="A45" s="553">
        <v>45</v>
      </c>
      <c r="B45" s="297" t="s">
        <v>339</v>
      </c>
      <c r="C45" s="232">
        <f ca="1">OFFSET('MOD-Berechnungen'!$I144,0,'MOD-Jahresgang'!$I$3-2013-1)</f>
        <v>84.943185603231001</v>
      </c>
      <c r="D45" s="994">
        <f ca="1">OFFSET('MOD-Berechnungen'!$I144,0,'MOD-Jahresgang'!$I$3-2013)</f>
        <v>87.658156173485565</v>
      </c>
      <c r="E45" s="203"/>
      <c r="F45" s="78">
        <f t="shared" ca="1" si="11"/>
        <v>84.943185603231001</v>
      </c>
      <c r="G45" s="321">
        <f t="shared" ca="1" si="11"/>
        <v>84.943185603231001</v>
      </c>
      <c r="H45" s="321">
        <f t="shared" ca="1" si="11"/>
        <v>84.943185603231001</v>
      </c>
      <c r="I45" s="78">
        <f t="shared" ca="1" si="12"/>
        <v>87.658156173485565</v>
      </c>
      <c r="J45" s="321">
        <f t="shared" ca="1" si="12"/>
        <v>87.658156173485565</v>
      </c>
      <c r="K45" s="321">
        <f t="shared" ca="1" si="12"/>
        <v>87.658156173485565</v>
      </c>
      <c r="L45" s="321">
        <f t="shared" ca="1" si="12"/>
        <v>87.658156173485565</v>
      </c>
      <c r="M45" s="321">
        <f t="shared" ca="1" si="12"/>
        <v>87.658156173485565</v>
      </c>
      <c r="N45" s="321">
        <f t="shared" ca="1" si="12"/>
        <v>87.658156173485565</v>
      </c>
      <c r="O45" s="321">
        <f t="shared" ca="1" si="12"/>
        <v>87.658156173485565</v>
      </c>
      <c r="P45" s="321">
        <f t="shared" ca="1" si="12"/>
        <v>87.658156173485565</v>
      </c>
      <c r="Q45" s="387">
        <f t="shared" ca="1" si="12"/>
        <v>87.658156173485565</v>
      </c>
      <c r="R45" s="294"/>
      <c r="S45" s="294" t="s">
        <v>176</v>
      </c>
      <c r="T45" s="136"/>
    </row>
    <row r="46" spans="1:20" outlineLevel="2">
      <c r="A46" s="553">
        <v>46</v>
      </c>
      <c r="B46" s="297" t="s">
        <v>340</v>
      </c>
      <c r="C46" s="232">
        <f ca="1">OFFSET('MOD-Berechnungen'!$I145,0,'MOD-Jahresgang'!$I$3-2013-1)</f>
        <v>184.61609509608459</v>
      </c>
      <c r="D46" s="994">
        <f ca="1">OFFSET('MOD-Berechnungen'!$I145,0,'MOD-Jahresgang'!$I$3-2013)</f>
        <v>185.38314339176773</v>
      </c>
      <c r="E46" s="203"/>
      <c r="F46" s="78">
        <f t="shared" ca="1" si="11"/>
        <v>184.61609509608459</v>
      </c>
      <c r="G46" s="321">
        <f t="shared" ca="1" si="11"/>
        <v>184.61609509608459</v>
      </c>
      <c r="H46" s="321">
        <f t="shared" ca="1" si="11"/>
        <v>184.61609509608459</v>
      </c>
      <c r="I46" s="78">
        <f t="shared" ca="1" si="12"/>
        <v>185.38314339176773</v>
      </c>
      <c r="J46" s="321">
        <f t="shared" ca="1" si="12"/>
        <v>185.38314339176773</v>
      </c>
      <c r="K46" s="321">
        <f t="shared" ca="1" si="12"/>
        <v>185.38314339176773</v>
      </c>
      <c r="L46" s="321">
        <f t="shared" ca="1" si="12"/>
        <v>185.38314339176773</v>
      </c>
      <c r="M46" s="321">
        <f t="shared" ca="1" si="12"/>
        <v>185.38314339176773</v>
      </c>
      <c r="N46" s="321">
        <f t="shared" ca="1" si="12"/>
        <v>185.38314339176773</v>
      </c>
      <c r="O46" s="321">
        <f t="shared" ca="1" si="12"/>
        <v>185.38314339176773</v>
      </c>
      <c r="P46" s="321">
        <f t="shared" ca="1" si="12"/>
        <v>185.38314339176773</v>
      </c>
      <c r="Q46" s="387">
        <f t="shared" ca="1" si="12"/>
        <v>185.38314339176773</v>
      </c>
      <c r="R46" s="294"/>
      <c r="S46" s="294" t="s">
        <v>176</v>
      </c>
      <c r="T46" s="136"/>
    </row>
    <row r="47" spans="1:20" outlineLevel="2">
      <c r="A47" s="553">
        <v>47</v>
      </c>
      <c r="B47" s="298" t="s">
        <v>530</v>
      </c>
      <c r="C47" s="234">
        <f ca="1">OFFSET('MOD-Berechnungen'!$I146,0,'MOD-Jahresgang'!$I$3-2013-1)</f>
        <v>264.37474625040585</v>
      </c>
      <c r="D47" s="995">
        <f ca="1">OFFSET('MOD-Berechnungen'!$I146,0,'MOD-Jahresgang'!$I$3-2013)</f>
        <v>249.07864310282855</v>
      </c>
      <c r="E47" s="982"/>
      <c r="F47" s="79">
        <f t="shared" ca="1" si="11"/>
        <v>264.37474625040585</v>
      </c>
      <c r="G47" s="25">
        <f t="shared" ca="1" si="11"/>
        <v>264.37474625040585</v>
      </c>
      <c r="H47" s="25">
        <f t="shared" ca="1" si="11"/>
        <v>264.37474625040585</v>
      </c>
      <c r="I47" s="79">
        <f t="shared" ca="1" si="12"/>
        <v>249.07864310282855</v>
      </c>
      <c r="J47" s="25">
        <f t="shared" ca="1" si="12"/>
        <v>249.07864310282855</v>
      </c>
      <c r="K47" s="25">
        <f t="shared" ca="1" si="12"/>
        <v>249.07864310282855</v>
      </c>
      <c r="L47" s="25">
        <f t="shared" ca="1" si="12"/>
        <v>249.07864310282855</v>
      </c>
      <c r="M47" s="25">
        <f t="shared" ca="1" si="12"/>
        <v>249.07864310282855</v>
      </c>
      <c r="N47" s="25">
        <f t="shared" ca="1" si="12"/>
        <v>249.07864310282855</v>
      </c>
      <c r="O47" s="25">
        <f t="shared" ca="1" si="12"/>
        <v>249.07864310282855</v>
      </c>
      <c r="P47" s="25">
        <f t="shared" ca="1" si="12"/>
        <v>249.07864310282855</v>
      </c>
      <c r="Q47" s="80">
        <f t="shared" ca="1" si="12"/>
        <v>249.07864310282855</v>
      </c>
      <c r="R47" s="294"/>
      <c r="S47" s="294" t="s">
        <v>176</v>
      </c>
      <c r="T47" s="136"/>
    </row>
    <row r="48" spans="1:20" outlineLevel="1">
      <c r="A48" s="553">
        <v>48</v>
      </c>
      <c r="C48" s="215"/>
      <c r="D48" s="215"/>
      <c r="F48" s="205"/>
      <c r="I48" s="205"/>
      <c r="S48" s="221"/>
      <c r="T48" s="136"/>
    </row>
    <row r="49" spans="1:21" outlineLevel="1">
      <c r="A49" s="553">
        <v>49</v>
      </c>
      <c r="B49" s="315" t="s">
        <v>506</v>
      </c>
      <c r="C49" s="82">
        <f>$I$3-1</f>
        <v>2020</v>
      </c>
      <c r="D49" s="82">
        <f>$I$3</f>
        <v>2021</v>
      </c>
      <c r="F49" s="205"/>
      <c r="I49" s="205"/>
      <c r="S49" s="221"/>
      <c r="T49" s="136"/>
    </row>
    <row r="50" spans="1:21" outlineLevel="2">
      <c r="A50" s="553">
        <v>50</v>
      </c>
      <c r="B50" s="295" t="s">
        <v>529</v>
      </c>
      <c r="C50" s="230">
        <f ca="1">OFFSET('MOD-Berechnungen'!$I29,0,'MOD-Jahresgang'!$I$3-2013-1)</f>
        <v>1</v>
      </c>
      <c r="D50" s="993">
        <f ca="1">OFFSET('MOD-Berechnungen'!$I29,0,'MOD-Jahresgang'!$I$3-2013)</f>
        <v>1</v>
      </c>
      <c r="E50" s="980"/>
      <c r="F50" s="76">
        <f ca="1">$C50</f>
        <v>1</v>
      </c>
      <c r="G50" s="23">
        <f ca="1">$C50</f>
        <v>1</v>
      </c>
      <c r="H50" s="23">
        <f ca="1">$C50</f>
        <v>1</v>
      </c>
      <c r="I50" s="76">
        <f t="shared" ref="I50:Q56" ca="1" si="13">$D50</f>
        <v>1</v>
      </c>
      <c r="J50" s="1005">
        <f t="shared" ca="1" si="13"/>
        <v>1</v>
      </c>
      <c r="K50" s="1005">
        <f t="shared" ca="1" si="13"/>
        <v>1</v>
      </c>
      <c r="L50" s="1005">
        <f t="shared" ca="1" si="13"/>
        <v>1</v>
      </c>
      <c r="M50" s="1005">
        <f t="shared" ca="1" si="13"/>
        <v>1</v>
      </c>
      <c r="N50" s="1005">
        <f t="shared" ca="1" si="13"/>
        <v>1</v>
      </c>
      <c r="O50" s="1005">
        <f t="shared" ca="1" si="13"/>
        <v>1</v>
      </c>
      <c r="P50" s="1005">
        <f t="shared" ca="1" si="13"/>
        <v>1</v>
      </c>
      <c r="Q50" s="77">
        <f t="shared" ca="1" si="13"/>
        <v>1</v>
      </c>
      <c r="S50" s="221"/>
      <c r="T50" s="136"/>
    </row>
    <row r="51" spans="1:21" outlineLevel="2">
      <c r="A51" s="553">
        <v>51</v>
      </c>
      <c r="B51" s="297" t="s">
        <v>349</v>
      </c>
      <c r="C51" s="232">
        <f ca="1">OFFSET('MOD-Berechnungen'!$I30,0,'MOD-Jahresgang'!$I$3-2013-1)</f>
        <v>1</v>
      </c>
      <c r="D51" s="994">
        <f ca="1">OFFSET('MOD-Berechnungen'!$I30,0,'MOD-Jahresgang'!$I$3-2013)</f>
        <v>1</v>
      </c>
      <c r="E51" s="203"/>
      <c r="F51" s="78">
        <f t="shared" ref="F51:H56" ca="1" si="14">$C51</f>
        <v>1</v>
      </c>
      <c r="G51" s="321">
        <f t="shared" ca="1" si="14"/>
        <v>1</v>
      </c>
      <c r="H51" s="321">
        <f t="shared" ca="1" si="14"/>
        <v>1</v>
      </c>
      <c r="I51" s="78">
        <f t="shared" ca="1" si="13"/>
        <v>1</v>
      </c>
      <c r="J51" s="321">
        <f t="shared" ca="1" si="13"/>
        <v>1</v>
      </c>
      <c r="K51" s="321">
        <f t="shared" ca="1" si="13"/>
        <v>1</v>
      </c>
      <c r="L51" s="321">
        <f t="shared" ca="1" si="13"/>
        <v>1</v>
      </c>
      <c r="M51" s="321">
        <f t="shared" ca="1" si="13"/>
        <v>1</v>
      </c>
      <c r="N51" s="321">
        <f t="shared" ca="1" si="13"/>
        <v>1</v>
      </c>
      <c r="O51" s="321">
        <f t="shared" ca="1" si="13"/>
        <v>1</v>
      </c>
      <c r="P51" s="321">
        <f t="shared" ca="1" si="13"/>
        <v>1</v>
      </c>
      <c r="Q51" s="387">
        <f t="shared" ca="1" si="13"/>
        <v>1</v>
      </c>
      <c r="S51" s="221"/>
      <c r="T51" s="136"/>
    </row>
    <row r="52" spans="1:21" outlineLevel="2">
      <c r="A52" s="553">
        <v>52</v>
      </c>
      <c r="B52" s="297" t="s">
        <v>11</v>
      </c>
      <c r="C52" s="232">
        <f ca="1">OFFSET('MOD-Berechnungen'!$I31,0,'MOD-Jahresgang'!$I$3-2013-1)</f>
        <v>1</v>
      </c>
      <c r="D52" s="994">
        <f ca="1">OFFSET('MOD-Berechnungen'!$I31,0,'MOD-Jahresgang'!$I$3-2013)</f>
        <v>1</v>
      </c>
      <c r="E52" s="203"/>
      <c r="F52" s="78">
        <f t="shared" ca="1" si="14"/>
        <v>1</v>
      </c>
      <c r="G52" s="321">
        <f t="shared" ca="1" si="14"/>
        <v>1</v>
      </c>
      <c r="H52" s="321">
        <f t="shared" ca="1" si="14"/>
        <v>1</v>
      </c>
      <c r="I52" s="78">
        <f t="shared" ca="1" si="13"/>
        <v>1</v>
      </c>
      <c r="J52" s="321">
        <f t="shared" ca="1" si="13"/>
        <v>1</v>
      </c>
      <c r="K52" s="321">
        <f t="shared" ca="1" si="13"/>
        <v>1</v>
      </c>
      <c r="L52" s="321">
        <f t="shared" ca="1" si="13"/>
        <v>1</v>
      </c>
      <c r="M52" s="321">
        <f t="shared" ca="1" si="13"/>
        <v>1</v>
      </c>
      <c r="N52" s="321">
        <f t="shared" ca="1" si="13"/>
        <v>1</v>
      </c>
      <c r="O52" s="321">
        <f t="shared" ca="1" si="13"/>
        <v>1</v>
      </c>
      <c r="P52" s="321">
        <f t="shared" ca="1" si="13"/>
        <v>1</v>
      </c>
      <c r="Q52" s="387">
        <f t="shared" ca="1" si="13"/>
        <v>1</v>
      </c>
      <c r="S52" s="221"/>
      <c r="T52" s="136"/>
    </row>
    <row r="53" spans="1:21" outlineLevel="2">
      <c r="A53" s="553">
        <v>53</v>
      </c>
      <c r="B53" s="297" t="s">
        <v>10</v>
      </c>
      <c r="C53" s="232">
        <f ca="1">OFFSET('MOD-Berechnungen'!$I32,0,'MOD-Jahresgang'!$I$3-2013-1)</f>
        <v>1</v>
      </c>
      <c r="D53" s="994">
        <f ca="1">OFFSET('MOD-Berechnungen'!$I32,0,'MOD-Jahresgang'!$I$3-2013)</f>
        <v>1</v>
      </c>
      <c r="E53" s="203"/>
      <c r="F53" s="78">
        <f t="shared" ca="1" si="14"/>
        <v>1</v>
      </c>
      <c r="G53" s="321">
        <f t="shared" ca="1" si="14"/>
        <v>1</v>
      </c>
      <c r="H53" s="321">
        <f t="shared" ca="1" si="14"/>
        <v>1</v>
      </c>
      <c r="I53" s="78">
        <f t="shared" ca="1" si="13"/>
        <v>1</v>
      </c>
      <c r="J53" s="321">
        <f t="shared" ca="1" si="13"/>
        <v>1</v>
      </c>
      <c r="K53" s="321">
        <f t="shared" ca="1" si="13"/>
        <v>1</v>
      </c>
      <c r="L53" s="321">
        <f t="shared" ca="1" si="13"/>
        <v>1</v>
      </c>
      <c r="M53" s="321">
        <f t="shared" ca="1" si="13"/>
        <v>1</v>
      </c>
      <c r="N53" s="321">
        <f t="shared" ca="1" si="13"/>
        <v>1</v>
      </c>
      <c r="O53" s="321">
        <f t="shared" ca="1" si="13"/>
        <v>1</v>
      </c>
      <c r="P53" s="321">
        <f t="shared" ca="1" si="13"/>
        <v>1</v>
      </c>
      <c r="Q53" s="387">
        <f t="shared" ca="1" si="13"/>
        <v>1</v>
      </c>
      <c r="S53" s="221"/>
      <c r="T53" s="136"/>
    </row>
    <row r="54" spans="1:21" outlineLevel="2">
      <c r="A54" s="553">
        <v>54</v>
      </c>
      <c r="B54" s="297" t="s">
        <v>339</v>
      </c>
      <c r="C54" s="232">
        <f ca="1">OFFSET('MOD-Berechnungen'!$I33,0,'MOD-Jahresgang'!$I$3-2013-1)</f>
        <v>0.89200000000000002</v>
      </c>
      <c r="D54" s="994">
        <f ca="1">OFFSET('MOD-Berechnungen'!$I33,0,'MOD-Jahresgang'!$I$3-2013)</f>
        <v>0.86899999999999999</v>
      </c>
      <c r="E54" s="203"/>
      <c r="F54" s="78">
        <f ca="1">$C54</f>
        <v>0.89200000000000002</v>
      </c>
      <c r="G54" s="321">
        <f t="shared" ca="1" si="14"/>
        <v>0.89200000000000002</v>
      </c>
      <c r="H54" s="321">
        <f t="shared" ca="1" si="14"/>
        <v>0.89200000000000002</v>
      </c>
      <c r="I54" s="78">
        <f t="shared" ca="1" si="13"/>
        <v>0.86899999999999999</v>
      </c>
      <c r="J54" s="321">
        <f t="shared" ca="1" si="13"/>
        <v>0.86899999999999999</v>
      </c>
      <c r="K54" s="321">
        <f t="shared" ca="1" si="13"/>
        <v>0.86899999999999999</v>
      </c>
      <c r="L54" s="321">
        <f t="shared" ca="1" si="13"/>
        <v>0.86899999999999999</v>
      </c>
      <c r="M54" s="321">
        <f t="shared" ca="1" si="13"/>
        <v>0.86899999999999999</v>
      </c>
      <c r="N54" s="321">
        <f t="shared" ca="1" si="13"/>
        <v>0.86899999999999999</v>
      </c>
      <c r="O54" s="321">
        <f t="shared" ca="1" si="13"/>
        <v>0.86899999999999999</v>
      </c>
      <c r="P54" s="321">
        <f t="shared" ca="1" si="13"/>
        <v>0.86899999999999999</v>
      </c>
      <c r="Q54" s="387">
        <f t="shared" ca="1" si="13"/>
        <v>0.86899999999999999</v>
      </c>
      <c r="S54" s="221"/>
      <c r="T54" s="136"/>
    </row>
    <row r="55" spans="1:21" outlineLevel="2">
      <c r="A55" s="553">
        <v>55</v>
      </c>
      <c r="B55" s="297" t="s">
        <v>340</v>
      </c>
      <c r="C55" s="232">
        <f ca="1">OFFSET('MOD-Berechnungen'!$I34,0,'MOD-Jahresgang'!$I$3-2013-1)</f>
        <v>0.92200000000000004</v>
      </c>
      <c r="D55" s="994">
        <f ca="1">OFFSET('MOD-Berechnungen'!$I34,0,'MOD-Jahresgang'!$I$3-2013)</f>
        <v>0.88800000000000001</v>
      </c>
      <c r="E55" s="203"/>
      <c r="F55" s="78">
        <f t="shared" ca="1" si="14"/>
        <v>0.92200000000000004</v>
      </c>
      <c r="G55" s="321">
        <f t="shared" ca="1" si="14"/>
        <v>0.92200000000000004</v>
      </c>
      <c r="H55" s="321">
        <f t="shared" ca="1" si="14"/>
        <v>0.92200000000000004</v>
      </c>
      <c r="I55" s="78">
        <f t="shared" ca="1" si="13"/>
        <v>0.88800000000000001</v>
      </c>
      <c r="J55" s="321">
        <f t="shared" ca="1" si="13"/>
        <v>0.88800000000000001</v>
      </c>
      <c r="K55" s="321">
        <f t="shared" ca="1" si="13"/>
        <v>0.88800000000000001</v>
      </c>
      <c r="L55" s="321">
        <f t="shared" ca="1" si="13"/>
        <v>0.88800000000000001</v>
      </c>
      <c r="M55" s="321">
        <f t="shared" ca="1" si="13"/>
        <v>0.88800000000000001</v>
      </c>
      <c r="N55" s="321">
        <f t="shared" ca="1" si="13"/>
        <v>0.88800000000000001</v>
      </c>
      <c r="O55" s="321">
        <f t="shared" ca="1" si="13"/>
        <v>0.88800000000000001</v>
      </c>
      <c r="P55" s="321">
        <f t="shared" ca="1" si="13"/>
        <v>0.88800000000000001</v>
      </c>
      <c r="Q55" s="387">
        <f t="shared" ca="1" si="13"/>
        <v>0.88800000000000001</v>
      </c>
      <c r="S55" s="221"/>
      <c r="T55" s="136"/>
    </row>
    <row r="56" spans="1:21" outlineLevel="2">
      <c r="A56" s="553">
        <v>56</v>
      </c>
      <c r="B56" s="298" t="s">
        <v>530</v>
      </c>
      <c r="C56" s="234">
        <f ca="1">OFFSET('MOD-Berechnungen'!$I35,0,'MOD-Jahresgang'!$I$3-2013-1)</f>
        <v>0.95299999999999996</v>
      </c>
      <c r="D56" s="995">
        <f ca="1">OFFSET('MOD-Berechnungen'!$I35,0,'MOD-Jahresgang'!$I$3-2013)</f>
        <v>0.91500000000000004</v>
      </c>
      <c r="E56" s="982"/>
      <c r="F56" s="79">
        <f t="shared" ca="1" si="14"/>
        <v>0.95299999999999996</v>
      </c>
      <c r="G56" s="25">
        <f t="shared" ca="1" si="14"/>
        <v>0.95299999999999996</v>
      </c>
      <c r="H56" s="25">
        <f t="shared" ca="1" si="14"/>
        <v>0.95299999999999996</v>
      </c>
      <c r="I56" s="79">
        <f t="shared" ca="1" si="13"/>
        <v>0.91500000000000004</v>
      </c>
      <c r="J56" s="25">
        <f t="shared" ca="1" si="13"/>
        <v>0.91500000000000004</v>
      </c>
      <c r="K56" s="25">
        <f t="shared" ca="1" si="13"/>
        <v>0.91500000000000004</v>
      </c>
      <c r="L56" s="25">
        <f t="shared" ca="1" si="13"/>
        <v>0.91500000000000004</v>
      </c>
      <c r="M56" s="25">
        <f t="shared" ca="1" si="13"/>
        <v>0.91500000000000004</v>
      </c>
      <c r="N56" s="25">
        <f t="shared" ca="1" si="13"/>
        <v>0.91500000000000004</v>
      </c>
      <c r="O56" s="25">
        <f t="shared" ca="1" si="13"/>
        <v>0.91500000000000004</v>
      </c>
      <c r="P56" s="25">
        <f t="shared" ca="1" si="13"/>
        <v>0.91500000000000004</v>
      </c>
      <c r="Q56" s="80">
        <f t="shared" ca="1" si="13"/>
        <v>0.91500000000000004</v>
      </c>
      <c r="S56" s="221"/>
      <c r="T56" s="136"/>
    </row>
    <row r="57" spans="1:21" outlineLevel="1">
      <c r="A57" s="553">
        <v>57</v>
      </c>
      <c r="F57" s="205"/>
      <c r="I57" s="205"/>
      <c r="S57" s="221"/>
      <c r="T57" s="136"/>
    </row>
    <row r="58" spans="1:21" outlineLevel="1">
      <c r="A58" s="553">
        <v>58</v>
      </c>
      <c r="D58" s="315" t="s">
        <v>41</v>
      </c>
      <c r="F58" s="205"/>
      <c r="I58" s="205"/>
      <c r="S58" s="221"/>
      <c r="T58" s="136"/>
    </row>
    <row r="59" spans="1:21" outlineLevel="1">
      <c r="A59" s="553">
        <v>59</v>
      </c>
      <c r="B59" s="315" t="s">
        <v>644</v>
      </c>
      <c r="C59" s="72"/>
      <c r="D59" s="72">
        <f>$I$3</f>
        <v>2021</v>
      </c>
      <c r="E59" s="82"/>
      <c r="F59" s="205"/>
      <c r="I59" s="205"/>
      <c r="R59" s="587"/>
      <c r="S59" s="223"/>
      <c r="T59" s="136"/>
    </row>
    <row r="60" spans="1:21" s="294" customFormat="1" ht="15" customHeight="1" outlineLevel="2">
      <c r="A60" s="553">
        <v>60</v>
      </c>
      <c r="B60" s="295" t="s">
        <v>529</v>
      </c>
      <c r="C60" s="291"/>
      <c r="D60" s="990">
        <f ca="1">OFFSET('MOD-Berechnungen'!$I47,0,'MOD-Jahresgang'!$I$3-2013)</f>
        <v>1</v>
      </c>
      <c r="E60" s="300"/>
      <c r="F60" s="320">
        <f t="shared" ref="F60:Q60" ca="1" si="15">F27*F18*$D60/1000</f>
        <v>0.50861704657333318</v>
      </c>
      <c r="G60" s="316">
        <f t="shared" ca="1" si="15"/>
        <v>0.52377267931999982</v>
      </c>
      <c r="H60" s="316">
        <f t="shared" ca="1" si="15"/>
        <v>0.66717754033999987</v>
      </c>
      <c r="I60" s="320">
        <f t="shared" ca="1" si="15"/>
        <v>0.76381606985999984</v>
      </c>
      <c r="J60" s="316">
        <f t="shared" ca="1" si="15"/>
        <v>0.76009920333999981</v>
      </c>
      <c r="K60" s="316">
        <f t="shared" ca="1" si="15"/>
        <v>0.88647266501999977</v>
      </c>
      <c r="L60" s="316">
        <f t="shared" ca="1" si="15"/>
        <v>0.82886123395999978</v>
      </c>
      <c r="M60" s="316">
        <f t="shared" ca="1" si="15"/>
        <v>0.74151487073999978</v>
      </c>
      <c r="N60" s="316">
        <f t="shared" ca="1" si="15"/>
        <v>0.54823781169999986</v>
      </c>
      <c r="O60" s="316">
        <f t="shared" ca="1" si="15"/>
        <v>0.44230711587999993</v>
      </c>
      <c r="P60" s="316">
        <f t="shared" ca="1" si="15"/>
        <v>0.47204204803999988</v>
      </c>
      <c r="Q60" s="317">
        <f t="shared" ca="1" si="15"/>
        <v>0.4887679473799999</v>
      </c>
      <c r="R60" s="73"/>
      <c r="S60" s="224"/>
      <c r="T60" s="73"/>
      <c r="U60" s="73"/>
    </row>
    <row r="61" spans="1:21" s="294" customFormat="1" ht="15" customHeight="1" outlineLevel="2">
      <c r="A61" s="553">
        <v>61</v>
      </c>
      <c r="B61" s="297" t="s">
        <v>349</v>
      </c>
      <c r="C61" s="289"/>
      <c r="D61" s="991">
        <f ca="1">OFFSET('MOD-Berechnungen'!$I48,0,'MOD-Jahresgang'!$I$3-2013)</f>
        <v>1</v>
      </c>
      <c r="E61" s="324"/>
      <c r="F61" s="327">
        <f t="shared" ref="F61:Q61" ca="1" si="16">F28*F19*$D61/1000</f>
        <v>0.16362623333333332</v>
      </c>
      <c r="G61" s="325">
        <f t="shared" ca="1" si="16"/>
        <v>0.15800408166666666</v>
      </c>
      <c r="H61" s="325">
        <f t="shared" ca="1" si="16"/>
        <v>0.16371289999999999</v>
      </c>
      <c r="I61" s="327">
        <f t="shared" ca="1" si="16"/>
        <v>0.15924895151666663</v>
      </c>
      <c r="J61" s="325">
        <f t="shared" ca="1" si="16"/>
        <v>0.14161336546666664</v>
      </c>
      <c r="K61" s="325">
        <f t="shared" ca="1" si="16"/>
        <v>0.15158038455</v>
      </c>
      <c r="L61" s="325">
        <f t="shared" ca="1" si="16"/>
        <v>0.14318251493333331</v>
      </c>
      <c r="M61" s="325">
        <f t="shared" ca="1" si="16"/>
        <v>0.14391181758333332</v>
      </c>
      <c r="N61" s="325">
        <f t="shared" ca="1" si="16"/>
        <v>0.13575081489999999</v>
      </c>
      <c r="O61" s="325">
        <f t="shared" ca="1" si="16"/>
        <v>0.13624325061666664</v>
      </c>
      <c r="P61" s="325">
        <f t="shared" ca="1" si="16"/>
        <v>0.13240896713333331</v>
      </c>
      <c r="Q61" s="326">
        <f t="shared" ca="1" si="16"/>
        <v>0.12460326484999999</v>
      </c>
      <c r="R61" s="73"/>
      <c r="S61" s="224"/>
      <c r="T61" s="73"/>
      <c r="U61" s="73"/>
    </row>
    <row r="62" spans="1:21" s="294" customFormat="1" ht="15" customHeight="1" outlineLevel="2">
      <c r="A62" s="553">
        <v>62</v>
      </c>
      <c r="B62" s="297" t="s">
        <v>11</v>
      </c>
      <c r="C62" s="289"/>
      <c r="D62" s="991">
        <f ca="1">OFFSET('MOD-Berechnungen'!$I49,0,'MOD-Jahresgang'!$I$3-2013)</f>
        <v>1</v>
      </c>
      <c r="E62" s="324"/>
      <c r="F62" s="327">
        <f t="shared" ref="F62:Q62" ca="1" si="17">F29*F20*$D62/1000</f>
        <v>3.9127872772666659</v>
      </c>
      <c r="G62" s="325">
        <f t="shared" ca="1" si="17"/>
        <v>3.7952049257999998</v>
      </c>
      <c r="H62" s="325">
        <f t="shared" ca="1" si="17"/>
        <v>3.9275126106</v>
      </c>
      <c r="I62" s="327">
        <f t="shared" ca="1" si="17"/>
        <v>3.91550161804</v>
      </c>
      <c r="J62" s="325">
        <f t="shared" ca="1" si="17"/>
        <v>3.5302484939599998</v>
      </c>
      <c r="K62" s="325">
        <f t="shared" ca="1" si="17"/>
        <v>3.8914796329199994</v>
      </c>
      <c r="L62" s="325">
        <f t="shared" ca="1" si="17"/>
        <v>3.75582023748</v>
      </c>
      <c r="M62" s="325">
        <f t="shared" ca="1" si="17"/>
        <v>3.8674576477999998</v>
      </c>
      <c r="N62" s="325">
        <f t="shared" ca="1" si="17"/>
        <v>3.7325638933199996</v>
      </c>
      <c r="O62" s="325">
        <f t="shared" ca="1" si="17"/>
        <v>3.8434356626799997</v>
      </c>
      <c r="P62" s="325">
        <f t="shared" ca="1" si="17"/>
        <v>3.8314246701200001</v>
      </c>
      <c r="Q62" s="326">
        <f t="shared" ca="1" si="17"/>
        <v>3.6976793770800001</v>
      </c>
      <c r="R62" s="73"/>
      <c r="S62" s="224"/>
      <c r="T62" s="73"/>
      <c r="U62" s="73"/>
    </row>
    <row r="63" spans="1:21" s="294" customFormat="1" ht="15" customHeight="1" outlineLevel="2">
      <c r="A63" s="553">
        <v>63</v>
      </c>
      <c r="B63" s="297" t="s">
        <v>10</v>
      </c>
      <c r="C63" s="289"/>
      <c r="D63" s="991">
        <f ca="1">OFFSET('MOD-Berechnungen'!$I50,0,'MOD-Jahresgang'!$I$3-2013)</f>
        <v>1</v>
      </c>
      <c r="E63" s="324"/>
      <c r="F63" s="327">
        <f t="shared" ref="F63:Q63" ca="1" si="18">F30*F21*$D63/1000</f>
        <v>1.8958333333333334E-2</v>
      </c>
      <c r="G63" s="325">
        <f t="shared" ca="1" si="18"/>
        <v>1.6265833333333334E-2</v>
      </c>
      <c r="H63" s="325">
        <f t="shared" ca="1" si="18"/>
        <v>1.7489999999999999E-2</v>
      </c>
      <c r="I63" s="327">
        <f t="shared" ca="1" si="18"/>
        <v>1.7489999999999999E-2</v>
      </c>
      <c r="J63" s="325">
        <f t="shared" ca="1" si="18"/>
        <v>1.5235E-2</v>
      </c>
      <c r="K63" s="325">
        <f t="shared" ca="1" si="18"/>
        <v>1.9195E-2</v>
      </c>
      <c r="L63" s="325">
        <f t="shared" ca="1" si="18"/>
        <v>1.9910000000000001E-2</v>
      </c>
      <c r="M63" s="325">
        <f t="shared" ca="1" si="18"/>
        <v>2.2714999999999999E-2</v>
      </c>
      <c r="N63" s="325">
        <f t="shared" ca="1" si="18"/>
        <v>2.1670000000000002E-2</v>
      </c>
      <c r="O63" s="325">
        <f t="shared" ca="1" si="18"/>
        <v>2.2714999999999999E-2</v>
      </c>
      <c r="P63" s="325">
        <f t="shared" ca="1" si="18"/>
        <v>2.2769999999999999E-2</v>
      </c>
      <c r="Q63" s="326">
        <f t="shared" ca="1" si="18"/>
        <v>2.1725000000000001E-2</v>
      </c>
      <c r="R63" s="73"/>
      <c r="S63" s="224"/>
      <c r="T63" s="73"/>
      <c r="U63" s="73"/>
    </row>
    <row r="64" spans="1:21" s="294" customFormat="1" ht="15" customHeight="1" outlineLevel="2">
      <c r="A64" s="553">
        <v>64</v>
      </c>
      <c r="B64" s="297" t="s">
        <v>339</v>
      </c>
      <c r="C64" s="289"/>
      <c r="D64" s="991">
        <f ca="1">OFFSET('MOD-Berechnungen'!$I51,0,'MOD-Jahresgang'!$I$3-2013)</f>
        <v>1</v>
      </c>
      <c r="E64" s="324"/>
      <c r="F64" s="327">
        <f t="shared" ref="F64:Q64" ca="1" si="19">F31*F22*$D64/1000</f>
        <v>9.1548843333333334</v>
      </c>
      <c r="G64" s="325">
        <f t="shared" ca="1" si="19"/>
        <v>9.0013586666666665</v>
      </c>
      <c r="H64" s="325">
        <f t="shared" ca="1" si="19"/>
        <v>10.825741000000001</v>
      </c>
      <c r="I64" s="327">
        <f t="shared" ca="1" si="19"/>
        <v>12.578401448150835</v>
      </c>
      <c r="J64" s="325">
        <f t="shared" ca="1" si="19"/>
        <v>10.21177841359</v>
      </c>
      <c r="K64" s="325">
        <f t="shared" ca="1" si="19"/>
        <v>9.9326558617725009</v>
      </c>
      <c r="L64" s="325">
        <f t="shared" ca="1" si="19"/>
        <v>6.4724261376733327</v>
      </c>
      <c r="M64" s="325">
        <f t="shared" ca="1" si="19"/>
        <v>5.6470353790291661</v>
      </c>
      <c r="N64" s="325">
        <f t="shared" ca="1" si="19"/>
        <v>5.2608099307200007</v>
      </c>
      <c r="O64" s="325">
        <f t="shared" ca="1" si="19"/>
        <v>5.5870113099549998</v>
      </c>
      <c r="P64" s="325">
        <f t="shared" ca="1" si="19"/>
        <v>5.4749137926666673</v>
      </c>
      <c r="Q64" s="326">
        <f t="shared" ca="1" si="19"/>
        <v>6.5668386200999995</v>
      </c>
      <c r="R64" s="73"/>
      <c r="S64" s="224"/>
      <c r="T64" s="73"/>
      <c r="U64" s="73"/>
    </row>
    <row r="65" spans="1:21" s="294" customFormat="1" ht="15" customHeight="1" outlineLevel="2">
      <c r="A65" s="553">
        <v>65</v>
      </c>
      <c r="B65" s="297" t="s">
        <v>340</v>
      </c>
      <c r="C65" s="289"/>
      <c r="D65" s="991">
        <f ca="1">OFFSET('MOD-Berechnungen'!$I52,0,'MOD-Jahresgang'!$I$3-2013)</f>
        <v>1</v>
      </c>
      <c r="E65" s="324"/>
      <c r="F65" s="327">
        <f t="shared" ref="F65:Q65" ca="1" si="20">F32*F23*$D65/1000</f>
        <v>3.8053399999999997</v>
      </c>
      <c r="G65" s="325">
        <f t="shared" ca="1" si="20"/>
        <v>3.0831019999999998</v>
      </c>
      <c r="H65" s="325">
        <f t="shared" ca="1" si="20"/>
        <v>4.0616179999999993</v>
      </c>
      <c r="I65" s="327">
        <f t="shared" ca="1" si="20"/>
        <v>3.3005499999999999</v>
      </c>
      <c r="J65" s="325">
        <f t="shared" ca="1" si="20"/>
        <v>2.5161839999999995</v>
      </c>
      <c r="K65" s="325">
        <f t="shared" ca="1" si="20"/>
        <v>3.4325719999999995</v>
      </c>
      <c r="L65" s="325">
        <f t="shared" ca="1" si="20"/>
        <v>2.2210759999999996</v>
      </c>
      <c r="M65" s="325">
        <f t="shared" ca="1" si="20"/>
        <v>2.1201179999999997</v>
      </c>
      <c r="N65" s="325">
        <f t="shared" ca="1" si="20"/>
        <v>2.4928859999999995</v>
      </c>
      <c r="O65" s="325">
        <f t="shared" ca="1" si="20"/>
        <v>1.1338359999999998</v>
      </c>
      <c r="P65" s="325">
        <f t="shared" ca="1" si="20"/>
        <v>2.1744799999999995</v>
      </c>
      <c r="Q65" s="326">
        <f t="shared" ca="1" si="20"/>
        <v>2.1744799999999995</v>
      </c>
      <c r="R65" s="73"/>
      <c r="S65" s="224"/>
      <c r="T65" s="73"/>
      <c r="U65" s="73"/>
    </row>
    <row r="66" spans="1:21" s="294" customFormat="1" ht="15" customHeight="1" outlineLevel="2">
      <c r="A66" s="553">
        <v>66</v>
      </c>
      <c r="B66" s="298" t="s">
        <v>530</v>
      </c>
      <c r="C66" s="986"/>
      <c r="D66" s="992">
        <f ca="1">OFFSET('MOD-Berechnungen'!$I53,0,'MOD-Jahresgang'!$I$3-2013)</f>
        <v>1</v>
      </c>
      <c r="E66" s="987"/>
      <c r="F66" s="303">
        <f t="shared" ref="F66:Q66" ca="1" si="21">F33*F24*$D66/1000</f>
        <v>3.6075691666666665</v>
      </c>
      <c r="G66" s="302">
        <f t="shared" ca="1" si="21"/>
        <v>1.5343024999999999</v>
      </c>
      <c r="H66" s="302">
        <f t="shared" ca="1" si="21"/>
        <v>0.92656799999999995</v>
      </c>
      <c r="I66" s="303">
        <f t="shared" ca="1" si="21"/>
        <v>1.19418326358</v>
      </c>
      <c r="J66" s="302">
        <f t="shared" ca="1" si="21"/>
        <v>1.8851768251199998</v>
      </c>
      <c r="K66" s="302">
        <f t="shared" ca="1" si="21"/>
        <v>4.1720717160199996</v>
      </c>
      <c r="L66" s="302">
        <f t="shared" ca="1" si="21"/>
        <v>5.7516529507200005</v>
      </c>
      <c r="M66" s="302">
        <f t="shared" ca="1" si="21"/>
        <v>6.3367247614000011</v>
      </c>
      <c r="N66" s="302">
        <f t="shared" ca="1" si="21"/>
        <v>6.8224046637599995</v>
      </c>
      <c r="O66" s="302">
        <f t="shared" ca="1" si="21"/>
        <v>6.8784761077199992</v>
      </c>
      <c r="P66" s="302">
        <f t="shared" ca="1" si="21"/>
        <v>6.1090061764800003</v>
      </c>
      <c r="Q66" s="55">
        <f t="shared" ca="1" si="21"/>
        <v>5.4926292108599997</v>
      </c>
      <c r="R66" s="73"/>
      <c r="S66" s="224"/>
      <c r="T66" s="73"/>
      <c r="U66" s="73"/>
    </row>
    <row r="67" spans="1:21" s="294" customFormat="1" ht="15" customHeight="1" outlineLevel="1">
      <c r="A67" s="553">
        <v>67</v>
      </c>
      <c r="F67" s="313"/>
      <c r="I67" s="313"/>
      <c r="S67" s="313"/>
    </row>
    <row r="68" spans="1:21" s="294" customFormat="1" ht="15" customHeight="1" outlineLevel="1">
      <c r="A68" s="553">
        <v>68</v>
      </c>
      <c r="C68" s="328"/>
      <c r="D68" s="328"/>
      <c r="E68" s="328"/>
      <c r="F68" s="218"/>
      <c r="G68" s="328"/>
      <c r="H68" s="328"/>
      <c r="I68" s="218"/>
      <c r="J68" s="328"/>
      <c r="K68" s="328"/>
      <c r="L68" s="328"/>
      <c r="M68" s="328"/>
      <c r="N68" s="328"/>
      <c r="O68" s="328"/>
      <c r="P68" s="328"/>
      <c r="Q68" s="328"/>
      <c r="S68" s="313"/>
      <c r="T68" s="574"/>
    </row>
    <row r="69" spans="1:21" s="294" customFormat="1" ht="15" customHeight="1" outlineLevel="1">
      <c r="A69" s="553">
        <v>69</v>
      </c>
      <c r="B69" s="315" t="s">
        <v>645</v>
      </c>
      <c r="C69" s="82"/>
      <c r="D69" s="82"/>
      <c r="E69" s="315" t="s">
        <v>123</v>
      </c>
      <c r="F69" s="205"/>
      <c r="G69" s="9"/>
      <c r="H69" s="9"/>
      <c r="I69" s="205"/>
      <c r="J69" s="9"/>
      <c r="K69" s="9"/>
      <c r="L69" s="9"/>
      <c r="M69" s="9"/>
      <c r="N69" s="9"/>
      <c r="O69" s="9"/>
      <c r="P69" s="9"/>
      <c r="Q69" s="9"/>
      <c r="S69" s="313"/>
      <c r="T69" s="574"/>
    </row>
    <row r="70" spans="1:21" s="294" customFormat="1" ht="15" customHeight="1" outlineLevel="2">
      <c r="A70" s="553">
        <v>70</v>
      </c>
      <c r="B70" s="295" t="s">
        <v>529</v>
      </c>
      <c r="C70" s="291"/>
      <c r="D70" s="300"/>
      <c r="E70" s="369">
        <f ca="1">SUM(F70:Q70)</f>
        <v>0.73103878610989215</v>
      </c>
      <c r="F70" s="320">
        <f t="shared" ref="F70:Q70" ca="1" si="22">F60*F41/1000</f>
        <v>4.8229244180379473E-2</v>
      </c>
      <c r="G70" s="316">
        <f t="shared" ca="1" si="22"/>
        <v>4.9666366112040394E-2</v>
      </c>
      <c r="H70" s="316">
        <f t="shared" ca="1" si="22"/>
        <v>6.3264628508835158E-2</v>
      </c>
      <c r="I70" s="320">
        <f t="shared" ca="1" si="22"/>
        <v>7.3377218967371538E-2</v>
      </c>
      <c r="J70" s="316">
        <f t="shared" ca="1" si="22"/>
        <v>7.3020152208406214E-2</v>
      </c>
      <c r="K70" s="316">
        <f t="shared" ca="1" si="22"/>
        <v>8.5160422013226808E-2</v>
      </c>
      <c r="L70" s="316">
        <f t="shared" ca="1" si="22"/>
        <v>7.9625887249264476E-2</v>
      </c>
      <c r="M70" s="316">
        <f t="shared" ca="1" si="22"/>
        <v>7.1234818413579648E-2</v>
      </c>
      <c r="N70" s="316">
        <f t="shared" ca="1" si="22"/>
        <v>5.2667346947383453E-2</v>
      </c>
      <c r="O70" s="316">
        <f t="shared" ca="1" si="22"/>
        <v>4.249094431687208E-2</v>
      </c>
      <c r="P70" s="316">
        <f ca="1">P60*P41/1000</f>
        <v>4.534747838859457E-2</v>
      </c>
      <c r="Q70" s="317">
        <f t="shared" ca="1" si="22"/>
        <v>4.6954278803938473E-2</v>
      </c>
      <c r="S70" s="313" t="s">
        <v>176</v>
      </c>
      <c r="T70" s="574"/>
    </row>
    <row r="71" spans="1:21" s="294" customFormat="1" ht="15" customHeight="1" outlineLevel="2">
      <c r="A71" s="553">
        <v>71</v>
      </c>
      <c r="B71" s="297" t="s">
        <v>349</v>
      </c>
      <c r="C71" s="289"/>
      <c r="D71" s="324"/>
      <c r="E71" s="370">
        <f t="shared" ref="E71:E76" ca="1" si="23">SUM(F71:Q71)</f>
        <v>0.12397368130299186</v>
      </c>
      <c r="F71" s="327">
        <f t="shared" ref="F71:Q71" ca="1" si="24">F61*F42/1000</f>
        <v>1.1306355817758899E-2</v>
      </c>
      <c r="G71" s="325">
        <f t="shared" ca="1" si="24"/>
        <v>1.0917872590407175E-2</v>
      </c>
      <c r="H71" s="325">
        <f t="shared" ca="1" si="24"/>
        <v>1.1312344369538834E-2</v>
      </c>
      <c r="I71" s="327">
        <f t="shared" ca="1" si="24"/>
        <v>1.1353190981070779E-2</v>
      </c>
      <c r="J71" s="325">
        <f t="shared" ca="1" si="24"/>
        <v>1.0095913149211379E-2</v>
      </c>
      <c r="K71" s="325">
        <f t="shared" ca="1" si="24"/>
        <v>1.0806482795588095E-2</v>
      </c>
      <c r="L71" s="325">
        <f t="shared" ca="1" si="24"/>
        <v>1.0207781098125613E-2</v>
      </c>
      <c r="M71" s="325">
        <f t="shared" ca="1" si="24"/>
        <v>1.0259774610105406E-2</v>
      </c>
      <c r="N71" s="325">
        <f t="shared" ca="1" si="24"/>
        <v>9.6779596519628568E-3</v>
      </c>
      <c r="O71" s="325">
        <f t="shared" ca="1" si="24"/>
        <v>9.7130664246227166E-3</v>
      </c>
      <c r="P71" s="325">
        <f t="shared" ca="1" si="24"/>
        <v>9.4397123318813742E-3</v>
      </c>
      <c r="Q71" s="326">
        <f t="shared" ca="1" si="24"/>
        <v>8.8832274827187179E-3</v>
      </c>
      <c r="S71" s="313" t="s">
        <v>176</v>
      </c>
      <c r="T71" s="574"/>
    </row>
    <row r="72" spans="1:21" s="294" customFormat="1" ht="15" customHeight="1" outlineLevel="2">
      <c r="A72" s="553">
        <v>72</v>
      </c>
      <c r="B72" s="297" t="s">
        <v>11</v>
      </c>
      <c r="C72" s="289"/>
      <c r="D72" s="324"/>
      <c r="E72" s="370">
        <f t="shared" ca="1" si="23"/>
        <v>8.9698917226488764</v>
      </c>
      <c r="F72" s="327">
        <f t="shared" ref="F72:Q72" ca="1" si="25">F62*F43/1000</f>
        <v>0.75267924202526226</v>
      </c>
      <c r="G72" s="325">
        <f t="shared" ca="1" si="25"/>
        <v>0.73006063566971757</v>
      </c>
      <c r="H72" s="325">
        <f t="shared" ca="1" si="25"/>
        <v>0.75551186540765214</v>
      </c>
      <c r="I72" s="327">
        <f t="shared" ca="1" si="25"/>
        <v>0.77373475119487467</v>
      </c>
      <c r="J72" s="325">
        <f t="shared" ca="1" si="25"/>
        <v>0.69760562160041406</v>
      </c>
      <c r="K72" s="325">
        <f t="shared" ca="1" si="25"/>
        <v>0.76898781287300144</v>
      </c>
      <c r="L72" s="325">
        <f t="shared" ca="1" si="25"/>
        <v>0.74218042040650123</v>
      </c>
      <c r="M72" s="325">
        <f t="shared" ca="1" si="25"/>
        <v>0.76424087455112844</v>
      </c>
      <c r="N72" s="325">
        <f t="shared" ca="1" si="25"/>
        <v>0.7375847789235721</v>
      </c>
      <c r="O72" s="325">
        <f t="shared" ca="1" si="25"/>
        <v>0.75949393622925532</v>
      </c>
      <c r="P72" s="325">
        <f t="shared" ca="1" si="25"/>
        <v>0.75712046706831881</v>
      </c>
      <c r="Q72" s="326">
        <f t="shared" ca="1" si="25"/>
        <v>0.73069131669917886</v>
      </c>
      <c r="S72" s="313" t="s">
        <v>176</v>
      </c>
      <c r="T72" s="574"/>
    </row>
    <row r="73" spans="1:21" s="294" customFormat="1" ht="15" customHeight="1" outlineLevel="2">
      <c r="A73" s="553">
        <v>73</v>
      </c>
      <c r="B73" s="297" t="s">
        <v>10</v>
      </c>
      <c r="C73" s="289"/>
      <c r="D73" s="324"/>
      <c r="E73" s="370">
        <f t="shared" ca="1" si="23"/>
        <v>5.8572611381417977E-2</v>
      </c>
      <c r="F73" s="327">
        <f t="shared" ref="F73:Q73" ca="1" si="26">F63*F44/1000</f>
        <v>4.6621209449809742E-3</v>
      </c>
      <c r="G73" s="325">
        <f t="shared" ca="1" si="26"/>
        <v>3.9999973065970827E-3</v>
      </c>
      <c r="H73" s="325">
        <f t="shared" ca="1" si="26"/>
        <v>4.3010371161872826E-3</v>
      </c>
      <c r="I73" s="327">
        <f t="shared" ca="1" si="26"/>
        <v>4.3489676198925154E-3</v>
      </c>
      <c r="J73" s="325">
        <f t="shared" ca="1" si="26"/>
        <v>3.7882516689000845E-3</v>
      </c>
      <c r="K73" s="325">
        <f t="shared" ca="1" si="26"/>
        <v>4.7729235828380123E-3</v>
      </c>
      <c r="L73" s="325">
        <f t="shared" ca="1" si="26"/>
        <v>4.9507115672990272E-3</v>
      </c>
      <c r="M73" s="325">
        <f t="shared" ca="1" si="26"/>
        <v>5.6481875063383929E-3</v>
      </c>
      <c r="N73" s="325">
        <f t="shared" ca="1" si="26"/>
        <v>5.3883435290492179E-3</v>
      </c>
      <c r="O73" s="325">
        <f t="shared" ca="1" si="26"/>
        <v>5.6481875063383929E-3</v>
      </c>
      <c r="P73" s="325">
        <f t="shared" ca="1" si="26"/>
        <v>5.6618635051430858E-3</v>
      </c>
      <c r="Q73" s="326">
        <f t="shared" ca="1" si="26"/>
        <v>5.4020195278539108E-3</v>
      </c>
      <c r="S73" s="313" t="s">
        <v>176</v>
      </c>
      <c r="T73" s="574"/>
    </row>
    <row r="74" spans="1:21" s="294" customFormat="1" ht="15" customHeight="1" outlineLevel="2">
      <c r="A74" s="553">
        <v>74</v>
      </c>
      <c r="B74" s="297" t="s">
        <v>339</v>
      </c>
      <c r="C74" s="289"/>
      <c r="D74" s="324"/>
      <c r="E74" s="370">
        <f t="shared" ca="1" si="23"/>
        <v>8.3990729627804637</v>
      </c>
      <c r="F74" s="327">
        <f t="shared" ref="F74:Q74" ca="1" si="27">F64*F45/1000</f>
        <v>0.77764503910244498</v>
      </c>
      <c r="G74" s="325">
        <f t="shared" ca="1" si="27"/>
        <v>0.76460407990391854</v>
      </c>
      <c r="H74" s="325">
        <f t="shared" ca="1" si="27"/>
        <v>0.91957292705550764</v>
      </c>
      <c r="I74" s="327">
        <f t="shared" ca="1" si="27"/>
        <v>1.102599478554803</v>
      </c>
      <c r="J74" s="325">
        <f t="shared" ca="1" si="27"/>
        <v>0.89514566698750098</v>
      </c>
      <c r="K74" s="325">
        <f t="shared" ca="1" si="27"/>
        <v>0.87067829874874081</v>
      </c>
      <c r="L74" s="325">
        <f t="shared" ca="1" si="27"/>
        <v>0.56736094119751901</v>
      </c>
      <c r="M74" s="325">
        <f t="shared" ca="1" si="27"/>
        <v>0.49500870917213691</v>
      </c>
      <c r="N74" s="325">
        <f t="shared" ca="1" si="27"/>
        <v>0.4611528985060776</v>
      </c>
      <c r="O74" s="325">
        <f t="shared" ca="1" si="27"/>
        <v>0.48974710995106557</v>
      </c>
      <c r="P74" s="325">
        <f t="shared" ca="1" si="27"/>
        <v>0.47992084827394488</v>
      </c>
      <c r="Q74" s="326">
        <f t="shared" ca="1" si="27"/>
        <v>0.5756369653268022</v>
      </c>
      <c r="S74" s="313" t="s">
        <v>176</v>
      </c>
      <c r="T74" s="574"/>
    </row>
    <row r="75" spans="1:21" s="294" customFormat="1" ht="15" customHeight="1" outlineLevel="2">
      <c r="A75" s="553">
        <v>75</v>
      </c>
      <c r="B75" s="297" t="s">
        <v>340</v>
      </c>
      <c r="C75" s="289"/>
      <c r="D75" s="324"/>
      <c r="E75" s="370">
        <f t="shared" ca="1" si="23"/>
        <v>6.0195639283867912</v>
      </c>
      <c r="F75" s="327">
        <f t="shared" ref="F75:Q75" ca="1" si="28">F65*F46/1000</f>
        <v>0.70252701131293449</v>
      </c>
      <c r="G75" s="325">
        <f t="shared" ca="1" si="28"/>
        <v>0.56919025202292861</v>
      </c>
      <c r="H75" s="325">
        <f t="shared" ca="1" si="28"/>
        <v>0.74984005493196881</v>
      </c>
      <c r="I75" s="327">
        <f t="shared" ca="1" si="28"/>
        <v>0.61186633392169898</v>
      </c>
      <c r="J75" s="325">
        <f t="shared" ca="1" si="28"/>
        <v>0.4664580992720716</v>
      </c>
      <c r="K75" s="325">
        <f t="shared" ca="1" si="28"/>
        <v>0.63634098727856692</v>
      </c>
      <c r="L75" s="325">
        <f t="shared" ca="1" si="28"/>
        <v>0.41175005059201386</v>
      </c>
      <c r="M75" s="325">
        <f t="shared" ca="1" si="28"/>
        <v>0.39303413920146779</v>
      </c>
      <c r="N75" s="325">
        <f t="shared" ca="1" si="28"/>
        <v>0.4621390427973302</v>
      </c>
      <c r="O75" s="325">
        <f t="shared" ca="1" si="28"/>
        <v>0.21019408177074833</v>
      </c>
      <c r="P75" s="325">
        <f t="shared" ca="1" si="28"/>
        <v>0.403111937642531</v>
      </c>
      <c r="Q75" s="326">
        <f t="shared" ca="1" si="28"/>
        <v>0.403111937642531</v>
      </c>
      <c r="S75" s="313" t="s">
        <v>176</v>
      </c>
      <c r="T75" s="574"/>
    </row>
    <row r="76" spans="1:21" s="294" customFormat="1" ht="15" customHeight="1" outlineLevel="2">
      <c r="A76" s="553">
        <v>76</v>
      </c>
      <c r="B76" s="298" t="s">
        <v>530</v>
      </c>
      <c r="C76" s="986"/>
      <c r="D76" s="987"/>
      <c r="E76" s="999">
        <f t="shared" ca="1" si="23"/>
        <v>12.723792101258853</v>
      </c>
      <c r="F76" s="303">
        <f t="shared" ref="F76:Q76" ca="1" si="29">F66*F47/1000</f>
        <v>0.95375018301828796</v>
      </c>
      <c r="G76" s="302">
        <f t="shared" ca="1" si="29"/>
        <v>0.40563083410886325</v>
      </c>
      <c r="H76" s="302">
        <f t="shared" ca="1" si="29"/>
        <v>0.24496117988374605</v>
      </c>
      <c r="I76" s="303">
        <f t="shared" ca="1" si="29"/>
        <v>0.29744554690861391</v>
      </c>
      <c r="J76" s="302">
        <f t="shared" ca="1" si="29"/>
        <v>0.46955728560978788</v>
      </c>
      <c r="K76" s="302">
        <f t="shared" ca="1" si="29"/>
        <v>1.0391739619539511</v>
      </c>
      <c r="L76" s="302">
        <f t="shared" ca="1" si="29"/>
        <v>1.4326139125637178</v>
      </c>
      <c r="M76" s="302">
        <f t="shared" ca="1" si="29"/>
        <v>1.5783428052856072</v>
      </c>
      <c r="N76" s="302">
        <f t="shared" ca="1" si="29"/>
        <v>1.6993152963477498</v>
      </c>
      <c r="O76" s="302">
        <f t="shared" ca="1" si="29"/>
        <v>1.7132814955261229</v>
      </c>
      <c r="P76" s="302">
        <f t="shared" ca="1" si="29"/>
        <v>1.5216229691444374</v>
      </c>
      <c r="Q76" s="55">
        <f t="shared" ca="1" si="29"/>
        <v>1.3680966309079685</v>
      </c>
      <c r="R76" s="73"/>
      <c r="S76" s="313" t="s">
        <v>176</v>
      </c>
      <c r="T76" s="574"/>
    </row>
    <row r="77" spans="1:21" s="294" customFormat="1" ht="15" customHeight="1" outlineLevel="1">
      <c r="A77" s="553">
        <v>77</v>
      </c>
      <c r="C77" s="328"/>
      <c r="D77" s="328"/>
      <c r="E77" s="328"/>
      <c r="F77" s="219"/>
      <c r="G77" s="70"/>
      <c r="H77" s="70"/>
      <c r="I77" s="219"/>
      <c r="J77" s="70"/>
      <c r="K77" s="70"/>
      <c r="L77" s="70"/>
      <c r="M77" s="70"/>
      <c r="N77" s="70"/>
      <c r="O77" s="70"/>
      <c r="P77" s="70"/>
      <c r="Q77" s="70"/>
      <c r="S77" s="313"/>
      <c r="T77" s="574"/>
    </row>
    <row r="78" spans="1:21" s="294" customFormat="1" ht="15" customHeight="1" outlineLevel="1">
      <c r="A78" s="553">
        <v>78</v>
      </c>
      <c r="B78" s="315" t="s">
        <v>646</v>
      </c>
      <c r="C78" s="82"/>
      <c r="D78" s="82"/>
      <c r="E78" s="315" t="s">
        <v>647</v>
      </c>
      <c r="F78" s="205"/>
      <c r="G78" s="9"/>
      <c r="H78" s="9"/>
      <c r="I78" s="205"/>
      <c r="J78" s="9"/>
      <c r="K78" s="9"/>
      <c r="L78" s="9"/>
      <c r="M78" s="9"/>
      <c r="N78" s="9"/>
      <c r="O78" s="9"/>
      <c r="P78" s="9"/>
      <c r="Q78" s="9"/>
      <c r="S78" s="313"/>
      <c r="T78" s="574"/>
    </row>
    <row r="79" spans="1:21" s="294" customFormat="1" ht="15" customHeight="1" outlineLevel="2">
      <c r="A79" s="553">
        <v>79</v>
      </c>
      <c r="B79" s="295" t="s">
        <v>529</v>
      </c>
      <c r="C79" s="291"/>
      <c r="D79" s="300"/>
      <c r="E79" s="369">
        <f ca="1">SUM(F79:Q79)</f>
        <v>0.2798234073881341</v>
      </c>
      <c r="F79" s="84">
        <f t="shared" ref="F79:Q79" ca="1" si="30">F60*F$38*F50/1000</f>
        <v>1.8648952629657836E-2</v>
      </c>
      <c r="G79" s="74">
        <f t="shared" ca="1" si="30"/>
        <v>1.9204649059947114E-2</v>
      </c>
      <c r="H79" s="74">
        <f t="shared" ca="1" si="30"/>
        <v>2.4462731694106437E-2</v>
      </c>
      <c r="I79" s="84">
        <f t="shared" ca="1" si="30"/>
        <v>2.8006080017486754E-2</v>
      </c>
      <c r="J79" s="74">
        <f t="shared" ca="1" si="30"/>
        <v>2.7869797389664434E-2</v>
      </c>
      <c r="K79" s="74">
        <f t="shared" ca="1" si="30"/>
        <v>3.2503406735623318E-2</v>
      </c>
      <c r="L79" s="74">
        <f t="shared" ca="1" si="30"/>
        <v>3.0391026004377354E-2</v>
      </c>
      <c r="M79" s="74">
        <f t="shared" ca="1" si="30"/>
        <v>2.7188384250552835E-2</v>
      </c>
      <c r="N79" s="74">
        <f t="shared" ca="1" si="30"/>
        <v>2.0101687603792197E-2</v>
      </c>
      <c r="O79" s="74">
        <f t="shared" ca="1" si="30"/>
        <v>1.6217632710856082E-2</v>
      </c>
      <c r="P79" s="74">
        <f t="shared" ca="1" si="30"/>
        <v>1.7307893733434641E-2</v>
      </c>
      <c r="Q79" s="358">
        <f t="shared" ca="1" si="30"/>
        <v>1.7921165558635078E-2</v>
      </c>
      <c r="S79" s="313" t="s">
        <v>176</v>
      </c>
      <c r="T79" s="574"/>
    </row>
    <row r="80" spans="1:21" s="294" customFormat="1" ht="15" customHeight="1" outlineLevel="2">
      <c r="A80" s="553">
        <v>80</v>
      </c>
      <c r="B80" s="297" t="s">
        <v>349</v>
      </c>
      <c r="C80" s="289"/>
      <c r="D80" s="324"/>
      <c r="E80" s="370">
        <f t="shared" ref="E80:E85" ca="1" si="31">SUM(F80:Q80)</f>
        <v>6.43080041158023E-2</v>
      </c>
      <c r="F80" s="330">
        <f t="shared" ref="F80:Q80" ca="1" si="32">F61*F$38*F51/1000</f>
        <v>5.9995194713999998E-3</v>
      </c>
      <c r="G80" s="329">
        <f t="shared" ca="1" si="32"/>
        <v>5.7933776583900002E-3</v>
      </c>
      <c r="H80" s="329">
        <f t="shared" ca="1" si="32"/>
        <v>6.0026971914000004E-3</v>
      </c>
      <c r="I80" s="330">
        <f t="shared" ca="1" si="32"/>
        <v>5.8390220563100991E-3</v>
      </c>
      <c r="J80" s="329">
        <f t="shared" ca="1" si="32"/>
        <v>5.1923956582008001E-3</v>
      </c>
      <c r="K80" s="329">
        <f t="shared" ca="1" si="32"/>
        <v>5.5578463799103011E-3</v>
      </c>
      <c r="L80" s="329">
        <f t="shared" ca="1" si="32"/>
        <v>5.2499300925455995E-3</v>
      </c>
      <c r="M80" s="329">
        <f t="shared" ca="1" si="32"/>
        <v>5.2766707035104997E-3</v>
      </c>
      <c r="N80" s="329">
        <f t="shared" ca="1" si="32"/>
        <v>4.9774393791233995E-3</v>
      </c>
      <c r="O80" s="329">
        <f t="shared" ca="1" si="32"/>
        <v>4.9954950271106991E-3</v>
      </c>
      <c r="P80" s="329">
        <f t="shared" ca="1" si="32"/>
        <v>4.8549071889107996E-3</v>
      </c>
      <c r="Q80" s="359">
        <f t="shared" ca="1" si="32"/>
        <v>4.5687033089901003E-3</v>
      </c>
      <c r="S80" s="313" t="s">
        <v>176</v>
      </c>
      <c r="T80" s="574"/>
    </row>
    <row r="81" spans="1:21" s="294" customFormat="1" ht="15" customHeight="1" outlineLevel="2">
      <c r="A81" s="553">
        <v>81</v>
      </c>
      <c r="B81" s="297" t="s">
        <v>11</v>
      </c>
      <c r="C81" s="289"/>
      <c r="D81" s="324"/>
      <c r="E81" s="370">
        <f t="shared" ca="1" si="31"/>
        <v>1.6756771209817465</v>
      </c>
      <c r="F81" s="330">
        <f t="shared" ref="F81:Q81" ca="1" si="33">F62*F$38*F52/1000</f>
        <v>0.1434662583082596</v>
      </c>
      <c r="G81" s="329">
        <f t="shared" ca="1" si="33"/>
        <v>0.13915498380938279</v>
      </c>
      <c r="H81" s="329">
        <f t="shared" ca="1" si="33"/>
        <v>0.14400617738025964</v>
      </c>
      <c r="I81" s="330">
        <f t="shared" ca="1" si="33"/>
        <v>0.14356578232705464</v>
      </c>
      <c r="J81" s="329">
        <f t="shared" ca="1" si="33"/>
        <v>0.12944009127953737</v>
      </c>
      <c r="K81" s="329">
        <f t="shared" ca="1" si="33"/>
        <v>0.14268499222064471</v>
      </c>
      <c r="L81" s="329">
        <f t="shared" ca="1" si="33"/>
        <v>0.13771090482744172</v>
      </c>
      <c r="M81" s="329">
        <f t="shared" ca="1" si="33"/>
        <v>0.14180420211423481</v>
      </c>
      <c r="N81" s="329">
        <f t="shared" ca="1" si="33"/>
        <v>0.1368581877124711</v>
      </c>
      <c r="O81" s="329">
        <f t="shared" ca="1" si="33"/>
        <v>0.14092341200782488</v>
      </c>
      <c r="P81" s="329">
        <f t="shared" ca="1" si="33"/>
        <v>0.14048301695461993</v>
      </c>
      <c r="Q81" s="359">
        <f t="shared" ca="1" si="33"/>
        <v>0.1355791120400153</v>
      </c>
      <c r="S81" s="313" t="s">
        <v>176</v>
      </c>
      <c r="T81" s="574"/>
    </row>
    <row r="82" spans="1:21" s="294" customFormat="1" ht="15" customHeight="1" outlineLevel="2">
      <c r="A82" s="553">
        <v>82</v>
      </c>
      <c r="B82" s="297" t="s">
        <v>10</v>
      </c>
      <c r="C82" s="289"/>
      <c r="D82" s="324"/>
      <c r="E82" s="370">
        <f t="shared" ca="1" si="31"/>
        <v>8.6582786850000013E-3</v>
      </c>
      <c r="F82" s="330">
        <f t="shared" ref="F82:Q82" ca="1" si="34">F63*F$38*F53/1000</f>
        <v>6.951262500000001E-4</v>
      </c>
      <c r="G82" s="329">
        <f t="shared" ca="1" si="34"/>
        <v>5.9640304500000005E-4</v>
      </c>
      <c r="H82" s="329">
        <f t="shared" ca="1" si="34"/>
        <v>6.4128834E-4</v>
      </c>
      <c r="I82" s="330">
        <f t="shared" ca="1" si="34"/>
        <v>6.4128834E-4</v>
      </c>
      <c r="J82" s="329">
        <f t="shared" ca="1" si="34"/>
        <v>5.5860651000000003E-4</v>
      </c>
      <c r="K82" s="329">
        <f t="shared" ca="1" si="34"/>
        <v>7.0380387000000013E-4</v>
      </c>
      <c r="L82" s="329">
        <f t="shared" ca="1" si="34"/>
        <v>7.3002006000000004E-4</v>
      </c>
      <c r="M82" s="329">
        <f t="shared" ca="1" si="34"/>
        <v>8.3286818999999995E-4</v>
      </c>
      <c r="N82" s="329">
        <f t="shared" ca="1" si="34"/>
        <v>7.9455222000000012E-4</v>
      </c>
      <c r="O82" s="329">
        <f t="shared" ca="1" si="34"/>
        <v>8.3286818999999995E-4</v>
      </c>
      <c r="P82" s="329">
        <f t="shared" ca="1" si="34"/>
        <v>8.3488482000000012E-4</v>
      </c>
      <c r="Q82" s="359">
        <f t="shared" ca="1" si="34"/>
        <v>7.9656885000000007E-4</v>
      </c>
      <c r="S82" s="313" t="s">
        <v>176</v>
      </c>
      <c r="T82" s="574"/>
    </row>
    <row r="83" spans="1:21" s="294" customFormat="1" ht="15" customHeight="1" outlineLevel="2">
      <c r="A83" s="553">
        <v>83</v>
      </c>
      <c r="B83" s="297" t="s">
        <v>339</v>
      </c>
      <c r="C83" s="289"/>
      <c r="D83" s="324"/>
      <c r="E83" s="370">
        <f t="shared" ca="1" si="31"/>
        <v>3.1060107956512173</v>
      </c>
      <c r="F83" s="330">
        <f t="shared" ref="F83:Q83" ca="1" si="35">F64*F$38*F54/1000</f>
        <v>0.29942030615767201</v>
      </c>
      <c r="G83" s="329">
        <f t="shared" ca="1" si="35"/>
        <v>0.29439908464982401</v>
      </c>
      <c r="H83" s="329">
        <f t="shared" ca="1" si="35"/>
        <v>0.35406746459935201</v>
      </c>
      <c r="I83" s="330">
        <f t="shared" ca="1" si="35"/>
        <v>0.40078251105567386</v>
      </c>
      <c r="J83" s="329">
        <f t="shared" ca="1" si="35"/>
        <v>0.32537538349472844</v>
      </c>
      <c r="K83" s="329">
        <f t="shared" ca="1" si="35"/>
        <v>0.31648177029031521</v>
      </c>
      <c r="L83" s="329">
        <f t="shared" ca="1" si="35"/>
        <v>0.20622932180785555</v>
      </c>
      <c r="M83" s="329">
        <f t="shared" ca="1" si="35"/>
        <v>0.17993009911130309</v>
      </c>
      <c r="N83" s="329">
        <f t="shared" ca="1" si="35"/>
        <v>0.16762389266328845</v>
      </c>
      <c r="O83" s="329">
        <f t="shared" ca="1" si="35"/>
        <v>0.17801756696431392</v>
      </c>
      <c r="P83" s="329">
        <f t="shared" ca="1" si="35"/>
        <v>0.17444583134694502</v>
      </c>
      <c r="Q83" s="359">
        <f t="shared" ca="1" si="35"/>
        <v>0.20923756350994574</v>
      </c>
      <c r="S83" s="313" t="s">
        <v>176</v>
      </c>
      <c r="T83" s="574"/>
    </row>
    <row r="84" spans="1:21" s="294" customFormat="1" ht="15" customHeight="1" outlineLevel="2">
      <c r="A84" s="553">
        <v>84</v>
      </c>
      <c r="B84" s="297" t="s">
        <v>340</v>
      </c>
      <c r="C84" s="289"/>
      <c r="D84" s="324"/>
      <c r="E84" s="370">
        <f t="shared" ca="1" si="31"/>
        <v>1.0723604165033762</v>
      </c>
      <c r="F84" s="330">
        <f t="shared" ref="F84:Q84" ca="1" si="36">F65*F$38*F55/1000</f>
        <v>0.12864352191768</v>
      </c>
      <c r="G84" s="329">
        <f t="shared" ca="1" si="36"/>
        <v>0.10422750653330401</v>
      </c>
      <c r="H84" s="329">
        <f t="shared" ca="1" si="36"/>
        <v>0.13730726931213602</v>
      </c>
      <c r="I84" s="330">
        <f t="shared" ca="1" si="36"/>
        <v>0.1074639540744</v>
      </c>
      <c r="J84" s="329">
        <f t="shared" ca="1" si="36"/>
        <v>8.1925461459071994E-2</v>
      </c>
      <c r="K84" s="329">
        <f t="shared" ca="1" si="36"/>
        <v>0.11176251223737599</v>
      </c>
      <c r="L84" s="329">
        <f t="shared" ca="1" si="36"/>
        <v>7.2316919683007991E-2</v>
      </c>
      <c r="M84" s="329">
        <f t="shared" ca="1" si="36"/>
        <v>6.9029786970144003E-2</v>
      </c>
      <c r="N84" s="329">
        <f t="shared" ca="1" si="36"/>
        <v>8.1166892371487984E-2</v>
      </c>
      <c r="O84" s="329">
        <f t="shared" ca="1" si="36"/>
        <v>3.6917028929087999E-2</v>
      </c>
      <c r="P84" s="329">
        <f t="shared" ca="1" si="36"/>
        <v>7.0799781507839998E-2</v>
      </c>
      <c r="Q84" s="359">
        <f t="shared" ca="1" si="36"/>
        <v>7.0799781507839998E-2</v>
      </c>
      <c r="S84" s="313" t="s">
        <v>176</v>
      </c>
      <c r="T84" s="574"/>
    </row>
    <row r="85" spans="1:21" s="294" customFormat="1" ht="15" customHeight="1" outlineLevel="2">
      <c r="A85" s="553">
        <v>85</v>
      </c>
      <c r="B85" s="298" t="s">
        <v>530</v>
      </c>
      <c r="C85" s="986"/>
      <c r="D85" s="987"/>
      <c r="E85" s="999">
        <f t="shared" ca="1" si="31"/>
        <v>1.7097704492032848</v>
      </c>
      <c r="F85" s="220">
        <f t="shared" ref="F85:Q85" ca="1" si="37">F66*F$38*F56/1000</f>
        <v>0.12605819990494499</v>
      </c>
      <c r="G85" s="75">
        <f t="shared" ca="1" si="37"/>
        <v>5.3612668898145005E-2</v>
      </c>
      <c r="H85" s="75">
        <f t="shared" ca="1" si="37"/>
        <v>3.2376785800464006E-2</v>
      </c>
      <c r="I85" s="220">
        <f t="shared" ca="1" si="37"/>
        <v>4.0064120041318228E-2</v>
      </c>
      <c r="J85" s="75">
        <f t="shared" ca="1" si="37"/>
        <v>6.3246532524912677E-2</v>
      </c>
      <c r="K85" s="75">
        <f t="shared" ca="1" si="37"/>
        <v>0.13997046110872424</v>
      </c>
      <c r="L85" s="75">
        <f t="shared" ca="1" si="37"/>
        <v>0.1929644479883561</v>
      </c>
      <c r="M85" s="75">
        <f t="shared" ca="1" si="37"/>
        <v>0.21259325034286561</v>
      </c>
      <c r="N85" s="75">
        <f t="shared" ca="1" si="37"/>
        <v>0.22888751480230313</v>
      </c>
      <c r="O85" s="75">
        <f t="shared" ca="1" si="37"/>
        <v>0.2307686775435803</v>
      </c>
      <c r="P85" s="75">
        <f t="shared" ca="1" si="37"/>
        <v>0.20495343072713637</v>
      </c>
      <c r="Q85" s="360">
        <f t="shared" ca="1" si="37"/>
        <v>0.18427435952053436</v>
      </c>
      <c r="S85" s="313" t="s">
        <v>176</v>
      </c>
      <c r="T85" s="574"/>
    </row>
    <row r="86" spans="1:21" s="294" customFormat="1" ht="15" customHeight="1" outlineLevel="1">
      <c r="A86" s="553">
        <v>86</v>
      </c>
      <c r="C86" s="328"/>
      <c r="D86" s="71"/>
      <c r="E86" s="71"/>
      <c r="F86" s="219"/>
      <c r="G86" s="70"/>
      <c r="H86" s="70"/>
      <c r="I86" s="219"/>
      <c r="J86" s="70"/>
      <c r="K86" s="70"/>
      <c r="L86" s="70"/>
      <c r="M86" s="70"/>
      <c r="N86" s="70"/>
      <c r="O86" s="70"/>
      <c r="P86" s="70"/>
      <c r="Q86" s="70"/>
      <c r="S86" s="313"/>
      <c r="T86" s="574"/>
    </row>
    <row r="87" spans="1:21" s="294" customFormat="1" ht="15" customHeight="1" outlineLevel="1">
      <c r="A87" s="553">
        <v>87</v>
      </c>
      <c r="B87" s="315" t="s">
        <v>648</v>
      </c>
      <c r="C87" s="82">
        <f>$I$3-1</f>
        <v>2020</v>
      </c>
      <c r="D87" s="82">
        <f>$I$3</f>
        <v>2021</v>
      </c>
      <c r="E87" s="315" t="s">
        <v>647</v>
      </c>
      <c r="F87" s="313"/>
      <c r="I87" s="313"/>
      <c r="S87" s="313"/>
      <c r="T87" s="574"/>
    </row>
    <row r="88" spans="1:21" s="294" customFormat="1" ht="26.4" outlineLevel="2">
      <c r="A88" s="553">
        <v>88</v>
      </c>
      <c r="B88" s="513" t="s">
        <v>649</v>
      </c>
      <c r="C88" s="237">
        <f ca="1">OFFSET('MOD-Berechnungen'!$I185,0,'MOD-Jahresgang'!$I$3-2013-1)*OFFSET('MOD-Berechnungen'!$I399,0,'MOD-Jahresgang'!$I$3-2013-1)/100</f>
        <v>23.251783267739494</v>
      </c>
      <c r="D88" s="364">
        <f ca="1">OFFSET('MOD-Berechnungen'!$I185,0,'MOD-Jahresgang'!$I$3-2013)*OFFSET('MOD-Berechnungen'!$I399,0,'MOD-Jahresgang'!$I$3-2013)/100</f>
        <v>21.567257675944433</v>
      </c>
      <c r="E88" s="361">
        <f t="shared" ref="E88:E94" ca="1" si="38">3/12*C88 + 9/12*D88</f>
        <v>21.988389073893199</v>
      </c>
      <c r="F88" s="84">
        <f ca="1">$C88/12*F15</f>
        <v>1.9268227316265112</v>
      </c>
      <c r="G88" s="74">
        <f ca="1">$C88/12*G15</f>
        <v>2.0569632086115033</v>
      </c>
      <c r="H88" s="358">
        <f ca="1">$C88/12*H15</f>
        <v>1.9698459115463953</v>
      </c>
      <c r="I88" s="84">
        <f t="shared" ref="I88:Q88" ca="1" si="39">$D88/12*I15</f>
        <v>1.9148346247524435</v>
      </c>
      <c r="J88" s="74">
        <f t="shared" ca="1" si="39"/>
        <v>1.942499149252304</v>
      </c>
      <c r="K88" s="74">
        <f t="shared" ca="1" si="39"/>
        <v>1.8485314882867421</v>
      </c>
      <c r="L88" s="74">
        <f t="shared" ca="1" si="39"/>
        <v>1.7598602521691427</v>
      </c>
      <c r="M88" s="74">
        <f t="shared" ca="1" si="39"/>
        <v>1.772957592772944</v>
      </c>
      <c r="N88" s="74">
        <f t="shared" ca="1" si="39"/>
        <v>1.6963354003197602</v>
      </c>
      <c r="O88" s="74">
        <f t="shared" ca="1" si="39"/>
        <v>1.6893804697858703</v>
      </c>
      <c r="P88" s="74">
        <f ca="1">$D88/12*P15</f>
        <v>1.6616283051296663</v>
      </c>
      <c r="Q88" s="358">
        <f t="shared" ca="1" si="39"/>
        <v>1.7589222428875084</v>
      </c>
      <c r="R88" s="328"/>
      <c r="S88" s="328"/>
      <c r="T88" s="257" t="s">
        <v>665</v>
      </c>
      <c r="U88" s="257"/>
    </row>
    <row r="89" spans="1:21" ht="26.4">
      <c r="A89" s="553">
        <v>89</v>
      </c>
      <c r="B89" s="487" t="s">
        <v>650</v>
      </c>
      <c r="C89" s="238">
        <f ca="1">OFFSET('MOD-Berechnungen'!$I12,0,'MOD-Jahresgang'!$I$3-2013-1)*OFFSET('MOD-Berechnungen'!$I17,0,'MOD-Jahresgang'!$I$3-2013-1)*(1-OFFSET('MOD-Berechnungen'!$I18,0,'MOD-Jahresgang'!$I$3-2013-1))*OFFSET('MOD-Berechnungen'!$I399,0,'MOD-Jahresgang'!$I$3-2013-1)/100</f>
        <v>0.44460305294704661</v>
      </c>
      <c r="D89" s="365">
        <f ca="1">OFFSET('MOD-Berechnungen'!$I12,0,'MOD-Jahresgang'!$I$3-2013)*OFFSET('MOD-Berechnungen'!$I17,0,'MOD-Jahresgang'!$I$3-2013)*(1-OFFSET('MOD-Berechnungen'!$I18,0,'MOD-Jahresgang'!$I$3-2013))*OFFSET('MOD-Berechnungen'!$I399,0,'MOD-Jahresgang'!$I$3-2013)/100</f>
        <v>0.41969364885136318</v>
      </c>
      <c r="E89" s="362">
        <f t="shared" ca="1" si="38"/>
        <v>0.42592099987528403</v>
      </c>
      <c r="F89" s="330">
        <f ca="1">$C89/12</f>
        <v>3.7050254412253882E-2</v>
      </c>
      <c r="G89" s="329">
        <f ca="1">$C89/12</f>
        <v>3.7050254412253882E-2</v>
      </c>
      <c r="H89" s="359">
        <f ca="1">$C89/12</f>
        <v>3.7050254412253882E-2</v>
      </c>
      <c r="I89" s="330">
        <f ca="1">$D89/12</f>
        <v>3.4974470737613596E-2</v>
      </c>
      <c r="J89" s="329">
        <f t="shared" ref="J89:Q89" ca="1" si="40">$D89/12</f>
        <v>3.4974470737613596E-2</v>
      </c>
      <c r="K89" s="329">
        <f t="shared" ca="1" si="40"/>
        <v>3.4974470737613596E-2</v>
      </c>
      <c r="L89" s="329">
        <f t="shared" ca="1" si="40"/>
        <v>3.4974470737613596E-2</v>
      </c>
      <c r="M89" s="329">
        <f t="shared" ca="1" si="40"/>
        <v>3.4974470737613596E-2</v>
      </c>
      <c r="N89" s="329">
        <f t="shared" ca="1" si="40"/>
        <v>3.4974470737613596E-2</v>
      </c>
      <c r="O89" s="329">
        <f t="shared" ca="1" si="40"/>
        <v>3.4974470737613596E-2</v>
      </c>
      <c r="P89" s="329">
        <f t="shared" ca="1" si="40"/>
        <v>3.4974470737613596E-2</v>
      </c>
      <c r="Q89" s="359">
        <f t="shared" ca="1" si="40"/>
        <v>3.4974470737613596E-2</v>
      </c>
      <c r="T89" s="257" t="s">
        <v>666</v>
      </c>
      <c r="U89" s="551"/>
    </row>
    <row r="90" spans="1:21" s="294" customFormat="1" ht="26.4" outlineLevel="2">
      <c r="A90" s="553">
        <v>90</v>
      </c>
      <c r="B90" s="487" t="s">
        <v>651</v>
      </c>
      <c r="C90" s="238">
        <f ca="1">OFFSET('MOD-Berechnungen'!$I13,0,'MOD-Jahresgang'!$I$3-2013-1)*OFFSET('MOD-Berechnungen'!$I19,0,'MOD-Jahresgang'!$I$3-2013-1)*OFFSET('MOD-Berechnungen'!$I399,0,'MOD-Jahresgang'!$I$3-2013-1)/100</f>
        <v>0</v>
      </c>
      <c r="D90" s="238">
        <f ca="1">OFFSET('MOD-Berechnungen'!$I13,0,'MOD-Jahresgang'!$I$3-2013)*OFFSET('MOD-Berechnungen'!$I19,0,'MOD-Jahresgang'!$I$3-2013)*OFFSET('MOD-Berechnungen'!$I399,0,'MOD-Jahresgang'!$I$3-2013)/100</f>
        <v>0</v>
      </c>
      <c r="E90" s="362">
        <f t="shared" ca="1" si="38"/>
        <v>0</v>
      </c>
      <c r="F90" s="330">
        <f t="shared" ref="F90:H91" ca="1" si="41">$C90/12</f>
        <v>0</v>
      </c>
      <c r="G90" s="329">
        <f t="shared" ca="1" si="41"/>
        <v>0</v>
      </c>
      <c r="H90" s="359">
        <f t="shared" ca="1" si="41"/>
        <v>0</v>
      </c>
      <c r="I90" s="330">
        <f t="shared" ref="I90:Q93" ca="1" si="42">$D90/12</f>
        <v>0</v>
      </c>
      <c r="J90" s="329">
        <f t="shared" ca="1" si="42"/>
        <v>0</v>
      </c>
      <c r="K90" s="329">
        <f t="shared" ca="1" si="42"/>
        <v>0</v>
      </c>
      <c r="L90" s="329">
        <f t="shared" ca="1" si="42"/>
        <v>0</v>
      </c>
      <c r="M90" s="329">
        <f t="shared" ca="1" si="42"/>
        <v>0</v>
      </c>
      <c r="N90" s="329">
        <f t="shared" ca="1" si="42"/>
        <v>0</v>
      </c>
      <c r="O90" s="329">
        <f t="shared" ca="1" si="42"/>
        <v>0</v>
      </c>
      <c r="P90" s="329">
        <f t="shared" ca="1" si="42"/>
        <v>0</v>
      </c>
      <c r="Q90" s="359">
        <f t="shared" ca="1" si="42"/>
        <v>0</v>
      </c>
      <c r="S90" s="294" t="s">
        <v>147</v>
      </c>
      <c r="T90" s="257" t="s">
        <v>667</v>
      </c>
      <c r="U90" s="257"/>
    </row>
    <row r="91" spans="1:21" s="294" customFormat="1" ht="26.4" outlineLevel="2">
      <c r="A91" s="553">
        <v>91</v>
      </c>
      <c r="B91" s="487" t="s">
        <v>652</v>
      </c>
      <c r="C91" s="238">
        <f ca="1">OFFSET('MOD-Berechnungen'!$I254,0,'MOD-Jahresgang'!$I$3-2013-1)*OFFSET('MOD-Berechnungen'!$I19,0,'MOD-Jahresgang'!$I$3-2013-1)*OFFSET('MOD-Berechnungen'!$I399,0,'MOD-Jahresgang'!$I$3-2013-1)/100</f>
        <v>0</v>
      </c>
      <c r="D91" s="238">
        <f ca="1">OFFSET('MOD-Berechnungen'!$I254,0,'MOD-Jahresgang'!$I$3-2013)*OFFSET('MOD-Berechnungen'!$I19,0,'MOD-Jahresgang'!$I$3-2013)*OFFSET('MOD-Berechnungen'!$I399,0,'MOD-Jahresgang'!$I$3-2013)/100</f>
        <v>0</v>
      </c>
      <c r="E91" s="362">
        <f t="shared" ca="1" si="38"/>
        <v>0</v>
      </c>
      <c r="F91" s="330">
        <f t="shared" ca="1" si="41"/>
        <v>0</v>
      </c>
      <c r="G91" s="329">
        <f t="shared" ca="1" si="41"/>
        <v>0</v>
      </c>
      <c r="H91" s="359">
        <f t="shared" ca="1" si="41"/>
        <v>0</v>
      </c>
      <c r="I91" s="330">
        <f t="shared" ref="I91:Q91" ca="1" si="43">$D91/12</f>
        <v>0</v>
      </c>
      <c r="J91" s="329">
        <f t="shared" ca="1" si="43"/>
        <v>0</v>
      </c>
      <c r="K91" s="329">
        <f t="shared" ca="1" si="43"/>
        <v>0</v>
      </c>
      <c r="L91" s="329">
        <f t="shared" ca="1" si="43"/>
        <v>0</v>
      </c>
      <c r="M91" s="329">
        <f t="shared" ca="1" si="43"/>
        <v>0</v>
      </c>
      <c r="N91" s="329">
        <f t="shared" ca="1" si="43"/>
        <v>0</v>
      </c>
      <c r="O91" s="329">
        <f t="shared" ca="1" si="43"/>
        <v>0</v>
      </c>
      <c r="P91" s="329">
        <f t="shared" ca="1" si="43"/>
        <v>0</v>
      </c>
      <c r="Q91" s="359">
        <f t="shared" ca="1" si="43"/>
        <v>0</v>
      </c>
      <c r="S91" s="294" t="s">
        <v>147</v>
      </c>
      <c r="T91" s="257" t="s">
        <v>668</v>
      </c>
      <c r="U91" s="257"/>
    </row>
    <row r="92" spans="1:21" s="294" customFormat="1" ht="26.4" outlineLevel="2">
      <c r="A92" s="553">
        <v>92</v>
      </c>
      <c r="B92" s="487" t="s">
        <v>653</v>
      </c>
      <c r="C92" s="238">
        <f ca="1">OFFSET('MOD-Berechnungen'!$I14,0,'MOD-Jahresgang'!$I$3-2013-1)*OFFSET('MOD-Berechnungen'!$I20,0,'MOD-Jahresgang'!$I$3-2013-1)*OFFSET('MOD-Berechnungen'!$I399,0,'MOD-Jahresgang'!$I$3-2013-1)/100</f>
        <v>8.369205255369172E-2</v>
      </c>
      <c r="D92" s="365">
        <f ca="1">OFFSET('MOD-Berechnungen'!$I14,0,'MOD-Jahresgang'!$I$3-2013)*OFFSET('MOD-Berechnungen'!$I20,0,'MOD-Jahresgang'!$I$3-2013)*OFFSET('MOD-Berechnungen'!$I399,0,'MOD-Jahresgang'!$I$3-2013)/100</f>
        <v>0.1273151522134435</v>
      </c>
      <c r="E92" s="362">
        <f t="shared" ca="1" si="38"/>
        <v>0.11640937729850556</v>
      </c>
      <c r="F92" s="330">
        <f t="shared" ref="F92:H93" ca="1" si="44">$C92/12</f>
        <v>6.9743377128076434E-3</v>
      </c>
      <c r="G92" s="329">
        <f t="shared" ca="1" si="44"/>
        <v>6.9743377128076434E-3</v>
      </c>
      <c r="H92" s="359">
        <f t="shared" ca="1" si="44"/>
        <v>6.9743377128076434E-3</v>
      </c>
      <c r="I92" s="330">
        <f t="shared" ca="1" si="42"/>
        <v>1.0609596017786958E-2</v>
      </c>
      <c r="J92" s="329">
        <f t="shared" ca="1" si="42"/>
        <v>1.0609596017786958E-2</v>
      </c>
      <c r="K92" s="329">
        <f t="shared" ca="1" si="42"/>
        <v>1.0609596017786958E-2</v>
      </c>
      <c r="L92" s="329">
        <f t="shared" ca="1" si="42"/>
        <v>1.0609596017786958E-2</v>
      </c>
      <c r="M92" s="329">
        <f t="shared" ca="1" si="42"/>
        <v>1.0609596017786958E-2</v>
      </c>
      <c r="N92" s="329">
        <f t="shared" ca="1" si="42"/>
        <v>1.0609596017786958E-2</v>
      </c>
      <c r="O92" s="329">
        <f t="shared" ca="1" si="42"/>
        <v>1.0609596017786958E-2</v>
      </c>
      <c r="P92" s="329">
        <f t="shared" ca="1" si="42"/>
        <v>1.0609596017786958E-2</v>
      </c>
      <c r="Q92" s="359">
        <f t="shared" ca="1" si="42"/>
        <v>1.0609596017786958E-2</v>
      </c>
      <c r="T92" s="257" t="s">
        <v>669</v>
      </c>
      <c r="U92" s="257"/>
    </row>
    <row r="93" spans="1:21" s="294" customFormat="1" ht="26.4" outlineLevel="2">
      <c r="A93" s="553">
        <v>93</v>
      </c>
      <c r="B93" s="487" t="s">
        <v>654</v>
      </c>
      <c r="C93" s="238">
        <f ca="1">OFFSET('MOD-Berechnungen'!$I264,0,'MOD-Jahresgang'!$I$3-2013-1)*OFFSET('MOD-Berechnungen'!$I20,0,'MOD-Jahresgang'!$I$3-2013-1)*OFFSET('MOD-Berechnungen'!$I399,0,'MOD-Jahresgang'!$I$3-2013-1)/100</f>
        <v>1.7353953558045296E-2</v>
      </c>
      <c r="D93" s="365">
        <f ca="1">OFFSET('MOD-Berechnungen'!$I264,0,'MOD-Jahresgang'!$I$3-2013)*OFFSET('MOD-Berechnungen'!$I20,0,'MOD-Jahresgang'!$I$3-2013)*OFFSET('MOD-Berechnungen'!$I399,0,'MOD-Jahresgang'!$I$3-2013)/100</f>
        <v>2.5881755395831822E-2</v>
      </c>
      <c r="E93" s="362">
        <f t="shared" ca="1" si="38"/>
        <v>2.3749804936385191E-2</v>
      </c>
      <c r="F93" s="330">
        <f t="shared" ca="1" si="44"/>
        <v>1.4461627965037746E-3</v>
      </c>
      <c r="G93" s="329">
        <f t="shared" ca="1" si="44"/>
        <v>1.4461627965037746E-3</v>
      </c>
      <c r="H93" s="359">
        <f t="shared" ca="1" si="44"/>
        <v>1.4461627965037746E-3</v>
      </c>
      <c r="I93" s="330">
        <f t="shared" ca="1" si="42"/>
        <v>2.1568129496526518E-3</v>
      </c>
      <c r="J93" s="329">
        <f t="shared" ca="1" si="42"/>
        <v>2.1568129496526518E-3</v>
      </c>
      <c r="K93" s="329">
        <f t="shared" ca="1" si="42"/>
        <v>2.1568129496526518E-3</v>
      </c>
      <c r="L93" s="329">
        <f t="shared" ca="1" si="42"/>
        <v>2.1568129496526518E-3</v>
      </c>
      <c r="M93" s="329">
        <f t="shared" ca="1" si="42"/>
        <v>2.1568129496526518E-3</v>
      </c>
      <c r="N93" s="329">
        <f t="shared" ca="1" si="42"/>
        <v>2.1568129496526518E-3</v>
      </c>
      <c r="O93" s="329">
        <f t="shared" ca="1" si="42"/>
        <v>2.1568129496526518E-3</v>
      </c>
      <c r="P93" s="329">
        <f t="shared" ca="1" si="42"/>
        <v>2.1568129496526518E-3</v>
      </c>
      <c r="Q93" s="359">
        <f t="shared" ca="1" si="42"/>
        <v>2.1568129496526518E-3</v>
      </c>
      <c r="T93" s="257" t="s">
        <v>670</v>
      </c>
      <c r="U93" s="257"/>
    </row>
    <row r="94" spans="1:21" s="294" customFormat="1" ht="26.4" outlineLevel="2">
      <c r="A94" s="553">
        <v>94</v>
      </c>
      <c r="B94" s="550" t="s">
        <v>655</v>
      </c>
      <c r="C94" s="368">
        <f ca="1">OFFSET('MOD-Berechnungen'!$I16,0,'MOD-Jahresgang'!$I$3-2013-1)*(OFFSET('MOD-Berechnungen'!$I399,0,'MOD-Jahresgang'!$I$3-2013-1)-OFFSET('MOD-Berechnungen'!$I22,0,'MOD-Jahresgang'!$I$3-2013-1)/10)/100</f>
        <v>0</v>
      </c>
      <c r="D94" s="367">
        <f ca="1">OFFSET('MOD-Berechnungen'!$I16,0,'MOD-Jahresgang'!$I$3-2013)*(OFFSET('MOD-Berechnungen'!$I399,0,'MOD-Jahresgang'!$I$3-2013)-OFFSET('MOD-Berechnungen'!$I22,0,'MOD-Jahresgang'!$I$3-2013)/10)/100</f>
        <v>0</v>
      </c>
      <c r="E94" s="363">
        <f t="shared" ca="1" si="38"/>
        <v>0</v>
      </c>
      <c r="F94" s="220">
        <f ca="1">$C94/12</f>
        <v>0</v>
      </c>
      <c r="G94" s="75">
        <f ca="1">$C94/12</f>
        <v>0</v>
      </c>
      <c r="H94" s="360">
        <f ca="1">$C94/12</f>
        <v>0</v>
      </c>
      <c r="I94" s="220">
        <f t="shared" ref="I94:Q94" ca="1" si="45">$D94/12</f>
        <v>0</v>
      </c>
      <c r="J94" s="75">
        <f t="shared" ca="1" si="45"/>
        <v>0</v>
      </c>
      <c r="K94" s="75">
        <f t="shared" ca="1" si="45"/>
        <v>0</v>
      </c>
      <c r="L94" s="75">
        <f t="shared" ca="1" si="45"/>
        <v>0</v>
      </c>
      <c r="M94" s="75">
        <f t="shared" ca="1" si="45"/>
        <v>0</v>
      </c>
      <c r="N94" s="75">
        <f t="shared" ca="1" si="45"/>
        <v>0</v>
      </c>
      <c r="O94" s="75">
        <f t="shared" ca="1" si="45"/>
        <v>0</v>
      </c>
      <c r="P94" s="75">
        <f t="shared" ca="1" si="45"/>
        <v>0</v>
      </c>
      <c r="Q94" s="360">
        <f t="shared" ca="1" si="45"/>
        <v>0</v>
      </c>
      <c r="T94" s="257" t="s">
        <v>671</v>
      </c>
      <c r="U94" s="257"/>
    </row>
    <row r="95" spans="1:21" s="294" customFormat="1" ht="15" customHeight="1" outlineLevel="2">
      <c r="A95" s="553">
        <v>95</v>
      </c>
      <c r="B95" s="10"/>
      <c r="C95" s="348"/>
      <c r="D95" s="348"/>
      <c r="E95" s="348"/>
      <c r="F95" s="347"/>
      <c r="G95" s="348"/>
      <c r="H95" s="348"/>
      <c r="I95" s="347"/>
      <c r="J95" s="348"/>
      <c r="K95" s="348"/>
      <c r="L95" s="348"/>
      <c r="M95" s="348"/>
      <c r="N95" s="348"/>
      <c r="O95" s="348"/>
      <c r="P95" s="348"/>
      <c r="Q95" s="348"/>
      <c r="S95" s="313"/>
    </row>
    <row r="96" spans="1:21" s="294" customFormat="1" ht="15" customHeight="1" outlineLevel="2">
      <c r="A96" s="553">
        <v>96</v>
      </c>
      <c r="B96" s="315" t="s">
        <v>656</v>
      </c>
      <c r="C96" s="82">
        <f>$I$3-1</f>
        <v>2020</v>
      </c>
      <c r="D96" s="82">
        <f>$I$3</f>
        <v>2021</v>
      </c>
      <c r="E96" s="315" t="s">
        <v>647</v>
      </c>
      <c r="F96" s="347"/>
      <c r="G96" s="348"/>
      <c r="H96" s="348"/>
      <c r="I96" s="347"/>
      <c r="J96" s="348"/>
      <c r="K96" s="348"/>
      <c r="L96" s="348"/>
      <c r="M96" s="348"/>
      <c r="N96" s="348"/>
      <c r="O96" s="348"/>
      <c r="P96" s="348"/>
      <c r="Q96" s="348"/>
      <c r="S96" s="313"/>
    </row>
    <row r="97" spans="1:19" s="294" customFormat="1" ht="15" customHeight="1" outlineLevel="2">
      <c r="A97" s="553">
        <v>97</v>
      </c>
      <c r="B97" s="314" t="s">
        <v>657</v>
      </c>
      <c r="C97" s="236">
        <f ca="1">OFFSET('MOD-Berechnungen'!$I377,0,'MOD-Jahresgang'!$I$3-2013-1)</f>
        <v>0.35041700299999995</v>
      </c>
      <c r="D97" s="364">
        <f ca="1">OFFSET('MOD-Berechnungen'!$I377,0,'MOD-Jahresgang'!$I$3-2013)</f>
        <v>0.34503326899999998</v>
      </c>
      <c r="E97" s="358">
        <f ca="1">3/12*C97 + 9/12*D97</f>
        <v>0.34637920249999998</v>
      </c>
      <c r="F97" s="84">
        <f ca="1">$C97/12</f>
        <v>2.9201416916666664E-2</v>
      </c>
      <c r="G97" s="74">
        <f t="shared" ref="F97:H98" ca="1" si="46">$C97/12</f>
        <v>2.9201416916666664E-2</v>
      </c>
      <c r="H97" s="74">
        <f t="shared" ca="1" si="46"/>
        <v>2.9201416916666664E-2</v>
      </c>
      <c r="I97" s="84">
        <f ca="1">$D97/12</f>
        <v>2.8752772416666666E-2</v>
      </c>
      <c r="J97" s="74">
        <f t="shared" ref="I97:Q98" ca="1" si="47">$D97/12</f>
        <v>2.8752772416666666E-2</v>
      </c>
      <c r="K97" s="74">
        <f t="shared" ca="1" si="47"/>
        <v>2.8752772416666666E-2</v>
      </c>
      <c r="L97" s="74">
        <f t="shared" ca="1" si="47"/>
        <v>2.8752772416666666E-2</v>
      </c>
      <c r="M97" s="74">
        <f t="shared" ca="1" si="47"/>
        <v>2.8752772416666666E-2</v>
      </c>
      <c r="N97" s="74">
        <f t="shared" ca="1" si="47"/>
        <v>2.8752772416666666E-2</v>
      </c>
      <c r="O97" s="74">
        <f t="shared" ca="1" si="47"/>
        <v>2.8752772416666666E-2</v>
      </c>
      <c r="P97" s="74">
        <f t="shared" ca="1" si="47"/>
        <v>2.8752772416666666E-2</v>
      </c>
      <c r="Q97" s="358">
        <f t="shared" ca="1" si="47"/>
        <v>2.8752772416666666E-2</v>
      </c>
      <c r="S97" s="313"/>
    </row>
    <row r="98" spans="1:19" s="294" customFormat="1" ht="15" customHeight="1" outlineLevel="2">
      <c r="A98" s="553">
        <v>98</v>
      </c>
      <c r="B98" s="296" t="s">
        <v>658</v>
      </c>
      <c r="C98" s="366">
        <f ca="1">OFFSET('MOD-Berechnungen'!$I378,0,'MOD-Jahresgang'!$I$3-2013-1)</f>
        <v>6.4167895450000012E-2</v>
      </c>
      <c r="D98" s="367">
        <f ca="1">OFFSET('MOD-Berechnungen'!$I378,0,'MOD-Jahresgang'!$I$3-2013)</f>
        <v>5.9920528000000001E-2</v>
      </c>
      <c r="E98" s="360">
        <f ca="1">3/12*C98 + 9/12*D98</f>
        <v>6.0982369862500004E-2</v>
      </c>
      <c r="F98" s="220">
        <f t="shared" ca="1" si="46"/>
        <v>5.347324620833334E-3</v>
      </c>
      <c r="G98" s="75">
        <f t="shared" ca="1" si="46"/>
        <v>5.347324620833334E-3</v>
      </c>
      <c r="H98" s="75">
        <f t="shared" ca="1" si="46"/>
        <v>5.347324620833334E-3</v>
      </c>
      <c r="I98" s="220">
        <f t="shared" ca="1" si="47"/>
        <v>4.9933773333333334E-3</v>
      </c>
      <c r="J98" s="75">
        <f t="shared" ca="1" si="47"/>
        <v>4.9933773333333334E-3</v>
      </c>
      <c r="K98" s="75">
        <f t="shared" ca="1" si="47"/>
        <v>4.9933773333333334E-3</v>
      </c>
      <c r="L98" s="75">
        <f t="shared" ca="1" si="47"/>
        <v>4.9933773333333334E-3</v>
      </c>
      <c r="M98" s="75">
        <f t="shared" ca="1" si="47"/>
        <v>4.9933773333333334E-3</v>
      </c>
      <c r="N98" s="75">
        <f t="shared" ca="1" si="47"/>
        <v>4.9933773333333334E-3</v>
      </c>
      <c r="O98" s="75">
        <f t="shared" ca="1" si="47"/>
        <v>4.9933773333333334E-3</v>
      </c>
      <c r="P98" s="75">
        <f t="shared" ca="1" si="47"/>
        <v>4.9933773333333334E-3</v>
      </c>
      <c r="Q98" s="360">
        <f t="shared" ca="1" si="47"/>
        <v>4.9933773333333334E-3</v>
      </c>
      <c r="S98" s="313"/>
    </row>
    <row r="99" spans="1:19" s="294" customFormat="1" ht="15" customHeight="1" outlineLevel="1">
      <c r="A99" s="553">
        <v>99</v>
      </c>
      <c r="F99" s="313"/>
      <c r="I99" s="313"/>
      <c r="S99" s="313"/>
    </row>
    <row r="100" spans="1:19" s="294" customFormat="1" ht="15" customHeight="1">
      <c r="A100" s="553">
        <v>100</v>
      </c>
      <c r="B100" s="315" t="s">
        <v>659</v>
      </c>
      <c r="C100" s="82">
        <f>$I$3-1</f>
        <v>2020</v>
      </c>
      <c r="D100" s="82">
        <f>$I$3</f>
        <v>2021</v>
      </c>
      <c r="E100" s="315" t="s">
        <v>647</v>
      </c>
      <c r="F100" s="313"/>
      <c r="I100" s="313"/>
      <c r="S100" s="313"/>
    </row>
    <row r="101" spans="1:19" s="294" customFormat="1" ht="15" customHeight="1">
      <c r="A101" s="553">
        <v>101</v>
      </c>
      <c r="B101" s="314" t="s">
        <v>660</v>
      </c>
      <c r="C101" s="291"/>
      <c r="D101" s="300"/>
      <c r="E101" s="369">
        <f t="shared" ref="E101:Q101" ca="1" si="48">-SUM(E70:E76)</f>
        <v>-37.025905793869285</v>
      </c>
      <c r="F101" s="320">
        <f t="shared" ca="1" si="48"/>
        <v>-3.2507991964020491</v>
      </c>
      <c r="G101" s="316">
        <f t="shared" ca="1" si="48"/>
        <v>-2.5340700377144727</v>
      </c>
      <c r="H101" s="316">
        <f t="shared" ca="1" si="48"/>
        <v>-2.7487640372734359</v>
      </c>
      <c r="I101" s="320">
        <f t="shared" ca="1" si="48"/>
        <v>-2.874725488148326</v>
      </c>
      <c r="J101" s="316">
        <f t="shared" ca="1" si="48"/>
        <v>-2.6156709904962923</v>
      </c>
      <c r="K101" s="316">
        <f t="shared" ca="1" si="48"/>
        <v>-3.4159208892459132</v>
      </c>
      <c r="L101" s="316">
        <f t="shared" ca="1" si="48"/>
        <v>-3.2486897046744412</v>
      </c>
      <c r="M101" s="316">
        <f t="shared" ca="1" si="48"/>
        <v>-3.3177693087403637</v>
      </c>
      <c r="N101" s="316">
        <f t="shared" ca="1" si="48"/>
        <v>-3.4279256667031253</v>
      </c>
      <c r="O101" s="316">
        <f t="shared" ca="1" si="48"/>
        <v>-3.2305688217250257</v>
      </c>
      <c r="P101" s="316">
        <f ca="1">-SUM(P70:P76)</f>
        <v>-3.2222252763548509</v>
      </c>
      <c r="Q101" s="317">
        <f t="shared" ca="1" si="48"/>
        <v>-3.1387763763909913</v>
      </c>
    </row>
    <row r="102" spans="1:19" s="294" customFormat="1" ht="15" customHeight="1">
      <c r="A102" s="553">
        <v>102</v>
      </c>
      <c r="B102" s="16" t="s">
        <v>661</v>
      </c>
      <c r="C102" s="289"/>
      <c r="D102" s="324"/>
      <c r="E102" s="370">
        <f t="shared" ref="E102:Q102" ca="1" si="49">SUM(E79:E85)</f>
        <v>7.9166084725285613</v>
      </c>
      <c r="F102" s="327">
        <f t="shared" ca="1" si="49"/>
        <v>0.72293188463961444</v>
      </c>
      <c r="G102" s="325">
        <f t="shared" ca="1" si="49"/>
        <v>0.6169886736539929</v>
      </c>
      <c r="H102" s="325">
        <f t="shared" ca="1" si="49"/>
        <v>0.69886441431771806</v>
      </c>
      <c r="I102" s="327">
        <f t="shared" ca="1" si="49"/>
        <v>0.72636275791224358</v>
      </c>
      <c r="J102" s="325">
        <f t="shared" ca="1" si="49"/>
        <v>0.63360826831611572</v>
      </c>
      <c r="K102" s="325">
        <f t="shared" ca="1" si="49"/>
        <v>0.7496647928425938</v>
      </c>
      <c r="L102" s="325">
        <f t="shared" ca="1" si="49"/>
        <v>0.64559257046358431</v>
      </c>
      <c r="M102" s="325">
        <f t="shared" ca="1" si="49"/>
        <v>0.63665526168261088</v>
      </c>
      <c r="N102" s="325">
        <f t="shared" ca="1" si="49"/>
        <v>0.6404101667524662</v>
      </c>
      <c r="O102" s="325">
        <f t="shared" ca="1" si="49"/>
        <v>0.60867268137277386</v>
      </c>
      <c r="P102" s="325">
        <f t="shared" ca="1" si="49"/>
        <v>0.61367974627888677</v>
      </c>
      <c r="Q102" s="326">
        <f t="shared" ca="1" si="49"/>
        <v>0.6231772542959606</v>
      </c>
    </row>
    <row r="103" spans="1:19" s="294" customFormat="1" ht="15" customHeight="1">
      <c r="A103" s="553">
        <v>103</v>
      </c>
      <c r="B103" s="16" t="s">
        <v>662</v>
      </c>
      <c r="C103" s="289"/>
      <c r="D103" s="324"/>
      <c r="E103" s="370">
        <f t="shared" ref="E103:Q103" ca="1" si="50">SUM(E88:E94)</f>
        <v>22.554469256003376</v>
      </c>
      <c r="F103" s="327">
        <f t="shared" ca="1" si="50"/>
        <v>1.9722934865480763</v>
      </c>
      <c r="G103" s="325">
        <f t="shared" ca="1" si="50"/>
        <v>2.1024339635330684</v>
      </c>
      <c r="H103" s="325">
        <f t="shared" ca="1" si="50"/>
        <v>2.0153166664679607</v>
      </c>
      <c r="I103" s="327">
        <f t="shared" ca="1" si="50"/>
        <v>1.9625755044574968</v>
      </c>
      <c r="J103" s="325">
        <f t="shared" ca="1" si="50"/>
        <v>1.9902400289573574</v>
      </c>
      <c r="K103" s="325">
        <f t="shared" ca="1" si="50"/>
        <v>1.8962723679917954</v>
      </c>
      <c r="L103" s="325">
        <f t="shared" ca="1" si="50"/>
        <v>1.807601131874196</v>
      </c>
      <c r="M103" s="325">
        <f t="shared" ca="1" si="50"/>
        <v>1.8206984724779973</v>
      </c>
      <c r="N103" s="325">
        <f t="shared" ca="1" si="50"/>
        <v>1.7440762800248135</v>
      </c>
      <c r="O103" s="325">
        <f t="shared" ca="1" si="50"/>
        <v>1.7371213494909237</v>
      </c>
      <c r="P103" s="325">
        <f ca="1">SUM(P88:P94)</f>
        <v>1.7093691848347197</v>
      </c>
      <c r="Q103" s="326">
        <f t="shared" ca="1" si="50"/>
        <v>1.8066631225925618</v>
      </c>
    </row>
    <row r="104" spans="1:19" s="294" customFormat="1" ht="15" customHeight="1">
      <c r="A104" s="553">
        <v>104</v>
      </c>
      <c r="B104" s="16" t="s">
        <v>663</v>
      </c>
      <c r="C104" s="289"/>
      <c r="D104" s="324"/>
      <c r="E104" s="370">
        <f t="shared" ref="E104:Q104" ca="1" si="51">+E97</f>
        <v>0.34637920249999998</v>
      </c>
      <c r="F104" s="327">
        <f t="shared" ca="1" si="51"/>
        <v>2.9201416916666664E-2</v>
      </c>
      <c r="G104" s="325">
        <f t="shared" ca="1" si="51"/>
        <v>2.9201416916666664E-2</v>
      </c>
      <c r="H104" s="325">
        <f t="shared" ca="1" si="51"/>
        <v>2.9201416916666664E-2</v>
      </c>
      <c r="I104" s="327">
        <f t="shared" ca="1" si="51"/>
        <v>2.8752772416666666E-2</v>
      </c>
      <c r="J104" s="325">
        <f t="shared" ca="1" si="51"/>
        <v>2.8752772416666666E-2</v>
      </c>
      <c r="K104" s="325">
        <f t="shared" ca="1" si="51"/>
        <v>2.8752772416666666E-2</v>
      </c>
      <c r="L104" s="325">
        <f t="shared" ca="1" si="51"/>
        <v>2.8752772416666666E-2</v>
      </c>
      <c r="M104" s="325">
        <f t="shared" ca="1" si="51"/>
        <v>2.8752772416666666E-2</v>
      </c>
      <c r="N104" s="325">
        <f t="shared" ca="1" si="51"/>
        <v>2.8752772416666666E-2</v>
      </c>
      <c r="O104" s="325">
        <f t="shared" ca="1" si="51"/>
        <v>2.8752772416666666E-2</v>
      </c>
      <c r="P104" s="325">
        <f t="shared" ca="1" si="51"/>
        <v>2.8752772416666666E-2</v>
      </c>
      <c r="Q104" s="326">
        <f t="shared" ca="1" si="51"/>
        <v>2.8752772416666666E-2</v>
      </c>
    </row>
    <row r="105" spans="1:19" s="294" customFormat="1" ht="15" customHeight="1">
      <c r="A105" s="553">
        <v>105</v>
      </c>
      <c r="B105" s="1246" t="s">
        <v>395</v>
      </c>
      <c r="C105" s="289"/>
      <c r="D105" s="324"/>
      <c r="E105" s="370">
        <f t="shared" ref="E105:Q105" ca="1" si="52">-E98</f>
        <v>-6.0982369862500004E-2</v>
      </c>
      <c r="F105" s="327">
        <f t="shared" ca="1" si="52"/>
        <v>-5.347324620833334E-3</v>
      </c>
      <c r="G105" s="325">
        <f t="shared" ca="1" si="52"/>
        <v>-5.347324620833334E-3</v>
      </c>
      <c r="H105" s="325">
        <f t="shared" ca="1" si="52"/>
        <v>-5.347324620833334E-3</v>
      </c>
      <c r="I105" s="327">
        <f t="shared" ca="1" si="52"/>
        <v>-4.9933773333333334E-3</v>
      </c>
      <c r="J105" s="325">
        <f t="shared" ca="1" si="52"/>
        <v>-4.9933773333333334E-3</v>
      </c>
      <c r="K105" s="325">
        <f t="shared" ca="1" si="52"/>
        <v>-4.9933773333333334E-3</v>
      </c>
      <c r="L105" s="325">
        <f t="shared" ca="1" si="52"/>
        <v>-4.9933773333333334E-3</v>
      </c>
      <c r="M105" s="325">
        <f t="shared" ca="1" si="52"/>
        <v>-4.9933773333333334E-3</v>
      </c>
      <c r="N105" s="325">
        <f t="shared" ca="1" si="52"/>
        <v>-4.9933773333333334E-3</v>
      </c>
      <c r="O105" s="325">
        <f t="shared" ca="1" si="52"/>
        <v>-4.9933773333333334E-3</v>
      </c>
      <c r="P105" s="325">
        <f t="shared" ca="1" si="52"/>
        <v>-4.9933773333333334E-3</v>
      </c>
      <c r="Q105" s="326">
        <f t="shared" ca="1" si="52"/>
        <v>-4.9933773333333334E-3</v>
      </c>
    </row>
    <row r="106" spans="1:19" s="82" customFormat="1" ht="15" customHeight="1">
      <c r="A106" s="553">
        <v>106</v>
      </c>
      <c r="B106" s="196" t="s">
        <v>664</v>
      </c>
      <c r="C106" s="988"/>
      <c r="D106" s="989"/>
      <c r="E106" s="373">
        <f ca="1">SUM(E101:E105)</f>
        <v>-6.2694312326998469</v>
      </c>
      <c r="F106" s="371">
        <f ca="1">SUM(F101:F105)</f>
        <v>-0.53171973291852492</v>
      </c>
      <c r="G106" s="372">
        <f t="shared" ref="G106:Q106" ca="1" si="53">SUM(G101:G105)</f>
        <v>0.20920669176842197</v>
      </c>
      <c r="H106" s="372">
        <f t="shared" ca="1" si="53"/>
        <v>-1.0728864191924002E-2</v>
      </c>
      <c r="I106" s="371">
        <f t="shared" ca="1" si="53"/>
        <v>-0.1620278306952522</v>
      </c>
      <c r="J106" s="372">
        <f t="shared" ca="1" si="53"/>
        <v>3.1936701860514206E-2</v>
      </c>
      <c r="K106" s="372">
        <f t="shared" ca="1" si="53"/>
        <v>-0.7462243333281906</v>
      </c>
      <c r="L106" s="372">
        <f t="shared" ca="1" si="53"/>
        <v>-0.77173660725332738</v>
      </c>
      <c r="M106" s="372">
        <f t="shared" ca="1" si="53"/>
        <v>-0.83665617949642224</v>
      </c>
      <c r="N106" s="372">
        <f t="shared" ca="1" si="53"/>
        <v>-1.0196798248425121</v>
      </c>
      <c r="O106" s="372">
        <f t="shared" ca="1" si="53"/>
        <v>-0.86101539577799513</v>
      </c>
      <c r="P106" s="372">
        <f ca="1">SUM(P101:P105)</f>
        <v>-0.87541695015791099</v>
      </c>
      <c r="Q106" s="374">
        <f t="shared" ca="1" si="53"/>
        <v>-0.68517660441913586</v>
      </c>
    </row>
    <row r="107" spans="1:19" s="294" customFormat="1" ht="15" customHeight="1"/>
    <row r="108" spans="1:19" s="294" customFormat="1" ht="15" customHeight="1">
      <c r="B108" s="10"/>
      <c r="C108" s="375"/>
      <c r="D108" s="375"/>
      <c r="E108" s="375"/>
      <c r="F108" s="375"/>
      <c r="G108" s="375"/>
      <c r="H108" s="375"/>
      <c r="I108" s="375"/>
      <c r="J108" s="375"/>
      <c r="K108" s="375"/>
      <c r="L108" s="375"/>
      <c r="M108" s="375"/>
      <c r="N108" s="375"/>
      <c r="O108" s="375"/>
      <c r="P108" s="375"/>
      <c r="Q108" s="375"/>
    </row>
    <row r="109" spans="1:19" s="294" customFormat="1" ht="15" customHeight="1">
      <c r="B109" s="10"/>
      <c r="C109" s="375"/>
      <c r="D109" s="375"/>
      <c r="E109" s="375"/>
      <c r="F109" s="375"/>
      <c r="G109" s="375"/>
      <c r="H109" s="375"/>
      <c r="I109" s="375"/>
      <c r="J109" s="375"/>
      <c r="K109" s="375"/>
      <c r="L109" s="375"/>
      <c r="M109" s="375"/>
      <c r="N109" s="375"/>
      <c r="O109" s="375"/>
      <c r="P109" s="375"/>
      <c r="Q109" s="375"/>
    </row>
    <row r="110" spans="1:19" s="294" customFormat="1" ht="15" customHeight="1">
      <c r="B110" s="10"/>
      <c r="C110" s="375"/>
      <c r="D110" s="375"/>
      <c r="E110" s="375"/>
      <c r="F110" s="375"/>
      <c r="G110" s="375"/>
      <c r="H110" s="375"/>
      <c r="I110" s="375"/>
      <c r="J110" s="375"/>
      <c r="K110" s="375"/>
      <c r="L110" s="375"/>
      <c r="M110" s="375"/>
      <c r="N110" s="375"/>
      <c r="O110" s="375"/>
      <c r="P110" s="375"/>
      <c r="Q110" s="375"/>
    </row>
    <row r="111" spans="1:19" s="294" customFormat="1" ht="15" customHeight="1">
      <c r="B111" s="10"/>
      <c r="C111" s="375"/>
      <c r="D111" s="375"/>
      <c r="E111" s="375"/>
      <c r="F111" s="376"/>
      <c r="G111" s="376"/>
      <c r="H111" s="376"/>
      <c r="I111" s="375"/>
      <c r="J111" s="375"/>
      <c r="K111" s="375"/>
      <c r="L111" s="375"/>
      <c r="M111" s="375"/>
      <c r="N111" s="375"/>
      <c r="O111" s="375"/>
      <c r="P111" s="375"/>
      <c r="Q111" s="375"/>
    </row>
    <row r="112" spans="1:19" s="294" customFormat="1" ht="15" customHeight="1">
      <c r="B112" s="10"/>
      <c r="C112" s="375"/>
      <c r="D112" s="375"/>
      <c r="E112" s="375"/>
      <c r="F112" s="375"/>
      <c r="G112" s="375"/>
      <c r="H112" s="375"/>
      <c r="I112" s="375"/>
      <c r="J112" s="375"/>
      <c r="K112" s="375"/>
      <c r="L112" s="375"/>
      <c r="M112" s="375"/>
      <c r="N112" s="375"/>
      <c r="O112" s="375"/>
      <c r="P112" s="375"/>
      <c r="Q112" s="375"/>
    </row>
    <row r="113" spans="2:17" s="294" customFormat="1" ht="15" customHeight="1">
      <c r="B113" s="10"/>
      <c r="C113" s="375"/>
      <c r="D113" s="375"/>
      <c r="E113" s="375"/>
      <c r="F113" s="375"/>
      <c r="G113" s="375"/>
      <c r="H113" s="375"/>
      <c r="I113" s="375"/>
      <c r="J113" s="375"/>
      <c r="K113" s="375"/>
      <c r="L113" s="375"/>
      <c r="M113" s="375"/>
      <c r="N113" s="375"/>
      <c r="O113" s="375"/>
      <c r="P113" s="375"/>
      <c r="Q113" s="375"/>
    </row>
    <row r="114" spans="2:17" s="294" customFormat="1" ht="15" customHeight="1"/>
    <row r="115" spans="2:17" s="294" customFormat="1" ht="15" customHeight="1">
      <c r="C115" s="73"/>
      <c r="D115" s="73"/>
      <c r="E115" s="73"/>
      <c r="F115" s="73"/>
      <c r="G115" s="73"/>
      <c r="H115" s="73"/>
      <c r="I115" s="73"/>
      <c r="J115" s="73"/>
      <c r="K115" s="73"/>
      <c r="L115" s="73"/>
      <c r="M115" s="73"/>
      <c r="N115" s="73"/>
      <c r="O115" s="73"/>
      <c r="P115" s="73"/>
      <c r="Q115" s="73"/>
    </row>
    <row r="116" spans="2:17" s="294" customFormat="1" ht="15" customHeight="1">
      <c r="C116" s="73"/>
      <c r="D116" s="73"/>
      <c r="E116" s="73"/>
      <c r="F116" s="73"/>
      <c r="G116" s="73"/>
      <c r="H116" s="73"/>
      <c r="I116" s="73"/>
      <c r="J116" s="73"/>
      <c r="K116" s="73"/>
      <c r="L116" s="73"/>
      <c r="M116" s="73"/>
      <c r="N116" s="73"/>
      <c r="O116" s="73"/>
      <c r="P116" s="73"/>
      <c r="Q116" s="73"/>
    </row>
    <row r="117" spans="2:17" s="294" customFormat="1" ht="15" customHeight="1">
      <c r="C117" s="73"/>
      <c r="D117" s="73"/>
      <c r="E117" s="73"/>
      <c r="F117" s="73"/>
      <c r="G117" s="73"/>
      <c r="H117" s="73"/>
      <c r="I117" s="73"/>
      <c r="J117" s="73"/>
      <c r="K117" s="73"/>
      <c r="L117" s="73"/>
      <c r="M117" s="73"/>
      <c r="N117" s="73"/>
      <c r="O117" s="73"/>
      <c r="P117" s="73"/>
      <c r="Q117" s="73"/>
    </row>
    <row r="118" spans="2:17" s="294" customFormat="1" ht="15" customHeight="1">
      <c r="C118" s="73"/>
      <c r="D118" s="73"/>
      <c r="E118" s="73"/>
      <c r="F118" s="73"/>
      <c r="G118" s="73"/>
      <c r="H118" s="73"/>
      <c r="I118" s="73"/>
      <c r="J118" s="73"/>
      <c r="K118" s="73"/>
      <c r="L118" s="73"/>
      <c r="M118" s="73"/>
      <c r="N118" s="73"/>
      <c r="O118" s="73"/>
      <c r="P118" s="73"/>
      <c r="Q118" s="73"/>
    </row>
    <row r="119" spans="2:17" s="294" customFormat="1" ht="15" customHeight="1">
      <c r="C119" s="73"/>
      <c r="D119" s="73"/>
      <c r="E119" s="73"/>
      <c r="F119" s="73"/>
      <c r="G119" s="73"/>
      <c r="H119" s="73"/>
      <c r="I119" s="73"/>
      <c r="J119" s="73"/>
      <c r="K119" s="73"/>
      <c r="L119" s="73"/>
      <c r="M119" s="73"/>
      <c r="N119" s="73"/>
      <c r="O119" s="73"/>
      <c r="P119" s="73"/>
      <c r="Q119" s="73"/>
    </row>
    <row r="120" spans="2:17" s="294" customFormat="1" ht="15" customHeight="1">
      <c r="C120" s="73"/>
      <c r="D120" s="73"/>
      <c r="E120" s="73"/>
      <c r="F120" s="73"/>
      <c r="G120" s="73"/>
      <c r="H120" s="73"/>
      <c r="I120" s="73"/>
      <c r="J120" s="73"/>
      <c r="K120" s="73"/>
      <c r="L120" s="73"/>
      <c r="M120" s="73"/>
      <c r="N120" s="73"/>
      <c r="O120" s="73"/>
      <c r="P120" s="73"/>
      <c r="Q120" s="73"/>
    </row>
    <row r="121" spans="2:17" s="294" customFormat="1" ht="15" customHeight="1">
      <c r="D121" s="10"/>
      <c r="E121" s="10"/>
      <c r="F121" s="9"/>
      <c r="G121" s="9"/>
      <c r="H121" s="9"/>
      <c r="I121" s="9"/>
      <c r="J121" s="9"/>
      <c r="K121" s="9"/>
      <c r="L121" s="9"/>
      <c r="M121" s="9"/>
      <c r="N121" s="9"/>
      <c r="O121" s="9"/>
      <c r="P121" s="9"/>
      <c r="Q121" s="9"/>
    </row>
    <row r="122" spans="2:17" s="294" customFormat="1" ht="15" customHeight="1">
      <c r="D122" s="10"/>
      <c r="E122" s="10"/>
      <c r="F122" s="9"/>
      <c r="G122" s="9"/>
      <c r="H122" s="9"/>
      <c r="I122" s="9"/>
      <c r="J122" s="9"/>
      <c r="K122" s="9"/>
      <c r="L122" s="9"/>
      <c r="M122" s="9"/>
      <c r="N122" s="9"/>
      <c r="O122" s="9"/>
      <c r="P122" s="9"/>
      <c r="Q122" s="9"/>
    </row>
    <row r="123" spans="2:17" s="294" customFormat="1" ht="15" customHeight="1">
      <c r="D123" s="10"/>
      <c r="E123" s="10"/>
      <c r="F123" s="9"/>
      <c r="G123" s="9"/>
      <c r="H123" s="9"/>
      <c r="I123" s="9"/>
      <c r="J123" s="9"/>
      <c r="K123" s="9"/>
      <c r="L123" s="9"/>
      <c r="M123" s="9"/>
      <c r="N123" s="9"/>
      <c r="O123" s="9"/>
      <c r="P123" s="9"/>
      <c r="Q123" s="9"/>
    </row>
    <row r="124" spans="2:17" s="294" customFormat="1" ht="15" customHeight="1">
      <c r="D124" s="10"/>
      <c r="E124" s="10"/>
      <c r="F124" s="9"/>
      <c r="G124" s="9"/>
      <c r="H124" s="9"/>
      <c r="I124" s="9"/>
      <c r="J124" s="9"/>
      <c r="K124" s="9"/>
      <c r="L124" s="9"/>
      <c r="M124" s="9"/>
      <c r="N124" s="9"/>
      <c r="O124" s="9"/>
      <c r="P124" s="9"/>
      <c r="Q124" s="9"/>
    </row>
    <row r="125" spans="2:17" s="294" customFormat="1" ht="15" customHeight="1">
      <c r="C125" s="376"/>
      <c r="D125" s="376"/>
      <c r="E125" s="376"/>
      <c r="F125" s="376"/>
      <c r="G125" s="376"/>
      <c r="H125" s="376"/>
      <c r="I125" s="376"/>
      <c r="J125" s="376"/>
      <c r="K125" s="376"/>
      <c r="L125" s="376"/>
      <c r="M125" s="376"/>
      <c r="N125" s="376"/>
      <c r="O125" s="376"/>
      <c r="P125" s="376"/>
      <c r="Q125" s="376"/>
    </row>
    <row r="126" spans="2:17" s="294" customFormat="1" ht="15" customHeight="1">
      <c r="C126" s="376"/>
      <c r="D126" s="376"/>
      <c r="E126" s="376"/>
      <c r="F126" s="376"/>
      <c r="G126" s="376"/>
      <c r="H126" s="376"/>
      <c r="I126" s="376"/>
      <c r="J126" s="376"/>
      <c r="K126" s="376"/>
      <c r="L126" s="376"/>
      <c r="M126" s="376"/>
      <c r="N126" s="376"/>
      <c r="O126" s="376"/>
      <c r="P126" s="376"/>
      <c r="Q126" s="376"/>
    </row>
    <row r="127" spans="2:17" s="294" customFormat="1" ht="15" customHeight="1">
      <c r="C127" s="376"/>
      <c r="D127" s="376"/>
      <c r="E127" s="376"/>
      <c r="F127" s="376"/>
      <c r="G127" s="376"/>
      <c r="H127" s="376"/>
      <c r="I127" s="376"/>
      <c r="J127" s="376"/>
      <c r="K127" s="376"/>
      <c r="L127" s="376"/>
      <c r="M127" s="376"/>
      <c r="N127" s="376"/>
      <c r="O127" s="376"/>
      <c r="P127" s="376"/>
      <c r="Q127" s="376"/>
    </row>
    <row r="128" spans="2:17" s="294" customFormat="1" ht="15" customHeight="1">
      <c r="C128" s="376"/>
      <c r="D128" s="376"/>
      <c r="E128" s="376"/>
      <c r="F128" s="376"/>
      <c r="G128" s="376"/>
      <c r="H128" s="376"/>
      <c r="I128" s="376"/>
      <c r="J128" s="376"/>
      <c r="K128" s="376"/>
      <c r="L128" s="376"/>
      <c r="M128" s="376"/>
      <c r="N128" s="376"/>
      <c r="O128" s="376"/>
      <c r="P128" s="376"/>
      <c r="Q128" s="376"/>
    </row>
    <row r="129" spans="3:17" s="294" customFormat="1" ht="15" customHeight="1">
      <c r="C129" s="376"/>
      <c r="D129" s="376"/>
      <c r="E129" s="376"/>
      <c r="F129" s="376"/>
      <c r="G129" s="376"/>
      <c r="H129" s="376"/>
      <c r="I129" s="376"/>
      <c r="J129" s="376"/>
      <c r="K129" s="376"/>
      <c r="L129" s="376"/>
      <c r="M129" s="376"/>
      <c r="N129" s="376"/>
      <c r="O129" s="376"/>
      <c r="P129" s="376"/>
      <c r="Q129" s="376"/>
    </row>
    <row r="130" spans="3:17" s="294" customFormat="1" ht="15" customHeight="1">
      <c r="C130" s="376"/>
      <c r="D130" s="376"/>
      <c r="E130" s="376"/>
      <c r="F130" s="376"/>
      <c r="G130" s="376"/>
      <c r="H130" s="376"/>
      <c r="I130" s="376"/>
      <c r="J130" s="376"/>
      <c r="K130" s="376"/>
      <c r="L130" s="376"/>
      <c r="M130" s="376"/>
      <c r="N130" s="376"/>
      <c r="O130" s="376"/>
      <c r="P130" s="376"/>
      <c r="Q130" s="376"/>
    </row>
    <row r="131" spans="3:17" s="294" customFormat="1" ht="15" customHeight="1">
      <c r="D131" s="10"/>
      <c r="E131" s="10"/>
      <c r="F131" s="9"/>
      <c r="G131" s="9"/>
      <c r="H131" s="9"/>
      <c r="I131" s="9"/>
      <c r="J131" s="9"/>
      <c r="K131" s="9"/>
      <c r="L131" s="9"/>
      <c r="M131" s="9"/>
      <c r="N131" s="9"/>
      <c r="O131" s="9"/>
      <c r="P131" s="9"/>
      <c r="Q131" s="9"/>
    </row>
    <row r="132" spans="3:17" s="294" customFormat="1" ht="15" customHeight="1">
      <c r="D132" s="10"/>
      <c r="E132" s="10"/>
      <c r="F132" s="9"/>
      <c r="G132" s="9"/>
      <c r="H132" s="9"/>
      <c r="I132" s="9"/>
      <c r="J132" s="9"/>
      <c r="K132" s="9"/>
      <c r="L132" s="9"/>
      <c r="M132" s="9"/>
      <c r="N132" s="9"/>
      <c r="O132" s="9"/>
      <c r="P132" s="9"/>
      <c r="Q132" s="9"/>
    </row>
    <row r="133" spans="3:17" s="294" customFormat="1" ht="15" customHeight="1">
      <c r="C133" s="328"/>
      <c r="D133" s="328"/>
      <c r="E133" s="328"/>
      <c r="F133" s="328"/>
      <c r="G133" s="328"/>
      <c r="H133" s="328"/>
      <c r="I133" s="328"/>
      <c r="J133" s="328"/>
      <c r="K133" s="328"/>
      <c r="L133" s="328"/>
      <c r="M133" s="328"/>
      <c r="N133" s="328"/>
      <c r="O133" s="328"/>
      <c r="P133" s="328"/>
      <c r="Q133" s="328"/>
    </row>
    <row r="134" spans="3:17" s="294" customFormat="1" ht="15" customHeight="1">
      <c r="C134" s="328"/>
      <c r="D134" s="328"/>
      <c r="E134" s="328"/>
      <c r="F134" s="328"/>
      <c r="G134" s="328"/>
      <c r="H134" s="328"/>
      <c r="I134" s="328"/>
      <c r="J134" s="328"/>
      <c r="K134" s="328"/>
      <c r="L134" s="328"/>
      <c r="M134" s="328"/>
      <c r="N134" s="328"/>
      <c r="O134" s="328"/>
      <c r="P134" s="328"/>
      <c r="Q134" s="328"/>
    </row>
    <row r="135" spans="3:17" s="294" customFormat="1" ht="15" customHeight="1">
      <c r="C135" s="328"/>
      <c r="D135" s="328"/>
      <c r="E135" s="328"/>
      <c r="F135" s="328"/>
      <c r="G135" s="328"/>
      <c r="H135" s="328"/>
      <c r="I135" s="328"/>
      <c r="J135" s="328"/>
      <c r="K135" s="328"/>
      <c r="L135" s="328"/>
      <c r="M135" s="328"/>
      <c r="N135" s="328"/>
      <c r="O135" s="328"/>
      <c r="P135" s="328"/>
      <c r="Q135" s="328"/>
    </row>
    <row r="136" spans="3:17" s="294" customFormat="1" ht="15" customHeight="1">
      <c r="C136" s="328"/>
      <c r="D136" s="328"/>
      <c r="E136" s="328"/>
      <c r="F136" s="328"/>
      <c r="G136" s="328"/>
      <c r="H136" s="328"/>
      <c r="I136" s="328"/>
      <c r="J136" s="328"/>
      <c r="K136" s="328"/>
      <c r="L136" s="328"/>
      <c r="M136" s="328"/>
      <c r="N136" s="328"/>
      <c r="O136" s="328"/>
      <c r="P136" s="328"/>
      <c r="Q136" s="328"/>
    </row>
    <row r="137" spans="3:17" s="294" customFormat="1" ht="15" customHeight="1">
      <c r="C137" s="328"/>
      <c r="D137" s="328"/>
      <c r="E137" s="328"/>
      <c r="F137" s="328"/>
      <c r="G137" s="328"/>
      <c r="H137" s="328"/>
      <c r="I137" s="328"/>
      <c r="J137" s="328"/>
      <c r="K137" s="328"/>
      <c r="L137" s="328"/>
      <c r="M137" s="328"/>
      <c r="N137" s="328"/>
      <c r="O137" s="328"/>
      <c r="P137" s="328"/>
      <c r="Q137" s="328"/>
    </row>
    <row r="138" spans="3:17" s="294" customFormat="1" ht="15" customHeight="1">
      <c r="C138" s="328"/>
      <c r="D138" s="328"/>
      <c r="E138" s="328"/>
      <c r="F138" s="328"/>
      <c r="G138" s="328"/>
      <c r="H138" s="328"/>
      <c r="I138" s="328"/>
      <c r="J138" s="328"/>
      <c r="K138" s="328"/>
      <c r="L138" s="328"/>
      <c r="M138" s="328"/>
      <c r="N138" s="328"/>
      <c r="O138" s="328"/>
      <c r="P138" s="328"/>
      <c r="Q138" s="328"/>
    </row>
    <row r="139" spans="3:17" s="294" customFormat="1" ht="15" customHeight="1">
      <c r="D139" s="10"/>
      <c r="E139" s="10"/>
      <c r="F139" s="9"/>
      <c r="G139" s="9"/>
      <c r="H139" s="9"/>
      <c r="I139" s="9"/>
      <c r="J139" s="9"/>
      <c r="K139" s="9"/>
      <c r="L139" s="9"/>
      <c r="M139" s="9"/>
      <c r="N139" s="9"/>
      <c r="O139" s="9"/>
      <c r="P139" s="9"/>
      <c r="Q139" s="9"/>
    </row>
    <row r="140" spans="3:17" s="294" customFormat="1" ht="15" customHeight="1">
      <c r="D140" s="10"/>
      <c r="E140" s="10"/>
      <c r="F140" s="9"/>
      <c r="G140" s="9"/>
      <c r="H140" s="9"/>
      <c r="I140" s="9"/>
      <c r="J140" s="9"/>
      <c r="K140" s="9"/>
      <c r="L140" s="9"/>
      <c r="M140" s="9"/>
      <c r="N140" s="9"/>
      <c r="O140" s="9"/>
      <c r="P140" s="9"/>
      <c r="Q140" s="9"/>
    </row>
    <row r="141" spans="3:17" s="294" customFormat="1" ht="15" customHeight="1">
      <c r="D141" s="10"/>
      <c r="E141" s="10"/>
      <c r="F141" s="9"/>
      <c r="G141" s="9"/>
      <c r="H141" s="9"/>
      <c r="I141" s="9"/>
      <c r="J141" s="9"/>
      <c r="K141" s="9"/>
      <c r="L141" s="9"/>
      <c r="M141" s="9"/>
      <c r="N141" s="9"/>
      <c r="O141" s="9"/>
      <c r="P141" s="9"/>
      <c r="Q141" s="9"/>
    </row>
    <row r="142" spans="3:17" s="294" customFormat="1" ht="15" customHeight="1">
      <c r="D142" s="10"/>
      <c r="E142" s="10"/>
      <c r="F142" s="9"/>
      <c r="G142" s="9"/>
      <c r="H142" s="9"/>
      <c r="I142" s="9"/>
      <c r="J142" s="9"/>
      <c r="K142" s="9"/>
      <c r="L142" s="9"/>
      <c r="M142" s="9"/>
      <c r="N142" s="9"/>
      <c r="O142" s="9"/>
      <c r="P142" s="9"/>
      <c r="Q142" s="9"/>
    </row>
    <row r="143" spans="3:17" s="294" customFormat="1" ht="15" customHeight="1">
      <c r="D143" s="10"/>
      <c r="E143" s="10"/>
      <c r="F143" s="9"/>
      <c r="G143" s="9"/>
      <c r="H143" s="9"/>
      <c r="I143" s="9"/>
      <c r="J143" s="9"/>
      <c r="K143" s="9"/>
      <c r="L143" s="9"/>
      <c r="M143" s="9"/>
      <c r="N143" s="9"/>
      <c r="O143" s="9"/>
      <c r="P143" s="9"/>
      <c r="Q143" s="9"/>
    </row>
    <row r="144" spans="3:17" s="294" customFormat="1" ht="15" customHeight="1">
      <c r="D144" s="10"/>
      <c r="E144" s="10"/>
      <c r="F144" s="9"/>
      <c r="G144" s="9"/>
      <c r="H144" s="9"/>
      <c r="I144" s="9"/>
      <c r="J144" s="9"/>
      <c r="K144" s="9"/>
      <c r="L144" s="9"/>
      <c r="M144" s="9"/>
      <c r="N144" s="9"/>
      <c r="O144" s="9"/>
      <c r="P144" s="9"/>
      <c r="Q144" s="9"/>
    </row>
    <row r="145" spans="4:17" s="294" customFormat="1" ht="15" customHeight="1">
      <c r="D145" s="10"/>
      <c r="E145" s="10"/>
      <c r="F145" s="9"/>
      <c r="G145" s="9"/>
      <c r="H145" s="9"/>
      <c r="I145" s="9"/>
      <c r="J145" s="9"/>
      <c r="K145" s="9"/>
      <c r="L145" s="9"/>
      <c r="M145" s="9"/>
      <c r="N145" s="9"/>
      <c r="O145" s="9"/>
      <c r="P145" s="9"/>
      <c r="Q145" s="9"/>
    </row>
    <row r="146" spans="4:17" s="294" customFormat="1" ht="15" customHeight="1">
      <c r="D146" s="10"/>
      <c r="E146" s="10"/>
      <c r="F146" s="9"/>
      <c r="G146" s="9"/>
      <c r="H146" s="9"/>
      <c r="I146" s="9"/>
      <c r="J146" s="9"/>
      <c r="K146" s="9"/>
      <c r="L146" s="9"/>
      <c r="M146" s="9"/>
      <c r="N146" s="9"/>
      <c r="O146" s="9"/>
      <c r="P146" s="9"/>
      <c r="Q146" s="9"/>
    </row>
    <row r="147" spans="4:17" s="294" customFormat="1" ht="15" customHeight="1">
      <c r="D147" s="10"/>
      <c r="E147" s="10"/>
      <c r="F147" s="9"/>
      <c r="G147" s="9"/>
      <c r="H147" s="9"/>
      <c r="I147" s="9"/>
      <c r="J147" s="9"/>
      <c r="K147" s="9"/>
      <c r="L147" s="9"/>
      <c r="M147" s="9"/>
      <c r="N147" s="9"/>
      <c r="O147" s="9"/>
      <c r="P147" s="9"/>
      <c r="Q147" s="9"/>
    </row>
    <row r="148" spans="4:17" s="294" customFormat="1" ht="15" customHeight="1">
      <c r="D148" s="10"/>
      <c r="E148" s="10"/>
      <c r="F148" s="9"/>
      <c r="G148" s="9"/>
      <c r="H148" s="9"/>
      <c r="I148" s="9"/>
      <c r="J148" s="9"/>
      <c r="K148" s="9"/>
      <c r="L148" s="9"/>
      <c r="M148" s="9"/>
      <c r="N148" s="9"/>
      <c r="O148" s="9"/>
      <c r="P148" s="9"/>
      <c r="Q148" s="9"/>
    </row>
    <row r="149" spans="4:17" s="294" customFormat="1" ht="15" customHeight="1">
      <c r="D149" s="10"/>
      <c r="E149" s="10"/>
      <c r="F149" s="9"/>
      <c r="G149" s="9"/>
      <c r="H149" s="9"/>
      <c r="I149" s="9"/>
      <c r="J149" s="9"/>
      <c r="K149" s="9"/>
      <c r="L149" s="9"/>
      <c r="M149" s="9"/>
      <c r="N149" s="9"/>
      <c r="O149" s="9"/>
      <c r="P149" s="9"/>
      <c r="Q149" s="9"/>
    </row>
    <row r="150" spans="4:17" s="294" customFormat="1" ht="15" customHeight="1">
      <c r="D150" s="10"/>
      <c r="E150" s="10"/>
      <c r="F150" s="9"/>
      <c r="G150" s="9"/>
      <c r="H150" s="9"/>
      <c r="I150" s="9"/>
      <c r="J150" s="9"/>
      <c r="K150" s="9"/>
      <c r="L150" s="9"/>
      <c r="M150" s="9"/>
      <c r="N150" s="9"/>
      <c r="O150" s="9"/>
      <c r="P150" s="9"/>
      <c r="Q150" s="9"/>
    </row>
    <row r="151" spans="4:17" s="294" customFormat="1" ht="15" customHeight="1">
      <c r="D151" s="10"/>
      <c r="E151" s="10"/>
      <c r="F151" s="9"/>
      <c r="G151" s="9"/>
      <c r="H151" s="9"/>
      <c r="I151" s="9"/>
      <c r="J151" s="9"/>
      <c r="K151" s="9"/>
      <c r="L151" s="9"/>
      <c r="M151" s="9"/>
      <c r="N151" s="9"/>
      <c r="O151" s="9"/>
      <c r="P151" s="9"/>
      <c r="Q151" s="9"/>
    </row>
    <row r="152" spans="4:17" s="294" customFormat="1" ht="15" customHeight="1">
      <c r="D152" s="10"/>
      <c r="E152" s="10"/>
      <c r="F152" s="9"/>
      <c r="G152" s="9"/>
      <c r="H152" s="9"/>
      <c r="I152" s="9"/>
      <c r="J152" s="9"/>
      <c r="K152" s="9"/>
      <c r="L152" s="9"/>
      <c r="M152" s="9"/>
      <c r="N152" s="9"/>
      <c r="O152" s="9"/>
      <c r="P152" s="9"/>
      <c r="Q152" s="9"/>
    </row>
    <row r="153" spans="4:17" s="294" customFormat="1" ht="15" customHeight="1">
      <c r="D153" s="10"/>
      <c r="E153" s="10"/>
      <c r="F153" s="9"/>
      <c r="G153" s="9"/>
      <c r="H153" s="9"/>
      <c r="I153" s="9"/>
      <c r="J153" s="9"/>
      <c r="K153" s="9"/>
      <c r="L153" s="9"/>
      <c r="M153" s="9"/>
      <c r="N153" s="9"/>
      <c r="O153" s="9"/>
      <c r="P153" s="9"/>
      <c r="Q153" s="9"/>
    </row>
    <row r="154" spans="4:17" s="294" customFormat="1" ht="15" customHeight="1">
      <c r="D154" s="10"/>
      <c r="E154" s="10"/>
      <c r="F154" s="9"/>
      <c r="G154" s="9"/>
      <c r="H154" s="9"/>
      <c r="I154" s="9"/>
      <c r="J154" s="9"/>
      <c r="K154" s="9"/>
      <c r="L154" s="9"/>
      <c r="M154" s="9"/>
      <c r="N154" s="9"/>
      <c r="O154" s="9"/>
      <c r="P154" s="9"/>
      <c r="Q154" s="9"/>
    </row>
    <row r="155" spans="4:17" s="294" customFormat="1" ht="15" customHeight="1">
      <c r="D155" s="10"/>
      <c r="E155" s="10"/>
      <c r="F155" s="9"/>
      <c r="G155" s="9"/>
      <c r="H155" s="9"/>
      <c r="I155" s="9"/>
      <c r="J155" s="9"/>
      <c r="K155" s="9"/>
      <c r="L155" s="9"/>
      <c r="M155" s="9"/>
      <c r="N155" s="9"/>
      <c r="O155" s="9"/>
      <c r="P155" s="9"/>
      <c r="Q155" s="9"/>
    </row>
    <row r="156" spans="4:17" s="294" customFormat="1" ht="15" customHeight="1">
      <c r="D156" s="10"/>
      <c r="E156" s="10"/>
      <c r="F156" s="9"/>
      <c r="G156" s="9"/>
      <c r="H156" s="9"/>
      <c r="I156" s="9"/>
      <c r="J156" s="9"/>
      <c r="K156" s="9"/>
      <c r="L156" s="9"/>
      <c r="M156" s="9"/>
      <c r="N156" s="9"/>
      <c r="O156" s="9"/>
      <c r="P156" s="9"/>
      <c r="Q156" s="9"/>
    </row>
    <row r="157" spans="4:17" s="294" customFormat="1" ht="15" customHeight="1">
      <c r="D157" s="10"/>
      <c r="E157" s="10"/>
      <c r="F157" s="9"/>
      <c r="G157" s="9"/>
      <c r="H157" s="9"/>
      <c r="I157" s="9"/>
      <c r="J157" s="9"/>
      <c r="K157" s="9"/>
      <c r="L157" s="9"/>
      <c r="M157" s="9"/>
      <c r="N157" s="9"/>
      <c r="O157" s="9"/>
      <c r="P157" s="9"/>
      <c r="Q157" s="9"/>
    </row>
    <row r="158" spans="4:17" s="294" customFormat="1" ht="15" customHeight="1">
      <c r="D158" s="10"/>
      <c r="E158" s="10"/>
      <c r="F158" s="9"/>
      <c r="G158" s="9"/>
      <c r="H158" s="9"/>
      <c r="I158" s="9"/>
      <c r="J158" s="9"/>
      <c r="K158" s="9"/>
      <c r="L158" s="9"/>
      <c r="M158" s="9"/>
      <c r="N158" s="9"/>
      <c r="O158" s="9"/>
      <c r="P158" s="9"/>
      <c r="Q158" s="9"/>
    </row>
    <row r="159" spans="4:17" s="294" customFormat="1" ht="15" customHeight="1">
      <c r="D159" s="10"/>
      <c r="E159" s="10"/>
      <c r="F159" s="9"/>
      <c r="G159" s="9"/>
      <c r="H159" s="9"/>
      <c r="I159" s="9"/>
      <c r="J159" s="9"/>
      <c r="K159" s="9"/>
      <c r="L159" s="9"/>
      <c r="M159" s="9"/>
      <c r="N159" s="9"/>
      <c r="O159" s="9"/>
      <c r="P159" s="9"/>
      <c r="Q159" s="9"/>
    </row>
    <row r="160" spans="4:17" s="294" customFormat="1" ht="15" customHeight="1">
      <c r="D160" s="10"/>
      <c r="E160" s="10"/>
      <c r="F160" s="9"/>
      <c r="G160" s="9"/>
      <c r="H160" s="9"/>
      <c r="I160" s="9"/>
      <c r="J160" s="9"/>
      <c r="K160" s="9"/>
      <c r="L160" s="9"/>
      <c r="M160" s="9"/>
      <c r="N160" s="9"/>
      <c r="O160" s="9"/>
      <c r="P160" s="9"/>
      <c r="Q160" s="9"/>
    </row>
    <row r="161" spans="4:17" s="294" customFormat="1" ht="15" customHeight="1">
      <c r="D161" s="10"/>
      <c r="E161" s="10"/>
      <c r="F161" s="9"/>
      <c r="G161" s="9"/>
      <c r="H161" s="9"/>
      <c r="I161" s="9"/>
      <c r="J161" s="9"/>
      <c r="K161" s="9"/>
      <c r="L161" s="9"/>
      <c r="M161" s="9"/>
      <c r="N161" s="9"/>
      <c r="O161" s="9"/>
      <c r="P161" s="9"/>
      <c r="Q161" s="9"/>
    </row>
    <row r="162" spans="4:17" s="294" customFormat="1" ht="15" customHeight="1">
      <c r="D162" s="10"/>
      <c r="E162" s="10"/>
      <c r="F162" s="9"/>
      <c r="G162" s="9"/>
      <c r="H162" s="9"/>
      <c r="I162" s="9"/>
      <c r="J162" s="9"/>
      <c r="K162" s="9"/>
      <c r="L162" s="9"/>
      <c r="M162" s="9"/>
      <c r="N162" s="9"/>
      <c r="O162" s="9"/>
      <c r="P162" s="9"/>
      <c r="Q162" s="9"/>
    </row>
    <row r="163" spans="4:17" s="294" customFormat="1" ht="15" customHeight="1">
      <c r="D163" s="10"/>
      <c r="E163" s="10"/>
      <c r="F163" s="9"/>
      <c r="G163" s="9"/>
      <c r="H163" s="9"/>
      <c r="I163" s="9"/>
      <c r="J163" s="9"/>
      <c r="K163" s="9"/>
      <c r="L163" s="9"/>
      <c r="M163" s="9"/>
      <c r="N163" s="9"/>
      <c r="O163" s="9"/>
      <c r="P163" s="9"/>
      <c r="Q163" s="9"/>
    </row>
    <row r="164" spans="4:17" s="294" customFormat="1" ht="15" customHeight="1">
      <c r="D164" s="10"/>
      <c r="E164" s="10"/>
      <c r="F164" s="9"/>
      <c r="G164" s="9"/>
      <c r="H164" s="9"/>
      <c r="I164" s="9"/>
      <c r="J164" s="9"/>
      <c r="K164" s="9"/>
      <c r="L164" s="9"/>
      <c r="M164" s="9"/>
      <c r="N164" s="9"/>
      <c r="O164" s="9"/>
      <c r="P164" s="9"/>
      <c r="Q164" s="9"/>
    </row>
    <row r="165" spans="4:17" s="294" customFormat="1" ht="15" customHeight="1">
      <c r="D165" s="10"/>
      <c r="E165" s="10"/>
      <c r="F165" s="9"/>
      <c r="G165" s="9"/>
      <c r="H165" s="9"/>
      <c r="I165" s="9"/>
      <c r="J165" s="9"/>
      <c r="K165" s="9"/>
      <c r="L165" s="9"/>
      <c r="M165" s="9"/>
      <c r="N165" s="9"/>
      <c r="O165" s="9"/>
      <c r="P165" s="9"/>
      <c r="Q165" s="9"/>
    </row>
    <row r="166" spans="4:17" s="294" customFormat="1" ht="15" customHeight="1">
      <c r="D166" s="10"/>
      <c r="E166" s="10"/>
      <c r="F166" s="9"/>
      <c r="G166" s="9"/>
      <c r="H166" s="9"/>
      <c r="I166" s="9"/>
      <c r="J166" s="9"/>
      <c r="K166" s="9"/>
      <c r="L166" s="9"/>
      <c r="M166" s="9"/>
      <c r="N166" s="9"/>
      <c r="O166" s="9"/>
      <c r="P166" s="9"/>
      <c r="Q166" s="9"/>
    </row>
    <row r="167" spans="4:17" s="294" customFormat="1" ht="15" customHeight="1">
      <c r="D167" s="10"/>
      <c r="E167" s="10"/>
      <c r="F167" s="9"/>
      <c r="G167" s="9"/>
      <c r="H167" s="9"/>
      <c r="I167" s="9"/>
      <c r="J167" s="9"/>
      <c r="K167" s="9"/>
      <c r="L167" s="9"/>
      <c r="M167" s="9"/>
      <c r="N167" s="9"/>
      <c r="O167" s="9"/>
      <c r="P167" s="9"/>
      <c r="Q167" s="9"/>
    </row>
    <row r="168" spans="4:17" s="294" customFormat="1" ht="15" customHeight="1">
      <c r="D168" s="10"/>
      <c r="E168" s="10"/>
      <c r="F168" s="9"/>
      <c r="G168" s="9"/>
      <c r="H168" s="9"/>
      <c r="I168" s="9"/>
      <c r="J168" s="9"/>
      <c r="K168" s="9"/>
      <c r="L168" s="9"/>
      <c r="M168" s="9"/>
      <c r="N168" s="9"/>
      <c r="O168" s="9"/>
      <c r="P168" s="9"/>
      <c r="Q168" s="9"/>
    </row>
    <row r="169" spans="4:17" s="294" customFormat="1" ht="15" customHeight="1">
      <c r="D169" s="10"/>
      <c r="E169" s="10"/>
      <c r="F169" s="9"/>
      <c r="G169" s="9"/>
      <c r="H169" s="9"/>
      <c r="I169" s="9"/>
      <c r="J169" s="9"/>
      <c r="K169" s="9"/>
      <c r="L169" s="9"/>
      <c r="M169" s="9"/>
      <c r="N169" s="9"/>
      <c r="O169" s="9"/>
      <c r="P169" s="9"/>
      <c r="Q169" s="9"/>
    </row>
    <row r="170" spans="4:17" s="294" customFormat="1" ht="15" customHeight="1">
      <c r="D170" s="10"/>
      <c r="E170" s="10"/>
      <c r="F170" s="9"/>
      <c r="G170" s="9"/>
      <c r="H170" s="9"/>
      <c r="I170" s="9"/>
      <c r="J170" s="9"/>
      <c r="K170" s="9"/>
      <c r="L170" s="9"/>
      <c r="M170" s="9"/>
      <c r="N170" s="9"/>
      <c r="O170" s="9"/>
      <c r="P170" s="9"/>
      <c r="Q170" s="9"/>
    </row>
    <row r="171" spans="4:17" s="294" customFormat="1" ht="15" customHeight="1">
      <c r="D171" s="10"/>
      <c r="E171" s="10"/>
      <c r="F171" s="9"/>
      <c r="G171" s="9"/>
      <c r="H171" s="9"/>
      <c r="I171" s="9"/>
      <c r="J171" s="9"/>
      <c r="K171" s="9"/>
      <c r="L171" s="9"/>
      <c r="M171" s="9"/>
      <c r="N171" s="9"/>
      <c r="O171" s="9"/>
      <c r="P171" s="9"/>
      <c r="Q171" s="9"/>
    </row>
    <row r="172" spans="4:17" s="294" customFormat="1" ht="15" customHeight="1">
      <c r="D172" s="10"/>
      <c r="E172" s="10"/>
      <c r="F172" s="9"/>
      <c r="G172" s="9"/>
      <c r="H172" s="9"/>
      <c r="I172" s="9"/>
      <c r="J172" s="9"/>
      <c r="K172" s="9"/>
      <c r="L172" s="9"/>
      <c r="M172" s="9"/>
      <c r="N172" s="9"/>
      <c r="O172" s="9"/>
      <c r="P172" s="9"/>
      <c r="Q172" s="9"/>
    </row>
    <row r="173" spans="4:17" s="294" customFormat="1" ht="15" customHeight="1">
      <c r="D173" s="10"/>
      <c r="E173" s="10"/>
      <c r="F173" s="9"/>
      <c r="G173" s="9"/>
      <c r="H173" s="9"/>
      <c r="I173" s="9"/>
      <c r="J173" s="9"/>
      <c r="K173" s="9"/>
      <c r="L173" s="9"/>
      <c r="M173" s="9"/>
      <c r="N173" s="9"/>
      <c r="O173" s="9"/>
      <c r="P173" s="9"/>
      <c r="Q173" s="9"/>
    </row>
    <row r="174" spans="4:17" s="294" customFormat="1" ht="15" customHeight="1">
      <c r="D174" s="10"/>
      <c r="E174" s="10"/>
      <c r="F174" s="9"/>
      <c r="G174" s="9"/>
      <c r="H174" s="9"/>
      <c r="I174" s="9"/>
      <c r="J174" s="9"/>
      <c r="K174" s="9"/>
      <c r="L174" s="9"/>
      <c r="M174" s="9"/>
      <c r="N174" s="9"/>
      <c r="O174" s="9"/>
      <c r="P174" s="9"/>
      <c r="Q174" s="9"/>
    </row>
    <row r="175" spans="4:17" s="294" customFormat="1" ht="15" customHeight="1">
      <c r="D175" s="10"/>
      <c r="E175" s="10"/>
      <c r="F175" s="9"/>
      <c r="G175" s="9"/>
      <c r="H175" s="9"/>
      <c r="I175" s="9"/>
      <c r="J175" s="9"/>
      <c r="K175" s="9"/>
      <c r="L175" s="9"/>
      <c r="M175" s="9"/>
      <c r="N175" s="9"/>
      <c r="O175" s="9"/>
      <c r="P175" s="9"/>
      <c r="Q175" s="9"/>
    </row>
    <row r="176" spans="4:17" s="294" customFormat="1" ht="15" customHeight="1">
      <c r="D176" s="10"/>
      <c r="E176" s="10"/>
      <c r="F176" s="9"/>
      <c r="G176" s="9"/>
      <c r="H176" s="9"/>
      <c r="I176" s="9"/>
      <c r="J176" s="9"/>
      <c r="K176" s="9"/>
      <c r="L176" s="9"/>
      <c r="M176" s="9"/>
      <c r="N176" s="9"/>
      <c r="O176" s="9"/>
      <c r="P176" s="9"/>
      <c r="Q176" s="9"/>
    </row>
    <row r="177" spans="4:17" s="294" customFormat="1" ht="15" customHeight="1">
      <c r="D177" s="10"/>
      <c r="E177" s="10"/>
      <c r="F177" s="9"/>
      <c r="G177" s="9"/>
      <c r="H177" s="9"/>
      <c r="I177" s="9"/>
      <c r="J177" s="9"/>
      <c r="K177" s="9"/>
      <c r="L177" s="9"/>
      <c r="M177" s="9"/>
      <c r="N177" s="9"/>
      <c r="O177" s="9"/>
      <c r="P177" s="9"/>
      <c r="Q177" s="9"/>
    </row>
    <row r="178" spans="4:17" s="294" customFormat="1" ht="15" customHeight="1">
      <c r="D178" s="10"/>
      <c r="E178" s="10"/>
      <c r="F178" s="9"/>
      <c r="G178" s="9"/>
      <c r="H178" s="9"/>
      <c r="I178" s="9"/>
      <c r="J178" s="9"/>
      <c r="K178" s="9"/>
      <c r="L178" s="9"/>
      <c r="M178" s="9"/>
      <c r="N178" s="9"/>
      <c r="O178" s="9"/>
      <c r="P178" s="9"/>
      <c r="Q178" s="9"/>
    </row>
    <row r="179" spans="4:17" s="294" customFormat="1" ht="15" customHeight="1">
      <c r="D179" s="10"/>
      <c r="E179" s="10"/>
      <c r="F179" s="9"/>
      <c r="G179" s="9"/>
      <c r="H179" s="9"/>
      <c r="I179" s="9"/>
      <c r="J179" s="9"/>
      <c r="K179" s="9"/>
      <c r="L179" s="9"/>
      <c r="M179" s="9"/>
      <c r="N179" s="9"/>
      <c r="O179" s="9"/>
      <c r="P179" s="9"/>
      <c r="Q179" s="9"/>
    </row>
    <row r="180" spans="4:17" s="294" customFormat="1" ht="15" customHeight="1">
      <c r="D180" s="10"/>
      <c r="E180" s="10"/>
      <c r="F180" s="9"/>
      <c r="G180" s="9"/>
      <c r="H180" s="9"/>
      <c r="I180" s="9"/>
      <c r="J180" s="9"/>
      <c r="K180" s="9"/>
      <c r="L180" s="9"/>
      <c r="M180" s="9"/>
      <c r="N180" s="9"/>
      <c r="O180" s="9"/>
      <c r="P180" s="9"/>
      <c r="Q180" s="9"/>
    </row>
    <row r="181" spans="4:17" s="294" customFormat="1" ht="15" customHeight="1">
      <c r="D181" s="10"/>
      <c r="E181" s="10"/>
      <c r="F181" s="9"/>
      <c r="G181" s="9"/>
      <c r="H181" s="9"/>
      <c r="I181" s="9"/>
      <c r="J181" s="9"/>
      <c r="K181" s="9"/>
      <c r="L181" s="9"/>
      <c r="M181" s="9"/>
      <c r="N181" s="9"/>
      <c r="O181" s="9"/>
      <c r="P181" s="9"/>
      <c r="Q181" s="9"/>
    </row>
    <row r="182" spans="4:17" s="294" customFormat="1" ht="15" customHeight="1">
      <c r="D182" s="10"/>
      <c r="E182" s="10"/>
      <c r="F182" s="9"/>
      <c r="G182" s="9"/>
      <c r="H182" s="9"/>
      <c r="I182" s="9"/>
      <c r="J182" s="9"/>
      <c r="K182" s="9"/>
      <c r="L182" s="9"/>
      <c r="M182" s="9"/>
      <c r="N182" s="9"/>
      <c r="O182" s="9"/>
      <c r="P182" s="9"/>
      <c r="Q182" s="9"/>
    </row>
    <row r="183" spans="4:17" s="294" customFormat="1" ht="15" customHeight="1">
      <c r="D183" s="10"/>
      <c r="E183" s="10"/>
      <c r="F183" s="9"/>
      <c r="G183" s="9"/>
      <c r="H183" s="9"/>
      <c r="I183" s="9"/>
      <c r="J183" s="9"/>
      <c r="K183" s="9"/>
      <c r="L183" s="9"/>
      <c r="M183" s="9"/>
      <c r="N183" s="9"/>
      <c r="O183" s="9"/>
      <c r="P183" s="9"/>
      <c r="Q183" s="9"/>
    </row>
    <row r="184" spans="4:17" s="294" customFormat="1" ht="15" customHeight="1">
      <c r="D184" s="10"/>
      <c r="E184" s="10"/>
      <c r="F184" s="9"/>
      <c r="G184" s="9"/>
      <c r="H184" s="9"/>
      <c r="I184" s="9"/>
      <c r="J184" s="9"/>
      <c r="K184" s="9"/>
      <c r="L184" s="9"/>
      <c r="M184" s="9"/>
      <c r="N184" s="9"/>
      <c r="O184" s="9"/>
      <c r="P184" s="9"/>
      <c r="Q184" s="9"/>
    </row>
    <row r="185" spans="4:17" s="294" customFormat="1" ht="15" customHeight="1">
      <c r="D185" s="10"/>
      <c r="E185" s="10"/>
      <c r="F185" s="9"/>
      <c r="G185" s="9"/>
      <c r="H185" s="9"/>
      <c r="I185" s="9"/>
      <c r="J185" s="9"/>
      <c r="K185" s="9"/>
      <c r="L185" s="9"/>
      <c r="M185" s="9"/>
      <c r="N185" s="9"/>
      <c r="O185" s="9"/>
      <c r="P185" s="9"/>
      <c r="Q185" s="9"/>
    </row>
    <row r="186" spans="4:17" s="294" customFormat="1" ht="15" customHeight="1">
      <c r="D186" s="10"/>
      <c r="E186" s="10"/>
      <c r="F186" s="9"/>
      <c r="G186" s="9"/>
      <c r="H186" s="9"/>
      <c r="I186" s="9"/>
      <c r="J186" s="9"/>
      <c r="K186" s="9"/>
      <c r="L186" s="9"/>
      <c r="M186" s="9"/>
      <c r="N186" s="9"/>
      <c r="O186" s="9"/>
      <c r="P186" s="9"/>
      <c r="Q186" s="9"/>
    </row>
    <row r="187" spans="4:17" s="294" customFormat="1" ht="15" customHeight="1">
      <c r="D187" s="10"/>
      <c r="E187" s="10"/>
      <c r="F187" s="9"/>
      <c r="G187" s="9"/>
      <c r="H187" s="9"/>
      <c r="I187" s="9"/>
      <c r="J187" s="9"/>
      <c r="K187" s="9"/>
      <c r="L187" s="9"/>
      <c r="M187" s="9"/>
      <c r="N187" s="9"/>
      <c r="O187" s="9"/>
      <c r="P187" s="9"/>
      <c r="Q187" s="9"/>
    </row>
    <row r="188" spans="4:17" s="294" customFormat="1" ht="15" customHeight="1">
      <c r="D188" s="10"/>
      <c r="E188" s="10"/>
      <c r="F188" s="9"/>
      <c r="G188" s="9"/>
      <c r="H188" s="9"/>
      <c r="I188" s="9"/>
      <c r="J188" s="9"/>
      <c r="K188" s="9"/>
      <c r="L188" s="9"/>
      <c r="M188" s="9"/>
      <c r="N188" s="9"/>
      <c r="O188" s="9"/>
      <c r="P188" s="9"/>
      <c r="Q188" s="9"/>
    </row>
    <row r="189" spans="4:17" s="294" customFormat="1" ht="15" customHeight="1">
      <c r="D189" s="10"/>
      <c r="E189" s="10"/>
      <c r="F189" s="9"/>
      <c r="G189" s="9"/>
      <c r="H189" s="9"/>
      <c r="I189" s="9"/>
      <c r="J189" s="9"/>
      <c r="K189" s="9"/>
      <c r="L189" s="9"/>
      <c r="M189" s="9"/>
      <c r="N189" s="9"/>
      <c r="O189" s="9"/>
      <c r="P189" s="9"/>
      <c r="Q189" s="9"/>
    </row>
    <row r="190" spans="4:17" s="294" customFormat="1" ht="15" customHeight="1">
      <c r="D190" s="10"/>
      <c r="E190" s="10"/>
      <c r="F190" s="9"/>
      <c r="G190" s="9"/>
      <c r="H190" s="9"/>
      <c r="I190" s="9"/>
      <c r="J190" s="9"/>
      <c r="K190" s="9"/>
      <c r="L190" s="9"/>
      <c r="M190" s="9"/>
      <c r="N190" s="9"/>
      <c r="O190" s="9"/>
      <c r="P190" s="9"/>
      <c r="Q190" s="9"/>
    </row>
    <row r="191" spans="4:17" s="294" customFormat="1" ht="15" customHeight="1">
      <c r="D191" s="10"/>
      <c r="E191" s="10"/>
      <c r="F191" s="9"/>
      <c r="G191" s="9"/>
      <c r="H191" s="9"/>
      <c r="I191" s="9"/>
      <c r="J191" s="9"/>
      <c r="K191" s="9"/>
      <c r="L191" s="9"/>
      <c r="M191" s="9"/>
      <c r="N191" s="9"/>
      <c r="O191" s="9"/>
      <c r="P191" s="9"/>
      <c r="Q191" s="9"/>
    </row>
    <row r="192" spans="4:17" s="294" customFormat="1" ht="15" customHeight="1">
      <c r="D192" s="10"/>
      <c r="E192" s="10"/>
      <c r="F192" s="9"/>
      <c r="G192" s="9"/>
      <c r="H192" s="9"/>
      <c r="I192" s="9"/>
      <c r="J192" s="9"/>
      <c r="K192" s="9"/>
      <c r="L192" s="9"/>
      <c r="M192" s="9"/>
      <c r="N192" s="9"/>
      <c r="O192" s="9"/>
      <c r="P192" s="9"/>
      <c r="Q192" s="9"/>
    </row>
    <row r="193" spans="4:17" s="294" customFormat="1" ht="15" customHeight="1">
      <c r="D193" s="10"/>
      <c r="E193" s="10"/>
      <c r="F193" s="9"/>
      <c r="G193" s="9"/>
      <c r="H193" s="9"/>
      <c r="I193" s="9"/>
      <c r="J193" s="9"/>
      <c r="K193" s="9"/>
      <c r="L193" s="9"/>
      <c r="M193" s="9"/>
      <c r="N193" s="9"/>
      <c r="O193" s="9"/>
      <c r="P193" s="9"/>
      <c r="Q193" s="9"/>
    </row>
    <row r="194" spans="4:17" s="294" customFormat="1" ht="15" customHeight="1">
      <c r="D194" s="10"/>
      <c r="E194" s="10"/>
      <c r="F194" s="9"/>
      <c r="G194" s="9"/>
      <c r="H194" s="9"/>
      <c r="I194" s="9"/>
      <c r="J194" s="9"/>
      <c r="K194" s="9"/>
      <c r="L194" s="9"/>
      <c r="M194" s="9"/>
      <c r="N194" s="9"/>
      <c r="O194" s="9"/>
      <c r="P194" s="9"/>
      <c r="Q194" s="9"/>
    </row>
    <row r="195" spans="4:17" s="294" customFormat="1" ht="15" customHeight="1">
      <c r="D195" s="10"/>
      <c r="E195" s="10"/>
      <c r="F195" s="9"/>
      <c r="G195" s="9"/>
      <c r="H195" s="9"/>
      <c r="I195" s="9"/>
      <c r="J195" s="9"/>
      <c r="K195" s="9"/>
      <c r="L195" s="9"/>
      <c r="M195" s="9"/>
      <c r="N195" s="9"/>
      <c r="O195" s="9"/>
      <c r="P195" s="9"/>
      <c r="Q195" s="9"/>
    </row>
    <row r="196" spans="4:17" s="294" customFormat="1" ht="15" customHeight="1">
      <c r="D196" s="10"/>
      <c r="E196" s="10"/>
      <c r="F196" s="9"/>
      <c r="G196" s="9"/>
      <c r="H196" s="9"/>
      <c r="I196" s="9"/>
      <c r="J196" s="9"/>
      <c r="K196" s="9"/>
      <c r="L196" s="9"/>
      <c r="M196" s="9"/>
      <c r="N196" s="9"/>
      <c r="O196" s="9"/>
      <c r="P196" s="9"/>
      <c r="Q196" s="9"/>
    </row>
    <row r="197" spans="4:17" s="294" customFormat="1" ht="15" customHeight="1">
      <c r="D197" s="10"/>
      <c r="E197" s="10"/>
      <c r="F197" s="9"/>
      <c r="G197" s="9"/>
      <c r="H197" s="9"/>
      <c r="I197" s="9"/>
      <c r="J197" s="9"/>
      <c r="K197" s="9"/>
      <c r="L197" s="9"/>
      <c r="M197" s="9"/>
      <c r="N197" s="9"/>
      <c r="O197" s="9"/>
      <c r="P197" s="9"/>
      <c r="Q197" s="9"/>
    </row>
    <row r="198" spans="4:17" s="294" customFormat="1" ht="15" customHeight="1">
      <c r="D198" s="10"/>
      <c r="E198" s="10"/>
      <c r="F198" s="9"/>
      <c r="G198" s="9"/>
      <c r="H198" s="9"/>
      <c r="I198" s="9"/>
      <c r="J198" s="9"/>
      <c r="K198" s="9"/>
      <c r="L198" s="9"/>
      <c r="M198" s="9"/>
      <c r="N198" s="9"/>
      <c r="O198" s="9"/>
      <c r="P198" s="9"/>
      <c r="Q198" s="9"/>
    </row>
    <row r="199" spans="4:17" s="294" customFormat="1" ht="15" customHeight="1">
      <c r="D199" s="10"/>
      <c r="E199" s="10"/>
      <c r="F199" s="9"/>
      <c r="G199" s="9"/>
      <c r="H199" s="9"/>
      <c r="I199" s="9"/>
      <c r="J199" s="9"/>
      <c r="K199" s="9"/>
      <c r="L199" s="9"/>
      <c r="M199" s="9"/>
      <c r="N199" s="9"/>
      <c r="O199" s="9"/>
      <c r="P199" s="9"/>
      <c r="Q199" s="9"/>
    </row>
    <row r="200" spans="4:17" s="294" customFormat="1" ht="15" customHeight="1">
      <c r="D200" s="10"/>
      <c r="E200" s="10"/>
      <c r="F200" s="9"/>
      <c r="G200" s="9"/>
      <c r="H200" s="9"/>
      <c r="I200" s="9"/>
      <c r="J200" s="9"/>
      <c r="K200" s="9"/>
      <c r="L200" s="9"/>
      <c r="M200" s="9"/>
      <c r="N200" s="9"/>
      <c r="O200" s="9"/>
      <c r="P200" s="9"/>
      <c r="Q200" s="9"/>
    </row>
    <row r="201" spans="4:17" s="294" customFormat="1" ht="15" customHeight="1">
      <c r="D201" s="10"/>
      <c r="E201" s="10"/>
      <c r="F201" s="9"/>
      <c r="G201" s="9"/>
      <c r="H201" s="9"/>
      <c r="I201" s="9"/>
      <c r="J201" s="9"/>
      <c r="K201" s="9"/>
      <c r="L201" s="9"/>
      <c r="M201" s="9"/>
      <c r="N201" s="9"/>
      <c r="O201" s="9"/>
      <c r="P201" s="9"/>
      <c r="Q201" s="9"/>
    </row>
    <row r="202" spans="4:17" s="294" customFormat="1" ht="15" customHeight="1">
      <c r="D202" s="10"/>
      <c r="E202" s="10"/>
      <c r="F202" s="9"/>
      <c r="G202" s="9"/>
      <c r="H202" s="9"/>
      <c r="I202" s="9"/>
      <c r="J202" s="9"/>
      <c r="K202" s="9"/>
      <c r="L202" s="9"/>
      <c r="M202" s="9"/>
      <c r="N202" s="9"/>
      <c r="O202" s="9"/>
      <c r="P202" s="9"/>
      <c r="Q202" s="9"/>
    </row>
    <row r="203" spans="4:17" s="294" customFormat="1" ht="15" customHeight="1">
      <c r="D203" s="10"/>
      <c r="E203" s="10"/>
      <c r="F203" s="9"/>
      <c r="G203" s="9"/>
      <c r="H203" s="9"/>
      <c r="I203" s="9"/>
      <c r="J203" s="9"/>
      <c r="K203" s="9"/>
      <c r="L203" s="9"/>
      <c r="M203" s="9"/>
      <c r="N203" s="9"/>
      <c r="O203" s="9"/>
      <c r="P203" s="9"/>
      <c r="Q203" s="9"/>
    </row>
    <row r="204" spans="4:17" s="294" customFormat="1" ht="15" customHeight="1">
      <c r="D204" s="10"/>
      <c r="E204" s="10"/>
      <c r="F204" s="9"/>
      <c r="G204" s="9"/>
      <c r="H204" s="9"/>
      <c r="I204" s="9"/>
      <c r="J204" s="9"/>
      <c r="K204" s="9"/>
      <c r="L204" s="9"/>
      <c r="M204" s="9"/>
      <c r="N204" s="9"/>
      <c r="O204" s="9"/>
      <c r="P204" s="9"/>
      <c r="Q204" s="9"/>
    </row>
    <row r="205" spans="4:17" s="294" customFormat="1" ht="15" customHeight="1">
      <c r="D205" s="10"/>
      <c r="E205" s="10"/>
      <c r="F205" s="9"/>
      <c r="G205" s="9"/>
      <c r="H205" s="9"/>
      <c r="I205" s="9"/>
      <c r="J205" s="9"/>
      <c r="K205" s="9"/>
      <c r="L205" s="9"/>
      <c r="M205" s="9"/>
      <c r="N205" s="9"/>
      <c r="O205" s="9"/>
      <c r="P205" s="9"/>
      <c r="Q205" s="9"/>
    </row>
    <row r="206" spans="4:17" s="294" customFormat="1" ht="15" customHeight="1">
      <c r="D206" s="10"/>
      <c r="E206" s="10"/>
      <c r="F206" s="9"/>
      <c r="G206" s="9"/>
      <c r="H206" s="9"/>
      <c r="I206" s="9"/>
      <c r="J206" s="9"/>
      <c r="K206" s="9"/>
      <c r="L206" s="9"/>
      <c r="M206" s="9"/>
      <c r="N206" s="9"/>
      <c r="O206" s="9"/>
      <c r="P206" s="9"/>
      <c r="Q206" s="9"/>
    </row>
    <row r="207" spans="4:17" s="294" customFormat="1" ht="15" customHeight="1">
      <c r="D207" s="10"/>
      <c r="E207" s="10"/>
      <c r="F207" s="9"/>
      <c r="G207" s="9"/>
      <c r="H207" s="9"/>
      <c r="I207" s="9"/>
      <c r="J207" s="9"/>
      <c r="K207" s="9"/>
      <c r="L207" s="9"/>
      <c r="M207" s="9"/>
      <c r="N207" s="9"/>
      <c r="O207" s="9"/>
      <c r="P207" s="9"/>
      <c r="Q207" s="9"/>
    </row>
    <row r="208" spans="4:17" s="294" customFormat="1" ht="15" customHeight="1">
      <c r="D208" s="10"/>
      <c r="E208" s="10"/>
      <c r="F208" s="9"/>
      <c r="G208" s="9"/>
      <c r="H208" s="9"/>
      <c r="I208" s="9"/>
      <c r="J208" s="9"/>
      <c r="K208" s="9"/>
      <c r="L208" s="9"/>
      <c r="M208" s="9"/>
      <c r="N208" s="9"/>
      <c r="O208" s="9"/>
      <c r="P208" s="9"/>
      <c r="Q208" s="9"/>
    </row>
    <row r="209" spans="4:17" s="294" customFormat="1" ht="15" customHeight="1">
      <c r="D209" s="10"/>
      <c r="E209" s="10"/>
      <c r="F209" s="9"/>
      <c r="G209" s="9"/>
      <c r="H209" s="9"/>
      <c r="I209" s="9"/>
      <c r="J209" s="9"/>
      <c r="K209" s="9"/>
      <c r="L209" s="9"/>
      <c r="M209" s="9"/>
      <c r="N209" s="9"/>
      <c r="O209" s="9"/>
      <c r="P209" s="9"/>
      <c r="Q209" s="9"/>
    </row>
    <row r="210" spans="4:17" s="294" customFormat="1" ht="15" customHeight="1">
      <c r="D210" s="10"/>
      <c r="E210" s="10"/>
      <c r="F210" s="9"/>
      <c r="G210" s="9"/>
      <c r="H210" s="9"/>
      <c r="I210" s="9"/>
      <c r="J210" s="9"/>
      <c r="K210" s="9"/>
      <c r="L210" s="9"/>
      <c r="M210" s="9"/>
      <c r="N210" s="9"/>
      <c r="O210" s="9"/>
      <c r="P210" s="9"/>
      <c r="Q210" s="9"/>
    </row>
    <row r="211" spans="4:17" s="294" customFormat="1" ht="15" customHeight="1">
      <c r="D211" s="10"/>
      <c r="E211" s="10"/>
      <c r="F211" s="9"/>
      <c r="G211" s="9"/>
      <c r="H211" s="9"/>
      <c r="I211" s="9"/>
      <c r="J211" s="9"/>
      <c r="K211" s="9"/>
      <c r="L211" s="9"/>
      <c r="M211" s="9"/>
      <c r="N211" s="9"/>
      <c r="O211" s="9"/>
      <c r="P211" s="9"/>
      <c r="Q211" s="9"/>
    </row>
    <row r="212" spans="4:17" s="294" customFormat="1" ht="15" customHeight="1">
      <c r="D212" s="10"/>
      <c r="E212" s="10"/>
      <c r="F212" s="9"/>
      <c r="G212" s="9"/>
      <c r="H212" s="9"/>
      <c r="I212" s="9"/>
      <c r="J212" s="9"/>
      <c r="K212" s="9"/>
      <c r="L212" s="9"/>
      <c r="M212" s="9"/>
      <c r="N212" s="9"/>
      <c r="O212" s="9"/>
      <c r="P212" s="9"/>
      <c r="Q212" s="9"/>
    </row>
    <row r="213" spans="4:17" s="294" customFormat="1" ht="15" customHeight="1">
      <c r="D213" s="10"/>
      <c r="E213" s="10"/>
      <c r="F213" s="9"/>
      <c r="G213" s="9"/>
      <c r="H213" s="9"/>
      <c r="I213" s="9"/>
      <c r="J213" s="9"/>
      <c r="K213" s="9"/>
      <c r="L213" s="9"/>
      <c r="M213" s="9"/>
      <c r="N213" s="9"/>
      <c r="O213" s="9"/>
      <c r="P213" s="9"/>
      <c r="Q213" s="9"/>
    </row>
    <row r="214" spans="4:17" s="294" customFormat="1" ht="15" customHeight="1">
      <c r="D214" s="10"/>
      <c r="E214" s="10"/>
      <c r="F214" s="9"/>
      <c r="G214" s="9"/>
      <c r="H214" s="9"/>
      <c r="I214" s="9"/>
      <c r="J214" s="9"/>
      <c r="K214" s="9"/>
      <c r="L214" s="9"/>
      <c r="M214" s="9"/>
      <c r="N214" s="9"/>
      <c r="O214" s="9"/>
      <c r="P214" s="9"/>
      <c r="Q214" s="9"/>
    </row>
    <row r="215" spans="4:17" s="294" customFormat="1" ht="15" customHeight="1">
      <c r="D215" s="10"/>
      <c r="E215" s="10"/>
      <c r="F215" s="9"/>
      <c r="G215" s="9"/>
      <c r="H215" s="9"/>
      <c r="I215" s="9"/>
      <c r="J215" s="9"/>
      <c r="K215" s="9"/>
      <c r="L215" s="9"/>
      <c r="M215" s="9"/>
      <c r="N215" s="9"/>
      <c r="O215" s="9"/>
      <c r="P215" s="9"/>
      <c r="Q215" s="9"/>
    </row>
    <row r="216" spans="4:17" s="294" customFormat="1" ht="15" customHeight="1">
      <c r="D216" s="10"/>
      <c r="E216" s="10"/>
      <c r="F216" s="9"/>
      <c r="G216" s="9"/>
      <c r="H216" s="9"/>
      <c r="I216" s="9"/>
      <c r="J216" s="9"/>
      <c r="K216" s="9"/>
      <c r="L216" s="9"/>
      <c r="M216" s="9"/>
      <c r="N216" s="9"/>
      <c r="O216" s="9"/>
      <c r="P216" s="9"/>
      <c r="Q216" s="9"/>
    </row>
    <row r="217" spans="4:17" s="294" customFormat="1" ht="15" customHeight="1">
      <c r="D217" s="10"/>
      <c r="E217" s="10"/>
      <c r="F217" s="9"/>
      <c r="G217" s="9"/>
      <c r="H217" s="9"/>
      <c r="I217" s="9"/>
      <c r="J217" s="9"/>
      <c r="K217" s="9"/>
      <c r="L217" s="9"/>
      <c r="M217" s="9"/>
      <c r="N217" s="9"/>
      <c r="O217" s="9"/>
      <c r="P217" s="9"/>
      <c r="Q217" s="9"/>
    </row>
    <row r="218" spans="4:17" s="294" customFormat="1" ht="15" customHeight="1">
      <c r="D218" s="10"/>
      <c r="E218" s="10"/>
      <c r="F218" s="9"/>
      <c r="G218" s="9"/>
      <c r="H218" s="9"/>
      <c r="I218" s="9"/>
      <c r="J218" s="9"/>
      <c r="K218" s="9"/>
      <c r="L218" s="9"/>
      <c r="M218" s="9"/>
      <c r="N218" s="9"/>
      <c r="O218" s="9"/>
      <c r="P218" s="9"/>
      <c r="Q218" s="9"/>
    </row>
    <row r="219" spans="4:17" s="294" customFormat="1" ht="15" customHeight="1">
      <c r="D219" s="10"/>
      <c r="E219" s="10"/>
      <c r="F219" s="9"/>
      <c r="G219" s="9"/>
      <c r="H219" s="9"/>
      <c r="I219" s="9"/>
      <c r="J219" s="9"/>
      <c r="K219" s="9"/>
      <c r="L219" s="9"/>
      <c r="M219" s="9"/>
      <c r="N219" s="9"/>
      <c r="O219" s="9"/>
      <c r="P219" s="9"/>
      <c r="Q219" s="9"/>
    </row>
    <row r="220" spans="4:17" s="294" customFormat="1" ht="15" customHeight="1">
      <c r="D220" s="10"/>
      <c r="E220" s="10"/>
      <c r="F220" s="9"/>
      <c r="G220" s="9"/>
      <c r="H220" s="9"/>
      <c r="I220" s="9"/>
      <c r="J220" s="9"/>
      <c r="K220" s="9"/>
      <c r="L220" s="9"/>
      <c r="M220" s="9"/>
      <c r="N220" s="9"/>
      <c r="O220" s="9"/>
      <c r="P220" s="9"/>
      <c r="Q220" s="9"/>
    </row>
    <row r="221" spans="4:17" s="294" customFormat="1" ht="15" customHeight="1">
      <c r="D221" s="10"/>
      <c r="E221" s="10"/>
      <c r="F221" s="9"/>
      <c r="G221" s="9"/>
      <c r="H221" s="9"/>
      <c r="I221" s="9"/>
      <c r="J221" s="9"/>
      <c r="K221" s="9"/>
      <c r="L221" s="9"/>
      <c r="M221" s="9"/>
      <c r="N221" s="9"/>
      <c r="O221" s="9"/>
      <c r="P221" s="9"/>
      <c r="Q221" s="9"/>
    </row>
    <row r="222" spans="4:17" s="294" customFormat="1" ht="15" customHeight="1">
      <c r="D222" s="10"/>
      <c r="E222" s="10"/>
      <c r="F222" s="9"/>
      <c r="G222" s="9"/>
      <c r="H222" s="9"/>
      <c r="I222" s="9"/>
      <c r="J222" s="9"/>
      <c r="K222" s="9"/>
      <c r="L222" s="9"/>
      <c r="M222" s="9"/>
      <c r="N222" s="9"/>
      <c r="O222" s="9"/>
      <c r="P222" s="9"/>
      <c r="Q222" s="9"/>
    </row>
    <row r="223" spans="4:17" s="294" customFormat="1" ht="15" customHeight="1">
      <c r="D223" s="10"/>
      <c r="E223" s="10"/>
      <c r="F223" s="9"/>
      <c r="G223" s="9"/>
      <c r="H223" s="9"/>
      <c r="I223" s="9"/>
      <c r="J223" s="9"/>
      <c r="K223" s="9"/>
      <c r="L223" s="9"/>
      <c r="M223" s="9"/>
      <c r="N223" s="9"/>
      <c r="O223" s="9"/>
      <c r="P223" s="9"/>
      <c r="Q223" s="9"/>
    </row>
    <row r="224" spans="4:17" s="294" customFormat="1" ht="15" customHeight="1">
      <c r="D224" s="10"/>
      <c r="E224" s="10"/>
      <c r="F224" s="9"/>
      <c r="G224" s="9"/>
      <c r="H224" s="9"/>
      <c r="I224" s="9"/>
      <c r="J224" s="9"/>
      <c r="K224" s="9"/>
      <c r="L224" s="9"/>
      <c r="M224" s="9"/>
      <c r="N224" s="9"/>
      <c r="O224" s="9"/>
      <c r="P224" s="9"/>
      <c r="Q224" s="9"/>
    </row>
    <row r="225" spans="4:17" s="294" customFormat="1" ht="15" customHeight="1">
      <c r="D225" s="10"/>
      <c r="E225" s="10"/>
      <c r="F225" s="9"/>
      <c r="G225" s="9"/>
      <c r="H225" s="9"/>
      <c r="I225" s="9"/>
      <c r="J225" s="9"/>
      <c r="K225" s="9"/>
      <c r="L225" s="9"/>
      <c r="M225" s="9"/>
      <c r="N225" s="9"/>
      <c r="O225" s="9"/>
      <c r="P225" s="9"/>
      <c r="Q225" s="9"/>
    </row>
    <row r="226" spans="4:17" s="294" customFormat="1" ht="15" customHeight="1">
      <c r="D226" s="10"/>
      <c r="E226" s="10"/>
      <c r="F226" s="9"/>
      <c r="G226" s="9"/>
      <c r="H226" s="9"/>
      <c r="I226" s="9"/>
      <c r="J226" s="9"/>
      <c r="K226" s="9"/>
      <c r="L226" s="9"/>
      <c r="M226" s="9"/>
      <c r="N226" s="9"/>
      <c r="O226" s="9"/>
      <c r="P226" s="9"/>
      <c r="Q226" s="9"/>
    </row>
    <row r="227" spans="4:17" s="294" customFormat="1" ht="15" customHeight="1">
      <c r="D227" s="10"/>
      <c r="E227" s="10"/>
      <c r="F227" s="9"/>
      <c r="G227" s="9"/>
      <c r="H227" s="9"/>
      <c r="I227" s="9"/>
      <c r="J227" s="9"/>
      <c r="K227" s="9"/>
      <c r="L227" s="9"/>
      <c r="M227" s="9"/>
      <c r="N227" s="9"/>
      <c r="O227" s="9"/>
      <c r="P227" s="9"/>
      <c r="Q227" s="9"/>
    </row>
    <row r="228" spans="4:17" s="294" customFormat="1" ht="15" customHeight="1">
      <c r="D228" s="10"/>
      <c r="E228" s="10"/>
      <c r="F228" s="9"/>
      <c r="G228" s="9"/>
      <c r="H228" s="9"/>
      <c r="I228" s="9"/>
      <c r="J228" s="9"/>
      <c r="K228" s="9"/>
      <c r="L228" s="9"/>
      <c r="M228" s="9"/>
      <c r="N228" s="9"/>
      <c r="O228" s="9"/>
      <c r="P228" s="9"/>
      <c r="Q228" s="9"/>
    </row>
    <row r="229" spans="4:17" s="294" customFormat="1" ht="15" customHeight="1">
      <c r="D229" s="10"/>
      <c r="E229" s="10"/>
      <c r="F229" s="9"/>
      <c r="G229" s="9"/>
      <c r="H229" s="9"/>
      <c r="I229" s="9"/>
      <c r="J229" s="9"/>
      <c r="K229" s="9"/>
      <c r="L229" s="9"/>
      <c r="M229" s="9"/>
      <c r="N229" s="9"/>
      <c r="O229" s="9"/>
      <c r="P229" s="9"/>
      <c r="Q229" s="9"/>
    </row>
    <row r="230" spans="4:17" s="294" customFormat="1" ht="15" customHeight="1">
      <c r="D230" s="10"/>
      <c r="E230" s="10"/>
      <c r="F230" s="9"/>
      <c r="G230" s="9"/>
      <c r="H230" s="9"/>
      <c r="I230" s="9"/>
      <c r="J230" s="9"/>
      <c r="K230" s="9"/>
      <c r="L230" s="9"/>
      <c r="M230" s="9"/>
      <c r="N230" s="9"/>
      <c r="O230" s="9"/>
      <c r="P230" s="9"/>
      <c r="Q230" s="9"/>
    </row>
    <row r="231" spans="4:17" s="294" customFormat="1" ht="15" customHeight="1">
      <c r="D231" s="10"/>
      <c r="E231" s="10"/>
      <c r="F231" s="9"/>
      <c r="G231" s="9"/>
      <c r="H231" s="9"/>
      <c r="I231" s="9"/>
      <c r="J231" s="9"/>
      <c r="K231" s="9"/>
      <c r="L231" s="9"/>
      <c r="M231" s="9"/>
      <c r="N231" s="9"/>
      <c r="O231" s="9"/>
      <c r="P231" s="9"/>
      <c r="Q231" s="9"/>
    </row>
    <row r="232" spans="4:17" s="294" customFormat="1" ht="15" customHeight="1">
      <c r="D232" s="10"/>
      <c r="E232" s="10"/>
      <c r="F232" s="9"/>
      <c r="G232" s="9"/>
      <c r="H232" s="9"/>
      <c r="I232" s="9"/>
      <c r="J232" s="9"/>
      <c r="K232" s="9"/>
      <c r="L232" s="9"/>
      <c r="M232" s="9"/>
      <c r="N232" s="9"/>
      <c r="O232" s="9"/>
      <c r="P232" s="9"/>
      <c r="Q232" s="9"/>
    </row>
    <row r="233" spans="4:17" s="294" customFormat="1" ht="15" customHeight="1">
      <c r="D233" s="10"/>
      <c r="E233" s="10"/>
      <c r="F233" s="9"/>
      <c r="G233" s="9"/>
      <c r="H233" s="9"/>
      <c r="I233" s="9"/>
      <c r="J233" s="9"/>
      <c r="K233" s="9"/>
      <c r="L233" s="9"/>
      <c r="M233" s="9"/>
      <c r="N233" s="9"/>
      <c r="O233" s="9"/>
      <c r="P233" s="9"/>
      <c r="Q233" s="9"/>
    </row>
    <row r="234" spans="4:17" s="294" customFormat="1" ht="15" customHeight="1">
      <c r="D234" s="10"/>
      <c r="E234" s="10"/>
      <c r="F234" s="9"/>
      <c r="G234" s="9"/>
      <c r="H234" s="9"/>
      <c r="I234" s="9"/>
      <c r="J234" s="9"/>
      <c r="K234" s="9"/>
      <c r="L234" s="9"/>
      <c r="M234" s="9"/>
      <c r="N234" s="9"/>
      <c r="O234" s="9"/>
      <c r="P234" s="9"/>
      <c r="Q234" s="9"/>
    </row>
    <row r="235" spans="4:17" s="294" customFormat="1" ht="15" customHeight="1">
      <c r="D235" s="10"/>
      <c r="E235" s="10"/>
      <c r="F235" s="9"/>
      <c r="G235" s="9"/>
      <c r="H235" s="9"/>
      <c r="I235" s="9"/>
      <c r="J235" s="9"/>
      <c r="K235" s="9"/>
      <c r="L235" s="9"/>
      <c r="M235" s="9"/>
      <c r="N235" s="9"/>
      <c r="O235" s="9"/>
      <c r="P235" s="9"/>
      <c r="Q235" s="9"/>
    </row>
    <row r="236" spans="4:17" s="294" customFormat="1" ht="15" customHeight="1">
      <c r="D236" s="10"/>
      <c r="E236" s="10"/>
      <c r="F236" s="9"/>
      <c r="G236" s="9"/>
      <c r="H236" s="9"/>
      <c r="I236" s="9"/>
      <c r="J236" s="9"/>
      <c r="K236" s="9"/>
      <c r="L236" s="9"/>
      <c r="M236" s="9"/>
      <c r="N236" s="9"/>
      <c r="O236" s="9"/>
      <c r="P236" s="9"/>
      <c r="Q236" s="9"/>
    </row>
    <row r="237" spans="4:17" s="294" customFormat="1" ht="15" customHeight="1">
      <c r="D237" s="10"/>
      <c r="E237" s="10"/>
      <c r="F237" s="9"/>
      <c r="G237" s="9"/>
      <c r="H237" s="9"/>
      <c r="I237" s="9"/>
      <c r="J237" s="9"/>
      <c r="K237" s="9"/>
      <c r="L237" s="9"/>
      <c r="M237" s="9"/>
      <c r="N237" s="9"/>
      <c r="O237" s="9"/>
      <c r="P237" s="9"/>
      <c r="Q237" s="9"/>
    </row>
    <row r="238" spans="4:17" s="294" customFormat="1" ht="15" customHeight="1">
      <c r="D238" s="10"/>
      <c r="E238" s="10"/>
      <c r="F238" s="9"/>
      <c r="G238" s="9"/>
      <c r="H238" s="9"/>
      <c r="I238" s="9"/>
      <c r="J238" s="9"/>
      <c r="K238" s="9"/>
      <c r="L238" s="9"/>
      <c r="M238" s="9"/>
      <c r="N238" s="9"/>
      <c r="O238" s="9"/>
      <c r="P238" s="9"/>
      <c r="Q238" s="9"/>
    </row>
    <row r="239" spans="4:17" s="294" customFormat="1" ht="15" customHeight="1">
      <c r="D239" s="10"/>
      <c r="E239" s="10"/>
      <c r="F239" s="9"/>
      <c r="G239" s="9"/>
      <c r="H239" s="9"/>
      <c r="I239" s="9"/>
      <c r="J239" s="9"/>
      <c r="K239" s="9"/>
      <c r="L239" s="9"/>
      <c r="M239" s="9"/>
      <c r="N239" s="9"/>
      <c r="O239" s="9"/>
      <c r="P239" s="9"/>
      <c r="Q239" s="9"/>
    </row>
    <row r="240" spans="4:17" s="294" customFormat="1" ht="15" customHeight="1">
      <c r="D240" s="10"/>
      <c r="E240" s="10"/>
      <c r="F240" s="9"/>
      <c r="G240" s="9"/>
      <c r="H240" s="9"/>
      <c r="I240" s="9"/>
      <c r="J240" s="9"/>
      <c r="K240" s="9"/>
      <c r="L240" s="9"/>
      <c r="M240" s="9"/>
      <c r="N240" s="9"/>
      <c r="O240" s="9"/>
      <c r="P240" s="9"/>
      <c r="Q240" s="9"/>
    </row>
    <row r="241" spans="4:17" s="294" customFormat="1" ht="15" customHeight="1">
      <c r="D241" s="10"/>
      <c r="E241" s="10"/>
      <c r="F241" s="9"/>
      <c r="G241" s="9"/>
      <c r="H241" s="9"/>
      <c r="I241" s="9"/>
      <c r="J241" s="9"/>
      <c r="K241" s="9"/>
      <c r="L241" s="9"/>
      <c r="M241" s="9"/>
      <c r="N241" s="9"/>
      <c r="O241" s="9"/>
      <c r="P241" s="9"/>
      <c r="Q241" s="9"/>
    </row>
    <row r="242" spans="4:17" s="294" customFormat="1" ht="15" customHeight="1">
      <c r="D242" s="10"/>
      <c r="E242" s="10"/>
      <c r="F242" s="9"/>
      <c r="G242" s="9"/>
      <c r="H242" s="9"/>
      <c r="I242" s="9"/>
      <c r="J242" s="9"/>
      <c r="K242" s="9"/>
      <c r="L242" s="9"/>
      <c r="M242" s="9"/>
      <c r="N242" s="9"/>
      <c r="O242" s="9"/>
      <c r="P242" s="9"/>
      <c r="Q242" s="9"/>
    </row>
    <row r="243" spans="4:17" s="294" customFormat="1" ht="15" customHeight="1">
      <c r="D243" s="10"/>
      <c r="E243" s="10"/>
      <c r="F243" s="9"/>
      <c r="G243" s="9"/>
      <c r="H243" s="9"/>
      <c r="I243" s="9"/>
      <c r="J243" s="9"/>
      <c r="K243" s="9"/>
      <c r="L243" s="9"/>
      <c r="M243" s="9"/>
      <c r="N243" s="9"/>
      <c r="O243" s="9"/>
      <c r="P243" s="9"/>
      <c r="Q243" s="9"/>
    </row>
    <row r="244" spans="4:17" s="294" customFormat="1" ht="15" customHeight="1">
      <c r="D244" s="10"/>
      <c r="E244" s="10"/>
      <c r="F244" s="9"/>
      <c r="G244" s="9"/>
      <c r="H244" s="9"/>
      <c r="I244" s="9"/>
      <c r="J244" s="9"/>
      <c r="K244" s="9"/>
      <c r="L244" s="9"/>
      <c r="M244" s="9"/>
      <c r="N244" s="9"/>
      <c r="O244" s="9"/>
      <c r="P244" s="9"/>
      <c r="Q244" s="9"/>
    </row>
    <row r="245" spans="4:17" s="294" customFormat="1" ht="15" customHeight="1">
      <c r="D245" s="10"/>
      <c r="E245" s="10"/>
      <c r="F245" s="9"/>
      <c r="G245" s="9"/>
      <c r="H245" s="9"/>
      <c r="I245" s="9"/>
      <c r="J245" s="9"/>
      <c r="K245" s="9"/>
      <c r="L245" s="9"/>
      <c r="M245" s="9"/>
      <c r="N245" s="9"/>
      <c r="O245" s="9"/>
      <c r="P245" s="9"/>
      <c r="Q245" s="9"/>
    </row>
    <row r="246" spans="4:17" s="294" customFormat="1" ht="15" customHeight="1">
      <c r="D246" s="10"/>
      <c r="E246" s="10"/>
      <c r="F246" s="9"/>
      <c r="G246" s="9"/>
      <c r="H246" s="9"/>
      <c r="I246" s="9"/>
      <c r="J246" s="9"/>
      <c r="K246" s="9"/>
      <c r="L246" s="9"/>
      <c r="M246" s="9"/>
      <c r="N246" s="9"/>
      <c r="O246" s="9"/>
      <c r="P246" s="9"/>
      <c r="Q246" s="9"/>
    </row>
    <row r="247" spans="4:17" s="294" customFormat="1" ht="15" customHeight="1">
      <c r="D247" s="10"/>
      <c r="E247" s="10"/>
      <c r="F247" s="9"/>
      <c r="G247" s="9"/>
      <c r="H247" s="9"/>
      <c r="I247" s="9"/>
      <c r="J247" s="9"/>
      <c r="K247" s="9"/>
      <c r="L247" s="9"/>
      <c r="M247" s="9"/>
      <c r="N247" s="9"/>
      <c r="O247" s="9"/>
      <c r="P247" s="9"/>
      <c r="Q247" s="9"/>
    </row>
    <row r="248" spans="4:17" s="294" customFormat="1" ht="15" customHeight="1">
      <c r="D248" s="10"/>
      <c r="E248" s="10"/>
      <c r="F248" s="9"/>
      <c r="G248" s="9"/>
      <c r="H248" s="9"/>
      <c r="I248" s="9"/>
      <c r="J248" s="9"/>
      <c r="K248" s="9"/>
      <c r="L248" s="9"/>
      <c r="M248" s="9"/>
      <c r="N248" s="9"/>
      <c r="O248" s="9"/>
      <c r="P248" s="9"/>
      <c r="Q248" s="9"/>
    </row>
    <row r="249" spans="4:17" s="294" customFormat="1" ht="15" customHeight="1">
      <c r="D249" s="10"/>
      <c r="E249" s="10"/>
      <c r="F249" s="9"/>
      <c r="G249" s="9"/>
      <c r="H249" s="9"/>
      <c r="I249" s="9"/>
      <c r="J249" s="9"/>
      <c r="K249" s="9"/>
      <c r="L249" s="9"/>
      <c r="M249" s="9"/>
      <c r="N249" s="9"/>
      <c r="O249" s="9"/>
      <c r="P249" s="9"/>
      <c r="Q249" s="9"/>
    </row>
    <row r="250" spans="4:17" s="294" customFormat="1" ht="15" customHeight="1">
      <c r="D250" s="10"/>
      <c r="E250" s="10"/>
      <c r="F250" s="9"/>
      <c r="G250" s="9"/>
      <c r="H250" s="9"/>
      <c r="I250" s="9"/>
      <c r="J250" s="9"/>
      <c r="K250" s="9"/>
      <c r="L250" s="9"/>
      <c r="M250" s="9"/>
      <c r="N250" s="9"/>
      <c r="O250" s="9"/>
      <c r="P250" s="9"/>
      <c r="Q250" s="9"/>
    </row>
    <row r="251" spans="4:17" s="294" customFormat="1" ht="15" customHeight="1">
      <c r="D251" s="10"/>
      <c r="E251" s="10"/>
      <c r="F251" s="9"/>
      <c r="G251" s="9"/>
      <c r="H251" s="9"/>
      <c r="I251" s="9"/>
      <c r="J251" s="9"/>
      <c r="K251" s="9"/>
      <c r="L251" s="9"/>
      <c r="M251" s="9"/>
      <c r="N251" s="9"/>
      <c r="O251" s="9"/>
      <c r="P251" s="9"/>
      <c r="Q251" s="9"/>
    </row>
    <row r="252" spans="4:17" s="294" customFormat="1" ht="15" customHeight="1">
      <c r="D252" s="10"/>
      <c r="E252" s="10"/>
      <c r="F252" s="9"/>
      <c r="G252" s="9"/>
      <c r="H252" s="9"/>
      <c r="I252" s="9"/>
      <c r="J252" s="9"/>
      <c r="K252" s="9"/>
      <c r="L252" s="9"/>
      <c r="M252" s="9"/>
      <c r="N252" s="9"/>
      <c r="O252" s="9"/>
      <c r="P252" s="9"/>
      <c r="Q252" s="9"/>
    </row>
    <row r="253" spans="4:17" s="294" customFormat="1" ht="15" customHeight="1">
      <c r="D253" s="10"/>
      <c r="E253" s="10"/>
      <c r="F253" s="9"/>
      <c r="G253" s="9"/>
      <c r="H253" s="9"/>
      <c r="I253" s="9"/>
      <c r="J253" s="9"/>
      <c r="K253" s="9"/>
      <c r="L253" s="9"/>
      <c r="M253" s="9"/>
      <c r="N253" s="9"/>
      <c r="O253" s="9"/>
      <c r="P253" s="9"/>
      <c r="Q253" s="9"/>
    </row>
    <row r="254" spans="4:17" s="294" customFormat="1" ht="15" customHeight="1">
      <c r="D254" s="10"/>
      <c r="E254" s="10"/>
      <c r="F254" s="9"/>
      <c r="G254" s="9"/>
      <c r="H254" s="9"/>
      <c r="I254" s="9"/>
      <c r="J254" s="9"/>
      <c r="K254" s="9"/>
      <c r="L254" s="9"/>
      <c r="M254" s="9"/>
      <c r="N254" s="9"/>
      <c r="O254" s="9"/>
      <c r="P254" s="9"/>
      <c r="Q254" s="9"/>
    </row>
    <row r="255" spans="4:17" s="294" customFormat="1" ht="15" customHeight="1">
      <c r="D255" s="10"/>
      <c r="E255" s="10"/>
      <c r="F255" s="9"/>
      <c r="G255" s="9"/>
      <c r="H255" s="9"/>
      <c r="I255" s="9"/>
      <c r="J255" s="9"/>
      <c r="K255" s="9"/>
      <c r="L255" s="9"/>
      <c r="M255" s="9"/>
      <c r="N255" s="9"/>
      <c r="O255" s="9"/>
      <c r="P255" s="9"/>
      <c r="Q255" s="9"/>
    </row>
    <row r="256" spans="4:17" s="294" customFormat="1" ht="15" customHeight="1">
      <c r="D256" s="10"/>
      <c r="E256" s="10"/>
      <c r="F256" s="9"/>
      <c r="G256" s="9"/>
      <c r="H256" s="9"/>
      <c r="I256" s="9"/>
      <c r="J256" s="9"/>
      <c r="K256" s="9"/>
      <c r="L256" s="9"/>
      <c r="M256" s="9"/>
      <c r="N256" s="9"/>
      <c r="O256" s="9"/>
      <c r="P256" s="9"/>
      <c r="Q256" s="9"/>
    </row>
    <row r="257" spans="4:17" s="294" customFormat="1" ht="15" customHeight="1">
      <c r="D257" s="10"/>
      <c r="E257" s="10"/>
      <c r="F257" s="9"/>
      <c r="G257" s="9"/>
      <c r="H257" s="9"/>
      <c r="I257" s="9"/>
      <c r="J257" s="9"/>
      <c r="K257" s="9"/>
      <c r="L257" s="9"/>
      <c r="M257" s="9"/>
      <c r="N257" s="9"/>
      <c r="O257" s="9"/>
      <c r="P257" s="9"/>
      <c r="Q257" s="9"/>
    </row>
    <row r="258" spans="4:17" s="294" customFormat="1" ht="15" customHeight="1">
      <c r="D258" s="10"/>
      <c r="E258" s="10"/>
      <c r="F258" s="9"/>
      <c r="G258" s="9"/>
      <c r="H258" s="9"/>
      <c r="I258" s="9"/>
      <c r="J258" s="9"/>
      <c r="K258" s="9"/>
      <c r="L258" s="9"/>
      <c r="M258" s="9"/>
      <c r="N258" s="9"/>
      <c r="O258" s="9"/>
      <c r="P258" s="9"/>
      <c r="Q258" s="9"/>
    </row>
    <row r="259" spans="4:17" s="294" customFormat="1" ht="15" customHeight="1">
      <c r="D259" s="10"/>
      <c r="E259" s="10"/>
      <c r="F259" s="9"/>
      <c r="G259" s="9"/>
      <c r="H259" s="9"/>
      <c r="I259" s="9"/>
      <c r="J259" s="9"/>
      <c r="K259" s="9"/>
      <c r="L259" s="9"/>
      <c r="M259" s="9"/>
      <c r="N259" s="9"/>
      <c r="O259" s="9"/>
      <c r="P259" s="9"/>
      <c r="Q259" s="9"/>
    </row>
    <row r="260" spans="4:17" s="294" customFormat="1" ht="15" customHeight="1">
      <c r="D260" s="10"/>
      <c r="E260" s="10"/>
      <c r="F260" s="9"/>
      <c r="G260" s="9"/>
      <c r="H260" s="9"/>
      <c r="I260" s="9"/>
      <c r="J260" s="9"/>
      <c r="K260" s="9"/>
      <c r="L260" s="9"/>
      <c r="M260" s="9"/>
      <c r="N260" s="9"/>
      <c r="O260" s="9"/>
      <c r="P260" s="9"/>
      <c r="Q260" s="9"/>
    </row>
    <row r="261" spans="4:17" s="294" customFormat="1" ht="15" customHeight="1">
      <c r="D261" s="10"/>
      <c r="E261" s="10"/>
      <c r="F261" s="9"/>
      <c r="G261" s="9"/>
      <c r="H261" s="9"/>
      <c r="I261" s="9"/>
      <c r="J261" s="9"/>
      <c r="K261" s="9"/>
      <c r="L261" s="9"/>
      <c r="M261" s="9"/>
      <c r="N261" s="9"/>
      <c r="O261" s="9"/>
      <c r="P261" s="9"/>
      <c r="Q261" s="9"/>
    </row>
    <row r="262" spans="4:17" s="294" customFormat="1" ht="15" customHeight="1">
      <c r="D262" s="10"/>
      <c r="E262" s="10"/>
      <c r="F262" s="9"/>
      <c r="G262" s="9"/>
      <c r="H262" s="9"/>
      <c r="I262" s="9"/>
      <c r="J262" s="9"/>
      <c r="K262" s="9"/>
      <c r="L262" s="9"/>
      <c r="M262" s="9"/>
      <c r="N262" s="9"/>
      <c r="O262" s="9"/>
      <c r="P262" s="9"/>
      <c r="Q262" s="9"/>
    </row>
    <row r="263" spans="4:17" s="294" customFormat="1" ht="15" customHeight="1">
      <c r="D263" s="10"/>
      <c r="E263" s="10"/>
      <c r="F263" s="9"/>
      <c r="G263" s="9"/>
      <c r="H263" s="9"/>
      <c r="I263" s="9"/>
      <c r="J263" s="9"/>
      <c r="K263" s="9"/>
      <c r="L263" s="9"/>
      <c r="M263" s="9"/>
      <c r="N263" s="9"/>
      <c r="O263" s="9"/>
      <c r="P263" s="9"/>
      <c r="Q263" s="9"/>
    </row>
    <row r="264" spans="4:17" s="294" customFormat="1" ht="15" customHeight="1">
      <c r="D264" s="10"/>
      <c r="E264" s="10"/>
      <c r="F264" s="9"/>
      <c r="G264" s="9"/>
      <c r="H264" s="9"/>
      <c r="I264" s="9"/>
      <c r="J264" s="9"/>
      <c r="K264" s="9"/>
      <c r="L264" s="9"/>
      <c r="M264" s="9"/>
      <c r="N264" s="9"/>
      <c r="O264" s="9"/>
      <c r="P264" s="9"/>
      <c r="Q264" s="9"/>
    </row>
    <row r="265" spans="4:17" s="294" customFormat="1" ht="15" customHeight="1">
      <c r="D265" s="10"/>
      <c r="E265" s="10"/>
      <c r="F265" s="9"/>
      <c r="G265" s="9"/>
      <c r="H265" s="9"/>
      <c r="I265" s="9"/>
      <c r="J265" s="9"/>
      <c r="K265" s="9"/>
      <c r="L265" s="9"/>
      <c r="M265" s="9"/>
      <c r="N265" s="9"/>
      <c r="O265" s="9"/>
      <c r="P265" s="9"/>
      <c r="Q265" s="9"/>
    </row>
    <row r="266" spans="4:17" s="294" customFormat="1" ht="15" customHeight="1">
      <c r="D266" s="10"/>
      <c r="E266" s="10"/>
      <c r="F266" s="9"/>
      <c r="G266" s="9"/>
      <c r="H266" s="9"/>
      <c r="I266" s="9"/>
      <c r="J266" s="9"/>
      <c r="K266" s="9"/>
      <c r="L266" s="9"/>
      <c r="M266" s="9"/>
      <c r="N266" s="9"/>
      <c r="O266" s="9"/>
      <c r="P266" s="9"/>
      <c r="Q266" s="9"/>
    </row>
    <row r="267" spans="4:17" s="294" customFormat="1" ht="15" customHeight="1">
      <c r="D267" s="10"/>
      <c r="E267" s="10"/>
      <c r="F267" s="9"/>
      <c r="G267" s="9"/>
      <c r="H267" s="9"/>
      <c r="I267" s="9"/>
      <c r="J267" s="9"/>
      <c r="K267" s="9"/>
      <c r="L267" s="9"/>
      <c r="M267" s="9"/>
      <c r="N267" s="9"/>
      <c r="O267" s="9"/>
      <c r="P267" s="9"/>
      <c r="Q267" s="9"/>
    </row>
    <row r="268" spans="4:17" s="294" customFormat="1" ht="15" customHeight="1">
      <c r="D268" s="10"/>
      <c r="E268" s="10"/>
      <c r="F268" s="9"/>
      <c r="G268" s="9"/>
      <c r="H268" s="9"/>
      <c r="I268" s="9"/>
      <c r="J268" s="9"/>
      <c r="K268" s="9"/>
      <c r="L268" s="9"/>
      <c r="M268" s="9"/>
      <c r="N268" s="9"/>
      <c r="O268" s="9"/>
      <c r="P268" s="9"/>
      <c r="Q268" s="9"/>
    </row>
    <row r="269" spans="4:17" s="294" customFormat="1" ht="15" customHeight="1">
      <c r="D269" s="10"/>
      <c r="E269" s="10"/>
      <c r="F269" s="9"/>
      <c r="G269" s="9"/>
      <c r="H269" s="9"/>
      <c r="I269" s="9"/>
      <c r="J269" s="9"/>
      <c r="K269" s="9"/>
      <c r="L269" s="9"/>
      <c r="M269" s="9"/>
      <c r="N269" s="9"/>
      <c r="O269" s="9"/>
      <c r="P269" s="9"/>
      <c r="Q269" s="9"/>
    </row>
    <row r="270" spans="4:17" s="294" customFormat="1" ht="15" customHeight="1">
      <c r="D270" s="10"/>
      <c r="E270" s="10"/>
      <c r="F270" s="9"/>
      <c r="G270" s="9"/>
      <c r="H270" s="9"/>
      <c r="I270" s="9"/>
      <c r="J270" s="9"/>
      <c r="K270" s="9"/>
      <c r="L270" s="9"/>
      <c r="M270" s="9"/>
      <c r="N270" s="9"/>
      <c r="O270" s="9"/>
      <c r="P270" s="9"/>
      <c r="Q270" s="9"/>
    </row>
    <row r="271" spans="4:17" s="294" customFormat="1" ht="15" customHeight="1">
      <c r="D271" s="10"/>
      <c r="E271" s="10"/>
      <c r="F271" s="9"/>
      <c r="G271" s="9"/>
      <c r="H271" s="9"/>
      <c r="I271" s="9"/>
      <c r="J271" s="9"/>
      <c r="K271" s="9"/>
      <c r="L271" s="9"/>
      <c r="M271" s="9"/>
      <c r="N271" s="9"/>
      <c r="O271" s="9"/>
      <c r="P271" s="9"/>
      <c r="Q271" s="9"/>
    </row>
    <row r="272" spans="4:17" s="294" customFormat="1" ht="15" customHeight="1">
      <c r="D272" s="10"/>
      <c r="E272" s="10"/>
      <c r="F272" s="9"/>
      <c r="G272" s="9"/>
      <c r="H272" s="9"/>
      <c r="I272" s="9"/>
      <c r="J272" s="9"/>
      <c r="K272" s="9"/>
      <c r="L272" s="9"/>
      <c r="M272" s="9"/>
      <c r="N272" s="9"/>
      <c r="O272" s="9"/>
      <c r="P272" s="9"/>
      <c r="Q272" s="9"/>
    </row>
    <row r="273" spans="4:17" s="294" customFormat="1" ht="15" customHeight="1">
      <c r="D273" s="10"/>
      <c r="E273" s="10"/>
      <c r="F273" s="9"/>
      <c r="G273" s="9"/>
      <c r="H273" s="9"/>
      <c r="I273" s="9"/>
      <c r="J273" s="9"/>
      <c r="K273" s="9"/>
      <c r="L273" s="9"/>
      <c r="M273" s="9"/>
      <c r="N273" s="9"/>
      <c r="O273" s="9"/>
      <c r="P273" s="9"/>
      <c r="Q273" s="9"/>
    </row>
    <row r="274" spans="4:17" s="294" customFormat="1" ht="15" customHeight="1">
      <c r="D274" s="10"/>
      <c r="E274" s="10"/>
      <c r="F274" s="9"/>
      <c r="G274" s="9"/>
      <c r="H274" s="9"/>
      <c r="I274" s="9"/>
      <c r="J274" s="9"/>
      <c r="K274" s="9"/>
      <c r="L274" s="9"/>
      <c r="M274" s="9"/>
      <c r="N274" s="9"/>
      <c r="O274" s="9"/>
      <c r="P274" s="9"/>
      <c r="Q274" s="9"/>
    </row>
    <row r="275" spans="4:17" s="294" customFormat="1" ht="15" customHeight="1">
      <c r="D275" s="10"/>
      <c r="E275" s="10"/>
      <c r="F275" s="9"/>
      <c r="G275" s="9"/>
      <c r="H275" s="9"/>
      <c r="I275" s="9"/>
      <c r="J275" s="9"/>
      <c r="K275" s="9"/>
      <c r="L275" s="9"/>
      <c r="M275" s="9"/>
      <c r="N275" s="9"/>
      <c r="O275" s="9"/>
      <c r="P275" s="9"/>
      <c r="Q275" s="9"/>
    </row>
    <row r="276" spans="4:17" s="294" customFormat="1" ht="15" customHeight="1">
      <c r="D276" s="10"/>
      <c r="E276" s="10"/>
      <c r="F276" s="9"/>
      <c r="G276" s="9"/>
      <c r="H276" s="9"/>
      <c r="I276" s="9"/>
      <c r="J276" s="9"/>
      <c r="K276" s="9"/>
      <c r="L276" s="9"/>
      <c r="M276" s="9"/>
      <c r="N276" s="9"/>
      <c r="O276" s="9"/>
      <c r="P276" s="9"/>
      <c r="Q276" s="9"/>
    </row>
    <row r="277" spans="4:17" s="294" customFormat="1" ht="15" customHeight="1">
      <c r="D277" s="10"/>
      <c r="E277" s="10"/>
      <c r="F277" s="9"/>
      <c r="G277" s="9"/>
      <c r="H277" s="9"/>
      <c r="I277" s="9"/>
      <c r="J277" s="9"/>
      <c r="K277" s="9"/>
      <c r="L277" s="9"/>
      <c r="M277" s="9"/>
      <c r="N277" s="9"/>
      <c r="O277" s="9"/>
      <c r="P277" s="9"/>
      <c r="Q277" s="9"/>
    </row>
    <row r="278" spans="4:17" s="294" customFormat="1" ht="15" customHeight="1">
      <c r="D278" s="10"/>
      <c r="E278" s="10"/>
      <c r="F278" s="9"/>
      <c r="G278" s="9"/>
      <c r="H278" s="9"/>
      <c r="I278" s="9"/>
      <c r="J278" s="9"/>
      <c r="K278" s="9"/>
      <c r="L278" s="9"/>
      <c r="M278" s="9"/>
      <c r="N278" s="9"/>
      <c r="O278" s="9"/>
      <c r="P278" s="9"/>
      <c r="Q278" s="9"/>
    </row>
    <row r="279" spans="4:17" s="294" customFormat="1" ht="15" customHeight="1">
      <c r="D279" s="10"/>
      <c r="E279" s="10"/>
      <c r="F279" s="9"/>
      <c r="G279" s="9"/>
      <c r="H279" s="9"/>
      <c r="I279" s="9"/>
      <c r="J279" s="9"/>
      <c r="K279" s="9"/>
      <c r="L279" s="9"/>
      <c r="M279" s="9"/>
      <c r="N279" s="9"/>
      <c r="O279" s="9"/>
      <c r="P279" s="9"/>
      <c r="Q279" s="9"/>
    </row>
    <row r="280" spans="4:17" s="294" customFormat="1" ht="15" customHeight="1">
      <c r="D280" s="10"/>
      <c r="E280" s="10"/>
      <c r="F280" s="9"/>
      <c r="G280" s="9"/>
      <c r="H280" s="9"/>
      <c r="I280" s="9"/>
      <c r="J280" s="9"/>
      <c r="K280" s="9"/>
      <c r="L280" s="9"/>
      <c r="M280" s="9"/>
      <c r="N280" s="9"/>
      <c r="O280" s="9"/>
      <c r="P280" s="9"/>
      <c r="Q280" s="9"/>
    </row>
    <row r="281" spans="4:17" s="294" customFormat="1" ht="15" customHeight="1">
      <c r="D281" s="10"/>
      <c r="E281" s="10"/>
      <c r="F281" s="9"/>
      <c r="G281" s="9"/>
      <c r="H281" s="9"/>
      <c r="I281" s="9"/>
      <c r="J281" s="9"/>
      <c r="K281" s="9"/>
      <c r="L281" s="9"/>
      <c r="M281" s="9"/>
      <c r="N281" s="9"/>
      <c r="O281" s="9"/>
      <c r="P281" s="9"/>
      <c r="Q281" s="9"/>
    </row>
    <row r="282" spans="4:17" s="294" customFormat="1" ht="15" customHeight="1">
      <c r="D282" s="10"/>
      <c r="E282" s="10"/>
      <c r="F282" s="9"/>
      <c r="G282" s="9"/>
      <c r="H282" s="9"/>
      <c r="I282" s="9"/>
      <c r="J282" s="9"/>
      <c r="K282" s="9"/>
      <c r="L282" s="9"/>
      <c r="M282" s="9"/>
      <c r="N282" s="9"/>
      <c r="O282" s="9"/>
      <c r="P282" s="9"/>
      <c r="Q282" s="9"/>
    </row>
    <row r="283" spans="4:17" s="294" customFormat="1" ht="15" customHeight="1">
      <c r="D283" s="10"/>
      <c r="E283" s="10"/>
      <c r="F283" s="9"/>
      <c r="G283" s="9"/>
      <c r="H283" s="9"/>
      <c r="I283" s="9"/>
      <c r="J283" s="9"/>
      <c r="K283" s="9"/>
      <c r="L283" s="9"/>
      <c r="M283" s="9"/>
      <c r="N283" s="9"/>
      <c r="O283" s="9"/>
      <c r="P283" s="9"/>
      <c r="Q283" s="9"/>
    </row>
    <row r="284" spans="4:17" s="294" customFormat="1" ht="15" customHeight="1">
      <c r="D284" s="10"/>
      <c r="E284" s="10"/>
      <c r="F284" s="9"/>
      <c r="G284" s="9"/>
      <c r="H284" s="9"/>
      <c r="I284" s="9"/>
      <c r="J284" s="9"/>
      <c r="K284" s="9"/>
      <c r="L284" s="9"/>
      <c r="M284" s="9"/>
      <c r="N284" s="9"/>
      <c r="O284" s="9"/>
      <c r="P284" s="9"/>
      <c r="Q284" s="9"/>
    </row>
    <row r="285" spans="4:17" s="294" customFormat="1" ht="15" customHeight="1">
      <c r="D285" s="10"/>
      <c r="E285" s="10"/>
      <c r="F285" s="9"/>
      <c r="G285" s="9"/>
      <c r="H285" s="9"/>
      <c r="I285" s="9"/>
      <c r="J285" s="9"/>
      <c r="K285" s="9"/>
      <c r="L285" s="9"/>
      <c r="M285" s="9"/>
      <c r="N285" s="9"/>
      <c r="O285" s="9"/>
      <c r="P285" s="9"/>
      <c r="Q285" s="9"/>
    </row>
    <row r="286" spans="4:17" s="294" customFormat="1" ht="15" customHeight="1">
      <c r="D286" s="10"/>
      <c r="E286" s="10"/>
      <c r="F286" s="9"/>
      <c r="G286" s="9"/>
      <c r="H286" s="9"/>
      <c r="I286" s="9"/>
      <c r="J286" s="9"/>
      <c r="K286" s="9"/>
      <c r="L286" s="9"/>
      <c r="M286" s="9"/>
      <c r="N286" s="9"/>
      <c r="O286" s="9"/>
      <c r="P286" s="9"/>
      <c r="Q286" s="9"/>
    </row>
    <row r="287" spans="4:17" s="294" customFormat="1" ht="15" customHeight="1">
      <c r="D287" s="10"/>
      <c r="E287" s="10"/>
      <c r="F287" s="9"/>
      <c r="G287" s="9"/>
      <c r="H287" s="9"/>
      <c r="I287" s="9"/>
      <c r="J287" s="9"/>
      <c r="K287" s="9"/>
      <c r="L287" s="9"/>
      <c r="M287" s="9"/>
      <c r="N287" s="9"/>
      <c r="O287" s="9"/>
      <c r="P287" s="9"/>
      <c r="Q287" s="9"/>
    </row>
    <row r="288" spans="4:17" s="294" customFormat="1" ht="15" customHeight="1">
      <c r="D288" s="10"/>
      <c r="E288" s="10"/>
      <c r="F288" s="9"/>
      <c r="G288" s="9"/>
      <c r="H288" s="9"/>
      <c r="I288" s="9"/>
      <c r="J288" s="9"/>
      <c r="K288" s="9"/>
      <c r="L288" s="9"/>
      <c r="M288" s="9"/>
      <c r="N288" s="9"/>
      <c r="O288" s="9"/>
      <c r="P288" s="9"/>
      <c r="Q288" s="9"/>
    </row>
    <row r="289" spans="4:17" s="294" customFormat="1" ht="15" customHeight="1">
      <c r="D289" s="10"/>
      <c r="E289" s="10"/>
      <c r="F289" s="9"/>
      <c r="G289" s="9"/>
      <c r="H289" s="9"/>
      <c r="I289" s="9"/>
      <c r="J289" s="9"/>
      <c r="K289" s="9"/>
      <c r="L289" s="9"/>
      <c r="M289" s="9"/>
      <c r="N289" s="9"/>
      <c r="O289" s="9"/>
      <c r="P289" s="9"/>
      <c r="Q289" s="9"/>
    </row>
    <row r="290" spans="4:17" s="294" customFormat="1" ht="15" customHeight="1">
      <c r="D290" s="10"/>
      <c r="E290" s="10"/>
      <c r="F290" s="9"/>
      <c r="G290" s="9"/>
      <c r="H290" s="9"/>
      <c r="I290" s="9"/>
      <c r="J290" s="9"/>
      <c r="K290" s="9"/>
      <c r="L290" s="9"/>
      <c r="M290" s="9"/>
      <c r="N290" s="9"/>
      <c r="O290" s="9"/>
      <c r="P290" s="9"/>
      <c r="Q290" s="9"/>
    </row>
    <row r="291" spans="4:17" s="294" customFormat="1" ht="15" customHeight="1">
      <c r="D291" s="10"/>
      <c r="E291" s="10"/>
      <c r="F291" s="9"/>
      <c r="G291" s="9"/>
      <c r="H291" s="9"/>
      <c r="I291" s="9"/>
      <c r="J291" s="9"/>
      <c r="K291" s="9"/>
      <c r="L291" s="9"/>
      <c r="M291" s="9"/>
      <c r="N291" s="9"/>
      <c r="O291" s="9"/>
      <c r="P291" s="9"/>
      <c r="Q291" s="9"/>
    </row>
    <row r="292" spans="4:17" s="294" customFormat="1" ht="15" customHeight="1">
      <c r="D292" s="10"/>
      <c r="E292" s="10"/>
      <c r="F292" s="9"/>
      <c r="G292" s="9"/>
      <c r="H292" s="9"/>
      <c r="I292" s="9"/>
      <c r="J292" s="9"/>
      <c r="K292" s="9"/>
      <c r="L292" s="9"/>
      <c r="M292" s="9"/>
      <c r="N292" s="9"/>
      <c r="O292" s="9"/>
      <c r="P292" s="9"/>
      <c r="Q292" s="9"/>
    </row>
    <row r="293" spans="4:17" s="294" customFormat="1" ht="15" customHeight="1">
      <c r="D293" s="10"/>
      <c r="E293" s="10"/>
      <c r="F293" s="9"/>
      <c r="G293" s="9"/>
      <c r="H293" s="9"/>
      <c r="I293" s="9"/>
      <c r="J293" s="9"/>
      <c r="K293" s="9"/>
      <c r="L293" s="9"/>
      <c r="M293" s="9"/>
      <c r="N293" s="9"/>
      <c r="O293" s="9"/>
      <c r="P293" s="9"/>
      <c r="Q293" s="9"/>
    </row>
    <row r="294" spans="4:17" s="294" customFormat="1" ht="15" customHeight="1">
      <c r="D294" s="10"/>
      <c r="E294" s="10"/>
      <c r="F294" s="9"/>
      <c r="G294" s="9"/>
      <c r="H294" s="9"/>
      <c r="I294" s="9"/>
      <c r="J294" s="9"/>
      <c r="K294" s="9"/>
      <c r="L294" s="9"/>
      <c r="M294" s="9"/>
      <c r="N294" s="9"/>
      <c r="O294" s="9"/>
      <c r="P294" s="9"/>
      <c r="Q294" s="9"/>
    </row>
    <row r="295" spans="4:17" s="294" customFormat="1" ht="15" customHeight="1">
      <c r="D295" s="10"/>
      <c r="E295" s="10"/>
      <c r="F295" s="9"/>
      <c r="G295" s="9"/>
      <c r="H295" s="9"/>
      <c r="I295" s="9"/>
      <c r="J295" s="9"/>
      <c r="K295" s="9"/>
      <c r="L295" s="9"/>
      <c r="M295" s="9"/>
      <c r="N295" s="9"/>
      <c r="O295" s="9"/>
      <c r="P295" s="9"/>
      <c r="Q295" s="9"/>
    </row>
    <row r="296" spans="4:17" s="294" customFormat="1" ht="15" customHeight="1">
      <c r="D296" s="10"/>
      <c r="E296" s="10"/>
      <c r="F296" s="9"/>
      <c r="G296" s="9"/>
      <c r="H296" s="9"/>
      <c r="I296" s="9"/>
      <c r="J296" s="9"/>
      <c r="K296" s="9"/>
      <c r="L296" s="9"/>
      <c r="M296" s="9"/>
      <c r="N296" s="9"/>
      <c r="O296" s="9"/>
      <c r="P296" s="9"/>
      <c r="Q296" s="9"/>
    </row>
    <row r="297" spans="4:17" s="294" customFormat="1" ht="15" customHeight="1">
      <c r="D297" s="10"/>
      <c r="E297" s="10"/>
      <c r="F297" s="9"/>
      <c r="G297" s="9"/>
      <c r="H297" s="9"/>
      <c r="I297" s="9"/>
      <c r="J297" s="9"/>
      <c r="K297" s="9"/>
      <c r="L297" s="9"/>
      <c r="M297" s="9"/>
      <c r="N297" s="9"/>
      <c r="O297" s="9"/>
      <c r="P297" s="9"/>
      <c r="Q297" s="9"/>
    </row>
    <row r="298" spans="4:17" s="294" customFormat="1" ht="15" customHeight="1">
      <c r="D298" s="10"/>
      <c r="E298" s="10"/>
      <c r="F298" s="9"/>
      <c r="G298" s="9"/>
      <c r="H298" s="9"/>
      <c r="I298" s="9"/>
      <c r="J298" s="9"/>
      <c r="K298" s="9"/>
      <c r="L298" s="9"/>
      <c r="M298" s="9"/>
      <c r="N298" s="9"/>
      <c r="O298" s="9"/>
      <c r="P298" s="9"/>
      <c r="Q298" s="9"/>
    </row>
    <row r="299" spans="4:17" s="294" customFormat="1" ht="15" customHeight="1">
      <c r="D299" s="10"/>
      <c r="E299" s="10"/>
      <c r="F299" s="9"/>
      <c r="G299" s="9"/>
      <c r="H299" s="9"/>
      <c r="I299" s="9"/>
      <c r="J299" s="9"/>
      <c r="K299" s="9"/>
      <c r="L299" s="9"/>
      <c r="M299" s="9"/>
      <c r="N299" s="9"/>
      <c r="O299" s="9"/>
      <c r="P299" s="9"/>
      <c r="Q299" s="9"/>
    </row>
    <row r="300" spans="4:17" s="294" customFormat="1" ht="15" customHeight="1">
      <c r="D300" s="10"/>
      <c r="E300" s="10"/>
      <c r="F300" s="9"/>
      <c r="G300" s="9"/>
      <c r="H300" s="9"/>
      <c r="I300" s="9"/>
      <c r="J300" s="9"/>
      <c r="K300" s="9"/>
      <c r="L300" s="9"/>
      <c r="M300" s="9"/>
      <c r="N300" s="9"/>
      <c r="O300" s="9"/>
      <c r="P300" s="9"/>
      <c r="Q300" s="9"/>
    </row>
    <row r="301" spans="4:17" s="294" customFormat="1" ht="15" customHeight="1">
      <c r="D301" s="10"/>
      <c r="E301" s="10"/>
      <c r="F301" s="9"/>
      <c r="G301" s="9"/>
      <c r="H301" s="9"/>
      <c r="I301" s="9"/>
      <c r="J301" s="9"/>
      <c r="K301" s="9"/>
      <c r="L301" s="9"/>
      <c r="M301" s="9"/>
      <c r="N301" s="9"/>
      <c r="O301" s="9"/>
      <c r="P301" s="9"/>
      <c r="Q301" s="9"/>
    </row>
    <row r="302" spans="4:17" s="294" customFormat="1" ht="15" customHeight="1">
      <c r="D302" s="10"/>
      <c r="E302" s="10"/>
      <c r="F302" s="9"/>
      <c r="G302" s="9"/>
      <c r="H302" s="9"/>
      <c r="I302" s="9"/>
      <c r="J302" s="9"/>
      <c r="K302" s="9"/>
      <c r="L302" s="9"/>
      <c r="M302" s="9"/>
      <c r="N302" s="9"/>
      <c r="O302" s="9"/>
      <c r="P302" s="9"/>
      <c r="Q302" s="9"/>
    </row>
    <row r="303" spans="4:17" s="294" customFormat="1" ht="15" customHeight="1">
      <c r="D303" s="10"/>
      <c r="E303" s="10"/>
      <c r="F303" s="9"/>
      <c r="G303" s="9"/>
      <c r="H303" s="9"/>
      <c r="I303" s="9"/>
      <c r="J303" s="9"/>
      <c r="K303" s="9"/>
      <c r="L303" s="9"/>
      <c r="M303" s="9"/>
      <c r="N303" s="9"/>
      <c r="O303" s="9"/>
      <c r="P303" s="9"/>
      <c r="Q303" s="9"/>
    </row>
    <row r="304" spans="4:17" s="294" customFormat="1" ht="15" customHeight="1">
      <c r="D304" s="10"/>
      <c r="E304" s="10"/>
      <c r="F304" s="9"/>
      <c r="G304" s="9"/>
      <c r="H304" s="9"/>
      <c r="I304" s="9"/>
      <c r="J304" s="9"/>
      <c r="K304" s="9"/>
      <c r="L304" s="9"/>
      <c r="M304" s="9"/>
      <c r="N304" s="9"/>
      <c r="O304" s="9"/>
      <c r="P304" s="9"/>
      <c r="Q304" s="9"/>
    </row>
    <row r="305" spans="4:17" s="294" customFormat="1" ht="15" customHeight="1">
      <c r="D305" s="10"/>
      <c r="E305" s="10"/>
      <c r="F305" s="9"/>
      <c r="G305" s="9"/>
      <c r="H305" s="9"/>
      <c r="I305" s="9"/>
      <c r="J305" s="9"/>
      <c r="K305" s="9"/>
      <c r="L305" s="9"/>
      <c r="M305" s="9"/>
      <c r="N305" s="9"/>
      <c r="O305" s="9"/>
      <c r="P305" s="9"/>
      <c r="Q305" s="9"/>
    </row>
    <row r="306" spans="4:17" s="294" customFormat="1" ht="15" customHeight="1">
      <c r="D306" s="10"/>
      <c r="E306" s="10"/>
      <c r="F306" s="9"/>
      <c r="G306" s="9"/>
      <c r="H306" s="9"/>
      <c r="I306" s="9"/>
      <c r="J306" s="9"/>
      <c r="K306" s="9"/>
      <c r="L306" s="9"/>
      <c r="M306" s="9"/>
      <c r="N306" s="9"/>
      <c r="O306" s="9"/>
      <c r="P306" s="9"/>
      <c r="Q306" s="9"/>
    </row>
    <row r="307" spans="4:17" s="294" customFormat="1" ht="15" customHeight="1">
      <c r="D307" s="10"/>
      <c r="E307" s="10"/>
      <c r="F307" s="9"/>
      <c r="G307" s="9"/>
      <c r="H307" s="9"/>
      <c r="I307" s="9"/>
      <c r="J307" s="9"/>
      <c r="K307" s="9"/>
      <c r="L307" s="9"/>
      <c r="M307" s="9"/>
      <c r="N307" s="9"/>
      <c r="O307" s="9"/>
      <c r="P307" s="9"/>
      <c r="Q307" s="9"/>
    </row>
    <row r="308" spans="4:17" s="294" customFormat="1" ht="15" customHeight="1">
      <c r="D308" s="10"/>
      <c r="E308" s="10"/>
      <c r="F308" s="9"/>
      <c r="G308" s="9"/>
      <c r="H308" s="9"/>
      <c r="I308" s="9"/>
      <c r="J308" s="9"/>
      <c r="K308" s="9"/>
      <c r="L308" s="9"/>
      <c r="M308" s="9"/>
      <c r="N308" s="9"/>
      <c r="O308" s="9"/>
      <c r="P308" s="9"/>
      <c r="Q308" s="9"/>
    </row>
    <row r="309" spans="4:17" s="294" customFormat="1" ht="15" customHeight="1">
      <c r="D309" s="10"/>
      <c r="E309" s="10"/>
      <c r="F309" s="9"/>
      <c r="G309" s="9"/>
      <c r="H309" s="9"/>
      <c r="I309" s="9"/>
      <c r="J309" s="9"/>
      <c r="K309" s="9"/>
      <c r="L309" s="9"/>
      <c r="M309" s="9"/>
      <c r="N309" s="9"/>
      <c r="O309" s="9"/>
      <c r="P309" s="9"/>
      <c r="Q309" s="9"/>
    </row>
    <row r="310" spans="4:17" s="294" customFormat="1" ht="15" customHeight="1">
      <c r="D310" s="10"/>
      <c r="E310" s="10"/>
      <c r="F310" s="9"/>
      <c r="G310" s="9"/>
      <c r="H310" s="9"/>
      <c r="I310" s="9"/>
      <c r="J310" s="9"/>
      <c r="K310" s="9"/>
      <c r="L310" s="9"/>
      <c r="M310" s="9"/>
      <c r="N310" s="9"/>
      <c r="O310" s="9"/>
      <c r="P310" s="9"/>
      <c r="Q310" s="9"/>
    </row>
    <row r="311" spans="4:17" s="294" customFormat="1" ht="15" customHeight="1">
      <c r="D311" s="10"/>
      <c r="E311" s="10"/>
      <c r="F311" s="9"/>
      <c r="G311" s="9"/>
      <c r="H311" s="9"/>
      <c r="I311" s="9"/>
      <c r="J311" s="9"/>
      <c r="K311" s="9"/>
      <c r="L311" s="9"/>
      <c r="M311" s="9"/>
      <c r="N311" s="9"/>
      <c r="O311" s="9"/>
      <c r="P311" s="9"/>
      <c r="Q311" s="9"/>
    </row>
    <row r="312" spans="4:17" s="294" customFormat="1" ht="15" customHeight="1">
      <c r="D312" s="10"/>
      <c r="E312" s="10"/>
      <c r="F312" s="9"/>
      <c r="G312" s="9"/>
      <c r="H312" s="9"/>
      <c r="I312" s="9"/>
      <c r="J312" s="9"/>
      <c r="K312" s="9"/>
      <c r="L312" s="9"/>
      <c r="M312" s="9"/>
      <c r="N312" s="9"/>
      <c r="O312" s="9"/>
      <c r="P312" s="9"/>
      <c r="Q312" s="9"/>
    </row>
    <row r="313" spans="4:17" s="294" customFormat="1" ht="15" customHeight="1">
      <c r="D313" s="10"/>
      <c r="E313" s="10"/>
      <c r="F313" s="9"/>
      <c r="G313" s="9"/>
      <c r="H313" s="9"/>
      <c r="I313" s="9"/>
      <c r="J313" s="9"/>
      <c r="K313" s="9"/>
      <c r="L313" s="9"/>
      <c r="M313" s="9"/>
      <c r="N313" s="9"/>
      <c r="O313" s="9"/>
      <c r="P313" s="9"/>
      <c r="Q313" s="9"/>
    </row>
    <row r="314" spans="4:17" s="294" customFormat="1" ht="15" customHeight="1">
      <c r="D314" s="10"/>
      <c r="E314" s="10"/>
      <c r="F314" s="9"/>
      <c r="G314" s="9"/>
      <c r="H314" s="9"/>
      <c r="I314" s="9"/>
      <c r="J314" s="9"/>
      <c r="K314" s="9"/>
      <c r="L314" s="9"/>
      <c r="M314" s="9"/>
      <c r="N314" s="9"/>
      <c r="O314" s="9"/>
      <c r="P314" s="9"/>
      <c r="Q314" s="9"/>
    </row>
    <row r="315" spans="4:17" s="294" customFormat="1" ht="15" customHeight="1">
      <c r="D315" s="10"/>
      <c r="E315" s="10"/>
      <c r="F315" s="9"/>
      <c r="G315" s="9"/>
      <c r="H315" s="9"/>
      <c r="I315" s="9"/>
      <c r="J315" s="9"/>
      <c r="K315" s="9"/>
      <c r="L315" s="9"/>
      <c r="M315" s="9"/>
      <c r="N315" s="9"/>
      <c r="O315" s="9"/>
      <c r="P315" s="9"/>
      <c r="Q315" s="9"/>
    </row>
    <row r="316" spans="4:17" s="294" customFormat="1" ht="15" customHeight="1">
      <c r="D316" s="10"/>
      <c r="E316" s="10"/>
      <c r="F316" s="9"/>
      <c r="G316" s="9"/>
      <c r="H316" s="9"/>
      <c r="I316" s="9"/>
      <c r="J316" s="9"/>
      <c r="K316" s="9"/>
      <c r="L316" s="9"/>
      <c r="M316" s="9"/>
      <c r="N316" s="9"/>
      <c r="O316" s="9"/>
      <c r="P316" s="9"/>
      <c r="Q316" s="9"/>
    </row>
    <row r="317" spans="4:17" s="294" customFormat="1" ht="15" customHeight="1">
      <c r="D317" s="10"/>
      <c r="E317" s="10"/>
      <c r="F317" s="9"/>
      <c r="G317" s="9"/>
      <c r="H317" s="9"/>
      <c r="I317" s="9"/>
      <c r="J317" s="9"/>
      <c r="K317" s="9"/>
      <c r="L317" s="9"/>
      <c r="M317" s="9"/>
      <c r="N317" s="9"/>
      <c r="O317" s="9"/>
      <c r="P317" s="9"/>
      <c r="Q317" s="9"/>
    </row>
    <row r="318" spans="4:17" s="294" customFormat="1" ht="15" customHeight="1">
      <c r="D318" s="10"/>
      <c r="E318" s="10"/>
      <c r="F318" s="9"/>
      <c r="G318" s="9"/>
      <c r="H318" s="9"/>
      <c r="I318" s="9"/>
      <c r="J318" s="9"/>
      <c r="K318" s="9"/>
      <c r="L318" s="9"/>
      <c r="M318" s="9"/>
      <c r="N318" s="9"/>
      <c r="O318" s="9"/>
      <c r="P318" s="9"/>
      <c r="Q318" s="9"/>
    </row>
    <row r="319" spans="4:17" s="294" customFormat="1" ht="15" customHeight="1">
      <c r="D319" s="10"/>
      <c r="E319" s="10"/>
      <c r="F319" s="9"/>
      <c r="G319" s="9"/>
      <c r="H319" s="9"/>
      <c r="I319" s="9"/>
      <c r="J319" s="9"/>
      <c r="K319" s="9"/>
      <c r="L319" s="9"/>
      <c r="M319" s="9"/>
      <c r="N319" s="9"/>
      <c r="O319" s="9"/>
      <c r="P319" s="9"/>
      <c r="Q319" s="9"/>
    </row>
    <row r="320" spans="4:17" s="294" customFormat="1" ht="15" customHeight="1">
      <c r="D320" s="10"/>
      <c r="E320" s="10"/>
      <c r="F320" s="9"/>
      <c r="G320" s="9"/>
      <c r="H320" s="9"/>
      <c r="I320" s="9"/>
      <c r="J320" s="9"/>
      <c r="K320" s="9"/>
      <c r="L320" s="9"/>
      <c r="M320" s="9"/>
      <c r="N320" s="9"/>
      <c r="O320" s="9"/>
      <c r="P320" s="9"/>
      <c r="Q320" s="9"/>
    </row>
    <row r="321" spans="4:17" s="294" customFormat="1" ht="15" customHeight="1">
      <c r="D321" s="10"/>
      <c r="E321" s="10"/>
      <c r="F321" s="9"/>
      <c r="G321" s="9"/>
      <c r="H321" s="9"/>
      <c r="I321" s="9"/>
      <c r="J321" s="9"/>
      <c r="K321" s="9"/>
      <c r="L321" s="9"/>
      <c r="M321" s="9"/>
      <c r="N321" s="9"/>
      <c r="O321" s="9"/>
      <c r="P321" s="9"/>
      <c r="Q321" s="9"/>
    </row>
    <row r="322" spans="4:17" s="294" customFormat="1" ht="15" customHeight="1">
      <c r="D322" s="10"/>
      <c r="E322" s="10"/>
      <c r="F322" s="9"/>
      <c r="G322" s="9"/>
      <c r="H322" s="9"/>
      <c r="I322" s="9"/>
      <c r="J322" s="9"/>
      <c r="K322" s="9"/>
      <c r="L322" s="9"/>
      <c r="M322" s="9"/>
      <c r="N322" s="9"/>
      <c r="O322" s="9"/>
      <c r="P322" s="9"/>
      <c r="Q322" s="9"/>
    </row>
    <row r="323" spans="4:17" s="294" customFormat="1" ht="15" customHeight="1">
      <c r="D323" s="10"/>
      <c r="E323" s="10"/>
      <c r="F323" s="9"/>
      <c r="G323" s="9"/>
      <c r="H323" s="9"/>
      <c r="I323" s="9"/>
      <c r="J323" s="9"/>
      <c r="K323" s="9"/>
      <c r="L323" s="9"/>
      <c r="M323" s="9"/>
      <c r="N323" s="9"/>
      <c r="O323" s="9"/>
      <c r="P323" s="9"/>
      <c r="Q323" s="9"/>
    </row>
    <row r="324" spans="4:17" s="294" customFormat="1" ht="15" customHeight="1">
      <c r="D324" s="10"/>
      <c r="E324" s="10"/>
      <c r="F324" s="9"/>
      <c r="G324" s="9"/>
      <c r="H324" s="9"/>
      <c r="I324" s="9"/>
      <c r="J324" s="9"/>
      <c r="K324" s="9"/>
      <c r="L324" s="9"/>
      <c r="M324" s="9"/>
      <c r="N324" s="9"/>
      <c r="O324" s="9"/>
      <c r="P324" s="9"/>
      <c r="Q324" s="9"/>
    </row>
    <row r="325" spans="4:17" s="294" customFormat="1" ht="15" customHeight="1">
      <c r="D325" s="10"/>
      <c r="E325" s="10"/>
      <c r="F325" s="9"/>
      <c r="G325" s="9"/>
      <c r="H325" s="9"/>
      <c r="I325" s="9"/>
      <c r="J325" s="9"/>
      <c r="K325" s="9"/>
      <c r="L325" s="9"/>
      <c r="M325" s="9"/>
      <c r="N325" s="9"/>
      <c r="O325" s="9"/>
      <c r="P325" s="9"/>
      <c r="Q325" s="9"/>
    </row>
    <row r="326" spans="4:17" s="294" customFormat="1" ht="15" customHeight="1">
      <c r="D326" s="10"/>
      <c r="E326" s="10"/>
      <c r="F326" s="9"/>
      <c r="G326" s="9"/>
      <c r="H326" s="9"/>
      <c r="I326" s="9"/>
      <c r="J326" s="9"/>
      <c r="K326" s="9"/>
      <c r="L326" s="9"/>
      <c r="M326" s="9"/>
      <c r="N326" s="9"/>
      <c r="O326" s="9"/>
      <c r="P326" s="9"/>
      <c r="Q326" s="9"/>
    </row>
    <row r="327" spans="4:17" s="294" customFormat="1" ht="15" customHeight="1">
      <c r="D327" s="10"/>
      <c r="E327" s="10"/>
      <c r="F327" s="9"/>
      <c r="G327" s="9"/>
      <c r="H327" s="9"/>
      <c r="I327" s="9"/>
      <c r="J327" s="9"/>
      <c r="K327" s="9"/>
      <c r="L327" s="9"/>
      <c r="M327" s="9"/>
      <c r="N327" s="9"/>
      <c r="O327" s="9"/>
      <c r="P327" s="9"/>
      <c r="Q327" s="9"/>
    </row>
    <row r="328" spans="4:17" s="294" customFormat="1" ht="15" customHeight="1">
      <c r="D328" s="10"/>
      <c r="E328" s="10"/>
      <c r="F328" s="9"/>
      <c r="G328" s="9"/>
      <c r="H328" s="9"/>
      <c r="I328" s="9"/>
      <c r="J328" s="9"/>
      <c r="K328" s="9"/>
      <c r="L328" s="9"/>
      <c r="M328" s="9"/>
      <c r="N328" s="9"/>
      <c r="O328" s="9"/>
      <c r="P328" s="9"/>
      <c r="Q328" s="9"/>
    </row>
    <row r="329" spans="4:17" s="294" customFormat="1" ht="15" customHeight="1">
      <c r="D329" s="10"/>
      <c r="E329" s="10"/>
      <c r="F329" s="9"/>
      <c r="G329" s="9"/>
      <c r="H329" s="9"/>
      <c r="I329" s="9"/>
      <c r="J329" s="9"/>
      <c r="K329" s="9"/>
      <c r="L329" s="9"/>
      <c r="M329" s="9"/>
      <c r="N329" s="9"/>
      <c r="O329" s="9"/>
      <c r="P329" s="9"/>
      <c r="Q329" s="9"/>
    </row>
    <row r="330" spans="4:17" s="294" customFormat="1" ht="15" customHeight="1">
      <c r="D330" s="10"/>
      <c r="E330" s="10"/>
      <c r="F330" s="9"/>
      <c r="G330" s="9"/>
      <c r="H330" s="9"/>
      <c r="I330" s="9"/>
      <c r="J330" s="9"/>
      <c r="K330" s="9"/>
      <c r="L330" s="9"/>
      <c r="M330" s="9"/>
      <c r="N330" s="9"/>
      <c r="O330" s="9"/>
      <c r="P330" s="9"/>
      <c r="Q330" s="9"/>
    </row>
    <row r="331" spans="4:17" s="294" customFormat="1" ht="15" customHeight="1">
      <c r="D331" s="10"/>
      <c r="E331" s="10"/>
      <c r="F331" s="9"/>
      <c r="G331" s="9"/>
      <c r="H331" s="9"/>
      <c r="I331" s="9"/>
      <c r="J331" s="9"/>
      <c r="K331" s="9"/>
      <c r="L331" s="9"/>
      <c r="M331" s="9"/>
      <c r="N331" s="9"/>
      <c r="O331" s="9"/>
      <c r="P331" s="9"/>
      <c r="Q331" s="9"/>
    </row>
    <row r="332" spans="4:17" s="294" customFormat="1" ht="15" customHeight="1">
      <c r="D332" s="10"/>
      <c r="E332" s="10"/>
      <c r="F332" s="9"/>
      <c r="G332" s="9"/>
      <c r="H332" s="9"/>
      <c r="I332" s="9"/>
      <c r="J332" s="9"/>
      <c r="K332" s="9"/>
      <c r="L332" s="9"/>
      <c r="M332" s="9"/>
      <c r="N332" s="9"/>
      <c r="O332" s="9"/>
      <c r="P332" s="9"/>
      <c r="Q332" s="9"/>
    </row>
    <row r="333" spans="4:17" s="294" customFormat="1" ht="15" customHeight="1">
      <c r="D333" s="10"/>
      <c r="E333" s="10"/>
      <c r="F333" s="9"/>
      <c r="G333" s="9"/>
      <c r="H333" s="9"/>
      <c r="I333" s="9"/>
      <c r="J333" s="9"/>
      <c r="K333" s="9"/>
      <c r="L333" s="9"/>
      <c r="M333" s="9"/>
      <c r="N333" s="9"/>
      <c r="O333" s="9"/>
      <c r="P333" s="9"/>
      <c r="Q333" s="9"/>
    </row>
    <row r="334" spans="4:17" s="294" customFormat="1" ht="15" customHeight="1">
      <c r="D334" s="10"/>
      <c r="E334" s="10"/>
      <c r="F334" s="9"/>
      <c r="G334" s="9"/>
      <c r="H334" s="9"/>
      <c r="I334" s="9"/>
      <c r="J334" s="9"/>
      <c r="K334" s="9"/>
      <c r="L334" s="9"/>
      <c r="M334" s="9"/>
      <c r="N334" s="9"/>
      <c r="O334" s="9"/>
      <c r="P334" s="9"/>
      <c r="Q334" s="9"/>
    </row>
    <row r="335" spans="4:17" s="294" customFormat="1" ht="15" customHeight="1">
      <c r="D335" s="10"/>
      <c r="E335" s="10"/>
      <c r="F335" s="9"/>
      <c r="G335" s="9"/>
      <c r="H335" s="9"/>
      <c r="I335" s="9"/>
      <c r="J335" s="9"/>
      <c r="K335" s="9"/>
      <c r="L335" s="9"/>
      <c r="M335" s="9"/>
      <c r="N335" s="9"/>
      <c r="O335" s="9"/>
      <c r="P335" s="9"/>
      <c r="Q335" s="9"/>
    </row>
    <row r="336" spans="4:17" s="294" customFormat="1" ht="15" customHeight="1">
      <c r="D336" s="10"/>
      <c r="E336" s="10"/>
      <c r="F336" s="9"/>
      <c r="G336" s="9"/>
      <c r="H336" s="9"/>
      <c r="I336" s="9"/>
      <c r="J336" s="9"/>
      <c r="K336" s="9"/>
      <c r="L336" s="9"/>
      <c r="M336" s="9"/>
      <c r="N336" s="9"/>
      <c r="O336" s="9"/>
      <c r="P336" s="9"/>
      <c r="Q336" s="9"/>
    </row>
    <row r="337" spans="4:17" s="294" customFormat="1" ht="15" customHeight="1">
      <c r="D337" s="10"/>
      <c r="E337" s="10"/>
      <c r="F337" s="9"/>
      <c r="G337" s="9"/>
      <c r="H337" s="9"/>
      <c r="I337" s="9"/>
      <c r="J337" s="9"/>
      <c r="K337" s="9"/>
      <c r="L337" s="9"/>
      <c r="M337" s="9"/>
      <c r="N337" s="9"/>
      <c r="O337" s="9"/>
      <c r="P337" s="9"/>
      <c r="Q337" s="9"/>
    </row>
    <row r="338" spans="4:17" s="294" customFormat="1" ht="15" customHeight="1">
      <c r="D338" s="10"/>
      <c r="E338" s="10"/>
      <c r="F338" s="9"/>
      <c r="G338" s="9"/>
      <c r="H338" s="9"/>
      <c r="I338" s="9"/>
      <c r="J338" s="9"/>
      <c r="K338" s="9"/>
      <c r="L338" s="9"/>
      <c r="M338" s="9"/>
      <c r="N338" s="9"/>
      <c r="O338" s="9"/>
      <c r="P338" s="9"/>
      <c r="Q338" s="9"/>
    </row>
    <row r="339" spans="4:17" s="294" customFormat="1" ht="15" customHeight="1">
      <c r="D339" s="10"/>
      <c r="E339" s="10"/>
      <c r="F339" s="9"/>
      <c r="G339" s="9"/>
      <c r="H339" s="9"/>
      <c r="I339" s="9"/>
      <c r="J339" s="9"/>
      <c r="K339" s="9"/>
      <c r="L339" s="9"/>
      <c r="M339" s="9"/>
      <c r="N339" s="9"/>
      <c r="O339" s="9"/>
      <c r="P339" s="9"/>
      <c r="Q339" s="9"/>
    </row>
    <row r="340" spans="4:17" s="294" customFormat="1" ht="15" customHeight="1">
      <c r="D340" s="10"/>
      <c r="E340" s="10"/>
      <c r="F340" s="9"/>
      <c r="G340" s="9"/>
      <c r="H340" s="9"/>
      <c r="I340" s="9"/>
      <c r="J340" s="9"/>
      <c r="K340" s="9"/>
      <c r="L340" s="9"/>
      <c r="M340" s="9"/>
      <c r="N340" s="9"/>
      <c r="O340" s="9"/>
      <c r="P340" s="9"/>
      <c r="Q340" s="9"/>
    </row>
    <row r="341" spans="4:17" s="294" customFormat="1" ht="15" customHeight="1">
      <c r="D341" s="10"/>
      <c r="E341" s="10"/>
      <c r="F341" s="9"/>
      <c r="G341" s="9"/>
      <c r="H341" s="9"/>
      <c r="I341" s="9"/>
      <c r="J341" s="9"/>
      <c r="K341" s="9"/>
      <c r="L341" s="9"/>
      <c r="M341" s="9"/>
      <c r="N341" s="9"/>
      <c r="O341" s="9"/>
      <c r="P341" s="9"/>
      <c r="Q341" s="9"/>
    </row>
    <row r="342" spans="4:17" s="294" customFormat="1" ht="15" customHeight="1">
      <c r="D342" s="10"/>
      <c r="E342" s="10"/>
      <c r="F342" s="9"/>
      <c r="G342" s="9"/>
      <c r="H342" s="9"/>
      <c r="I342" s="9"/>
      <c r="J342" s="9"/>
      <c r="K342" s="9"/>
      <c r="L342" s="9"/>
      <c r="M342" s="9"/>
      <c r="N342" s="9"/>
      <c r="O342" s="9"/>
      <c r="P342" s="9"/>
      <c r="Q342" s="9"/>
    </row>
    <row r="343" spans="4:17" s="294" customFormat="1" ht="15" customHeight="1">
      <c r="D343" s="10"/>
      <c r="E343" s="10"/>
      <c r="F343" s="9"/>
      <c r="G343" s="9"/>
      <c r="H343" s="9"/>
      <c r="I343" s="9"/>
      <c r="J343" s="9"/>
      <c r="K343" s="9"/>
      <c r="L343" s="9"/>
      <c r="M343" s="9"/>
      <c r="N343" s="9"/>
      <c r="O343" s="9"/>
      <c r="P343" s="9"/>
      <c r="Q343" s="9"/>
    </row>
    <row r="344" spans="4:17" s="294" customFormat="1" ht="15" customHeight="1">
      <c r="D344" s="10"/>
      <c r="E344" s="10"/>
      <c r="F344" s="9"/>
      <c r="G344" s="9"/>
      <c r="H344" s="9"/>
      <c r="I344" s="9"/>
      <c r="J344" s="9"/>
      <c r="K344" s="9"/>
      <c r="L344" s="9"/>
      <c r="M344" s="9"/>
      <c r="N344" s="9"/>
      <c r="O344" s="9"/>
      <c r="P344" s="9"/>
      <c r="Q344" s="9"/>
    </row>
    <row r="345" spans="4:17" s="294" customFormat="1" ht="15" customHeight="1">
      <c r="D345" s="10"/>
      <c r="E345" s="10"/>
      <c r="F345" s="9"/>
      <c r="G345" s="9"/>
      <c r="H345" s="9"/>
      <c r="I345" s="9"/>
      <c r="J345" s="9"/>
      <c r="K345" s="9"/>
      <c r="L345" s="9"/>
      <c r="M345" s="9"/>
      <c r="N345" s="9"/>
      <c r="O345" s="9"/>
      <c r="P345" s="9"/>
      <c r="Q345" s="9"/>
    </row>
    <row r="346" spans="4:17" s="294" customFormat="1" ht="15" customHeight="1">
      <c r="D346" s="10"/>
      <c r="E346" s="10"/>
      <c r="F346" s="9"/>
      <c r="G346" s="9"/>
      <c r="H346" s="9"/>
      <c r="I346" s="9"/>
      <c r="J346" s="9"/>
      <c r="K346" s="9"/>
      <c r="L346" s="9"/>
      <c r="M346" s="9"/>
      <c r="N346" s="9"/>
      <c r="O346" s="9"/>
      <c r="P346" s="9"/>
      <c r="Q346" s="9"/>
    </row>
    <row r="347" spans="4:17" s="294" customFormat="1" ht="15" customHeight="1">
      <c r="D347" s="10"/>
      <c r="E347" s="10"/>
      <c r="F347" s="9"/>
      <c r="G347" s="9"/>
      <c r="H347" s="9"/>
      <c r="I347" s="9"/>
      <c r="J347" s="9"/>
      <c r="K347" s="9"/>
      <c r="L347" s="9"/>
      <c r="M347" s="9"/>
      <c r="N347" s="9"/>
      <c r="O347" s="9"/>
      <c r="P347" s="9"/>
      <c r="Q347" s="9"/>
    </row>
    <row r="348" spans="4:17" s="294" customFormat="1" ht="15" customHeight="1">
      <c r="D348" s="10"/>
      <c r="E348" s="10"/>
      <c r="F348" s="9"/>
      <c r="G348" s="9"/>
      <c r="H348" s="9"/>
      <c r="I348" s="9"/>
      <c r="J348" s="9"/>
      <c r="K348" s="9"/>
      <c r="L348" s="9"/>
      <c r="M348" s="9"/>
      <c r="N348" s="9"/>
      <c r="O348" s="9"/>
      <c r="P348" s="9"/>
      <c r="Q348" s="9"/>
    </row>
    <row r="349" spans="4:17" s="294" customFormat="1" ht="15" customHeight="1">
      <c r="D349" s="10"/>
      <c r="E349" s="10"/>
      <c r="F349" s="9"/>
      <c r="G349" s="9"/>
      <c r="H349" s="9"/>
      <c r="I349" s="9"/>
      <c r="J349" s="9"/>
      <c r="K349" s="9"/>
      <c r="L349" s="9"/>
      <c r="M349" s="9"/>
      <c r="N349" s="9"/>
      <c r="O349" s="9"/>
      <c r="P349" s="9"/>
      <c r="Q349" s="9"/>
    </row>
    <row r="350" spans="4:17" s="294" customFormat="1" ht="15" customHeight="1">
      <c r="D350" s="10"/>
      <c r="E350" s="10"/>
      <c r="F350" s="9"/>
      <c r="G350" s="9"/>
      <c r="H350" s="9"/>
      <c r="I350" s="9"/>
      <c r="J350" s="9"/>
      <c r="K350" s="9"/>
      <c r="L350" s="9"/>
      <c r="M350" s="9"/>
      <c r="N350" s="9"/>
      <c r="O350" s="9"/>
      <c r="P350" s="9"/>
      <c r="Q350" s="9"/>
    </row>
    <row r="351" spans="4:17" s="294" customFormat="1" ht="15" customHeight="1">
      <c r="D351" s="10"/>
      <c r="E351" s="10"/>
      <c r="F351" s="9"/>
      <c r="G351" s="9"/>
      <c r="H351" s="9"/>
      <c r="I351" s="9"/>
      <c r="J351" s="9"/>
      <c r="K351" s="9"/>
      <c r="L351" s="9"/>
      <c r="M351" s="9"/>
      <c r="N351" s="9"/>
      <c r="O351" s="9"/>
      <c r="P351" s="9"/>
      <c r="Q351" s="9"/>
    </row>
    <row r="352" spans="4:17" s="294" customFormat="1" ht="15" customHeight="1">
      <c r="D352" s="10"/>
      <c r="E352" s="10"/>
      <c r="F352" s="9"/>
      <c r="G352" s="9"/>
      <c r="H352" s="9"/>
      <c r="I352" s="9"/>
      <c r="J352" s="9"/>
      <c r="K352" s="9"/>
      <c r="L352" s="9"/>
      <c r="M352" s="9"/>
      <c r="N352" s="9"/>
      <c r="O352" s="9"/>
      <c r="P352" s="9"/>
      <c r="Q352" s="9"/>
    </row>
    <row r="353" spans="4:17" s="294" customFormat="1" ht="15" customHeight="1">
      <c r="D353" s="10"/>
      <c r="E353" s="10"/>
      <c r="F353" s="9"/>
      <c r="G353" s="9"/>
      <c r="H353" s="9"/>
      <c r="I353" s="9"/>
      <c r="J353" s="9"/>
      <c r="K353" s="9"/>
      <c r="L353" s="9"/>
      <c r="M353" s="9"/>
      <c r="N353" s="9"/>
      <c r="O353" s="9"/>
      <c r="P353" s="9"/>
      <c r="Q353" s="9"/>
    </row>
    <row r="354" spans="4:17" s="294" customFormat="1" ht="15" customHeight="1">
      <c r="D354" s="10"/>
      <c r="E354" s="10"/>
      <c r="F354" s="9"/>
      <c r="G354" s="9"/>
      <c r="H354" s="9"/>
      <c r="I354" s="9"/>
      <c r="J354" s="9"/>
      <c r="K354" s="9"/>
      <c r="L354" s="9"/>
      <c r="M354" s="9"/>
      <c r="N354" s="9"/>
      <c r="O354" s="9"/>
      <c r="P354" s="9"/>
      <c r="Q354" s="9"/>
    </row>
    <row r="355" spans="4:17" s="294" customFormat="1" ht="15" customHeight="1">
      <c r="D355" s="10"/>
      <c r="E355" s="10"/>
      <c r="F355" s="9"/>
      <c r="G355" s="9"/>
      <c r="H355" s="9"/>
      <c r="I355" s="9"/>
      <c r="J355" s="9"/>
      <c r="K355" s="9"/>
      <c r="L355" s="9"/>
      <c r="M355" s="9"/>
      <c r="N355" s="9"/>
      <c r="O355" s="9"/>
      <c r="P355" s="9"/>
      <c r="Q355" s="9"/>
    </row>
    <row r="356" spans="4:17" s="294" customFormat="1" ht="15" customHeight="1">
      <c r="D356" s="10"/>
      <c r="E356" s="10"/>
      <c r="F356" s="9"/>
      <c r="G356" s="9"/>
      <c r="H356" s="9"/>
      <c r="I356" s="9"/>
      <c r="J356" s="9"/>
      <c r="K356" s="9"/>
      <c r="L356" s="9"/>
      <c r="M356" s="9"/>
      <c r="N356" s="9"/>
      <c r="O356" s="9"/>
      <c r="P356" s="9"/>
      <c r="Q356" s="9"/>
    </row>
    <row r="357" spans="4:17" s="294" customFormat="1" ht="15" customHeight="1">
      <c r="D357" s="10"/>
      <c r="E357" s="10"/>
      <c r="F357" s="9"/>
      <c r="G357" s="9"/>
      <c r="H357" s="9"/>
      <c r="I357" s="9"/>
      <c r="J357" s="9"/>
      <c r="K357" s="9"/>
      <c r="L357" s="9"/>
      <c r="M357" s="9"/>
      <c r="N357" s="9"/>
      <c r="O357" s="9"/>
      <c r="P357" s="9"/>
      <c r="Q357" s="9"/>
    </row>
    <row r="358" spans="4:17" s="294" customFormat="1" ht="15" customHeight="1">
      <c r="D358" s="10"/>
      <c r="E358" s="10"/>
      <c r="F358" s="9"/>
      <c r="G358" s="9"/>
      <c r="H358" s="9"/>
      <c r="I358" s="9"/>
      <c r="J358" s="9"/>
      <c r="K358" s="9"/>
      <c r="L358" s="9"/>
      <c r="M358" s="9"/>
      <c r="N358" s="9"/>
      <c r="O358" s="9"/>
      <c r="P358" s="9"/>
      <c r="Q358" s="9"/>
    </row>
    <row r="359" spans="4:17" s="294" customFormat="1" ht="15" customHeight="1">
      <c r="D359" s="10"/>
      <c r="E359" s="10"/>
      <c r="F359" s="9"/>
      <c r="G359" s="9"/>
      <c r="H359" s="9"/>
      <c r="I359" s="9"/>
      <c r="J359" s="9"/>
      <c r="K359" s="9"/>
      <c r="L359" s="9"/>
      <c r="M359" s="9"/>
      <c r="N359" s="9"/>
      <c r="O359" s="9"/>
      <c r="P359" s="9"/>
      <c r="Q359" s="9"/>
    </row>
    <row r="360" spans="4:17" s="294" customFormat="1" ht="15" customHeight="1">
      <c r="D360" s="10"/>
      <c r="E360" s="10"/>
      <c r="F360" s="9"/>
      <c r="G360" s="9"/>
      <c r="H360" s="9"/>
      <c r="I360" s="9"/>
      <c r="J360" s="9"/>
      <c r="K360" s="9"/>
      <c r="L360" s="9"/>
      <c r="M360" s="9"/>
      <c r="N360" s="9"/>
      <c r="O360" s="9"/>
      <c r="P360" s="9"/>
      <c r="Q360" s="9"/>
    </row>
    <row r="361" spans="4:17" s="294" customFormat="1" ht="15" customHeight="1">
      <c r="D361" s="10"/>
      <c r="E361" s="10"/>
      <c r="F361" s="9"/>
      <c r="G361" s="9"/>
      <c r="H361" s="9"/>
      <c r="I361" s="9"/>
      <c r="J361" s="9"/>
      <c r="K361" s="9"/>
      <c r="L361" s="9"/>
      <c r="M361" s="9"/>
      <c r="N361" s="9"/>
      <c r="O361" s="9"/>
      <c r="P361" s="9"/>
      <c r="Q361" s="9"/>
    </row>
    <row r="362" spans="4:17" s="294" customFormat="1" ht="15" customHeight="1">
      <c r="D362" s="10"/>
      <c r="E362" s="10"/>
      <c r="F362" s="9"/>
      <c r="G362" s="9"/>
      <c r="H362" s="9"/>
      <c r="I362" s="9"/>
      <c r="J362" s="9"/>
      <c r="K362" s="9"/>
      <c r="L362" s="9"/>
      <c r="M362" s="9"/>
      <c r="N362" s="9"/>
      <c r="O362" s="9"/>
      <c r="P362" s="9"/>
      <c r="Q362" s="9"/>
    </row>
    <row r="363" spans="4:17" s="294" customFormat="1" ht="15" customHeight="1">
      <c r="D363" s="10"/>
      <c r="E363" s="10"/>
      <c r="F363" s="9"/>
      <c r="G363" s="9"/>
      <c r="H363" s="9"/>
      <c r="I363" s="9"/>
      <c r="J363" s="9"/>
      <c r="K363" s="9"/>
      <c r="L363" s="9"/>
      <c r="M363" s="9"/>
      <c r="N363" s="9"/>
      <c r="O363" s="9"/>
      <c r="P363" s="9"/>
      <c r="Q363" s="9"/>
    </row>
    <row r="364" spans="4:17" s="294" customFormat="1" ht="15" customHeight="1">
      <c r="D364" s="10"/>
      <c r="E364" s="10"/>
      <c r="F364" s="9"/>
      <c r="G364" s="9"/>
      <c r="H364" s="9"/>
      <c r="I364" s="9"/>
      <c r="J364" s="9"/>
      <c r="K364" s="9"/>
      <c r="L364" s="9"/>
      <c r="M364" s="9"/>
      <c r="N364" s="9"/>
      <c r="O364" s="9"/>
      <c r="P364" s="9"/>
      <c r="Q364" s="9"/>
    </row>
    <row r="365" spans="4:17" s="294" customFormat="1" ht="15" customHeight="1">
      <c r="D365" s="10"/>
      <c r="E365" s="10"/>
      <c r="F365" s="9"/>
      <c r="G365" s="9"/>
      <c r="H365" s="9"/>
      <c r="I365" s="9"/>
      <c r="J365" s="9"/>
      <c r="K365" s="9"/>
      <c r="L365" s="9"/>
      <c r="M365" s="9"/>
      <c r="N365" s="9"/>
      <c r="O365" s="9"/>
      <c r="P365" s="9"/>
      <c r="Q365" s="9"/>
    </row>
    <row r="366" spans="4:17" s="294" customFormat="1" ht="15" customHeight="1">
      <c r="D366" s="10"/>
      <c r="E366" s="10"/>
      <c r="F366" s="9"/>
      <c r="G366" s="9"/>
      <c r="H366" s="9"/>
      <c r="I366" s="9"/>
      <c r="J366" s="9"/>
      <c r="K366" s="9"/>
      <c r="L366" s="9"/>
      <c r="M366" s="9"/>
      <c r="N366" s="9"/>
      <c r="O366" s="9"/>
      <c r="P366" s="9"/>
      <c r="Q366" s="9"/>
    </row>
    <row r="367" spans="4:17" s="294" customFormat="1" ht="15" customHeight="1">
      <c r="D367" s="10"/>
      <c r="E367" s="10"/>
      <c r="F367" s="9"/>
      <c r="G367" s="9"/>
      <c r="H367" s="9"/>
      <c r="I367" s="9"/>
      <c r="J367" s="9"/>
      <c r="K367" s="9"/>
      <c r="L367" s="9"/>
      <c r="M367" s="9"/>
      <c r="N367" s="9"/>
      <c r="O367" s="9"/>
      <c r="P367" s="9"/>
      <c r="Q367" s="9"/>
    </row>
    <row r="368" spans="4:17" s="294" customFormat="1" ht="15" customHeight="1">
      <c r="D368" s="10"/>
      <c r="E368" s="10"/>
      <c r="F368" s="9"/>
      <c r="G368" s="9"/>
      <c r="H368" s="9"/>
      <c r="I368" s="9"/>
      <c r="J368" s="9"/>
      <c r="K368" s="9"/>
      <c r="L368" s="9"/>
      <c r="M368" s="9"/>
      <c r="N368" s="9"/>
      <c r="O368" s="9"/>
      <c r="P368" s="9"/>
      <c r="Q368" s="9"/>
    </row>
    <row r="369" spans="4:17" s="294" customFormat="1" ht="15" customHeight="1">
      <c r="D369" s="10"/>
      <c r="E369" s="10"/>
      <c r="F369" s="9"/>
      <c r="G369" s="9"/>
      <c r="H369" s="9"/>
      <c r="I369" s="9"/>
      <c r="J369" s="9"/>
      <c r="K369" s="9"/>
      <c r="L369" s="9"/>
      <c r="M369" s="9"/>
      <c r="N369" s="9"/>
      <c r="O369" s="9"/>
      <c r="P369" s="9"/>
      <c r="Q369" s="9"/>
    </row>
    <row r="370" spans="4:17" s="294" customFormat="1" ht="15" customHeight="1">
      <c r="D370" s="10"/>
      <c r="E370" s="10"/>
      <c r="F370" s="9"/>
      <c r="G370" s="9"/>
      <c r="H370" s="9"/>
      <c r="I370" s="9"/>
      <c r="J370" s="9"/>
      <c r="K370" s="9"/>
      <c r="L370" s="9"/>
      <c r="M370" s="9"/>
      <c r="N370" s="9"/>
      <c r="O370" s="9"/>
      <c r="P370" s="9"/>
      <c r="Q370" s="9"/>
    </row>
    <row r="371" spans="4:17" s="294" customFormat="1" ht="15" customHeight="1">
      <c r="D371" s="10"/>
      <c r="E371" s="10"/>
      <c r="F371" s="9"/>
      <c r="G371" s="9"/>
      <c r="H371" s="9"/>
      <c r="I371" s="9"/>
      <c r="J371" s="9"/>
      <c r="K371" s="9"/>
      <c r="L371" s="9"/>
      <c r="M371" s="9"/>
      <c r="N371" s="9"/>
      <c r="O371" s="9"/>
      <c r="P371" s="9"/>
      <c r="Q371" s="9"/>
    </row>
    <row r="372" spans="4:17" s="294" customFormat="1" ht="15" customHeight="1">
      <c r="D372" s="10"/>
      <c r="E372" s="10"/>
      <c r="F372" s="9"/>
      <c r="G372" s="9"/>
      <c r="H372" s="9"/>
      <c r="I372" s="9"/>
      <c r="J372" s="9"/>
      <c r="K372" s="9"/>
      <c r="L372" s="9"/>
      <c r="M372" s="9"/>
      <c r="N372" s="9"/>
      <c r="O372" s="9"/>
      <c r="P372" s="9"/>
      <c r="Q372" s="9"/>
    </row>
    <row r="373" spans="4:17" s="294" customFormat="1" ht="15" customHeight="1">
      <c r="D373" s="10"/>
      <c r="E373" s="10"/>
      <c r="F373" s="9"/>
      <c r="G373" s="9"/>
      <c r="H373" s="9"/>
      <c r="I373" s="9"/>
      <c r="J373" s="9"/>
      <c r="K373" s="9"/>
      <c r="L373" s="9"/>
      <c r="M373" s="9"/>
      <c r="N373" s="9"/>
      <c r="O373" s="9"/>
      <c r="P373" s="9"/>
      <c r="Q373" s="9"/>
    </row>
    <row r="374" spans="4:17" s="294" customFormat="1" ht="15" customHeight="1">
      <c r="D374" s="10"/>
      <c r="E374" s="10"/>
      <c r="F374" s="9"/>
      <c r="G374" s="9"/>
      <c r="H374" s="9"/>
      <c r="I374" s="9"/>
      <c r="J374" s="9"/>
      <c r="K374" s="9"/>
      <c r="L374" s="9"/>
      <c r="M374" s="9"/>
      <c r="N374" s="9"/>
      <c r="O374" s="9"/>
      <c r="P374" s="9"/>
      <c r="Q374" s="9"/>
    </row>
    <row r="375" spans="4:17" s="294" customFormat="1" ht="15" customHeight="1">
      <c r="D375" s="10"/>
      <c r="E375" s="10"/>
      <c r="F375" s="9"/>
      <c r="G375" s="9"/>
      <c r="H375" s="9"/>
      <c r="I375" s="9"/>
      <c r="J375" s="9"/>
      <c r="K375" s="9"/>
      <c r="L375" s="9"/>
      <c r="M375" s="9"/>
      <c r="N375" s="9"/>
      <c r="O375" s="9"/>
      <c r="P375" s="9"/>
      <c r="Q375" s="9"/>
    </row>
    <row r="376" spans="4:17" s="294" customFormat="1" ht="15" customHeight="1">
      <c r="D376" s="10"/>
      <c r="E376" s="10"/>
      <c r="F376" s="9"/>
      <c r="G376" s="9"/>
      <c r="H376" s="9"/>
      <c r="I376" s="9"/>
      <c r="J376" s="9"/>
      <c r="K376" s="9"/>
      <c r="L376" s="9"/>
      <c r="M376" s="9"/>
      <c r="N376" s="9"/>
      <c r="O376" s="9"/>
      <c r="P376" s="9"/>
      <c r="Q376" s="9"/>
    </row>
    <row r="377" spans="4:17" s="294" customFormat="1" ht="15" customHeight="1">
      <c r="D377" s="10"/>
      <c r="E377" s="10"/>
      <c r="F377" s="9"/>
      <c r="G377" s="9"/>
      <c r="H377" s="9"/>
      <c r="I377" s="9"/>
      <c r="J377" s="9"/>
      <c r="K377" s="9"/>
      <c r="L377" s="9"/>
      <c r="M377" s="9"/>
      <c r="N377" s="9"/>
      <c r="O377" s="9"/>
      <c r="P377" s="9"/>
      <c r="Q377" s="9"/>
    </row>
    <row r="378" spans="4:17" s="294" customFormat="1" ht="15" customHeight="1">
      <c r="D378" s="10"/>
      <c r="E378" s="10"/>
      <c r="F378" s="9"/>
      <c r="G378" s="9"/>
      <c r="H378" s="9"/>
      <c r="I378" s="9"/>
      <c r="J378" s="9"/>
      <c r="K378" s="9"/>
      <c r="L378" s="9"/>
      <c r="M378" s="9"/>
      <c r="N378" s="9"/>
      <c r="O378" s="9"/>
      <c r="P378" s="9"/>
      <c r="Q378" s="9"/>
    </row>
    <row r="379" spans="4:17" s="294" customFormat="1" ht="15" customHeight="1">
      <c r="D379" s="10"/>
      <c r="E379" s="10"/>
      <c r="F379" s="9"/>
      <c r="G379" s="9"/>
      <c r="H379" s="9"/>
      <c r="I379" s="9"/>
      <c r="J379" s="9"/>
      <c r="K379" s="9"/>
      <c r="L379" s="9"/>
      <c r="M379" s="9"/>
      <c r="N379" s="9"/>
      <c r="O379" s="9"/>
      <c r="P379" s="9"/>
      <c r="Q379" s="9"/>
    </row>
    <row r="380" spans="4:17" s="294" customFormat="1" ht="15" customHeight="1">
      <c r="D380" s="10"/>
      <c r="E380" s="10"/>
      <c r="F380" s="9"/>
      <c r="G380" s="9"/>
      <c r="H380" s="9"/>
      <c r="I380" s="9"/>
      <c r="J380" s="9"/>
      <c r="K380" s="9"/>
      <c r="L380" s="9"/>
      <c r="M380" s="9"/>
      <c r="N380" s="9"/>
      <c r="O380" s="9"/>
      <c r="P380" s="9"/>
      <c r="Q380" s="9"/>
    </row>
    <row r="381" spans="4:17" s="294" customFormat="1" ht="15" customHeight="1">
      <c r="D381" s="10"/>
      <c r="E381" s="10"/>
      <c r="F381" s="9"/>
      <c r="G381" s="9"/>
      <c r="H381" s="9"/>
      <c r="I381" s="9"/>
      <c r="J381" s="9"/>
      <c r="K381" s="9"/>
      <c r="L381" s="9"/>
      <c r="M381" s="9"/>
      <c r="N381" s="9"/>
      <c r="O381" s="9"/>
      <c r="P381" s="9"/>
      <c r="Q381" s="9"/>
    </row>
    <row r="382" spans="4:17" s="294" customFormat="1" ht="15" customHeight="1">
      <c r="D382" s="10"/>
      <c r="E382" s="10"/>
      <c r="F382" s="9"/>
      <c r="G382" s="9"/>
      <c r="H382" s="9"/>
      <c r="I382" s="9"/>
      <c r="J382" s="9"/>
      <c r="K382" s="9"/>
      <c r="L382" s="9"/>
      <c r="M382" s="9"/>
      <c r="N382" s="9"/>
      <c r="O382" s="9"/>
      <c r="P382" s="9"/>
      <c r="Q382" s="9"/>
    </row>
    <row r="383" spans="4:17" s="294" customFormat="1" ht="15" customHeight="1">
      <c r="D383" s="10"/>
      <c r="E383" s="10"/>
      <c r="F383" s="9"/>
      <c r="G383" s="9"/>
      <c r="H383" s="9"/>
      <c r="I383" s="9"/>
      <c r="J383" s="9"/>
      <c r="K383" s="9"/>
      <c r="L383" s="9"/>
      <c r="M383" s="9"/>
      <c r="N383" s="9"/>
      <c r="O383" s="9"/>
      <c r="P383" s="9"/>
      <c r="Q383" s="9"/>
    </row>
    <row r="384" spans="4:17" s="294" customFormat="1" ht="15" customHeight="1">
      <c r="D384" s="10"/>
      <c r="E384" s="10"/>
      <c r="F384" s="9"/>
      <c r="G384" s="9"/>
      <c r="H384" s="9"/>
      <c r="I384" s="9"/>
      <c r="J384" s="9"/>
      <c r="K384" s="9"/>
      <c r="L384" s="9"/>
      <c r="M384" s="9"/>
      <c r="N384" s="9"/>
      <c r="O384" s="9"/>
      <c r="P384" s="9"/>
      <c r="Q384" s="9"/>
    </row>
    <row r="385" spans="4:17" s="294" customFormat="1" ht="15" customHeight="1">
      <c r="D385" s="10"/>
      <c r="E385" s="10"/>
      <c r="F385" s="9"/>
      <c r="G385" s="9"/>
      <c r="H385" s="9"/>
      <c r="I385" s="9"/>
      <c r="J385" s="9"/>
      <c r="K385" s="9"/>
      <c r="L385" s="9"/>
      <c r="M385" s="9"/>
      <c r="N385" s="9"/>
      <c r="O385" s="9"/>
      <c r="P385" s="9"/>
      <c r="Q385" s="9"/>
    </row>
    <row r="386" spans="4:17" s="294" customFormat="1" ht="15" customHeight="1">
      <c r="D386" s="10"/>
      <c r="E386" s="10"/>
      <c r="F386" s="9"/>
      <c r="G386" s="9"/>
      <c r="H386" s="9"/>
      <c r="I386" s="9"/>
      <c r="J386" s="9"/>
      <c r="K386" s="9"/>
      <c r="L386" s="9"/>
      <c r="M386" s="9"/>
      <c r="N386" s="9"/>
      <c r="O386" s="9"/>
      <c r="P386" s="9"/>
      <c r="Q386" s="9"/>
    </row>
    <row r="387" spans="4:17" s="294" customFormat="1" ht="15" customHeight="1">
      <c r="D387" s="10"/>
      <c r="E387" s="10"/>
      <c r="F387" s="9"/>
      <c r="G387" s="9"/>
      <c r="H387" s="9"/>
      <c r="I387" s="9"/>
      <c r="J387" s="9"/>
      <c r="K387" s="9"/>
      <c r="L387" s="9"/>
      <c r="M387" s="9"/>
      <c r="N387" s="9"/>
      <c r="O387" s="9"/>
      <c r="P387" s="9"/>
      <c r="Q387" s="9"/>
    </row>
    <row r="388" spans="4:17" s="294" customFormat="1" ht="15" customHeight="1">
      <c r="D388" s="10"/>
      <c r="E388" s="10"/>
      <c r="F388" s="9"/>
      <c r="G388" s="9"/>
      <c r="H388" s="9"/>
      <c r="I388" s="9"/>
      <c r="J388" s="9"/>
      <c r="K388" s="9"/>
      <c r="L388" s="9"/>
      <c r="M388" s="9"/>
      <c r="N388" s="9"/>
      <c r="O388" s="9"/>
      <c r="P388" s="9"/>
      <c r="Q388" s="9"/>
    </row>
    <row r="389" spans="4:17" s="294" customFormat="1" ht="15" customHeight="1">
      <c r="D389" s="10"/>
      <c r="E389" s="10"/>
      <c r="F389" s="9"/>
      <c r="G389" s="9"/>
      <c r="H389" s="9"/>
      <c r="I389" s="9"/>
      <c r="J389" s="9"/>
      <c r="K389" s="9"/>
      <c r="L389" s="9"/>
      <c r="M389" s="9"/>
      <c r="N389" s="9"/>
      <c r="O389" s="9"/>
      <c r="P389" s="9"/>
      <c r="Q389" s="9"/>
    </row>
    <row r="390" spans="4:17" s="294" customFormat="1" ht="15" customHeight="1">
      <c r="D390" s="10"/>
      <c r="E390" s="10"/>
      <c r="F390" s="9"/>
      <c r="G390" s="9"/>
      <c r="H390" s="9"/>
      <c r="I390" s="9"/>
      <c r="J390" s="9"/>
      <c r="K390" s="9"/>
      <c r="L390" s="9"/>
      <c r="M390" s="9"/>
      <c r="N390" s="9"/>
      <c r="O390" s="9"/>
      <c r="P390" s="9"/>
      <c r="Q390" s="9"/>
    </row>
    <row r="391" spans="4:17" s="294" customFormat="1" ht="15" customHeight="1">
      <c r="D391" s="10"/>
      <c r="E391" s="10"/>
      <c r="F391" s="9"/>
      <c r="G391" s="9"/>
      <c r="H391" s="9"/>
      <c r="I391" s="9"/>
      <c r="J391" s="9"/>
      <c r="K391" s="9"/>
      <c r="L391" s="9"/>
      <c r="M391" s="9"/>
      <c r="N391" s="9"/>
      <c r="O391" s="9"/>
      <c r="P391" s="9"/>
      <c r="Q391" s="9"/>
    </row>
    <row r="392" spans="4:17" s="294" customFormat="1" ht="15" customHeight="1">
      <c r="D392" s="10"/>
      <c r="E392" s="10"/>
      <c r="F392" s="9"/>
      <c r="G392" s="9"/>
      <c r="H392" s="9"/>
      <c r="I392" s="9"/>
      <c r="J392" s="9"/>
      <c r="K392" s="9"/>
      <c r="L392" s="9"/>
      <c r="M392" s="9"/>
      <c r="N392" s="9"/>
      <c r="O392" s="9"/>
      <c r="P392" s="9"/>
      <c r="Q392" s="9"/>
    </row>
    <row r="393" spans="4:17" s="294" customFormat="1" ht="15" customHeight="1">
      <c r="D393" s="10"/>
      <c r="E393" s="10"/>
      <c r="F393" s="9"/>
      <c r="G393" s="9"/>
      <c r="H393" s="9"/>
      <c r="I393" s="9"/>
      <c r="J393" s="9"/>
      <c r="K393" s="9"/>
      <c r="L393" s="9"/>
      <c r="M393" s="9"/>
      <c r="N393" s="9"/>
      <c r="O393" s="9"/>
      <c r="P393" s="9"/>
      <c r="Q393" s="9"/>
    </row>
    <row r="394" spans="4:17" s="294" customFormat="1" ht="15" customHeight="1">
      <c r="D394" s="10"/>
      <c r="E394" s="10"/>
      <c r="F394" s="9"/>
      <c r="G394" s="9"/>
      <c r="H394" s="9"/>
      <c r="I394" s="9"/>
      <c r="J394" s="9"/>
      <c r="K394" s="9"/>
      <c r="L394" s="9"/>
      <c r="M394" s="9"/>
      <c r="N394" s="9"/>
      <c r="O394" s="9"/>
      <c r="P394" s="9"/>
      <c r="Q394" s="9"/>
    </row>
    <row r="395" spans="4:17" s="294" customFormat="1" ht="15" customHeight="1">
      <c r="D395" s="10"/>
      <c r="E395" s="10"/>
      <c r="F395" s="9"/>
      <c r="G395" s="9"/>
      <c r="H395" s="9"/>
      <c r="I395" s="9"/>
      <c r="J395" s="9"/>
      <c r="K395" s="9"/>
      <c r="L395" s="9"/>
      <c r="M395" s="9"/>
      <c r="N395" s="9"/>
      <c r="O395" s="9"/>
      <c r="P395" s="9"/>
      <c r="Q395" s="9"/>
    </row>
    <row r="396" spans="4:17" s="294" customFormat="1" ht="15" customHeight="1">
      <c r="D396" s="10"/>
      <c r="E396" s="10"/>
      <c r="F396" s="9"/>
      <c r="G396" s="9"/>
      <c r="H396" s="9"/>
      <c r="I396" s="9"/>
      <c r="J396" s="9"/>
      <c r="K396" s="9"/>
      <c r="L396" s="9"/>
      <c r="M396" s="9"/>
      <c r="N396" s="9"/>
      <c r="O396" s="9"/>
      <c r="P396" s="9"/>
      <c r="Q396" s="9"/>
    </row>
    <row r="397" spans="4:17" s="294" customFormat="1" ht="15" customHeight="1">
      <c r="D397" s="10"/>
      <c r="E397" s="10"/>
      <c r="F397" s="9"/>
      <c r="G397" s="9"/>
      <c r="H397" s="9"/>
      <c r="I397" s="9"/>
      <c r="J397" s="9"/>
      <c r="K397" s="9"/>
      <c r="L397" s="9"/>
      <c r="M397" s="9"/>
      <c r="N397" s="9"/>
      <c r="O397" s="9"/>
      <c r="P397" s="9"/>
      <c r="Q397" s="9"/>
    </row>
    <row r="398" spans="4:17" s="294" customFormat="1" ht="15" customHeight="1">
      <c r="D398" s="10"/>
      <c r="E398" s="10"/>
      <c r="F398" s="9"/>
      <c r="G398" s="9"/>
      <c r="H398" s="9"/>
      <c r="I398" s="9"/>
      <c r="J398" s="9"/>
      <c r="K398" s="9"/>
      <c r="L398" s="9"/>
      <c r="M398" s="9"/>
      <c r="N398" s="9"/>
      <c r="O398" s="9"/>
      <c r="P398" s="9"/>
      <c r="Q398" s="9"/>
    </row>
    <row r="399" spans="4:17" s="294" customFormat="1" ht="15" customHeight="1">
      <c r="D399" s="10"/>
      <c r="E399" s="10"/>
      <c r="F399" s="9"/>
      <c r="G399" s="9"/>
      <c r="H399" s="9"/>
      <c r="I399" s="9"/>
      <c r="J399" s="9"/>
      <c r="K399" s="9"/>
      <c r="L399" s="9"/>
      <c r="M399" s="9"/>
      <c r="N399" s="9"/>
      <c r="O399" s="9"/>
      <c r="P399" s="9"/>
      <c r="Q399" s="9"/>
    </row>
    <row r="400" spans="4:17" s="294" customFormat="1" ht="15" customHeight="1">
      <c r="D400" s="10"/>
      <c r="E400" s="10"/>
      <c r="F400" s="9"/>
      <c r="G400" s="9"/>
      <c r="H400" s="9"/>
      <c r="I400" s="9"/>
      <c r="J400" s="9"/>
      <c r="K400" s="9"/>
      <c r="L400" s="9"/>
      <c r="M400" s="9"/>
      <c r="N400" s="9"/>
      <c r="O400" s="9"/>
      <c r="P400" s="9"/>
      <c r="Q400" s="9"/>
    </row>
    <row r="401" spans="4:17" s="294" customFormat="1" ht="15" customHeight="1">
      <c r="D401" s="10"/>
      <c r="E401" s="10"/>
      <c r="F401" s="9"/>
      <c r="G401" s="9"/>
      <c r="H401" s="9"/>
      <c r="I401" s="9"/>
      <c r="J401" s="9"/>
      <c r="K401" s="9"/>
      <c r="L401" s="9"/>
      <c r="M401" s="9"/>
      <c r="N401" s="9"/>
      <c r="O401" s="9"/>
      <c r="P401" s="9"/>
      <c r="Q401" s="9"/>
    </row>
    <row r="402" spans="4:17" s="294" customFormat="1" ht="15" customHeight="1">
      <c r="D402" s="10"/>
      <c r="E402" s="10"/>
      <c r="F402" s="9"/>
      <c r="G402" s="9"/>
      <c r="H402" s="9"/>
      <c r="I402" s="9"/>
      <c r="J402" s="9"/>
      <c r="K402" s="9"/>
      <c r="L402" s="9"/>
      <c r="M402" s="9"/>
      <c r="N402" s="9"/>
      <c r="O402" s="9"/>
      <c r="P402" s="9"/>
      <c r="Q402" s="9"/>
    </row>
    <row r="403" spans="4:17" s="294" customFormat="1" ht="15" customHeight="1">
      <c r="D403" s="10"/>
      <c r="E403" s="10"/>
      <c r="F403" s="9"/>
      <c r="G403" s="9"/>
      <c r="H403" s="9"/>
      <c r="I403" s="9"/>
      <c r="J403" s="9"/>
      <c r="K403" s="9"/>
      <c r="L403" s="9"/>
      <c r="M403" s="9"/>
      <c r="N403" s="9"/>
      <c r="O403" s="9"/>
      <c r="P403" s="9"/>
      <c r="Q403" s="9"/>
    </row>
    <row r="404" spans="4:17" s="294" customFormat="1" ht="15" customHeight="1">
      <c r="D404" s="10"/>
      <c r="E404" s="10"/>
      <c r="F404" s="9"/>
      <c r="G404" s="9"/>
      <c r="H404" s="9"/>
      <c r="I404" s="9"/>
      <c r="J404" s="9"/>
      <c r="K404" s="9"/>
      <c r="L404" s="9"/>
      <c r="M404" s="9"/>
      <c r="N404" s="9"/>
      <c r="O404" s="9"/>
      <c r="P404" s="9"/>
      <c r="Q404" s="9"/>
    </row>
    <row r="405" spans="4:17" s="294" customFormat="1" ht="15" customHeight="1">
      <c r="D405" s="10"/>
      <c r="E405" s="10"/>
      <c r="F405" s="9"/>
      <c r="G405" s="9"/>
      <c r="H405" s="9"/>
      <c r="I405" s="9"/>
      <c r="J405" s="9"/>
      <c r="K405" s="9"/>
      <c r="L405" s="9"/>
      <c r="M405" s="9"/>
      <c r="N405" s="9"/>
      <c r="O405" s="9"/>
      <c r="P405" s="9"/>
      <c r="Q405" s="9"/>
    </row>
    <row r="406" spans="4:17" s="294" customFormat="1" ht="15" customHeight="1">
      <c r="D406" s="10"/>
      <c r="E406" s="10"/>
      <c r="F406" s="9"/>
      <c r="G406" s="9"/>
      <c r="H406" s="9"/>
      <c r="I406" s="9"/>
      <c r="J406" s="9"/>
      <c r="K406" s="9"/>
      <c r="L406" s="9"/>
      <c r="M406" s="9"/>
      <c r="N406" s="9"/>
      <c r="O406" s="9"/>
      <c r="P406" s="9"/>
      <c r="Q406" s="9"/>
    </row>
    <row r="407" spans="4:17" s="294" customFormat="1" ht="15" customHeight="1">
      <c r="D407" s="10"/>
      <c r="E407" s="10"/>
      <c r="F407" s="9"/>
      <c r="G407" s="9"/>
      <c r="H407" s="9"/>
      <c r="I407" s="9"/>
      <c r="J407" s="9"/>
      <c r="K407" s="9"/>
      <c r="L407" s="9"/>
      <c r="M407" s="9"/>
      <c r="N407" s="9"/>
      <c r="O407" s="9"/>
      <c r="P407" s="9"/>
      <c r="Q407" s="9"/>
    </row>
    <row r="408" spans="4:17" s="294" customFormat="1" ht="15" customHeight="1">
      <c r="D408" s="10"/>
      <c r="E408" s="10"/>
      <c r="F408" s="9"/>
      <c r="G408" s="9"/>
      <c r="H408" s="9"/>
      <c r="I408" s="9"/>
      <c r="J408" s="9"/>
      <c r="K408" s="9"/>
      <c r="L408" s="9"/>
      <c r="M408" s="9"/>
      <c r="N408" s="9"/>
      <c r="O408" s="9"/>
      <c r="P408" s="9"/>
      <c r="Q408" s="9"/>
    </row>
    <row r="409" spans="4:17" s="294" customFormat="1" ht="15" customHeight="1">
      <c r="D409" s="10"/>
      <c r="E409" s="10"/>
      <c r="F409" s="9"/>
      <c r="G409" s="9"/>
      <c r="H409" s="9"/>
      <c r="I409" s="9"/>
      <c r="J409" s="9"/>
      <c r="K409" s="9"/>
      <c r="L409" s="9"/>
      <c r="M409" s="9"/>
      <c r="N409" s="9"/>
      <c r="O409" s="9"/>
      <c r="P409" s="9"/>
      <c r="Q409" s="9"/>
    </row>
    <row r="410" spans="4:17" s="294" customFormat="1" ht="15" customHeight="1">
      <c r="D410" s="10"/>
      <c r="E410" s="10"/>
      <c r="F410" s="9"/>
      <c r="G410" s="9"/>
      <c r="H410" s="9"/>
      <c r="I410" s="9"/>
      <c r="J410" s="9"/>
      <c r="K410" s="9"/>
      <c r="L410" s="9"/>
      <c r="M410" s="9"/>
      <c r="N410" s="9"/>
      <c r="O410" s="9"/>
      <c r="P410" s="9"/>
      <c r="Q410" s="9"/>
    </row>
    <row r="411" spans="4:17" s="294" customFormat="1" ht="15" customHeight="1">
      <c r="D411" s="10"/>
      <c r="E411" s="10"/>
      <c r="F411" s="9"/>
      <c r="G411" s="9"/>
      <c r="H411" s="9"/>
      <c r="I411" s="9"/>
      <c r="J411" s="9"/>
      <c r="K411" s="9"/>
      <c r="L411" s="9"/>
      <c r="M411" s="9"/>
      <c r="N411" s="9"/>
      <c r="O411" s="9"/>
      <c r="P411" s="9"/>
      <c r="Q411" s="9"/>
    </row>
    <row r="412" spans="4:17" s="294" customFormat="1" ht="15" customHeight="1">
      <c r="D412" s="10"/>
      <c r="E412" s="10"/>
      <c r="F412" s="9"/>
      <c r="G412" s="9"/>
      <c r="H412" s="9"/>
      <c r="I412" s="9"/>
      <c r="J412" s="9"/>
      <c r="K412" s="9"/>
      <c r="L412" s="9"/>
      <c r="M412" s="9"/>
      <c r="N412" s="9"/>
      <c r="O412" s="9"/>
      <c r="P412" s="9"/>
      <c r="Q412" s="9"/>
    </row>
    <row r="413" spans="4:17" s="294" customFormat="1" ht="15" customHeight="1">
      <c r="D413" s="10"/>
      <c r="E413" s="10"/>
      <c r="F413" s="9"/>
      <c r="G413" s="9"/>
      <c r="H413" s="9"/>
      <c r="I413" s="9"/>
      <c r="J413" s="9"/>
      <c r="K413" s="9"/>
      <c r="L413" s="9"/>
      <c r="M413" s="9"/>
      <c r="N413" s="9"/>
      <c r="O413" s="9"/>
      <c r="P413" s="9"/>
      <c r="Q413" s="9"/>
    </row>
    <row r="414" spans="4:17" s="294" customFormat="1" ht="15" customHeight="1">
      <c r="D414" s="10"/>
      <c r="E414" s="10"/>
      <c r="F414" s="9"/>
      <c r="G414" s="9"/>
      <c r="H414" s="9"/>
      <c r="I414" s="9"/>
      <c r="J414" s="9"/>
      <c r="K414" s="9"/>
      <c r="L414" s="9"/>
      <c r="M414" s="9"/>
      <c r="N414" s="9"/>
      <c r="O414" s="9"/>
      <c r="P414" s="9"/>
      <c r="Q414" s="9"/>
    </row>
    <row r="415" spans="4:17" s="294" customFormat="1" ht="15" customHeight="1">
      <c r="D415" s="10"/>
      <c r="E415" s="10"/>
      <c r="F415" s="9"/>
      <c r="G415" s="9"/>
      <c r="H415" s="9"/>
      <c r="I415" s="9"/>
      <c r="J415" s="9"/>
      <c r="K415" s="9"/>
      <c r="L415" s="9"/>
      <c r="M415" s="9"/>
      <c r="N415" s="9"/>
      <c r="O415" s="9"/>
      <c r="P415" s="9"/>
      <c r="Q415" s="9"/>
    </row>
    <row r="416" spans="4:17" s="294" customFormat="1" ht="15" customHeight="1">
      <c r="D416" s="10"/>
      <c r="E416" s="10"/>
      <c r="F416" s="9"/>
      <c r="G416" s="9"/>
      <c r="H416" s="9"/>
      <c r="I416" s="9"/>
      <c r="J416" s="9"/>
      <c r="K416" s="9"/>
      <c r="L416" s="9"/>
      <c r="M416" s="9"/>
      <c r="N416" s="9"/>
      <c r="O416" s="9"/>
      <c r="P416" s="9"/>
      <c r="Q416" s="9"/>
    </row>
    <row r="417" spans="4:17" s="294" customFormat="1" ht="15" customHeight="1">
      <c r="D417" s="10"/>
      <c r="E417" s="10"/>
      <c r="F417" s="9"/>
      <c r="G417" s="9"/>
      <c r="H417" s="9"/>
      <c r="I417" s="9"/>
      <c r="J417" s="9"/>
      <c r="K417" s="9"/>
      <c r="L417" s="9"/>
      <c r="M417" s="9"/>
      <c r="N417" s="9"/>
      <c r="O417" s="9"/>
      <c r="P417" s="9"/>
      <c r="Q417" s="9"/>
    </row>
    <row r="418" spans="4:17" s="294" customFormat="1" ht="15" customHeight="1">
      <c r="D418" s="10"/>
      <c r="E418" s="10"/>
      <c r="F418" s="9"/>
      <c r="G418" s="9"/>
      <c r="H418" s="9"/>
      <c r="I418" s="9"/>
      <c r="J418" s="9"/>
      <c r="K418" s="9"/>
      <c r="L418" s="9"/>
      <c r="M418" s="9"/>
      <c r="N418" s="9"/>
      <c r="O418" s="9"/>
      <c r="P418" s="9"/>
      <c r="Q418" s="9"/>
    </row>
    <row r="419" spans="4:17" s="294" customFormat="1" ht="15" customHeight="1">
      <c r="D419" s="10"/>
      <c r="E419" s="10"/>
      <c r="F419" s="9"/>
      <c r="G419" s="9"/>
      <c r="H419" s="9"/>
      <c r="I419" s="9"/>
      <c r="J419" s="9"/>
      <c r="K419" s="9"/>
      <c r="L419" s="9"/>
      <c r="M419" s="9"/>
      <c r="N419" s="9"/>
      <c r="O419" s="9"/>
      <c r="P419" s="9"/>
      <c r="Q419" s="9"/>
    </row>
    <row r="420" spans="4:17" s="294" customFormat="1" ht="15" customHeight="1">
      <c r="D420" s="10"/>
      <c r="E420" s="10"/>
      <c r="F420" s="9"/>
      <c r="G420" s="9"/>
      <c r="H420" s="9"/>
      <c r="I420" s="9"/>
      <c r="J420" s="9"/>
      <c r="K420" s="9"/>
      <c r="L420" s="9"/>
      <c r="M420" s="9"/>
      <c r="N420" s="9"/>
      <c r="O420" s="9"/>
      <c r="P420" s="9"/>
      <c r="Q420" s="9"/>
    </row>
    <row r="421" spans="4:17" s="294" customFormat="1" ht="15" customHeight="1">
      <c r="D421" s="10"/>
      <c r="E421" s="10"/>
      <c r="F421" s="9"/>
      <c r="G421" s="9"/>
      <c r="H421" s="9"/>
      <c r="I421" s="9"/>
      <c r="J421" s="9"/>
      <c r="K421" s="9"/>
      <c r="L421" s="9"/>
      <c r="M421" s="9"/>
      <c r="N421" s="9"/>
      <c r="O421" s="9"/>
      <c r="P421" s="9"/>
      <c r="Q421" s="9"/>
    </row>
    <row r="422" spans="4:17" s="294" customFormat="1" ht="15" customHeight="1">
      <c r="D422" s="10"/>
      <c r="E422" s="10"/>
      <c r="F422" s="9"/>
      <c r="G422" s="9"/>
      <c r="H422" s="9"/>
      <c r="I422" s="9"/>
      <c r="J422" s="9"/>
      <c r="K422" s="9"/>
      <c r="L422" s="9"/>
      <c r="M422" s="9"/>
      <c r="N422" s="9"/>
      <c r="O422" s="9"/>
      <c r="P422" s="9"/>
      <c r="Q422" s="9"/>
    </row>
    <row r="423" spans="4:17" s="294" customFormat="1" ht="15" customHeight="1">
      <c r="D423" s="10"/>
      <c r="E423" s="10"/>
      <c r="F423" s="9"/>
      <c r="G423" s="9"/>
      <c r="H423" s="9"/>
      <c r="I423" s="9"/>
      <c r="J423" s="9"/>
      <c r="K423" s="9"/>
      <c r="L423" s="9"/>
      <c r="M423" s="9"/>
      <c r="N423" s="9"/>
      <c r="O423" s="9"/>
      <c r="P423" s="9"/>
      <c r="Q423" s="9"/>
    </row>
    <row r="424" spans="4:17" s="294" customFormat="1" ht="15" customHeight="1">
      <c r="D424" s="10"/>
      <c r="E424" s="10"/>
      <c r="F424" s="9"/>
      <c r="G424" s="9"/>
      <c r="H424" s="9"/>
      <c r="I424" s="9"/>
      <c r="J424" s="9"/>
      <c r="K424" s="9"/>
      <c r="L424" s="9"/>
      <c r="M424" s="9"/>
      <c r="N424" s="9"/>
      <c r="O424" s="9"/>
      <c r="P424" s="9"/>
      <c r="Q424" s="9"/>
    </row>
    <row r="425" spans="4:17" s="294" customFormat="1" ht="15" customHeight="1">
      <c r="D425" s="10"/>
      <c r="E425" s="10"/>
      <c r="F425" s="9"/>
      <c r="G425" s="9"/>
      <c r="H425" s="9"/>
      <c r="I425" s="9"/>
      <c r="J425" s="9"/>
      <c r="K425" s="9"/>
      <c r="L425" s="9"/>
      <c r="M425" s="9"/>
      <c r="N425" s="9"/>
      <c r="O425" s="9"/>
      <c r="P425" s="9"/>
      <c r="Q425" s="9"/>
    </row>
    <row r="426" spans="4:17" s="294" customFormat="1" ht="15" customHeight="1">
      <c r="D426" s="10"/>
      <c r="E426" s="10"/>
      <c r="F426" s="9"/>
      <c r="G426" s="9"/>
      <c r="H426" s="9"/>
      <c r="I426" s="9"/>
      <c r="J426" s="9"/>
      <c r="K426" s="9"/>
      <c r="L426" s="9"/>
      <c r="M426" s="9"/>
      <c r="N426" s="9"/>
      <c r="O426" s="9"/>
      <c r="P426" s="9"/>
      <c r="Q426" s="9"/>
    </row>
    <row r="427" spans="4:17" s="294" customFormat="1" ht="15" customHeight="1">
      <c r="D427" s="10"/>
      <c r="E427" s="10"/>
      <c r="F427" s="9"/>
      <c r="G427" s="9"/>
      <c r="H427" s="9"/>
      <c r="I427" s="9"/>
      <c r="J427" s="9"/>
      <c r="K427" s="9"/>
      <c r="L427" s="9"/>
      <c r="M427" s="9"/>
      <c r="N427" s="9"/>
      <c r="O427" s="9"/>
      <c r="P427" s="9"/>
      <c r="Q427" s="9"/>
    </row>
    <row r="428" spans="4:17" s="294" customFormat="1" ht="15" customHeight="1">
      <c r="D428" s="10"/>
      <c r="E428" s="10"/>
      <c r="F428" s="9"/>
      <c r="G428" s="9"/>
      <c r="H428" s="9"/>
      <c r="I428" s="9"/>
      <c r="J428" s="9"/>
      <c r="K428" s="9"/>
      <c r="L428" s="9"/>
      <c r="M428" s="9"/>
      <c r="N428" s="9"/>
      <c r="O428" s="9"/>
      <c r="P428" s="9"/>
      <c r="Q428" s="9"/>
    </row>
    <row r="429" spans="4:17" s="294" customFormat="1" ht="15" customHeight="1">
      <c r="D429" s="10"/>
      <c r="E429" s="10"/>
      <c r="F429" s="9"/>
      <c r="G429" s="9"/>
      <c r="H429" s="9"/>
      <c r="I429" s="9"/>
      <c r="J429" s="9"/>
      <c r="K429" s="9"/>
      <c r="L429" s="9"/>
      <c r="M429" s="9"/>
      <c r="N429" s="9"/>
      <c r="O429" s="9"/>
      <c r="P429" s="9"/>
      <c r="Q429" s="9"/>
    </row>
    <row r="430" spans="4:17" s="294" customFormat="1" ht="15" customHeight="1">
      <c r="D430" s="10"/>
      <c r="E430" s="10"/>
      <c r="F430" s="9"/>
      <c r="G430" s="9"/>
      <c r="H430" s="9"/>
      <c r="I430" s="9"/>
      <c r="J430" s="9"/>
      <c r="K430" s="9"/>
      <c r="L430" s="9"/>
      <c r="M430" s="9"/>
      <c r="N430" s="9"/>
      <c r="O430" s="9"/>
      <c r="P430" s="9"/>
      <c r="Q430" s="9"/>
    </row>
    <row r="431" spans="4:17" s="294" customFormat="1" ht="15" customHeight="1">
      <c r="D431" s="10"/>
      <c r="E431" s="10"/>
      <c r="F431" s="9"/>
      <c r="G431" s="9"/>
      <c r="H431" s="9"/>
      <c r="I431" s="9"/>
      <c r="J431" s="9"/>
      <c r="K431" s="9"/>
      <c r="L431" s="9"/>
      <c r="M431" s="9"/>
      <c r="N431" s="9"/>
      <c r="O431" s="9"/>
      <c r="P431" s="9"/>
      <c r="Q431" s="9"/>
    </row>
    <row r="432" spans="4:17" s="294" customFormat="1" ht="15" customHeight="1">
      <c r="D432" s="10"/>
      <c r="E432" s="10"/>
      <c r="F432" s="9"/>
      <c r="G432" s="9"/>
      <c r="H432" s="9"/>
      <c r="I432" s="9"/>
      <c r="J432" s="9"/>
      <c r="K432" s="9"/>
      <c r="L432" s="9"/>
      <c r="M432" s="9"/>
      <c r="N432" s="9"/>
      <c r="O432" s="9"/>
      <c r="P432" s="9"/>
      <c r="Q432" s="9"/>
    </row>
    <row r="433" spans="4:17" s="294" customFormat="1" ht="15" customHeight="1">
      <c r="D433" s="10"/>
      <c r="E433" s="10"/>
      <c r="F433" s="9"/>
      <c r="G433" s="9"/>
      <c r="H433" s="9"/>
      <c r="I433" s="9"/>
      <c r="J433" s="9"/>
      <c r="K433" s="9"/>
      <c r="L433" s="9"/>
      <c r="M433" s="9"/>
      <c r="N433" s="9"/>
      <c r="O433" s="9"/>
      <c r="P433" s="9"/>
      <c r="Q433" s="9"/>
    </row>
    <row r="434" spans="4:17" s="294" customFormat="1" ht="15" customHeight="1">
      <c r="D434" s="10"/>
      <c r="E434" s="10"/>
      <c r="F434" s="9"/>
      <c r="G434" s="9"/>
      <c r="H434" s="9"/>
      <c r="I434" s="9"/>
      <c r="J434" s="9"/>
      <c r="K434" s="9"/>
      <c r="L434" s="9"/>
      <c r="M434" s="9"/>
      <c r="N434" s="9"/>
      <c r="O434" s="9"/>
      <c r="P434" s="9"/>
      <c r="Q434" s="9"/>
    </row>
    <row r="435" spans="4:17" s="294" customFormat="1" ht="15" customHeight="1">
      <c r="D435" s="10"/>
      <c r="E435" s="10"/>
      <c r="F435" s="9"/>
      <c r="G435" s="9"/>
      <c r="H435" s="9"/>
      <c r="I435" s="9"/>
      <c r="J435" s="9"/>
      <c r="K435" s="9"/>
      <c r="L435" s="9"/>
      <c r="M435" s="9"/>
      <c r="N435" s="9"/>
      <c r="O435" s="9"/>
      <c r="P435" s="9"/>
      <c r="Q435" s="9"/>
    </row>
    <row r="436" spans="4:17" s="294" customFormat="1" ht="15" customHeight="1">
      <c r="D436" s="10"/>
      <c r="E436" s="10"/>
      <c r="F436" s="9"/>
      <c r="G436" s="9"/>
      <c r="H436" s="9"/>
      <c r="I436" s="9"/>
      <c r="J436" s="9"/>
      <c r="K436" s="9"/>
      <c r="L436" s="9"/>
      <c r="M436" s="9"/>
      <c r="N436" s="9"/>
      <c r="O436" s="9"/>
      <c r="P436" s="9"/>
      <c r="Q436" s="9"/>
    </row>
    <row r="437" spans="4:17" s="294" customFormat="1" ht="15" customHeight="1">
      <c r="D437" s="10"/>
      <c r="E437" s="10"/>
      <c r="F437" s="9"/>
      <c r="G437" s="9"/>
      <c r="H437" s="9"/>
      <c r="I437" s="9"/>
      <c r="J437" s="9"/>
      <c r="K437" s="9"/>
      <c r="L437" s="9"/>
      <c r="M437" s="9"/>
      <c r="N437" s="9"/>
      <c r="O437" s="9"/>
      <c r="P437" s="9"/>
      <c r="Q437" s="9"/>
    </row>
    <row r="438" spans="4:17" s="294" customFormat="1" ht="15" customHeight="1">
      <c r="D438" s="10"/>
      <c r="E438" s="10"/>
      <c r="F438" s="9"/>
      <c r="G438" s="9"/>
      <c r="H438" s="9"/>
      <c r="I438" s="9"/>
      <c r="J438" s="9"/>
      <c r="K438" s="9"/>
      <c r="L438" s="9"/>
      <c r="M438" s="9"/>
      <c r="N438" s="9"/>
      <c r="O438" s="9"/>
      <c r="P438" s="9"/>
      <c r="Q438" s="9"/>
    </row>
    <row r="439" spans="4:17" s="294" customFormat="1" ht="15" customHeight="1">
      <c r="D439" s="10"/>
      <c r="E439" s="10"/>
      <c r="F439" s="9"/>
      <c r="G439" s="9"/>
      <c r="H439" s="9"/>
      <c r="I439" s="9"/>
      <c r="J439" s="9"/>
      <c r="K439" s="9"/>
      <c r="L439" s="9"/>
      <c r="M439" s="9"/>
      <c r="N439" s="9"/>
      <c r="O439" s="9"/>
      <c r="P439" s="9"/>
      <c r="Q439" s="9"/>
    </row>
    <row r="440" spans="4:17" s="294" customFormat="1" ht="15" customHeight="1">
      <c r="D440" s="10"/>
      <c r="E440" s="10"/>
      <c r="F440" s="9"/>
      <c r="G440" s="9"/>
      <c r="H440" s="9"/>
      <c r="I440" s="9"/>
      <c r="J440" s="9"/>
      <c r="K440" s="9"/>
      <c r="L440" s="9"/>
      <c r="M440" s="9"/>
      <c r="N440" s="9"/>
      <c r="O440" s="9"/>
      <c r="P440" s="9"/>
      <c r="Q440" s="9"/>
    </row>
    <row r="441" spans="4:17" s="294" customFormat="1" ht="15" customHeight="1">
      <c r="D441" s="10"/>
      <c r="E441" s="10"/>
      <c r="F441" s="9"/>
      <c r="G441" s="9"/>
      <c r="H441" s="9"/>
      <c r="I441" s="9"/>
      <c r="J441" s="9"/>
      <c r="K441" s="9"/>
      <c r="L441" s="9"/>
      <c r="M441" s="9"/>
      <c r="N441" s="9"/>
      <c r="O441" s="9"/>
      <c r="P441" s="9"/>
      <c r="Q441" s="9"/>
    </row>
    <row r="442" spans="4:17" s="294" customFormat="1" ht="15" customHeight="1">
      <c r="D442" s="10"/>
      <c r="E442" s="10"/>
      <c r="F442" s="9"/>
      <c r="G442" s="9"/>
      <c r="H442" s="9"/>
      <c r="I442" s="9"/>
      <c r="J442" s="9"/>
      <c r="K442" s="9"/>
      <c r="L442" s="9"/>
      <c r="M442" s="9"/>
      <c r="N442" s="9"/>
      <c r="O442" s="9"/>
      <c r="P442" s="9"/>
      <c r="Q442" s="9"/>
    </row>
    <row r="443" spans="4:17" s="294" customFormat="1" ht="15" customHeight="1">
      <c r="D443" s="10"/>
      <c r="E443" s="10"/>
      <c r="F443" s="9"/>
      <c r="G443" s="9"/>
      <c r="H443" s="9"/>
      <c r="I443" s="9"/>
      <c r="J443" s="9"/>
      <c r="K443" s="9"/>
      <c r="L443" s="9"/>
      <c r="M443" s="9"/>
      <c r="N443" s="9"/>
      <c r="O443" s="9"/>
      <c r="P443" s="9"/>
      <c r="Q443" s="9"/>
    </row>
    <row r="444" spans="4:17" s="294" customFormat="1" ht="15" customHeight="1">
      <c r="D444" s="10"/>
      <c r="E444" s="10"/>
      <c r="F444" s="9"/>
      <c r="G444" s="9"/>
      <c r="H444" s="9"/>
      <c r="I444" s="9"/>
      <c r="J444" s="9"/>
      <c r="K444" s="9"/>
      <c r="L444" s="9"/>
      <c r="M444" s="9"/>
      <c r="N444" s="9"/>
      <c r="O444" s="9"/>
      <c r="P444" s="9"/>
      <c r="Q444" s="9"/>
    </row>
    <row r="445" spans="4:17" s="294" customFormat="1" ht="15" customHeight="1">
      <c r="D445" s="10"/>
      <c r="E445" s="10"/>
      <c r="F445" s="9"/>
      <c r="G445" s="9"/>
      <c r="H445" s="9"/>
      <c r="I445" s="9"/>
      <c r="J445" s="9"/>
      <c r="K445" s="9"/>
      <c r="L445" s="9"/>
      <c r="M445" s="9"/>
      <c r="N445" s="9"/>
      <c r="O445" s="9"/>
      <c r="P445" s="9"/>
      <c r="Q445" s="9"/>
    </row>
    <row r="446" spans="4:17" s="294" customFormat="1" ht="15" customHeight="1">
      <c r="D446" s="10"/>
      <c r="E446" s="10"/>
      <c r="F446" s="9"/>
      <c r="G446" s="9"/>
      <c r="H446" s="9"/>
      <c r="I446" s="9"/>
      <c r="J446" s="9"/>
      <c r="K446" s="9"/>
      <c r="L446" s="9"/>
      <c r="M446" s="9"/>
      <c r="N446" s="9"/>
      <c r="O446" s="9"/>
      <c r="P446" s="9"/>
      <c r="Q446" s="9"/>
    </row>
    <row r="447" spans="4:17" s="294" customFormat="1" ht="15" customHeight="1">
      <c r="D447" s="10"/>
      <c r="E447" s="10"/>
      <c r="F447" s="9"/>
      <c r="G447" s="9"/>
      <c r="H447" s="9"/>
      <c r="I447" s="9"/>
      <c r="J447" s="9"/>
      <c r="K447" s="9"/>
      <c r="L447" s="9"/>
      <c r="M447" s="9"/>
      <c r="N447" s="9"/>
      <c r="O447" s="9"/>
      <c r="P447" s="9"/>
      <c r="Q447" s="9"/>
    </row>
    <row r="448" spans="4:17" s="294" customFormat="1" ht="15" customHeight="1">
      <c r="D448" s="10"/>
      <c r="E448" s="10"/>
      <c r="F448" s="9"/>
      <c r="G448" s="9"/>
      <c r="H448" s="9"/>
      <c r="I448" s="9"/>
      <c r="J448" s="9"/>
      <c r="K448" s="9"/>
      <c r="L448" s="9"/>
      <c r="M448" s="9"/>
      <c r="N448" s="9"/>
      <c r="O448" s="9"/>
      <c r="P448" s="9"/>
      <c r="Q448" s="9"/>
    </row>
    <row r="449" spans="4:17" s="294" customFormat="1" ht="15" customHeight="1">
      <c r="D449" s="10"/>
      <c r="E449" s="10"/>
      <c r="F449" s="9"/>
      <c r="G449" s="9"/>
      <c r="H449" s="9"/>
      <c r="I449" s="9"/>
      <c r="J449" s="9"/>
      <c r="K449" s="9"/>
      <c r="L449" s="9"/>
      <c r="M449" s="9"/>
      <c r="N449" s="9"/>
      <c r="O449" s="9"/>
      <c r="P449" s="9"/>
      <c r="Q449" s="9"/>
    </row>
    <row r="450" spans="4:17" s="294" customFormat="1" ht="15" customHeight="1">
      <c r="D450" s="10"/>
      <c r="E450" s="10"/>
      <c r="F450" s="9"/>
      <c r="G450" s="9"/>
      <c r="H450" s="9"/>
      <c r="I450" s="9"/>
      <c r="J450" s="9"/>
      <c r="K450" s="9"/>
      <c r="L450" s="9"/>
      <c r="M450" s="9"/>
      <c r="N450" s="9"/>
      <c r="O450" s="9"/>
      <c r="P450" s="9"/>
      <c r="Q450" s="9"/>
    </row>
    <row r="451" spans="4:17" s="294" customFormat="1" ht="15" customHeight="1">
      <c r="D451" s="10"/>
      <c r="E451" s="10"/>
      <c r="F451" s="9"/>
      <c r="G451" s="9"/>
      <c r="H451" s="9"/>
      <c r="I451" s="9"/>
      <c r="J451" s="9"/>
      <c r="K451" s="9"/>
      <c r="L451" s="9"/>
      <c r="M451" s="9"/>
      <c r="N451" s="9"/>
      <c r="O451" s="9"/>
      <c r="P451" s="9"/>
      <c r="Q451" s="9"/>
    </row>
    <row r="452" spans="4:17" s="294" customFormat="1" ht="15" customHeight="1">
      <c r="D452" s="10"/>
      <c r="E452" s="10"/>
      <c r="F452" s="9"/>
      <c r="G452" s="9"/>
      <c r="H452" s="9"/>
      <c r="I452" s="9"/>
      <c r="J452" s="9"/>
      <c r="K452" s="9"/>
      <c r="L452" s="9"/>
      <c r="M452" s="9"/>
      <c r="N452" s="9"/>
      <c r="O452" s="9"/>
      <c r="P452" s="9"/>
      <c r="Q452" s="9"/>
    </row>
    <row r="453" spans="4:17" s="294" customFormat="1" ht="15" customHeight="1">
      <c r="D453" s="10"/>
      <c r="E453" s="10"/>
      <c r="F453" s="9"/>
      <c r="G453" s="9"/>
      <c r="H453" s="9"/>
      <c r="I453" s="9"/>
      <c r="J453" s="9"/>
      <c r="K453" s="9"/>
      <c r="L453" s="9"/>
      <c r="M453" s="9"/>
      <c r="N453" s="9"/>
      <c r="O453" s="9"/>
      <c r="P453" s="9"/>
      <c r="Q453" s="9"/>
    </row>
    <row r="454" spans="4:17" s="294" customFormat="1" ht="15" customHeight="1">
      <c r="D454" s="10"/>
      <c r="E454" s="10"/>
      <c r="F454" s="9"/>
      <c r="G454" s="9"/>
      <c r="H454" s="9"/>
      <c r="I454" s="9"/>
      <c r="J454" s="9"/>
      <c r="K454" s="9"/>
      <c r="L454" s="9"/>
      <c r="M454" s="9"/>
      <c r="N454" s="9"/>
      <c r="O454" s="9"/>
      <c r="P454" s="9"/>
      <c r="Q454" s="9"/>
    </row>
    <row r="455" spans="4:17" s="294" customFormat="1" ht="15" customHeight="1">
      <c r="D455" s="10"/>
      <c r="E455" s="10"/>
      <c r="F455" s="9"/>
      <c r="G455" s="9"/>
      <c r="H455" s="9"/>
      <c r="I455" s="9"/>
      <c r="J455" s="9"/>
      <c r="K455" s="9"/>
      <c r="L455" s="9"/>
      <c r="M455" s="9"/>
      <c r="N455" s="9"/>
      <c r="O455" s="9"/>
      <c r="P455" s="9"/>
      <c r="Q455" s="9"/>
    </row>
    <row r="456" spans="4:17" s="294" customFormat="1" ht="15" customHeight="1">
      <c r="D456" s="10"/>
      <c r="E456" s="10"/>
      <c r="F456" s="9"/>
      <c r="G456" s="9"/>
      <c r="H456" s="9"/>
      <c r="I456" s="9"/>
      <c r="J456" s="9"/>
      <c r="K456" s="9"/>
      <c r="L456" s="9"/>
      <c r="M456" s="9"/>
      <c r="N456" s="9"/>
      <c r="O456" s="9"/>
      <c r="P456" s="9"/>
      <c r="Q456" s="9"/>
    </row>
    <row r="457" spans="4:17" s="294" customFormat="1" ht="15" customHeight="1">
      <c r="D457" s="10"/>
      <c r="E457" s="10"/>
      <c r="F457" s="9"/>
      <c r="G457" s="9"/>
      <c r="H457" s="9"/>
      <c r="I457" s="9"/>
      <c r="J457" s="9"/>
      <c r="K457" s="9"/>
      <c r="L457" s="9"/>
      <c r="M457" s="9"/>
      <c r="N457" s="9"/>
      <c r="O457" s="9"/>
      <c r="P457" s="9"/>
      <c r="Q457" s="9"/>
    </row>
    <row r="458" spans="4:17" s="294" customFormat="1" ht="15" customHeight="1">
      <c r="D458" s="10"/>
      <c r="E458" s="10"/>
      <c r="F458" s="9"/>
      <c r="G458" s="9"/>
      <c r="H458" s="9"/>
      <c r="I458" s="9"/>
      <c r="J458" s="9"/>
      <c r="K458" s="9"/>
      <c r="L458" s="9"/>
      <c r="M458" s="9"/>
      <c r="N458" s="9"/>
      <c r="O458" s="9"/>
      <c r="P458" s="9"/>
      <c r="Q458" s="9"/>
    </row>
    <row r="459" spans="4:17" s="294" customFormat="1" ht="15" customHeight="1">
      <c r="D459" s="10"/>
      <c r="E459" s="10"/>
      <c r="F459" s="9"/>
      <c r="G459" s="9"/>
      <c r="H459" s="9"/>
      <c r="I459" s="9"/>
      <c r="J459" s="9"/>
      <c r="K459" s="9"/>
      <c r="L459" s="9"/>
      <c r="M459" s="9"/>
      <c r="N459" s="9"/>
      <c r="O459" s="9"/>
      <c r="P459" s="9"/>
      <c r="Q459" s="9"/>
    </row>
    <row r="460" spans="4:17" s="294" customFormat="1" ht="15" customHeight="1">
      <c r="D460" s="10"/>
      <c r="E460" s="10"/>
      <c r="F460" s="9"/>
      <c r="G460" s="9"/>
      <c r="H460" s="9"/>
      <c r="I460" s="9"/>
      <c r="J460" s="9"/>
      <c r="K460" s="9"/>
      <c r="L460" s="9"/>
      <c r="M460" s="9"/>
      <c r="N460" s="9"/>
      <c r="O460" s="9"/>
      <c r="P460" s="9"/>
      <c r="Q460" s="9"/>
    </row>
    <row r="461" spans="4:17" s="294" customFormat="1" ht="15" customHeight="1">
      <c r="D461" s="10"/>
      <c r="E461" s="10"/>
      <c r="F461" s="9"/>
      <c r="G461" s="9"/>
      <c r="H461" s="9"/>
      <c r="I461" s="9"/>
      <c r="J461" s="9"/>
      <c r="K461" s="9"/>
      <c r="L461" s="9"/>
      <c r="M461" s="9"/>
      <c r="N461" s="9"/>
      <c r="O461" s="9"/>
      <c r="P461" s="9"/>
      <c r="Q461" s="9"/>
    </row>
    <row r="462" spans="4:17" s="294" customFormat="1" ht="15" customHeight="1">
      <c r="D462" s="10"/>
      <c r="E462" s="10"/>
      <c r="F462" s="9"/>
      <c r="G462" s="9"/>
      <c r="H462" s="9"/>
      <c r="I462" s="9"/>
      <c r="J462" s="9"/>
      <c r="K462" s="9"/>
      <c r="L462" s="9"/>
      <c r="M462" s="9"/>
      <c r="N462" s="9"/>
      <c r="O462" s="9"/>
      <c r="P462" s="9"/>
      <c r="Q462" s="9"/>
    </row>
    <row r="463" spans="4:17" s="294" customFormat="1" ht="15" customHeight="1">
      <c r="D463" s="10"/>
      <c r="E463" s="10"/>
      <c r="F463" s="9"/>
      <c r="G463" s="9"/>
      <c r="H463" s="9"/>
      <c r="I463" s="9"/>
      <c r="J463" s="9"/>
      <c r="K463" s="9"/>
      <c r="L463" s="9"/>
      <c r="M463" s="9"/>
      <c r="N463" s="9"/>
      <c r="O463" s="9"/>
      <c r="P463" s="9"/>
      <c r="Q463" s="9"/>
    </row>
    <row r="464" spans="4:17" s="294" customFormat="1" ht="15" customHeight="1">
      <c r="D464" s="10"/>
      <c r="E464" s="10"/>
      <c r="F464" s="9"/>
      <c r="G464" s="9"/>
      <c r="H464" s="9"/>
      <c r="I464" s="9"/>
      <c r="J464" s="9"/>
      <c r="K464" s="9"/>
      <c r="L464" s="9"/>
      <c r="M464" s="9"/>
      <c r="N464" s="9"/>
      <c r="O464" s="9"/>
      <c r="P464" s="9"/>
      <c r="Q464" s="9"/>
    </row>
    <row r="465" spans="4:17" s="294" customFormat="1" ht="15" customHeight="1">
      <c r="D465" s="10"/>
      <c r="E465" s="10"/>
      <c r="F465" s="9"/>
      <c r="G465" s="9"/>
      <c r="H465" s="9"/>
      <c r="I465" s="9"/>
      <c r="J465" s="9"/>
      <c r="K465" s="9"/>
      <c r="L465" s="9"/>
      <c r="M465" s="9"/>
      <c r="N465" s="9"/>
      <c r="O465" s="9"/>
      <c r="P465" s="9"/>
      <c r="Q465" s="9"/>
    </row>
    <row r="466" spans="4:17" s="294" customFormat="1" ht="15" customHeight="1">
      <c r="D466" s="10"/>
      <c r="E466" s="10"/>
      <c r="F466" s="9"/>
      <c r="G466" s="9"/>
      <c r="H466" s="9"/>
      <c r="I466" s="9"/>
      <c r="J466" s="9"/>
      <c r="K466" s="9"/>
      <c r="L466" s="9"/>
      <c r="M466" s="9"/>
      <c r="N466" s="9"/>
      <c r="O466" s="9"/>
      <c r="P466" s="9"/>
      <c r="Q466" s="9"/>
    </row>
    <row r="467" spans="4:17" s="294" customFormat="1" ht="15" customHeight="1">
      <c r="D467" s="10"/>
      <c r="E467" s="10"/>
      <c r="F467" s="9"/>
      <c r="G467" s="9"/>
      <c r="H467" s="9"/>
      <c r="I467" s="9"/>
      <c r="J467" s="9"/>
      <c r="K467" s="9"/>
      <c r="L467" s="9"/>
      <c r="M467" s="9"/>
      <c r="N467" s="9"/>
      <c r="O467" s="9"/>
      <c r="P467" s="9"/>
      <c r="Q467" s="9"/>
    </row>
    <row r="468" spans="4:17" s="294" customFormat="1" ht="15" customHeight="1">
      <c r="D468" s="10"/>
      <c r="E468" s="10"/>
      <c r="F468" s="9"/>
      <c r="G468" s="9"/>
      <c r="H468" s="9"/>
      <c r="I468" s="9"/>
      <c r="J468" s="9"/>
      <c r="K468" s="9"/>
      <c r="L468" s="9"/>
      <c r="M468" s="9"/>
      <c r="N468" s="9"/>
      <c r="O468" s="9"/>
      <c r="P468" s="9"/>
      <c r="Q468" s="9"/>
    </row>
    <row r="469" spans="4:17" s="294" customFormat="1" ht="15" customHeight="1">
      <c r="D469" s="10"/>
      <c r="E469" s="10"/>
      <c r="F469" s="9"/>
      <c r="G469" s="9"/>
      <c r="H469" s="9"/>
      <c r="I469" s="9"/>
      <c r="J469" s="9"/>
      <c r="K469" s="9"/>
      <c r="L469" s="9"/>
      <c r="M469" s="9"/>
      <c r="N469" s="9"/>
      <c r="O469" s="9"/>
      <c r="P469" s="9"/>
      <c r="Q469" s="9"/>
    </row>
    <row r="470" spans="4:17" s="294" customFormat="1" ht="15" customHeight="1">
      <c r="D470" s="10"/>
      <c r="E470" s="10"/>
      <c r="F470" s="9"/>
      <c r="G470" s="9"/>
      <c r="H470" s="9"/>
      <c r="I470" s="9"/>
      <c r="J470" s="9"/>
      <c r="K470" s="9"/>
      <c r="L470" s="9"/>
      <c r="M470" s="9"/>
      <c r="N470" s="9"/>
      <c r="O470" s="9"/>
      <c r="P470" s="9"/>
      <c r="Q470" s="9"/>
    </row>
    <row r="471" spans="4:17" s="294" customFormat="1" ht="15" customHeight="1">
      <c r="D471" s="10"/>
      <c r="E471" s="10"/>
      <c r="F471" s="9"/>
      <c r="G471" s="9"/>
      <c r="H471" s="9"/>
      <c r="I471" s="9"/>
      <c r="J471" s="9"/>
      <c r="K471" s="9"/>
      <c r="L471" s="9"/>
      <c r="M471" s="9"/>
      <c r="N471" s="9"/>
      <c r="O471" s="9"/>
      <c r="P471" s="9"/>
      <c r="Q471" s="9"/>
    </row>
    <row r="472" spans="4:17" s="294" customFormat="1" ht="15" customHeight="1">
      <c r="D472" s="10"/>
      <c r="E472" s="10"/>
      <c r="F472" s="9"/>
      <c r="G472" s="9"/>
      <c r="H472" s="9"/>
      <c r="I472" s="9"/>
      <c r="J472" s="9"/>
      <c r="K472" s="9"/>
      <c r="L472" s="9"/>
      <c r="M472" s="9"/>
      <c r="N472" s="9"/>
      <c r="O472" s="9"/>
      <c r="P472" s="9"/>
      <c r="Q472" s="9"/>
    </row>
    <row r="473" spans="4:17" s="294" customFormat="1" ht="15" customHeight="1">
      <c r="D473" s="10"/>
      <c r="E473" s="10"/>
      <c r="F473" s="9"/>
      <c r="G473" s="9"/>
      <c r="H473" s="9"/>
      <c r="I473" s="9"/>
      <c r="J473" s="9"/>
      <c r="K473" s="9"/>
      <c r="L473" s="9"/>
      <c r="M473" s="9"/>
      <c r="N473" s="9"/>
      <c r="O473" s="9"/>
      <c r="P473" s="9"/>
      <c r="Q473" s="9"/>
    </row>
    <row r="474" spans="4:17" s="294" customFormat="1" ht="15" customHeight="1">
      <c r="D474" s="10"/>
      <c r="E474" s="10"/>
      <c r="F474" s="9"/>
      <c r="G474" s="9"/>
      <c r="H474" s="9"/>
      <c r="I474" s="9"/>
      <c r="J474" s="9"/>
      <c r="K474" s="9"/>
      <c r="L474" s="9"/>
      <c r="M474" s="9"/>
      <c r="N474" s="9"/>
      <c r="O474" s="9"/>
      <c r="P474" s="9"/>
      <c r="Q474" s="9"/>
    </row>
    <row r="475" spans="4:17" s="294" customFormat="1" ht="15" customHeight="1">
      <c r="D475" s="10"/>
      <c r="E475" s="10"/>
      <c r="F475" s="9"/>
      <c r="G475" s="9"/>
      <c r="H475" s="9"/>
      <c r="I475" s="9"/>
      <c r="J475" s="9"/>
      <c r="K475" s="9"/>
      <c r="L475" s="9"/>
      <c r="M475" s="9"/>
      <c r="N475" s="9"/>
      <c r="O475" s="9"/>
      <c r="P475" s="9"/>
      <c r="Q475" s="9"/>
    </row>
    <row r="476" spans="4:17" s="294" customFormat="1" ht="15" customHeight="1">
      <c r="D476" s="10"/>
      <c r="E476" s="10"/>
      <c r="F476" s="9"/>
      <c r="G476" s="9"/>
      <c r="H476" s="9"/>
      <c r="I476" s="9"/>
      <c r="J476" s="9"/>
      <c r="K476" s="9"/>
      <c r="L476" s="9"/>
      <c r="M476" s="9"/>
      <c r="N476" s="9"/>
      <c r="O476" s="9"/>
      <c r="P476" s="9"/>
      <c r="Q476" s="9"/>
    </row>
    <row r="477" spans="4:17" s="294" customFormat="1" ht="15" customHeight="1">
      <c r="D477" s="10"/>
      <c r="E477" s="10"/>
      <c r="F477" s="9"/>
      <c r="G477" s="9"/>
      <c r="H477" s="9"/>
      <c r="I477" s="9"/>
      <c r="J477" s="9"/>
      <c r="K477" s="9"/>
      <c r="L477" s="9"/>
      <c r="M477" s="9"/>
      <c r="N477" s="9"/>
      <c r="O477" s="9"/>
      <c r="P477" s="9"/>
      <c r="Q477" s="9"/>
    </row>
    <row r="478" spans="4:17" s="294" customFormat="1" ht="15" customHeight="1">
      <c r="D478" s="10"/>
      <c r="E478" s="10"/>
      <c r="F478" s="9"/>
      <c r="G478" s="9"/>
      <c r="H478" s="9"/>
      <c r="I478" s="9"/>
      <c r="J478" s="9"/>
      <c r="K478" s="9"/>
      <c r="L478" s="9"/>
      <c r="M478" s="9"/>
      <c r="N478" s="9"/>
      <c r="O478" s="9"/>
      <c r="P478" s="9"/>
      <c r="Q478" s="9"/>
    </row>
    <row r="479" spans="4:17" s="294" customFormat="1" ht="15" customHeight="1">
      <c r="D479" s="10"/>
      <c r="E479" s="10"/>
      <c r="F479" s="9"/>
      <c r="G479" s="9"/>
      <c r="H479" s="9"/>
      <c r="I479" s="9"/>
      <c r="J479" s="9"/>
      <c r="K479" s="9"/>
      <c r="L479" s="9"/>
      <c r="M479" s="9"/>
      <c r="N479" s="9"/>
      <c r="O479" s="9"/>
      <c r="P479" s="9"/>
      <c r="Q479" s="9"/>
    </row>
    <row r="480" spans="4:17" s="294" customFormat="1" ht="15" customHeight="1">
      <c r="D480" s="10"/>
      <c r="E480" s="10"/>
      <c r="F480" s="9"/>
      <c r="G480" s="9"/>
      <c r="H480" s="9"/>
      <c r="I480" s="9"/>
      <c r="J480" s="9"/>
      <c r="K480" s="9"/>
      <c r="L480" s="9"/>
      <c r="M480" s="9"/>
      <c r="N480" s="9"/>
      <c r="O480" s="9"/>
      <c r="P480" s="9"/>
      <c r="Q480" s="9"/>
    </row>
    <row r="481" spans="4:17" s="294" customFormat="1" ht="15" customHeight="1">
      <c r="D481" s="10"/>
      <c r="E481" s="10"/>
      <c r="F481" s="9"/>
      <c r="G481" s="9"/>
      <c r="H481" s="9"/>
      <c r="I481" s="9"/>
      <c r="J481" s="9"/>
      <c r="K481" s="9"/>
      <c r="L481" s="9"/>
      <c r="M481" s="9"/>
      <c r="N481" s="9"/>
      <c r="O481" s="9"/>
      <c r="P481" s="9"/>
      <c r="Q481" s="9"/>
    </row>
    <row r="482" spans="4:17" s="294" customFormat="1" ht="15" customHeight="1">
      <c r="D482" s="10"/>
      <c r="E482" s="10"/>
      <c r="F482" s="9"/>
      <c r="G482" s="9"/>
      <c r="H482" s="9"/>
      <c r="I482" s="9"/>
      <c r="J482" s="9"/>
      <c r="K482" s="9"/>
      <c r="L482" s="9"/>
      <c r="M482" s="9"/>
      <c r="N482" s="9"/>
      <c r="O482" s="9"/>
      <c r="P482" s="9"/>
      <c r="Q482" s="9"/>
    </row>
    <row r="483" spans="4:17" s="294" customFormat="1" ht="15" customHeight="1">
      <c r="D483" s="10"/>
      <c r="E483" s="10"/>
      <c r="F483" s="9"/>
      <c r="G483" s="9"/>
      <c r="H483" s="9"/>
      <c r="I483" s="9"/>
      <c r="J483" s="9"/>
      <c r="K483" s="9"/>
      <c r="L483" s="9"/>
      <c r="M483" s="9"/>
      <c r="N483" s="9"/>
      <c r="O483" s="9"/>
      <c r="P483" s="9"/>
      <c r="Q483" s="9"/>
    </row>
    <row r="484" spans="4:17" s="294" customFormat="1" ht="15" customHeight="1">
      <c r="D484" s="10"/>
      <c r="E484" s="10"/>
      <c r="F484" s="9"/>
      <c r="G484" s="9"/>
      <c r="H484" s="9"/>
      <c r="I484" s="9"/>
      <c r="J484" s="9"/>
      <c r="K484" s="9"/>
      <c r="L484" s="9"/>
      <c r="M484" s="9"/>
      <c r="N484" s="9"/>
      <c r="O484" s="9"/>
      <c r="P484" s="9"/>
      <c r="Q484" s="9"/>
    </row>
    <row r="485" spans="4:17" s="294" customFormat="1" ht="15" customHeight="1">
      <c r="D485" s="10"/>
      <c r="E485" s="10"/>
      <c r="F485" s="9"/>
      <c r="G485" s="9"/>
      <c r="H485" s="9"/>
      <c r="I485" s="9"/>
      <c r="J485" s="9"/>
      <c r="K485" s="9"/>
      <c r="L485" s="9"/>
      <c r="M485" s="9"/>
      <c r="N485" s="9"/>
      <c r="O485" s="9"/>
      <c r="P485" s="9"/>
      <c r="Q485" s="9"/>
    </row>
    <row r="486" spans="4:17" s="294" customFormat="1" ht="15" customHeight="1">
      <c r="D486" s="10"/>
      <c r="E486" s="10"/>
      <c r="F486" s="9"/>
      <c r="G486" s="9"/>
      <c r="H486" s="9"/>
      <c r="I486" s="9"/>
      <c r="J486" s="9"/>
      <c r="K486" s="9"/>
      <c r="L486" s="9"/>
      <c r="M486" s="9"/>
      <c r="N486" s="9"/>
      <c r="O486" s="9"/>
      <c r="P486" s="9"/>
      <c r="Q486" s="9"/>
    </row>
    <row r="487" spans="4:17" s="294" customFormat="1" ht="15" customHeight="1">
      <c r="D487" s="10"/>
      <c r="E487" s="10"/>
      <c r="F487" s="9"/>
      <c r="G487" s="9"/>
      <c r="H487" s="9"/>
      <c r="I487" s="9"/>
      <c r="J487" s="9"/>
      <c r="K487" s="9"/>
      <c r="L487" s="9"/>
      <c r="M487" s="9"/>
      <c r="N487" s="9"/>
      <c r="O487" s="9"/>
      <c r="P487" s="9"/>
      <c r="Q487" s="9"/>
    </row>
    <row r="488" spans="4:17" s="294" customFormat="1" ht="15" customHeight="1">
      <c r="D488" s="10"/>
      <c r="E488" s="10"/>
      <c r="F488" s="9"/>
      <c r="G488" s="9"/>
      <c r="H488" s="9"/>
      <c r="I488" s="9"/>
      <c r="J488" s="9"/>
      <c r="K488" s="9"/>
      <c r="L488" s="9"/>
      <c r="M488" s="9"/>
      <c r="N488" s="9"/>
      <c r="O488" s="9"/>
      <c r="P488" s="9"/>
      <c r="Q488" s="9"/>
    </row>
    <row r="489" spans="4:17" s="294" customFormat="1" ht="15" customHeight="1">
      <c r="D489" s="10"/>
      <c r="E489" s="10"/>
      <c r="F489" s="9"/>
      <c r="G489" s="9"/>
      <c r="H489" s="9"/>
      <c r="I489" s="9"/>
      <c r="J489" s="9"/>
      <c r="K489" s="9"/>
      <c r="L489" s="9"/>
      <c r="M489" s="9"/>
      <c r="N489" s="9"/>
      <c r="O489" s="9"/>
      <c r="P489" s="9"/>
      <c r="Q489" s="9"/>
    </row>
    <row r="490" spans="4:17" s="294" customFormat="1" ht="15" customHeight="1">
      <c r="D490" s="10"/>
      <c r="E490" s="10"/>
      <c r="F490" s="9"/>
      <c r="G490" s="9"/>
      <c r="H490" s="9"/>
      <c r="I490" s="9"/>
      <c r="J490" s="9"/>
      <c r="K490" s="9"/>
      <c r="L490" s="9"/>
      <c r="M490" s="9"/>
      <c r="N490" s="9"/>
      <c r="O490" s="9"/>
      <c r="P490" s="9"/>
      <c r="Q490" s="9"/>
    </row>
    <row r="491" spans="4:17" s="294" customFormat="1" ht="15" customHeight="1">
      <c r="D491" s="10"/>
      <c r="E491" s="10"/>
      <c r="F491" s="9"/>
      <c r="G491" s="9"/>
      <c r="H491" s="9"/>
      <c r="I491" s="9"/>
      <c r="J491" s="9"/>
      <c r="K491" s="9"/>
      <c r="L491" s="9"/>
      <c r="M491" s="9"/>
      <c r="N491" s="9"/>
      <c r="O491" s="9"/>
      <c r="P491" s="9"/>
      <c r="Q491" s="9"/>
    </row>
    <row r="492" spans="4:17" s="294" customFormat="1" ht="15" customHeight="1">
      <c r="D492" s="10"/>
      <c r="E492" s="10"/>
      <c r="F492" s="9"/>
      <c r="G492" s="9"/>
      <c r="H492" s="9"/>
      <c r="I492" s="9"/>
      <c r="J492" s="9"/>
      <c r="K492" s="9"/>
      <c r="L492" s="9"/>
      <c r="M492" s="9"/>
      <c r="N492" s="9"/>
      <c r="O492" s="9"/>
      <c r="P492" s="9"/>
      <c r="Q492" s="9"/>
    </row>
    <row r="493" spans="4:17" s="294" customFormat="1" ht="15" customHeight="1">
      <c r="D493" s="10"/>
      <c r="E493" s="10"/>
      <c r="F493" s="9"/>
      <c r="G493" s="9"/>
      <c r="H493" s="9"/>
      <c r="I493" s="9"/>
      <c r="J493" s="9"/>
      <c r="K493" s="9"/>
      <c r="L493" s="9"/>
      <c r="M493" s="9"/>
      <c r="N493" s="9"/>
      <c r="O493" s="9"/>
      <c r="P493" s="9"/>
      <c r="Q493" s="9"/>
    </row>
    <row r="494" spans="4:17" s="294" customFormat="1" ht="15" customHeight="1">
      <c r="D494" s="10"/>
      <c r="E494" s="10"/>
      <c r="F494" s="9"/>
      <c r="G494" s="9"/>
      <c r="H494" s="9"/>
      <c r="I494" s="9"/>
      <c r="J494" s="9"/>
      <c r="K494" s="9"/>
      <c r="L494" s="9"/>
      <c r="M494" s="9"/>
      <c r="N494" s="9"/>
      <c r="O494" s="9"/>
      <c r="P494" s="9"/>
      <c r="Q494" s="9"/>
    </row>
    <row r="495" spans="4:17" s="294" customFormat="1" ht="15" customHeight="1">
      <c r="D495" s="10"/>
      <c r="E495" s="10"/>
      <c r="F495" s="9"/>
      <c r="G495" s="9"/>
      <c r="H495" s="9"/>
      <c r="I495" s="9"/>
      <c r="J495" s="9"/>
      <c r="K495" s="9"/>
      <c r="L495" s="9"/>
      <c r="M495" s="9"/>
      <c r="N495" s="9"/>
      <c r="O495" s="9"/>
      <c r="P495" s="9"/>
      <c r="Q495" s="9"/>
    </row>
    <row r="496" spans="4:17" s="294" customFormat="1" ht="15" customHeight="1">
      <c r="D496" s="10"/>
      <c r="E496" s="10"/>
      <c r="F496" s="9"/>
      <c r="G496" s="9"/>
      <c r="H496" s="9"/>
      <c r="I496" s="9"/>
      <c r="J496" s="9"/>
      <c r="K496" s="9"/>
      <c r="L496" s="9"/>
      <c r="M496" s="9"/>
      <c r="N496" s="9"/>
      <c r="O496" s="9"/>
      <c r="P496" s="9"/>
      <c r="Q496" s="9"/>
    </row>
    <row r="497" spans="4:17" s="294" customFormat="1" ht="15" customHeight="1">
      <c r="D497" s="10"/>
      <c r="E497" s="10"/>
      <c r="F497" s="9"/>
      <c r="G497" s="9"/>
      <c r="H497" s="9"/>
      <c r="I497" s="9"/>
      <c r="J497" s="9"/>
      <c r="K497" s="9"/>
      <c r="L497" s="9"/>
      <c r="M497" s="9"/>
      <c r="N497" s="9"/>
      <c r="O497" s="9"/>
      <c r="P497" s="9"/>
      <c r="Q497" s="9"/>
    </row>
    <row r="498" spans="4:17" s="294" customFormat="1" ht="15" customHeight="1">
      <c r="D498" s="10"/>
      <c r="E498" s="10"/>
      <c r="F498" s="9"/>
      <c r="G498" s="9"/>
      <c r="H498" s="9"/>
      <c r="I498" s="9"/>
      <c r="J498" s="9"/>
      <c r="K498" s="9"/>
      <c r="L498" s="9"/>
      <c r="M498" s="9"/>
      <c r="N498" s="9"/>
      <c r="O498" s="9"/>
      <c r="P498" s="9"/>
      <c r="Q498" s="9"/>
    </row>
    <row r="499" spans="4:17" s="294" customFormat="1" ht="15" customHeight="1">
      <c r="D499" s="10"/>
      <c r="E499" s="10"/>
      <c r="F499" s="9"/>
      <c r="G499" s="9"/>
      <c r="H499" s="9"/>
      <c r="I499" s="9"/>
      <c r="J499" s="9"/>
      <c r="K499" s="9"/>
      <c r="L499" s="9"/>
      <c r="M499" s="9"/>
      <c r="N499" s="9"/>
      <c r="O499" s="9"/>
      <c r="P499" s="9"/>
      <c r="Q499" s="9"/>
    </row>
    <row r="500" spans="4:17" s="294" customFormat="1" ht="15" customHeight="1">
      <c r="D500" s="10"/>
      <c r="E500" s="10"/>
      <c r="F500" s="9"/>
      <c r="G500" s="9"/>
      <c r="H500" s="9"/>
      <c r="I500" s="9"/>
      <c r="J500" s="9"/>
      <c r="K500" s="9"/>
      <c r="L500" s="9"/>
      <c r="M500" s="9"/>
      <c r="N500" s="9"/>
      <c r="O500" s="9"/>
      <c r="P500" s="9"/>
      <c r="Q500" s="9"/>
    </row>
    <row r="501" spans="4:17" s="294" customFormat="1" ht="15" customHeight="1">
      <c r="D501" s="10"/>
      <c r="E501" s="10"/>
      <c r="F501" s="9"/>
      <c r="G501" s="9"/>
      <c r="H501" s="9"/>
      <c r="I501" s="9"/>
      <c r="J501" s="9"/>
      <c r="K501" s="9"/>
      <c r="L501" s="9"/>
      <c r="M501" s="9"/>
      <c r="N501" s="9"/>
      <c r="O501" s="9"/>
      <c r="P501" s="9"/>
      <c r="Q501" s="9"/>
    </row>
    <row r="502" spans="4:17" s="294" customFormat="1" ht="15" customHeight="1">
      <c r="D502" s="10"/>
      <c r="E502" s="10"/>
      <c r="F502" s="9"/>
      <c r="G502" s="9"/>
      <c r="H502" s="9"/>
      <c r="I502" s="9"/>
      <c r="J502" s="9"/>
      <c r="K502" s="9"/>
      <c r="L502" s="9"/>
      <c r="M502" s="9"/>
      <c r="N502" s="9"/>
      <c r="O502" s="9"/>
      <c r="P502" s="9"/>
      <c r="Q502" s="9"/>
    </row>
    <row r="503" spans="4:17" s="294" customFormat="1" ht="15" customHeight="1">
      <c r="D503" s="10"/>
      <c r="E503" s="10"/>
      <c r="F503" s="9"/>
      <c r="G503" s="9"/>
      <c r="H503" s="9"/>
      <c r="I503" s="9"/>
      <c r="J503" s="9"/>
      <c r="K503" s="9"/>
      <c r="L503" s="9"/>
      <c r="M503" s="9"/>
      <c r="N503" s="9"/>
      <c r="O503" s="9"/>
      <c r="P503" s="9"/>
      <c r="Q503" s="9"/>
    </row>
    <row r="504" spans="4:17" s="294" customFormat="1" ht="15" customHeight="1">
      <c r="D504" s="10"/>
      <c r="E504" s="10"/>
      <c r="F504" s="9"/>
      <c r="G504" s="9"/>
      <c r="H504" s="9"/>
      <c r="I504" s="9"/>
      <c r="J504" s="9"/>
      <c r="K504" s="9"/>
      <c r="L504" s="9"/>
      <c r="M504" s="9"/>
      <c r="N504" s="9"/>
      <c r="O504" s="9"/>
      <c r="P504" s="9"/>
      <c r="Q504" s="9"/>
    </row>
    <row r="505" spans="4:17" s="294" customFormat="1" ht="15" customHeight="1">
      <c r="D505" s="10"/>
      <c r="E505" s="10"/>
      <c r="F505" s="9"/>
      <c r="G505" s="9"/>
      <c r="H505" s="9"/>
      <c r="I505" s="9"/>
      <c r="J505" s="9"/>
      <c r="K505" s="9"/>
      <c r="L505" s="9"/>
      <c r="M505" s="9"/>
      <c r="N505" s="9"/>
      <c r="O505" s="9"/>
      <c r="P505" s="9"/>
      <c r="Q505" s="9"/>
    </row>
    <row r="506" spans="4:17" s="294" customFormat="1" ht="15" customHeight="1">
      <c r="D506" s="10"/>
      <c r="E506" s="10"/>
      <c r="F506" s="9"/>
      <c r="G506" s="9"/>
      <c r="H506" s="9"/>
      <c r="I506" s="9"/>
      <c r="J506" s="9"/>
      <c r="K506" s="9"/>
      <c r="L506" s="9"/>
      <c r="M506" s="9"/>
      <c r="N506" s="9"/>
      <c r="O506" s="9"/>
      <c r="P506" s="9"/>
      <c r="Q506" s="9"/>
    </row>
    <row r="507" spans="4:17" s="294" customFormat="1" ht="15" customHeight="1">
      <c r="D507" s="10"/>
      <c r="E507" s="10"/>
      <c r="F507" s="9"/>
      <c r="G507" s="9"/>
      <c r="H507" s="9"/>
      <c r="I507" s="9"/>
      <c r="J507" s="9"/>
      <c r="K507" s="9"/>
      <c r="L507" s="9"/>
      <c r="M507" s="9"/>
      <c r="N507" s="9"/>
      <c r="O507" s="9"/>
      <c r="P507" s="9"/>
      <c r="Q507" s="9"/>
    </row>
    <row r="508" spans="4:17" s="294" customFormat="1" ht="15" customHeight="1">
      <c r="D508" s="10"/>
      <c r="E508" s="10"/>
      <c r="F508" s="9"/>
      <c r="G508" s="9"/>
      <c r="H508" s="9"/>
      <c r="I508" s="9"/>
      <c r="J508" s="9"/>
      <c r="K508" s="9"/>
      <c r="L508" s="9"/>
      <c r="M508" s="9"/>
      <c r="N508" s="9"/>
      <c r="O508" s="9"/>
      <c r="P508" s="9"/>
      <c r="Q508" s="9"/>
    </row>
    <row r="509" spans="4:17" s="294" customFormat="1" ht="15" customHeight="1">
      <c r="D509" s="10"/>
      <c r="E509" s="10"/>
      <c r="F509" s="9"/>
      <c r="G509" s="9"/>
      <c r="H509" s="9"/>
      <c r="I509" s="9"/>
      <c r="J509" s="9"/>
      <c r="K509" s="9"/>
      <c r="L509" s="9"/>
      <c r="M509" s="9"/>
      <c r="N509" s="9"/>
      <c r="O509" s="9"/>
      <c r="P509" s="9"/>
      <c r="Q509" s="9"/>
    </row>
    <row r="510" spans="4:17" s="294" customFormat="1" ht="15" customHeight="1">
      <c r="D510" s="10"/>
      <c r="E510" s="10"/>
      <c r="F510" s="9"/>
      <c r="G510" s="9"/>
      <c r="H510" s="9"/>
      <c r="I510" s="9"/>
      <c r="J510" s="9"/>
      <c r="K510" s="9"/>
      <c r="L510" s="9"/>
      <c r="M510" s="9"/>
      <c r="N510" s="9"/>
      <c r="O510" s="9"/>
      <c r="P510" s="9"/>
      <c r="Q510" s="9"/>
    </row>
    <row r="511" spans="4:17" s="294" customFormat="1" ht="15" customHeight="1">
      <c r="D511" s="10"/>
      <c r="E511" s="10"/>
      <c r="F511" s="9"/>
      <c r="G511" s="9"/>
      <c r="H511" s="9"/>
      <c r="I511" s="9"/>
      <c r="J511" s="9"/>
      <c r="K511" s="9"/>
      <c r="L511" s="9"/>
      <c r="M511" s="9"/>
      <c r="N511" s="9"/>
      <c r="O511" s="9"/>
      <c r="P511" s="9"/>
      <c r="Q511" s="9"/>
    </row>
    <row r="512" spans="4:17" s="294" customFormat="1" ht="15" customHeight="1">
      <c r="D512" s="10"/>
      <c r="E512" s="10"/>
      <c r="F512" s="9"/>
      <c r="G512" s="9"/>
      <c r="H512" s="9"/>
      <c r="I512" s="9"/>
      <c r="J512" s="9"/>
      <c r="K512" s="9"/>
      <c r="L512" s="9"/>
      <c r="M512" s="9"/>
      <c r="N512" s="9"/>
      <c r="O512" s="9"/>
      <c r="P512" s="9"/>
      <c r="Q512" s="9"/>
    </row>
    <row r="513" spans="4:17" s="294" customFormat="1" ht="15" customHeight="1">
      <c r="D513" s="10"/>
      <c r="E513" s="10"/>
      <c r="F513" s="9"/>
      <c r="G513" s="9"/>
      <c r="H513" s="9"/>
      <c r="I513" s="9"/>
      <c r="J513" s="9"/>
      <c r="K513" s="9"/>
      <c r="L513" s="9"/>
      <c r="M513" s="9"/>
      <c r="N513" s="9"/>
      <c r="O513" s="9"/>
      <c r="P513" s="9"/>
      <c r="Q513" s="9"/>
    </row>
    <row r="514" spans="4:17" s="294" customFormat="1" ht="15" customHeight="1">
      <c r="D514" s="10"/>
      <c r="E514" s="10"/>
      <c r="F514" s="9"/>
      <c r="G514" s="9"/>
      <c r="H514" s="9"/>
      <c r="I514" s="9"/>
      <c r="J514" s="9"/>
      <c r="K514" s="9"/>
      <c r="L514" s="9"/>
      <c r="M514" s="9"/>
      <c r="N514" s="9"/>
      <c r="O514" s="9"/>
      <c r="P514" s="9"/>
      <c r="Q514" s="9"/>
    </row>
    <row r="515" spans="4:17" s="294" customFormat="1" ht="15" customHeight="1">
      <c r="D515" s="10"/>
      <c r="E515" s="10"/>
      <c r="F515" s="9"/>
      <c r="G515" s="9"/>
      <c r="H515" s="9"/>
      <c r="I515" s="9"/>
      <c r="J515" s="9"/>
      <c r="K515" s="9"/>
      <c r="L515" s="9"/>
      <c r="M515" s="9"/>
      <c r="N515" s="9"/>
      <c r="O515" s="9"/>
      <c r="P515" s="9"/>
      <c r="Q515" s="9"/>
    </row>
    <row r="516" spans="4:17" s="294" customFormat="1" ht="15" customHeight="1">
      <c r="D516" s="10"/>
      <c r="E516" s="10"/>
      <c r="F516" s="9"/>
      <c r="G516" s="9"/>
      <c r="H516" s="9"/>
      <c r="I516" s="9"/>
      <c r="J516" s="9"/>
      <c r="K516" s="9"/>
      <c r="L516" s="9"/>
      <c r="M516" s="9"/>
      <c r="N516" s="9"/>
      <c r="O516" s="9"/>
      <c r="P516" s="9"/>
      <c r="Q516" s="9"/>
    </row>
    <row r="517" spans="4:17" s="294" customFormat="1" ht="15" customHeight="1">
      <c r="D517" s="10"/>
      <c r="E517" s="10"/>
      <c r="F517" s="9"/>
      <c r="G517" s="9"/>
      <c r="H517" s="9"/>
      <c r="I517" s="9"/>
      <c r="J517" s="9"/>
      <c r="K517" s="9"/>
      <c r="L517" s="9"/>
      <c r="M517" s="9"/>
      <c r="N517" s="9"/>
      <c r="O517" s="9"/>
      <c r="P517" s="9"/>
      <c r="Q517" s="9"/>
    </row>
    <row r="518" spans="4:17" s="294" customFormat="1" ht="15" customHeight="1">
      <c r="D518" s="10"/>
      <c r="E518" s="10"/>
      <c r="F518" s="9"/>
      <c r="G518" s="9"/>
      <c r="H518" s="9"/>
      <c r="I518" s="9"/>
      <c r="J518" s="9"/>
      <c r="K518" s="9"/>
      <c r="L518" s="9"/>
      <c r="M518" s="9"/>
      <c r="N518" s="9"/>
      <c r="O518" s="9"/>
      <c r="P518" s="9"/>
      <c r="Q518" s="9"/>
    </row>
    <row r="519" spans="4:17" s="294" customFormat="1" ht="15" customHeight="1">
      <c r="D519" s="10"/>
      <c r="E519" s="10"/>
      <c r="F519" s="9"/>
      <c r="G519" s="9"/>
      <c r="H519" s="9"/>
      <c r="I519" s="9"/>
      <c r="J519" s="9"/>
      <c r="K519" s="9"/>
      <c r="L519" s="9"/>
      <c r="M519" s="9"/>
      <c r="N519" s="9"/>
      <c r="O519" s="9"/>
      <c r="P519" s="9"/>
      <c r="Q519" s="9"/>
    </row>
    <row r="520" spans="4:17" s="294" customFormat="1" ht="15" customHeight="1">
      <c r="D520" s="10"/>
      <c r="E520" s="10"/>
      <c r="F520" s="9"/>
      <c r="G520" s="9"/>
      <c r="H520" s="9"/>
      <c r="I520" s="9"/>
      <c r="J520" s="9"/>
      <c r="K520" s="9"/>
      <c r="L520" s="9"/>
      <c r="M520" s="9"/>
      <c r="N520" s="9"/>
      <c r="O520" s="9"/>
      <c r="P520" s="9"/>
      <c r="Q520" s="9"/>
    </row>
    <row r="521" spans="4:17" s="294" customFormat="1" ht="15" customHeight="1">
      <c r="D521" s="10"/>
      <c r="E521" s="10"/>
      <c r="F521" s="9"/>
      <c r="G521" s="9"/>
      <c r="H521" s="9"/>
      <c r="I521" s="9"/>
      <c r="J521" s="9"/>
      <c r="K521" s="9"/>
      <c r="L521" s="9"/>
      <c r="M521" s="9"/>
      <c r="N521" s="9"/>
      <c r="O521" s="9"/>
      <c r="P521" s="9"/>
      <c r="Q521" s="9"/>
    </row>
    <row r="522" spans="4:17" s="294" customFormat="1" ht="15" customHeight="1">
      <c r="D522" s="10"/>
      <c r="E522" s="10"/>
      <c r="F522" s="9"/>
      <c r="G522" s="9"/>
      <c r="H522" s="9"/>
      <c r="I522" s="9"/>
      <c r="J522" s="9"/>
      <c r="K522" s="9"/>
      <c r="L522" s="9"/>
      <c r="M522" s="9"/>
      <c r="N522" s="9"/>
      <c r="O522" s="9"/>
      <c r="P522" s="9"/>
      <c r="Q522" s="9"/>
    </row>
    <row r="523" spans="4:17" s="294" customFormat="1" ht="15" customHeight="1">
      <c r="D523" s="10"/>
      <c r="E523" s="10"/>
      <c r="F523" s="9"/>
      <c r="G523" s="9"/>
      <c r="H523" s="9"/>
      <c r="I523" s="9"/>
      <c r="J523" s="9"/>
      <c r="K523" s="9"/>
      <c r="L523" s="9"/>
      <c r="M523" s="9"/>
      <c r="N523" s="9"/>
      <c r="O523" s="9"/>
      <c r="P523" s="9"/>
      <c r="Q523" s="9"/>
    </row>
    <row r="524" spans="4:17" s="294" customFormat="1" ht="15" customHeight="1">
      <c r="D524" s="10"/>
      <c r="E524" s="10"/>
      <c r="F524" s="9"/>
      <c r="G524" s="9"/>
      <c r="H524" s="9"/>
      <c r="I524" s="9"/>
      <c r="J524" s="9"/>
      <c r="K524" s="9"/>
      <c r="L524" s="9"/>
      <c r="M524" s="9"/>
      <c r="N524" s="9"/>
      <c r="O524" s="9"/>
      <c r="P524" s="9"/>
      <c r="Q524" s="9"/>
    </row>
    <row r="525" spans="4:17" s="294" customFormat="1" ht="15" customHeight="1">
      <c r="D525" s="10"/>
      <c r="E525" s="10"/>
      <c r="F525" s="9"/>
      <c r="G525" s="9"/>
      <c r="H525" s="9"/>
      <c r="I525" s="9"/>
      <c r="J525" s="9"/>
      <c r="K525" s="9"/>
      <c r="L525" s="9"/>
      <c r="M525" s="9"/>
      <c r="N525" s="9"/>
      <c r="O525" s="9"/>
      <c r="P525" s="9"/>
      <c r="Q525" s="9"/>
    </row>
    <row r="526" spans="4:17" s="294" customFormat="1" ht="15" customHeight="1">
      <c r="D526" s="10"/>
      <c r="E526" s="10"/>
      <c r="F526" s="9"/>
      <c r="G526" s="9"/>
      <c r="H526" s="9"/>
      <c r="I526" s="9"/>
      <c r="J526" s="9"/>
      <c r="K526" s="9"/>
      <c r="L526" s="9"/>
      <c r="M526" s="9"/>
      <c r="N526" s="9"/>
      <c r="O526" s="9"/>
      <c r="P526" s="9"/>
      <c r="Q526" s="9"/>
    </row>
    <row r="527" spans="4:17" s="294" customFormat="1" ht="15" customHeight="1">
      <c r="D527" s="10"/>
      <c r="E527" s="10"/>
      <c r="F527" s="9"/>
      <c r="G527" s="9"/>
      <c r="H527" s="9"/>
      <c r="I527" s="9"/>
      <c r="J527" s="9"/>
      <c r="K527" s="9"/>
      <c r="L527" s="9"/>
      <c r="M527" s="9"/>
      <c r="N527" s="9"/>
      <c r="O527" s="9"/>
      <c r="P527" s="9"/>
      <c r="Q527" s="9"/>
    </row>
    <row r="528" spans="4:17" s="294" customFormat="1" ht="15" customHeight="1">
      <c r="D528" s="10"/>
      <c r="E528" s="10"/>
      <c r="F528" s="9"/>
      <c r="G528" s="9"/>
      <c r="H528" s="9"/>
      <c r="I528" s="9"/>
      <c r="J528" s="9"/>
      <c r="K528" s="9"/>
      <c r="L528" s="9"/>
      <c r="M528" s="9"/>
      <c r="N528" s="9"/>
      <c r="O528" s="9"/>
      <c r="P528" s="9"/>
      <c r="Q528" s="9"/>
    </row>
    <row r="529" spans="4:17" s="294" customFormat="1" ht="15" customHeight="1">
      <c r="D529" s="10"/>
      <c r="E529" s="10"/>
      <c r="F529" s="9"/>
      <c r="G529" s="9"/>
      <c r="H529" s="9"/>
      <c r="I529" s="9"/>
      <c r="J529" s="9"/>
      <c r="K529" s="9"/>
      <c r="L529" s="9"/>
      <c r="M529" s="9"/>
      <c r="N529" s="9"/>
      <c r="O529" s="9"/>
      <c r="P529" s="9"/>
      <c r="Q529" s="9"/>
    </row>
    <row r="530" spans="4:17" s="294" customFormat="1" ht="15" customHeight="1">
      <c r="D530" s="10"/>
      <c r="E530" s="10"/>
      <c r="F530" s="9"/>
      <c r="G530" s="9"/>
      <c r="H530" s="9"/>
      <c r="I530" s="9"/>
      <c r="J530" s="9"/>
      <c r="K530" s="9"/>
      <c r="L530" s="9"/>
      <c r="M530" s="9"/>
      <c r="N530" s="9"/>
      <c r="O530" s="9"/>
      <c r="P530" s="9"/>
      <c r="Q530" s="9"/>
    </row>
    <row r="531" spans="4:17" s="294" customFormat="1" ht="15" customHeight="1">
      <c r="D531" s="10"/>
      <c r="E531" s="10"/>
      <c r="F531" s="9"/>
      <c r="G531" s="9"/>
      <c r="H531" s="9"/>
      <c r="I531" s="9"/>
      <c r="J531" s="9"/>
      <c r="K531" s="9"/>
      <c r="L531" s="9"/>
      <c r="M531" s="9"/>
      <c r="N531" s="9"/>
      <c r="O531" s="9"/>
      <c r="P531" s="9"/>
      <c r="Q531" s="9"/>
    </row>
    <row r="532" spans="4:17" s="294" customFormat="1" ht="15" customHeight="1">
      <c r="D532" s="10"/>
      <c r="E532" s="10"/>
      <c r="F532" s="9"/>
      <c r="G532" s="9"/>
      <c r="H532" s="9"/>
      <c r="I532" s="9"/>
      <c r="J532" s="9"/>
      <c r="K532" s="9"/>
      <c r="L532" s="9"/>
      <c r="M532" s="9"/>
      <c r="N532" s="9"/>
      <c r="O532" s="9"/>
      <c r="P532" s="9"/>
      <c r="Q532" s="9"/>
    </row>
    <row r="533" spans="4:17" s="294" customFormat="1" ht="15" customHeight="1">
      <c r="D533" s="10"/>
      <c r="E533" s="10"/>
      <c r="F533" s="9"/>
      <c r="G533" s="9"/>
      <c r="H533" s="9"/>
      <c r="I533" s="9"/>
      <c r="J533" s="9"/>
      <c r="K533" s="9"/>
      <c r="L533" s="9"/>
      <c r="M533" s="9"/>
      <c r="N533" s="9"/>
      <c r="O533" s="9"/>
      <c r="P533" s="9"/>
      <c r="Q533" s="9"/>
    </row>
    <row r="534" spans="4:17" s="294" customFormat="1" ht="15" customHeight="1">
      <c r="D534" s="10"/>
      <c r="E534" s="10"/>
      <c r="F534" s="9"/>
      <c r="G534" s="9"/>
      <c r="H534" s="9"/>
      <c r="I534" s="9"/>
      <c r="J534" s="9"/>
      <c r="K534" s="9"/>
      <c r="L534" s="9"/>
      <c r="M534" s="9"/>
      <c r="N534" s="9"/>
      <c r="O534" s="9"/>
      <c r="P534" s="9"/>
      <c r="Q534" s="9"/>
    </row>
    <row r="535" spans="4:17" s="294" customFormat="1" ht="15" customHeight="1">
      <c r="D535" s="10"/>
      <c r="E535" s="10"/>
      <c r="F535" s="9"/>
      <c r="G535" s="9"/>
      <c r="H535" s="9"/>
      <c r="I535" s="9"/>
      <c r="J535" s="9"/>
      <c r="K535" s="9"/>
      <c r="L535" s="9"/>
      <c r="M535" s="9"/>
      <c r="N535" s="9"/>
      <c r="O535" s="9"/>
      <c r="P535" s="9"/>
      <c r="Q535" s="9"/>
    </row>
    <row r="536" spans="4:17" s="294" customFormat="1" ht="15" customHeight="1">
      <c r="D536" s="10"/>
      <c r="E536" s="10"/>
      <c r="F536" s="9"/>
      <c r="G536" s="9"/>
      <c r="H536" s="9"/>
      <c r="I536" s="9"/>
      <c r="J536" s="9"/>
      <c r="K536" s="9"/>
      <c r="L536" s="9"/>
      <c r="M536" s="9"/>
      <c r="N536" s="9"/>
      <c r="O536" s="9"/>
      <c r="P536" s="9"/>
      <c r="Q536" s="9"/>
    </row>
    <row r="537" spans="4:17" s="294" customFormat="1" ht="15" customHeight="1">
      <c r="D537" s="10"/>
      <c r="E537" s="10"/>
      <c r="F537" s="9"/>
      <c r="G537" s="9"/>
      <c r="H537" s="9"/>
      <c r="I537" s="9"/>
      <c r="J537" s="9"/>
      <c r="K537" s="9"/>
      <c r="L537" s="9"/>
      <c r="M537" s="9"/>
      <c r="N537" s="9"/>
      <c r="O537" s="9"/>
      <c r="P537" s="9"/>
      <c r="Q537" s="9"/>
    </row>
    <row r="538" spans="4:17" s="294" customFormat="1" ht="15" customHeight="1">
      <c r="D538" s="10"/>
      <c r="E538" s="10"/>
      <c r="F538" s="9"/>
      <c r="G538" s="9"/>
      <c r="H538" s="9"/>
      <c r="I538" s="9"/>
      <c r="J538" s="9"/>
      <c r="K538" s="9"/>
      <c r="L538" s="9"/>
      <c r="M538" s="9"/>
      <c r="N538" s="9"/>
      <c r="O538" s="9"/>
      <c r="P538" s="9"/>
      <c r="Q538" s="9"/>
    </row>
    <row r="539" spans="4:17" s="294" customFormat="1" ht="15" customHeight="1">
      <c r="D539" s="10"/>
      <c r="E539" s="10"/>
      <c r="F539" s="9"/>
      <c r="G539" s="9"/>
      <c r="H539" s="9"/>
      <c r="I539" s="9"/>
      <c r="J539" s="9"/>
      <c r="K539" s="9"/>
      <c r="L539" s="9"/>
      <c r="M539" s="9"/>
      <c r="N539" s="9"/>
      <c r="O539" s="9"/>
      <c r="P539" s="9"/>
      <c r="Q539" s="9"/>
    </row>
    <row r="540" spans="4:17" s="294" customFormat="1" ht="15" customHeight="1">
      <c r="D540" s="10"/>
      <c r="E540" s="10"/>
      <c r="F540" s="9"/>
      <c r="G540" s="9"/>
      <c r="H540" s="9"/>
      <c r="I540" s="9"/>
      <c r="J540" s="9"/>
      <c r="K540" s="9"/>
      <c r="L540" s="9"/>
      <c r="M540" s="9"/>
      <c r="N540" s="9"/>
      <c r="O540" s="9"/>
      <c r="P540" s="9"/>
      <c r="Q540" s="9"/>
    </row>
    <row r="541" spans="4:17" s="294" customFormat="1" ht="15" customHeight="1">
      <c r="D541" s="10"/>
      <c r="E541" s="10"/>
      <c r="F541" s="9"/>
      <c r="G541" s="9"/>
      <c r="H541" s="9"/>
      <c r="I541" s="9"/>
      <c r="J541" s="9"/>
      <c r="K541" s="9"/>
      <c r="L541" s="9"/>
      <c r="M541" s="9"/>
      <c r="N541" s="9"/>
      <c r="O541" s="9"/>
      <c r="P541" s="9"/>
      <c r="Q541" s="9"/>
    </row>
    <row r="542" spans="4:17" s="294" customFormat="1" ht="15" customHeight="1">
      <c r="D542" s="10"/>
      <c r="E542" s="10"/>
      <c r="F542" s="9"/>
      <c r="G542" s="9"/>
      <c r="H542" s="9"/>
      <c r="I542" s="9"/>
      <c r="J542" s="9"/>
      <c r="K542" s="9"/>
      <c r="L542" s="9"/>
      <c r="M542" s="9"/>
      <c r="N542" s="9"/>
      <c r="O542" s="9"/>
      <c r="P542" s="9"/>
      <c r="Q542" s="9"/>
    </row>
    <row r="543" spans="4:17" s="294" customFormat="1" ht="15" customHeight="1">
      <c r="D543" s="10"/>
      <c r="E543" s="10"/>
      <c r="F543" s="9"/>
      <c r="G543" s="9"/>
      <c r="H543" s="9"/>
      <c r="I543" s="9"/>
      <c r="J543" s="9"/>
      <c r="K543" s="9"/>
      <c r="L543" s="9"/>
      <c r="M543" s="9"/>
      <c r="N543" s="9"/>
      <c r="O543" s="9"/>
      <c r="P543" s="9"/>
      <c r="Q543" s="9"/>
    </row>
    <row r="544" spans="4:17" s="294" customFormat="1" ht="15" customHeight="1">
      <c r="D544" s="10"/>
      <c r="E544" s="10"/>
      <c r="F544" s="9"/>
      <c r="G544" s="9"/>
      <c r="H544" s="9"/>
      <c r="I544" s="9"/>
      <c r="J544" s="9"/>
      <c r="K544" s="9"/>
      <c r="L544" s="9"/>
      <c r="M544" s="9"/>
      <c r="N544" s="9"/>
      <c r="O544" s="9"/>
      <c r="P544" s="9"/>
      <c r="Q544" s="9"/>
    </row>
    <row r="545" spans="4:17" s="294" customFormat="1" ht="15" customHeight="1">
      <c r="D545" s="10"/>
      <c r="E545" s="10"/>
      <c r="F545" s="9"/>
      <c r="G545" s="9"/>
      <c r="H545" s="9"/>
      <c r="I545" s="9"/>
      <c r="J545" s="9"/>
      <c r="K545" s="9"/>
      <c r="L545" s="9"/>
      <c r="M545" s="9"/>
      <c r="N545" s="9"/>
      <c r="O545" s="9"/>
      <c r="P545" s="9"/>
      <c r="Q545" s="9"/>
    </row>
    <row r="546" spans="4:17" s="294" customFormat="1" ht="15" customHeight="1">
      <c r="D546" s="10"/>
      <c r="E546" s="10"/>
      <c r="F546" s="9"/>
      <c r="G546" s="9"/>
      <c r="H546" s="9"/>
      <c r="I546" s="9"/>
      <c r="J546" s="9"/>
      <c r="K546" s="9"/>
      <c r="L546" s="9"/>
      <c r="M546" s="9"/>
      <c r="N546" s="9"/>
      <c r="O546" s="9"/>
      <c r="P546" s="9"/>
      <c r="Q546" s="9"/>
    </row>
    <row r="547" spans="4:17" s="294" customFormat="1" ht="15" customHeight="1">
      <c r="D547" s="10"/>
      <c r="E547" s="10"/>
      <c r="F547" s="9"/>
      <c r="G547" s="9"/>
      <c r="H547" s="9"/>
      <c r="I547" s="9"/>
      <c r="J547" s="9"/>
      <c r="K547" s="9"/>
      <c r="L547" s="9"/>
      <c r="M547" s="9"/>
      <c r="N547" s="9"/>
      <c r="O547" s="9"/>
      <c r="P547" s="9"/>
      <c r="Q547" s="9"/>
    </row>
    <row r="548" spans="4:17" s="294" customFormat="1" ht="15" customHeight="1">
      <c r="D548" s="10"/>
      <c r="E548" s="10"/>
      <c r="F548" s="9"/>
      <c r="G548" s="9"/>
      <c r="H548" s="9"/>
      <c r="I548" s="9"/>
      <c r="J548" s="9"/>
      <c r="K548" s="9"/>
      <c r="L548" s="9"/>
      <c r="M548" s="9"/>
      <c r="N548" s="9"/>
      <c r="O548" s="9"/>
      <c r="P548" s="9"/>
      <c r="Q548" s="9"/>
    </row>
    <row r="549" spans="4:17" s="294" customFormat="1" ht="15" customHeight="1">
      <c r="D549" s="10"/>
      <c r="E549" s="10"/>
      <c r="F549" s="9"/>
      <c r="G549" s="9"/>
      <c r="H549" s="9"/>
      <c r="I549" s="9"/>
      <c r="J549" s="9"/>
      <c r="K549" s="9"/>
      <c r="L549" s="9"/>
      <c r="M549" s="9"/>
      <c r="N549" s="9"/>
      <c r="O549" s="9"/>
      <c r="P549" s="9"/>
      <c r="Q549" s="9"/>
    </row>
    <row r="550" spans="4:17" s="294" customFormat="1" ht="15" customHeight="1">
      <c r="D550" s="10"/>
      <c r="E550" s="10"/>
      <c r="F550" s="9"/>
      <c r="G550" s="9"/>
      <c r="H550" s="9"/>
      <c r="I550" s="9"/>
      <c r="J550" s="9"/>
      <c r="K550" s="9"/>
      <c r="L550" s="9"/>
      <c r="M550" s="9"/>
      <c r="N550" s="9"/>
      <c r="O550" s="9"/>
      <c r="P550" s="9"/>
      <c r="Q550" s="9"/>
    </row>
    <row r="551" spans="4:17" s="294" customFormat="1" ht="15" customHeight="1">
      <c r="D551" s="10"/>
      <c r="E551" s="10"/>
      <c r="F551" s="9"/>
      <c r="G551" s="9"/>
      <c r="H551" s="9"/>
      <c r="I551" s="9"/>
      <c r="J551" s="9"/>
      <c r="K551" s="9"/>
      <c r="L551" s="9"/>
      <c r="M551" s="9"/>
      <c r="N551" s="9"/>
      <c r="O551" s="9"/>
      <c r="P551" s="9"/>
      <c r="Q551" s="9"/>
    </row>
    <row r="552" spans="4:17" s="294" customFormat="1" ht="15" customHeight="1">
      <c r="D552" s="10"/>
      <c r="E552" s="10"/>
      <c r="F552" s="9"/>
      <c r="G552" s="9"/>
      <c r="H552" s="9"/>
      <c r="I552" s="9"/>
      <c r="J552" s="9"/>
      <c r="K552" s="9"/>
      <c r="L552" s="9"/>
      <c r="M552" s="9"/>
      <c r="N552" s="9"/>
      <c r="O552" s="9"/>
      <c r="P552" s="9"/>
      <c r="Q552" s="9"/>
    </row>
    <row r="553" spans="4:17" s="294" customFormat="1" ht="15" customHeight="1">
      <c r="D553" s="10"/>
      <c r="E553" s="10"/>
      <c r="F553" s="9"/>
      <c r="G553" s="9"/>
      <c r="H553" s="9"/>
      <c r="I553" s="9"/>
      <c r="J553" s="9"/>
      <c r="K553" s="9"/>
      <c r="L553" s="9"/>
      <c r="M553" s="9"/>
      <c r="N553" s="9"/>
      <c r="O553" s="9"/>
      <c r="P553" s="9"/>
      <c r="Q553" s="9"/>
    </row>
    <row r="554" spans="4:17" s="294" customFormat="1" ht="15" customHeight="1">
      <c r="D554" s="10"/>
      <c r="E554" s="10"/>
      <c r="F554" s="9"/>
      <c r="G554" s="9"/>
      <c r="H554" s="9"/>
      <c r="I554" s="9"/>
      <c r="J554" s="9"/>
      <c r="K554" s="9"/>
      <c r="L554" s="9"/>
      <c r="M554" s="9"/>
      <c r="N554" s="9"/>
      <c r="O554" s="9"/>
      <c r="P554" s="9"/>
      <c r="Q554" s="9"/>
    </row>
    <row r="555" spans="4:17" s="294" customFormat="1" ht="15" customHeight="1">
      <c r="D555" s="10"/>
      <c r="E555" s="10"/>
      <c r="F555" s="9"/>
      <c r="G555" s="9"/>
      <c r="H555" s="9"/>
      <c r="I555" s="9"/>
      <c r="J555" s="9"/>
      <c r="K555" s="9"/>
      <c r="L555" s="9"/>
      <c r="M555" s="9"/>
      <c r="N555" s="9"/>
      <c r="O555" s="9"/>
      <c r="P555" s="9"/>
      <c r="Q555" s="9"/>
    </row>
    <row r="556" spans="4:17" s="294" customFormat="1" ht="15" customHeight="1">
      <c r="D556" s="10"/>
      <c r="E556" s="10"/>
      <c r="F556" s="9"/>
      <c r="G556" s="9"/>
      <c r="H556" s="9"/>
      <c r="I556" s="9"/>
      <c r="J556" s="9"/>
      <c r="K556" s="9"/>
      <c r="L556" s="9"/>
      <c r="M556" s="9"/>
      <c r="N556" s="9"/>
      <c r="O556" s="9"/>
      <c r="P556" s="9"/>
      <c r="Q556" s="9"/>
    </row>
    <row r="557" spans="4:17" s="294" customFormat="1" ht="15" customHeight="1">
      <c r="D557" s="10"/>
      <c r="E557" s="10"/>
      <c r="F557" s="9"/>
      <c r="G557" s="9"/>
      <c r="H557" s="9"/>
      <c r="I557" s="9"/>
      <c r="J557" s="9"/>
      <c r="K557" s="9"/>
      <c r="L557" s="9"/>
      <c r="M557" s="9"/>
      <c r="N557" s="9"/>
      <c r="O557" s="9"/>
      <c r="P557" s="9"/>
      <c r="Q557" s="9"/>
    </row>
    <row r="558" spans="4:17" s="294" customFormat="1" ht="15" customHeight="1">
      <c r="D558" s="10"/>
      <c r="E558" s="10"/>
      <c r="F558" s="9"/>
      <c r="G558" s="9"/>
      <c r="H558" s="9"/>
      <c r="I558" s="9"/>
      <c r="J558" s="9"/>
      <c r="K558" s="9"/>
      <c r="L558" s="9"/>
      <c r="M558" s="9"/>
      <c r="N558" s="9"/>
      <c r="O558" s="9"/>
      <c r="P558" s="9"/>
      <c r="Q558" s="9"/>
    </row>
    <row r="559" spans="4:17" s="294" customFormat="1" ht="15" customHeight="1">
      <c r="D559" s="10"/>
      <c r="E559" s="10"/>
      <c r="F559" s="9"/>
      <c r="G559" s="9"/>
      <c r="H559" s="9"/>
      <c r="I559" s="9"/>
      <c r="J559" s="9"/>
      <c r="K559" s="9"/>
      <c r="L559" s="9"/>
      <c r="M559" s="9"/>
      <c r="N559" s="9"/>
      <c r="O559" s="9"/>
      <c r="P559" s="9"/>
      <c r="Q559" s="9"/>
    </row>
    <row r="560" spans="4:17" s="294" customFormat="1" ht="15" customHeight="1">
      <c r="D560" s="10"/>
      <c r="E560" s="10"/>
      <c r="F560" s="9"/>
      <c r="G560" s="9"/>
      <c r="H560" s="9"/>
      <c r="I560" s="9"/>
      <c r="J560" s="9"/>
      <c r="K560" s="9"/>
      <c r="L560" s="9"/>
      <c r="M560" s="9"/>
      <c r="N560" s="9"/>
      <c r="O560" s="9"/>
      <c r="P560" s="9"/>
      <c r="Q560" s="9"/>
    </row>
    <row r="561" spans="4:17" s="294" customFormat="1" ht="15" customHeight="1">
      <c r="D561" s="10"/>
      <c r="E561" s="10"/>
      <c r="F561" s="9"/>
      <c r="G561" s="9"/>
      <c r="H561" s="9"/>
      <c r="I561" s="9"/>
      <c r="J561" s="9"/>
      <c r="K561" s="9"/>
      <c r="L561" s="9"/>
      <c r="M561" s="9"/>
      <c r="N561" s="9"/>
      <c r="O561" s="9"/>
      <c r="P561" s="9"/>
      <c r="Q561" s="9"/>
    </row>
    <row r="562" spans="4:17" s="294" customFormat="1" ht="15" customHeight="1">
      <c r="D562" s="10"/>
      <c r="E562" s="10"/>
      <c r="F562" s="9"/>
      <c r="G562" s="9"/>
      <c r="H562" s="9"/>
      <c r="I562" s="9"/>
      <c r="J562" s="9"/>
      <c r="K562" s="9"/>
      <c r="L562" s="9"/>
      <c r="M562" s="9"/>
      <c r="N562" s="9"/>
      <c r="O562" s="9"/>
      <c r="P562" s="9"/>
      <c r="Q562" s="9"/>
    </row>
    <row r="563" spans="4:17" s="294" customFormat="1" ht="15" customHeight="1">
      <c r="D563" s="10"/>
      <c r="E563" s="10"/>
      <c r="F563" s="9"/>
      <c r="G563" s="9"/>
      <c r="H563" s="9"/>
      <c r="I563" s="9"/>
      <c r="J563" s="9"/>
      <c r="K563" s="9"/>
      <c r="L563" s="9"/>
      <c r="M563" s="9"/>
      <c r="N563" s="9"/>
      <c r="O563" s="9"/>
      <c r="P563" s="9"/>
      <c r="Q563" s="9"/>
    </row>
    <row r="564" spans="4:17" s="294" customFormat="1" ht="15" customHeight="1">
      <c r="D564" s="10"/>
      <c r="E564" s="10"/>
      <c r="F564" s="9"/>
      <c r="G564" s="9"/>
      <c r="H564" s="9"/>
      <c r="I564" s="9"/>
      <c r="J564" s="9"/>
      <c r="K564" s="9"/>
      <c r="L564" s="9"/>
      <c r="M564" s="9"/>
      <c r="N564" s="9"/>
      <c r="O564" s="9"/>
      <c r="P564" s="9"/>
      <c r="Q564" s="9"/>
    </row>
    <row r="565" spans="4:17" s="294" customFormat="1" ht="15" customHeight="1">
      <c r="D565" s="10"/>
      <c r="E565" s="10"/>
      <c r="F565" s="9"/>
      <c r="G565" s="9"/>
      <c r="H565" s="9"/>
      <c r="I565" s="9"/>
      <c r="J565" s="9"/>
      <c r="K565" s="9"/>
      <c r="L565" s="9"/>
      <c r="M565" s="9"/>
      <c r="N565" s="9"/>
      <c r="O565" s="9"/>
      <c r="P565" s="9"/>
      <c r="Q565" s="9"/>
    </row>
    <row r="566" spans="4:17" s="294" customFormat="1" ht="15" customHeight="1">
      <c r="D566" s="10"/>
      <c r="E566" s="10"/>
      <c r="F566" s="9"/>
      <c r="G566" s="9"/>
      <c r="H566" s="9"/>
      <c r="I566" s="9"/>
      <c r="J566" s="9"/>
      <c r="K566" s="9"/>
      <c r="L566" s="9"/>
      <c r="M566" s="9"/>
      <c r="N566" s="9"/>
      <c r="O566" s="9"/>
      <c r="P566" s="9"/>
      <c r="Q566" s="9"/>
    </row>
    <row r="567" spans="4:17" s="294" customFormat="1" ht="15" customHeight="1">
      <c r="D567" s="10"/>
      <c r="E567" s="10"/>
      <c r="F567" s="9"/>
      <c r="G567" s="9"/>
      <c r="H567" s="9"/>
      <c r="I567" s="9"/>
      <c r="J567" s="9"/>
      <c r="K567" s="9"/>
      <c r="L567" s="9"/>
      <c r="M567" s="9"/>
      <c r="N567" s="9"/>
      <c r="O567" s="9"/>
      <c r="P567" s="9"/>
      <c r="Q567" s="9"/>
    </row>
    <row r="568" spans="4:17" s="294" customFormat="1" ht="15" customHeight="1">
      <c r="D568" s="10"/>
      <c r="E568" s="10"/>
      <c r="F568" s="9"/>
      <c r="G568" s="9"/>
      <c r="H568" s="9"/>
      <c r="I568" s="9"/>
      <c r="J568" s="9"/>
      <c r="K568" s="9"/>
      <c r="L568" s="9"/>
      <c r="M568" s="9"/>
      <c r="N568" s="9"/>
      <c r="O568" s="9"/>
      <c r="P568" s="9"/>
      <c r="Q568" s="9"/>
    </row>
    <row r="569" spans="4:17" s="294" customFormat="1" ht="15" customHeight="1">
      <c r="D569" s="10"/>
      <c r="E569" s="10"/>
      <c r="F569" s="9"/>
      <c r="G569" s="9"/>
      <c r="H569" s="9"/>
      <c r="I569" s="9"/>
      <c r="J569" s="9"/>
      <c r="K569" s="9"/>
      <c r="L569" s="9"/>
      <c r="M569" s="9"/>
      <c r="N569" s="9"/>
      <c r="O569" s="9"/>
      <c r="P569" s="9"/>
      <c r="Q569" s="9"/>
    </row>
    <row r="570" spans="4:17" s="294" customFormat="1" ht="15" customHeight="1">
      <c r="D570" s="10"/>
      <c r="E570" s="10"/>
      <c r="F570" s="9"/>
      <c r="G570" s="9"/>
      <c r="H570" s="9"/>
      <c r="I570" s="9"/>
      <c r="J570" s="9"/>
      <c r="K570" s="9"/>
      <c r="L570" s="9"/>
      <c r="M570" s="9"/>
      <c r="N570" s="9"/>
      <c r="O570" s="9"/>
      <c r="P570" s="9"/>
      <c r="Q570" s="9"/>
    </row>
    <row r="571" spans="4:17" s="294" customFormat="1" ht="15" customHeight="1">
      <c r="D571" s="10"/>
      <c r="E571" s="10"/>
      <c r="F571" s="9"/>
      <c r="G571" s="9"/>
      <c r="H571" s="9"/>
      <c r="I571" s="9"/>
      <c r="J571" s="9"/>
      <c r="K571" s="9"/>
      <c r="L571" s="9"/>
      <c r="M571" s="9"/>
      <c r="N571" s="9"/>
      <c r="O571" s="9"/>
      <c r="P571" s="9"/>
      <c r="Q571" s="9"/>
    </row>
    <row r="572" spans="4:17" s="294" customFormat="1" ht="15" customHeight="1">
      <c r="D572" s="10"/>
      <c r="E572" s="10"/>
      <c r="F572" s="9"/>
      <c r="G572" s="9"/>
      <c r="H572" s="9"/>
      <c r="I572" s="9"/>
      <c r="J572" s="9"/>
      <c r="K572" s="9"/>
      <c r="L572" s="9"/>
      <c r="M572" s="9"/>
      <c r="N572" s="9"/>
      <c r="O572" s="9"/>
      <c r="P572" s="9"/>
      <c r="Q572" s="9"/>
    </row>
    <row r="573" spans="4:17" s="294" customFormat="1" ht="15" customHeight="1">
      <c r="D573" s="10"/>
      <c r="E573" s="10"/>
      <c r="F573" s="9"/>
      <c r="G573" s="9"/>
      <c r="H573" s="9"/>
      <c r="I573" s="9"/>
      <c r="J573" s="9"/>
      <c r="K573" s="9"/>
      <c r="L573" s="9"/>
      <c r="M573" s="9"/>
      <c r="N573" s="9"/>
      <c r="O573" s="9"/>
      <c r="P573" s="9"/>
      <c r="Q573" s="9"/>
    </row>
    <row r="574" spans="4:17" s="294" customFormat="1" ht="15" customHeight="1">
      <c r="D574" s="10"/>
      <c r="E574" s="10"/>
      <c r="F574" s="9"/>
      <c r="G574" s="9"/>
      <c r="H574" s="9"/>
      <c r="I574" s="9"/>
      <c r="J574" s="9"/>
      <c r="K574" s="9"/>
      <c r="L574" s="9"/>
      <c r="M574" s="9"/>
      <c r="N574" s="9"/>
      <c r="O574" s="9"/>
      <c r="P574" s="9"/>
      <c r="Q574" s="9"/>
    </row>
    <row r="575" spans="4:17" s="294" customFormat="1" ht="15" customHeight="1">
      <c r="D575" s="10"/>
      <c r="E575" s="10"/>
      <c r="F575" s="9"/>
      <c r="G575" s="9"/>
      <c r="H575" s="9"/>
      <c r="I575" s="9"/>
      <c r="J575" s="9"/>
      <c r="K575" s="9"/>
      <c r="L575" s="9"/>
      <c r="M575" s="9"/>
      <c r="N575" s="9"/>
      <c r="O575" s="9"/>
      <c r="P575" s="9"/>
      <c r="Q575" s="9"/>
    </row>
    <row r="576" spans="4:17" s="294" customFormat="1" ht="15" customHeight="1">
      <c r="D576" s="10"/>
      <c r="E576" s="10"/>
      <c r="F576" s="9"/>
      <c r="G576" s="9"/>
      <c r="H576" s="9"/>
      <c r="I576" s="9"/>
      <c r="J576" s="9"/>
      <c r="K576" s="9"/>
      <c r="L576" s="9"/>
      <c r="M576" s="9"/>
      <c r="N576" s="9"/>
      <c r="O576" s="9"/>
      <c r="P576" s="9"/>
      <c r="Q576" s="9"/>
    </row>
    <row r="577" spans="4:17" s="294" customFormat="1" ht="15" customHeight="1">
      <c r="D577" s="10"/>
      <c r="E577" s="10"/>
      <c r="F577" s="9"/>
      <c r="G577" s="9"/>
      <c r="H577" s="9"/>
      <c r="I577" s="9"/>
      <c r="J577" s="9"/>
      <c r="K577" s="9"/>
      <c r="L577" s="9"/>
      <c r="M577" s="9"/>
      <c r="N577" s="9"/>
      <c r="O577" s="9"/>
      <c r="P577" s="9"/>
      <c r="Q577" s="9"/>
    </row>
    <row r="578" spans="4:17" s="294" customFormat="1" ht="15" customHeight="1">
      <c r="D578" s="10"/>
      <c r="E578" s="10"/>
      <c r="F578" s="9"/>
      <c r="G578" s="9"/>
      <c r="H578" s="9"/>
      <c r="I578" s="9"/>
      <c r="J578" s="9"/>
      <c r="K578" s="9"/>
      <c r="L578" s="9"/>
      <c r="M578" s="9"/>
      <c r="N578" s="9"/>
      <c r="O578" s="9"/>
      <c r="P578" s="9"/>
      <c r="Q578" s="9"/>
    </row>
    <row r="579" spans="4:17" s="294" customFormat="1" ht="15" customHeight="1">
      <c r="D579" s="10"/>
      <c r="E579" s="10"/>
      <c r="F579" s="9"/>
      <c r="G579" s="9"/>
      <c r="H579" s="9"/>
      <c r="I579" s="9"/>
      <c r="J579" s="9"/>
      <c r="K579" s="9"/>
      <c r="L579" s="9"/>
      <c r="M579" s="9"/>
      <c r="N579" s="9"/>
      <c r="O579" s="9"/>
      <c r="P579" s="9"/>
      <c r="Q579" s="9"/>
    </row>
    <row r="580" spans="4:17" s="294" customFormat="1" ht="15" customHeight="1">
      <c r="D580" s="10"/>
      <c r="E580" s="10"/>
      <c r="F580" s="9"/>
      <c r="G580" s="9"/>
      <c r="H580" s="9"/>
      <c r="I580" s="9"/>
      <c r="J580" s="9"/>
      <c r="K580" s="9"/>
      <c r="L580" s="9"/>
      <c r="M580" s="9"/>
      <c r="N580" s="9"/>
      <c r="O580" s="9"/>
      <c r="P580" s="9"/>
      <c r="Q580" s="9"/>
    </row>
    <row r="581" spans="4:17" s="294" customFormat="1" ht="15" customHeight="1">
      <c r="D581" s="10"/>
      <c r="E581" s="10"/>
      <c r="F581" s="9"/>
      <c r="G581" s="9"/>
      <c r="H581" s="9"/>
      <c r="I581" s="9"/>
      <c r="J581" s="9"/>
      <c r="K581" s="9"/>
      <c r="L581" s="9"/>
      <c r="M581" s="9"/>
      <c r="N581" s="9"/>
      <c r="O581" s="9"/>
      <c r="P581" s="9"/>
      <c r="Q581" s="9"/>
    </row>
    <row r="582" spans="4:17" s="294" customFormat="1" ht="15" customHeight="1">
      <c r="D582" s="10"/>
      <c r="E582" s="10"/>
      <c r="F582" s="9"/>
      <c r="G582" s="9"/>
      <c r="H582" s="9"/>
      <c r="I582" s="9"/>
      <c r="J582" s="9"/>
      <c r="K582" s="9"/>
      <c r="L582" s="9"/>
      <c r="M582" s="9"/>
      <c r="N582" s="9"/>
      <c r="O582" s="9"/>
      <c r="P582" s="9"/>
      <c r="Q582" s="9"/>
    </row>
    <row r="583" spans="4:17" s="294" customFormat="1" ht="15" customHeight="1">
      <c r="D583" s="10"/>
      <c r="E583" s="10"/>
      <c r="F583" s="9"/>
      <c r="G583" s="9"/>
      <c r="H583" s="9"/>
      <c r="I583" s="9"/>
      <c r="J583" s="9"/>
      <c r="K583" s="9"/>
      <c r="L583" s="9"/>
      <c r="M583" s="9"/>
      <c r="N583" s="9"/>
      <c r="O583" s="9"/>
      <c r="P583" s="9"/>
      <c r="Q583" s="9"/>
    </row>
    <row r="584" spans="4:17" s="294" customFormat="1" ht="15" customHeight="1">
      <c r="D584" s="10"/>
      <c r="E584" s="10"/>
      <c r="F584" s="9"/>
      <c r="G584" s="9"/>
      <c r="H584" s="9"/>
      <c r="I584" s="9"/>
      <c r="J584" s="9"/>
      <c r="K584" s="9"/>
      <c r="L584" s="9"/>
      <c r="M584" s="9"/>
      <c r="N584" s="9"/>
      <c r="O584" s="9"/>
      <c r="P584" s="9"/>
      <c r="Q584" s="9"/>
    </row>
    <row r="585" spans="4:17" s="294" customFormat="1" ht="15" customHeight="1">
      <c r="D585" s="10"/>
      <c r="E585" s="10"/>
      <c r="F585" s="9"/>
      <c r="G585" s="9"/>
      <c r="H585" s="9"/>
      <c r="I585" s="9"/>
      <c r="J585" s="9"/>
      <c r="K585" s="9"/>
      <c r="L585" s="9"/>
      <c r="M585" s="9"/>
      <c r="N585" s="9"/>
      <c r="O585" s="9"/>
      <c r="P585" s="9"/>
      <c r="Q585" s="9"/>
    </row>
    <row r="586" spans="4:17" s="294" customFormat="1" ht="15" customHeight="1">
      <c r="D586" s="10"/>
      <c r="E586" s="10"/>
      <c r="F586" s="9"/>
      <c r="G586" s="9"/>
      <c r="H586" s="9"/>
      <c r="I586" s="9"/>
      <c r="J586" s="9"/>
      <c r="K586" s="9"/>
      <c r="L586" s="9"/>
      <c r="M586" s="9"/>
      <c r="N586" s="9"/>
      <c r="O586" s="9"/>
      <c r="P586" s="9"/>
      <c r="Q586" s="9"/>
    </row>
    <row r="587" spans="4:17" s="294" customFormat="1" ht="15" customHeight="1">
      <c r="D587" s="10"/>
      <c r="E587" s="10"/>
      <c r="F587" s="9"/>
      <c r="G587" s="9"/>
      <c r="H587" s="9"/>
      <c r="I587" s="9"/>
      <c r="J587" s="9"/>
      <c r="K587" s="9"/>
      <c r="L587" s="9"/>
      <c r="M587" s="9"/>
      <c r="N587" s="9"/>
      <c r="O587" s="9"/>
      <c r="P587" s="9"/>
      <c r="Q587" s="9"/>
    </row>
    <row r="588" spans="4:17" s="294" customFormat="1" ht="15" customHeight="1">
      <c r="D588" s="10"/>
      <c r="E588" s="10"/>
      <c r="F588" s="9"/>
      <c r="G588" s="9"/>
      <c r="H588" s="9"/>
      <c r="I588" s="9"/>
      <c r="J588" s="9"/>
      <c r="K588" s="9"/>
      <c r="L588" s="9"/>
      <c r="M588" s="9"/>
      <c r="N588" s="9"/>
      <c r="O588" s="9"/>
      <c r="P588" s="9"/>
      <c r="Q588" s="9"/>
    </row>
    <row r="589" spans="4:17" s="294" customFormat="1" ht="15" customHeight="1">
      <c r="D589" s="10"/>
      <c r="E589" s="10"/>
      <c r="F589" s="9"/>
      <c r="G589" s="9"/>
      <c r="H589" s="9"/>
      <c r="I589" s="9"/>
      <c r="J589" s="9"/>
      <c r="K589" s="9"/>
      <c r="L589" s="9"/>
      <c r="M589" s="9"/>
      <c r="N589" s="9"/>
      <c r="O589" s="9"/>
      <c r="P589" s="9"/>
      <c r="Q589" s="9"/>
    </row>
    <row r="590" spans="4:17" s="294" customFormat="1" ht="15" customHeight="1">
      <c r="D590" s="10"/>
      <c r="E590" s="10"/>
      <c r="F590" s="9"/>
      <c r="G590" s="9"/>
      <c r="H590" s="9"/>
      <c r="I590" s="9"/>
      <c r="J590" s="9"/>
      <c r="K590" s="9"/>
      <c r="L590" s="9"/>
      <c r="M590" s="9"/>
      <c r="N590" s="9"/>
      <c r="O590" s="9"/>
      <c r="P590" s="9"/>
      <c r="Q590" s="9"/>
    </row>
    <row r="591" spans="4:17" s="294" customFormat="1" ht="15" customHeight="1">
      <c r="D591" s="10"/>
      <c r="E591" s="10"/>
      <c r="F591" s="9"/>
      <c r="G591" s="9"/>
      <c r="H591" s="9"/>
      <c r="I591" s="9"/>
      <c r="J591" s="9"/>
      <c r="K591" s="9"/>
      <c r="L591" s="9"/>
      <c r="M591" s="9"/>
      <c r="N591" s="9"/>
      <c r="O591" s="9"/>
      <c r="P591" s="9"/>
      <c r="Q591" s="9"/>
    </row>
    <row r="592" spans="4:17" s="294" customFormat="1" ht="15" customHeight="1">
      <c r="D592" s="10"/>
      <c r="E592" s="10"/>
      <c r="F592" s="9"/>
      <c r="G592" s="9"/>
      <c r="H592" s="9"/>
      <c r="I592" s="9"/>
      <c r="J592" s="9"/>
      <c r="K592" s="9"/>
      <c r="L592" s="9"/>
      <c r="M592" s="9"/>
      <c r="N592" s="9"/>
      <c r="O592" s="9"/>
      <c r="P592" s="9"/>
      <c r="Q592" s="9"/>
    </row>
    <row r="593" spans="4:17" s="294" customFormat="1" ht="15" customHeight="1">
      <c r="D593" s="10"/>
      <c r="E593" s="10"/>
      <c r="F593" s="9"/>
      <c r="G593" s="9"/>
      <c r="H593" s="9"/>
      <c r="I593" s="9"/>
      <c r="J593" s="9"/>
      <c r="K593" s="9"/>
      <c r="L593" s="9"/>
      <c r="M593" s="9"/>
      <c r="N593" s="9"/>
      <c r="O593" s="9"/>
      <c r="P593" s="9"/>
      <c r="Q593" s="9"/>
    </row>
    <row r="594" spans="4:17" s="294" customFormat="1" ht="15" customHeight="1">
      <c r="D594" s="10"/>
      <c r="E594" s="10"/>
      <c r="F594" s="9"/>
      <c r="G594" s="9"/>
      <c r="H594" s="9"/>
      <c r="I594" s="9"/>
      <c r="J594" s="9"/>
      <c r="K594" s="9"/>
      <c r="L594" s="9"/>
      <c r="M594" s="9"/>
      <c r="N594" s="9"/>
      <c r="O594" s="9"/>
      <c r="P594" s="9"/>
      <c r="Q594" s="9"/>
    </row>
    <row r="595" spans="4:17" s="294" customFormat="1" ht="15" customHeight="1">
      <c r="D595" s="10"/>
      <c r="E595" s="10"/>
      <c r="F595" s="9"/>
      <c r="G595" s="9"/>
      <c r="H595" s="9"/>
      <c r="I595" s="9"/>
      <c r="J595" s="9"/>
      <c r="K595" s="9"/>
      <c r="L595" s="9"/>
      <c r="M595" s="9"/>
      <c r="N595" s="9"/>
      <c r="O595" s="9"/>
      <c r="P595" s="9"/>
      <c r="Q595" s="9"/>
    </row>
    <row r="596" spans="4:17" s="294" customFormat="1" ht="15" customHeight="1">
      <c r="D596" s="10"/>
      <c r="E596" s="10"/>
      <c r="F596" s="9"/>
      <c r="G596" s="9"/>
      <c r="H596" s="9"/>
      <c r="I596" s="9"/>
      <c r="J596" s="9"/>
      <c r="K596" s="9"/>
      <c r="L596" s="9"/>
      <c r="M596" s="9"/>
      <c r="N596" s="9"/>
      <c r="O596" s="9"/>
      <c r="P596" s="9"/>
      <c r="Q596" s="9"/>
    </row>
    <row r="597" spans="4:17" s="294" customFormat="1" ht="15" customHeight="1">
      <c r="D597" s="10"/>
      <c r="E597" s="10"/>
      <c r="F597" s="9"/>
      <c r="G597" s="9"/>
      <c r="H597" s="9"/>
      <c r="I597" s="9"/>
      <c r="J597" s="9"/>
      <c r="K597" s="9"/>
      <c r="L597" s="9"/>
      <c r="M597" s="9"/>
      <c r="N597" s="9"/>
      <c r="O597" s="9"/>
      <c r="P597" s="9"/>
      <c r="Q597" s="9"/>
    </row>
    <row r="598" spans="4:17" s="294" customFormat="1" ht="15" customHeight="1">
      <c r="D598" s="10"/>
      <c r="E598" s="10"/>
      <c r="F598" s="9"/>
      <c r="G598" s="9"/>
      <c r="H598" s="9"/>
      <c r="I598" s="9"/>
      <c r="J598" s="9"/>
      <c r="K598" s="9"/>
      <c r="L598" s="9"/>
      <c r="M598" s="9"/>
      <c r="N598" s="9"/>
      <c r="O598" s="9"/>
      <c r="P598" s="9"/>
      <c r="Q598" s="9"/>
    </row>
    <row r="599" spans="4:17" s="294" customFormat="1" ht="15" customHeight="1">
      <c r="D599" s="10"/>
      <c r="E599" s="10"/>
      <c r="F599" s="9"/>
      <c r="G599" s="9"/>
      <c r="H599" s="9"/>
      <c r="I599" s="9"/>
      <c r="J599" s="9"/>
      <c r="K599" s="9"/>
      <c r="L599" s="9"/>
      <c r="M599" s="9"/>
      <c r="N599" s="9"/>
      <c r="O599" s="9"/>
      <c r="P599" s="9"/>
      <c r="Q599" s="9"/>
    </row>
    <row r="600" spans="4:17" s="294" customFormat="1" ht="15" customHeight="1">
      <c r="D600" s="10"/>
      <c r="E600" s="10"/>
      <c r="F600" s="9"/>
      <c r="G600" s="9"/>
      <c r="H600" s="9"/>
      <c r="I600" s="9"/>
      <c r="J600" s="9"/>
      <c r="K600" s="9"/>
      <c r="L600" s="9"/>
      <c r="M600" s="9"/>
      <c r="N600" s="9"/>
      <c r="O600" s="9"/>
      <c r="P600" s="9"/>
      <c r="Q600" s="9"/>
    </row>
    <row r="601" spans="4:17" s="294" customFormat="1" ht="15" customHeight="1">
      <c r="D601" s="10"/>
      <c r="E601" s="10"/>
      <c r="F601" s="9"/>
      <c r="G601" s="9"/>
      <c r="H601" s="9"/>
      <c r="I601" s="9"/>
      <c r="J601" s="9"/>
      <c r="K601" s="9"/>
      <c r="L601" s="9"/>
      <c r="M601" s="9"/>
      <c r="N601" s="9"/>
      <c r="O601" s="9"/>
      <c r="P601" s="9"/>
      <c r="Q601" s="9"/>
    </row>
    <row r="602" spans="4:17" s="294" customFormat="1" ht="15" customHeight="1">
      <c r="D602" s="10"/>
      <c r="E602" s="10"/>
      <c r="F602" s="9"/>
      <c r="G602" s="9"/>
      <c r="H602" s="9"/>
      <c r="I602" s="9"/>
      <c r="J602" s="9"/>
      <c r="K602" s="9"/>
      <c r="L602" s="9"/>
      <c r="M602" s="9"/>
      <c r="N602" s="9"/>
      <c r="O602" s="9"/>
      <c r="P602" s="9"/>
      <c r="Q602" s="9"/>
    </row>
    <row r="603" spans="4:17" s="294" customFormat="1" ht="15" customHeight="1">
      <c r="D603" s="10"/>
      <c r="E603" s="10"/>
      <c r="F603" s="9"/>
      <c r="G603" s="9"/>
      <c r="H603" s="9"/>
      <c r="I603" s="9"/>
      <c r="J603" s="9"/>
      <c r="K603" s="9"/>
      <c r="L603" s="9"/>
      <c r="M603" s="9"/>
      <c r="N603" s="9"/>
      <c r="O603" s="9"/>
      <c r="P603" s="9"/>
      <c r="Q603" s="9"/>
    </row>
    <row r="604" spans="4:17" s="294" customFormat="1" ht="15" customHeight="1">
      <c r="D604" s="10"/>
      <c r="E604" s="10"/>
      <c r="F604" s="9"/>
      <c r="G604" s="9"/>
      <c r="H604" s="9"/>
      <c r="I604" s="9"/>
      <c r="J604" s="9"/>
      <c r="K604" s="9"/>
      <c r="L604" s="9"/>
      <c r="M604" s="9"/>
      <c r="N604" s="9"/>
      <c r="O604" s="9"/>
      <c r="P604" s="9"/>
      <c r="Q604" s="9"/>
    </row>
    <row r="605" spans="4:17" s="294" customFormat="1" ht="15" customHeight="1">
      <c r="D605" s="10"/>
      <c r="E605" s="10"/>
      <c r="F605" s="9"/>
      <c r="G605" s="9"/>
      <c r="H605" s="9"/>
      <c r="I605" s="9"/>
      <c r="J605" s="9"/>
      <c r="K605" s="9"/>
      <c r="L605" s="9"/>
      <c r="M605" s="9"/>
      <c r="N605" s="9"/>
      <c r="O605" s="9"/>
      <c r="P605" s="9"/>
      <c r="Q605" s="9"/>
    </row>
    <row r="606" spans="4:17" s="294" customFormat="1" ht="15" customHeight="1">
      <c r="D606" s="10"/>
      <c r="E606" s="10"/>
      <c r="F606" s="9"/>
      <c r="G606" s="9"/>
      <c r="H606" s="9"/>
      <c r="I606" s="9"/>
      <c r="J606" s="9"/>
      <c r="K606" s="9"/>
      <c r="L606" s="9"/>
      <c r="M606" s="9"/>
      <c r="N606" s="9"/>
      <c r="O606" s="9"/>
      <c r="P606" s="9"/>
      <c r="Q606" s="9"/>
    </row>
    <row r="607" spans="4:17" s="294" customFormat="1" ht="15" customHeight="1">
      <c r="D607" s="10"/>
      <c r="E607" s="10"/>
      <c r="F607" s="9"/>
      <c r="G607" s="9"/>
      <c r="H607" s="9"/>
      <c r="I607" s="9"/>
      <c r="J607" s="9"/>
      <c r="K607" s="9"/>
      <c r="L607" s="9"/>
      <c r="M607" s="9"/>
      <c r="N607" s="9"/>
      <c r="O607" s="9"/>
      <c r="P607" s="9"/>
      <c r="Q607" s="9"/>
    </row>
    <row r="608" spans="4:17" s="294" customFormat="1" ht="15" customHeight="1">
      <c r="D608" s="10"/>
      <c r="E608" s="10"/>
      <c r="F608" s="9"/>
      <c r="G608" s="9"/>
      <c r="H608" s="9"/>
      <c r="I608" s="9"/>
      <c r="J608" s="9"/>
      <c r="K608" s="9"/>
      <c r="L608" s="9"/>
      <c r="M608" s="9"/>
      <c r="N608" s="9"/>
      <c r="O608" s="9"/>
      <c r="P608" s="9"/>
      <c r="Q608" s="9"/>
    </row>
    <row r="609" spans="4:17" s="294" customFormat="1" ht="15" customHeight="1">
      <c r="D609" s="10"/>
      <c r="E609" s="10"/>
      <c r="F609" s="9"/>
      <c r="G609" s="9"/>
      <c r="H609" s="9"/>
      <c r="I609" s="9"/>
      <c r="J609" s="9"/>
      <c r="K609" s="9"/>
      <c r="L609" s="9"/>
      <c r="M609" s="9"/>
      <c r="N609" s="9"/>
      <c r="O609" s="9"/>
      <c r="P609" s="9"/>
      <c r="Q609" s="9"/>
    </row>
    <row r="610" spans="4:17" s="294" customFormat="1" ht="15" customHeight="1">
      <c r="D610" s="10"/>
      <c r="E610" s="10"/>
      <c r="F610" s="9"/>
      <c r="G610" s="9"/>
      <c r="H610" s="9"/>
      <c r="I610" s="9"/>
      <c r="J610" s="9"/>
      <c r="K610" s="9"/>
      <c r="L610" s="9"/>
      <c r="M610" s="9"/>
      <c r="N610" s="9"/>
      <c r="O610" s="9"/>
      <c r="P610" s="9"/>
      <c r="Q610" s="9"/>
    </row>
    <row r="611" spans="4:17" s="294" customFormat="1" ht="15" customHeight="1">
      <c r="D611" s="10"/>
      <c r="E611" s="10"/>
      <c r="F611" s="9"/>
      <c r="G611" s="9"/>
      <c r="H611" s="9"/>
      <c r="I611" s="9"/>
      <c r="J611" s="9"/>
      <c r="K611" s="9"/>
      <c r="L611" s="9"/>
      <c r="M611" s="9"/>
      <c r="N611" s="9"/>
      <c r="O611" s="9"/>
      <c r="P611" s="9"/>
      <c r="Q611" s="9"/>
    </row>
    <row r="612" spans="4:17" s="294" customFormat="1" ht="15" customHeight="1">
      <c r="D612" s="10"/>
      <c r="E612" s="10"/>
      <c r="F612" s="9"/>
      <c r="G612" s="9"/>
      <c r="H612" s="9"/>
      <c r="I612" s="9"/>
      <c r="J612" s="9"/>
      <c r="K612" s="9"/>
      <c r="L612" s="9"/>
      <c r="M612" s="9"/>
      <c r="N612" s="9"/>
      <c r="O612" s="9"/>
      <c r="P612" s="9"/>
      <c r="Q612" s="9"/>
    </row>
    <row r="613" spans="4:17" s="294" customFormat="1" ht="15" customHeight="1">
      <c r="D613" s="10"/>
      <c r="E613" s="10"/>
      <c r="F613" s="9"/>
      <c r="G613" s="9"/>
      <c r="H613" s="9"/>
      <c r="I613" s="9"/>
      <c r="J613" s="9"/>
      <c r="K613" s="9"/>
      <c r="L613" s="9"/>
      <c r="M613" s="9"/>
      <c r="N613" s="9"/>
      <c r="O613" s="9"/>
      <c r="P613" s="9"/>
      <c r="Q613" s="9"/>
    </row>
    <row r="614" spans="4:17" s="294" customFormat="1" ht="15" customHeight="1">
      <c r="D614" s="10"/>
      <c r="E614" s="10"/>
      <c r="F614" s="9"/>
      <c r="G614" s="9"/>
      <c r="H614" s="9"/>
      <c r="I614" s="9"/>
      <c r="J614" s="9"/>
      <c r="K614" s="9"/>
      <c r="L614" s="9"/>
      <c r="M614" s="9"/>
      <c r="N614" s="9"/>
      <c r="O614" s="9"/>
      <c r="P614" s="9"/>
      <c r="Q614" s="9"/>
    </row>
    <row r="615" spans="4:17" s="294" customFormat="1" ht="15" customHeight="1">
      <c r="D615" s="10"/>
      <c r="E615" s="10"/>
      <c r="F615" s="9"/>
      <c r="G615" s="9"/>
      <c r="H615" s="9"/>
      <c r="I615" s="9"/>
      <c r="J615" s="9"/>
      <c r="K615" s="9"/>
      <c r="L615" s="9"/>
      <c r="M615" s="9"/>
      <c r="N615" s="9"/>
      <c r="O615" s="9"/>
      <c r="P615" s="9"/>
      <c r="Q615" s="9"/>
    </row>
    <row r="616" spans="4:17" s="294" customFormat="1" ht="15" customHeight="1">
      <c r="D616" s="10"/>
      <c r="E616" s="10"/>
      <c r="F616" s="9"/>
      <c r="G616" s="9"/>
      <c r="H616" s="9"/>
      <c r="I616" s="9"/>
      <c r="J616" s="9"/>
      <c r="K616" s="9"/>
      <c r="L616" s="9"/>
      <c r="M616" s="9"/>
      <c r="N616" s="9"/>
      <c r="O616" s="9"/>
      <c r="P616" s="9"/>
      <c r="Q616" s="9"/>
    </row>
    <row r="617" spans="4:17" s="294" customFormat="1" ht="15" customHeight="1">
      <c r="D617" s="10"/>
      <c r="E617" s="10"/>
      <c r="F617" s="9"/>
      <c r="G617" s="9"/>
      <c r="H617" s="9"/>
      <c r="I617" s="9"/>
      <c r="J617" s="9"/>
      <c r="K617" s="9"/>
      <c r="L617" s="9"/>
      <c r="M617" s="9"/>
      <c r="N617" s="9"/>
      <c r="O617" s="9"/>
      <c r="P617" s="9"/>
      <c r="Q617" s="9"/>
    </row>
    <row r="618" spans="4:17" s="294" customFormat="1" ht="15" customHeight="1">
      <c r="D618" s="10"/>
      <c r="E618" s="10"/>
      <c r="F618" s="9"/>
      <c r="G618" s="9"/>
      <c r="H618" s="9"/>
      <c r="I618" s="9"/>
      <c r="J618" s="9"/>
      <c r="K618" s="9"/>
      <c r="L618" s="9"/>
      <c r="M618" s="9"/>
      <c r="N618" s="9"/>
      <c r="O618" s="9"/>
      <c r="P618" s="9"/>
      <c r="Q618" s="9"/>
    </row>
    <row r="619" spans="4:17" s="294" customFormat="1" ht="15" customHeight="1">
      <c r="D619" s="10"/>
      <c r="E619" s="10"/>
      <c r="F619" s="9"/>
      <c r="G619" s="9"/>
      <c r="H619" s="9"/>
      <c r="I619" s="9"/>
      <c r="J619" s="9"/>
      <c r="K619" s="9"/>
      <c r="L619" s="9"/>
      <c r="M619" s="9"/>
      <c r="N619" s="9"/>
      <c r="O619" s="9"/>
      <c r="P619" s="9"/>
      <c r="Q619" s="9"/>
    </row>
    <row r="620" spans="4:17" s="294" customFormat="1" ht="15" customHeight="1">
      <c r="D620" s="10"/>
      <c r="E620" s="10"/>
      <c r="F620" s="9"/>
      <c r="G620" s="9"/>
      <c r="H620" s="9"/>
      <c r="I620" s="9"/>
      <c r="J620" s="9"/>
      <c r="K620" s="9"/>
      <c r="L620" s="9"/>
      <c r="M620" s="9"/>
      <c r="N620" s="9"/>
      <c r="O620" s="9"/>
      <c r="P620" s="9"/>
      <c r="Q620" s="9"/>
    </row>
    <row r="621" spans="4:17" s="294" customFormat="1" ht="15" customHeight="1">
      <c r="D621" s="10"/>
      <c r="E621" s="10"/>
      <c r="F621" s="9"/>
      <c r="G621" s="9"/>
      <c r="H621" s="9"/>
      <c r="I621" s="9"/>
      <c r="J621" s="9"/>
      <c r="K621" s="9"/>
      <c r="L621" s="9"/>
      <c r="M621" s="9"/>
      <c r="N621" s="9"/>
      <c r="O621" s="9"/>
      <c r="P621" s="9"/>
      <c r="Q621" s="9"/>
    </row>
    <row r="622" spans="4:17" s="294" customFormat="1" ht="15" customHeight="1">
      <c r="D622" s="10"/>
      <c r="E622" s="10"/>
      <c r="F622" s="9"/>
      <c r="G622" s="9"/>
      <c r="H622" s="9"/>
      <c r="I622" s="9"/>
      <c r="J622" s="9"/>
      <c r="K622" s="9"/>
      <c r="L622" s="9"/>
      <c r="M622" s="9"/>
      <c r="N622" s="9"/>
      <c r="O622" s="9"/>
      <c r="P622" s="9"/>
      <c r="Q622" s="9"/>
    </row>
    <row r="623" spans="4:17" s="294" customFormat="1" ht="15" customHeight="1">
      <c r="D623" s="10"/>
      <c r="E623" s="10"/>
      <c r="F623" s="9"/>
      <c r="G623" s="9"/>
      <c r="H623" s="9"/>
      <c r="I623" s="9"/>
      <c r="J623" s="9"/>
      <c r="K623" s="9"/>
      <c r="L623" s="9"/>
      <c r="M623" s="9"/>
      <c r="N623" s="9"/>
      <c r="O623" s="9"/>
      <c r="P623" s="9"/>
      <c r="Q623" s="9"/>
    </row>
    <row r="624" spans="4:17" s="294" customFormat="1" ht="15" customHeight="1">
      <c r="D624" s="10"/>
      <c r="E624" s="10"/>
      <c r="F624" s="9"/>
      <c r="G624" s="9"/>
      <c r="H624" s="9"/>
      <c r="I624" s="9"/>
      <c r="J624" s="9"/>
      <c r="K624" s="9"/>
      <c r="L624" s="9"/>
      <c r="M624" s="9"/>
      <c r="N624" s="9"/>
      <c r="O624" s="9"/>
      <c r="P624" s="9"/>
      <c r="Q624" s="9"/>
    </row>
    <row r="625" spans="4:17" s="294" customFormat="1" ht="15" customHeight="1">
      <c r="D625" s="10"/>
      <c r="E625" s="10"/>
      <c r="F625" s="9"/>
      <c r="G625" s="9"/>
      <c r="H625" s="9"/>
      <c r="I625" s="9"/>
      <c r="J625" s="9"/>
      <c r="K625" s="9"/>
      <c r="L625" s="9"/>
      <c r="M625" s="9"/>
      <c r="N625" s="9"/>
      <c r="O625" s="9"/>
      <c r="P625" s="9"/>
      <c r="Q625" s="9"/>
    </row>
    <row r="626" spans="4:17" s="294" customFormat="1" ht="15" customHeight="1">
      <c r="D626" s="10"/>
      <c r="E626" s="10"/>
      <c r="F626" s="9"/>
      <c r="G626" s="9"/>
      <c r="H626" s="9"/>
      <c r="I626" s="9"/>
      <c r="J626" s="9"/>
      <c r="K626" s="9"/>
      <c r="L626" s="9"/>
      <c r="M626" s="9"/>
      <c r="N626" s="9"/>
      <c r="O626" s="9"/>
      <c r="P626" s="9"/>
      <c r="Q626" s="9"/>
    </row>
    <row r="627" spans="4:17" s="294" customFormat="1" ht="15" customHeight="1">
      <c r="D627" s="10"/>
      <c r="E627" s="10"/>
      <c r="F627" s="9"/>
      <c r="G627" s="9"/>
      <c r="H627" s="9"/>
      <c r="I627" s="9"/>
      <c r="J627" s="9"/>
      <c r="K627" s="9"/>
      <c r="L627" s="9"/>
      <c r="M627" s="9"/>
      <c r="N627" s="9"/>
      <c r="O627" s="9"/>
      <c r="P627" s="9"/>
      <c r="Q627" s="9"/>
    </row>
    <row r="628" spans="4:17" s="294" customFormat="1" ht="15" customHeight="1">
      <c r="D628" s="10"/>
      <c r="E628" s="10"/>
      <c r="F628" s="9"/>
      <c r="G628" s="9"/>
      <c r="H628" s="9"/>
      <c r="I628" s="9"/>
      <c r="J628" s="9"/>
      <c r="K628" s="9"/>
      <c r="L628" s="9"/>
      <c r="M628" s="9"/>
      <c r="N628" s="9"/>
      <c r="O628" s="9"/>
      <c r="P628" s="9"/>
      <c r="Q628" s="9"/>
    </row>
    <row r="629" spans="4:17" s="294" customFormat="1" ht="15" customHeight="1">
      <c r="D629" s="10"/>
      <c r="E629" s="10"/>
      <c r="F629" s="9"/>
      <c r="G629" s="9"/>
      <c r="H629" s="9"/>
      <c r="I629" s="9"/>
      <c r="J629" s="9"/>
      <c r="K629" s="9"/>
      <c r="L629" s="9"/>
      <c r="M629" s="9"/>
      <c r="N629" s="9"/>
      <c r="O629" s="9"/>
      <c r="P629" s="9"/>
      <c r="Q629" s="9"/>
    </row>
    <row r="630" spans="4:17" s="294" customFormat="1" ht="15" customHeight="1">
      <c r="D630" s="10"/>
      <c r="E630" s="10"/>
      <c r="F630" s="9"/>
      <c r="G630" s="9"/>
      <c r="H630" s="9"/>
      <c r="I630" s="9"/>
      <c r="J630" s="9"/>
      <c r="K630" s="9"/>
      <c r="L630" s="9"/>
      <c r="M630" s="9"/>
      <c r="N630" s="9"/>
      <c r="O630" s="9"/>
      <c r="P630" s="9"/>
      <c r="Q630" s="9"/>
    </row>
    <row r="631" spans="4:17" s="294" customFormat="1" ht="15" customHeight="1">
      <c r="D631" s="10"/>
      <c r="E631" s="10"/>
      <c r="F631" s="9"/>
      <c r="G631" s="9"/>
      <c r="H631" s="9"/>
      <c r="I631" s="9"/>
      <c r="J631" s="9"/>
      <c r="K631" s="9"/>
      <c r="L631" s="9"/>
      <c r="M631" s="9"/>
      <c r="N631" s="9"/>
      <c r="O631" s="9"/>
      <c r="P631" s="9"/>
      <c r="Q631" s="9"/>
    </row>
    <row r="632" spans="4:17" s="294" customFormat="1" ht="15" customHeight="1">
      <c r="D632" s="10"/>
      <c r="E632" s="10"/>
      <c r="F632" s="9"/>
      <c r="G632" s="9"/>
      <c r="H632" s="9"/>
      <c r="I632" s="9"/>
      <c r="J632" s="9"/>
      <c r="K632" s="9"/>
      <c r="L632" s="9"/>
      <c r="M632" s="9"/>
      <c r="N632" s="9"/>
      <c r="O632" s="9"/>
      <c r="P632" s="9"/>
      <c r="Q632" s="9"/>
    </row>
    <row r="633" spans="4:17" s="294" customFormat="1" ht="15" customHeight="1">
      <c r="D633" s="10"/>
      <c r="E633" s="10"/>
      <c r="F633" s="9"/>
      <c r="G633" s="9"/>
      <c r="H633" s="9"/>
      <c r="I633" s="9"/>
      <c r="J633" s="9"/>
      <c r="K633" s="9"/>
      <c r="L633" s="9"/>
      <c r="M633" s="9"/>
      <c r="N633" s="9"/>
      <c r="O633" s="9"/>
      <c r="P633" s="9"/>
      <c r="Q633" s="9"/>
    </row>
    <row r="634" spans="4:17" s="294" customFormat="1" ht="15" customHeight="1">
      <c r="D634" s="10"/>
      <c r="E634" s="10"/>
      <c r="F634" s="9"/>
      <c r="G634" s="9"/>
      <c r="H634" s="9"/>
      <c r="I634" s="9"/>
      <c r="J634" s="9"/>
      <c r="K634" s="9"/>
      <c r="L634" s="9"/>
      <c r="M634" s="9"/>
      <c r="N634" s="9"/>
      <c r="O634" s="9"/>
      <c r="P634" s="9"/>
      <c r="Q634" s="9"/>
    </row>
    <row r="635" spans="4:17" s="294" customFormat="1" ht="15" customHeight="1">
      <c r="D635" s="10"/>
      <c r="E635" s="10"/>
      <c r="F635" s="9"/>
      <c r="G635" s="9"/>
      <c r="H635" s="9"/>
      <c r="I635" s="9"/>
      <c r="J635" s="9"/>
      <c r="K635" s="9"/>
      <c r="L635" s="9"/>
      <c r="M635" s="9"/>
      <c r="N635" s="9"/>
      <c r="O635" s="9"/>
      <c r="P635" s="9"/>
      <c r="Q635" s="9"/>
    </row>
    <row r="636" spans="4:17" s="294" customFormat="1" ht="15" customHeight="1">
      <c r="D636" s="10"/>
      <c r="E636" s="10"/>
      <c r="F636" s="9"/>
      <c r="G636" s="9"/>
      <c r="H636" s="9"/>
      <c r="I636" s="9"/>
      <c r="J636" s="9"/>
      <c r="K636" s="9"/>
      <c r="L636" s="9"/>
      <c r="M636" s="9"/>
      <c r="N636" s="9"/>
      <c r="O636" s="9"/>
      <c r="P636" s="9"/>
      <c r="Q636" s="9"/>
    </row>
    <row r="637" spans="4:17" s="294" customFormat="1" ht="15" customHeight="1">
      <c r="D637" s="10"/>
      <c r="E637" s="10"/>
      <c r="F637" s="9"/>
      <c r="G637" s="9"/>
      <c r="H637" s="9"/>
      <c r="I637" s="9"/>
      <c r="J637" s="9"/>
      <c r="K637" s="9"/>
      <c r="L637" s="9"/>
      <c r="M637" s="9"/>
      <c r="N637" s="9"/>
      <c r="O637" s="9"/>
      <c r="P637" s="9"/>
      <c r="Q637" s="9"/>
    </row>
    <row r="638" spans="4:17" s="294" customFormat="1" ht="15" customHeight="1">
      <c r="D638" s="10"/>
      <c r="E638" s="10"/>
      <c r="F638" s="9"/>
      <c r="G638" s="9"/>
      <c r="H638" s="9"/>
      <c r="I638" s="9"/>
      <c r="J638" s="9"/>
      <c r="K638" s="9"/>
      <c r="L638" s="9"/>
      <c r="M638" s="9"/>
      <c r="N638" s="9"/>
      <c r="O638" s="9"/>
      <c r="P638" s="9"/>
      <c r="Q638" s="9"/>
    </row>
    <row r="639" spans="4:17" s="294" customFormat="1" ht="15" customHeight="1">
      <c r="D639" s="10"/>
      <c r="E639" s="10"/>
      <c r="F639" s="9"/>
      <c r="G639" s="9"/>
      <c r="H639" s="9"/>
      <c r="I639" s="9"/>
      <c r="J639" s="9"/>
      <c r="K639" s="9"/>
      <c r="L639" s="9"/>
      <c r="M639" s="9"/>
      <c r="N639" s="9"/>
      <c r="O639" s="9"/>
      <c r="P639" s="9"/>
      <c r="Q639" s="9"/>
    </row>
    <row r="640" spans="4:17" s="294" customFormat="1" ht="15" customHeight="1">
      <c r="D640" s="10"/>
      <c r="E640" s="10"/>
      <c r="F640" s="9"/>
      <c r="G640" s="9"/>
      <c r="H640" s="9"/>
      <c r="I640" s="9"/>
      <c r="J640" s="9"/>
      <c r="K640" s="9"/>
      <c r="L640" s="9"/>
      <c r="M640" s="9"/>
      <c r="N640" s="9"/>
      <c r="O640" s="9"/>
      <c r="P640" s="9"/>
      <c r="Q640" s="9"/>
    </row>
    <row r="641" spans="4:17" s="294" customFormat="1" ht="15" customHeight="1">
      <c r="D641" s="10"/>
      <c r="E641" s="10"/>
      <c r="F641" s="9"/>
      <c r="G641" s="9"/>
      <c r="H641" s="9"/>
      <c r="I641" s="9"/>
      <c r="J641" s="9"/>
      <c r="K641" s="9"/>
      <c r="L641" s="9"/>
      <c r="M641" s="9"/>
      <c r="N641" s="9"/>
      <c r="O641" s="9"/>
      <c r="P641" s="9"/>
      <c r="Q641" s="9"/>
    </row>
    <row r="642" spans="4:17" s="294" customFormat="1" ht="15" customHeight="1">
      <c r="D642" s="10"/>
      <c r="E642" s="10"/>
      <c r="F642" s="9"/>
      <c r="G642" s="9"/>
      <c r="H642" s="9"/>
      <c r="I642" s="9"/>
      <c r="J642" s="9"/>
      <c r="K642" s="9"/>
      <c r="L642" s="9"/>
      <c r="M642" s="9"/>
      <c r="N642" s="9"/>
      <c r="O642" s="9"/>
      <c r="P642" s="9"/>
      <c r="Q642" s="9"/>
    </row>
    <row r="643" spans="4:17" s="294" customFormat="1" ht="15" customHeight="1">
      <c r="D643" s="10"/>
      <c r="E643" s="10"/>
      <c r="F643" s="9"/>
      <c r="G643" s="9"/>
      <c r="H643" s="9"/>
      <c r="I643" s="9"/>
      <c r="J643" s="9"/>
      <c r="K643" s="9"/>
      <c r="L643" s="9"/>
      <c r="M643" s="9"/>
      <c r="N643" s="9"/>
      <c r="O643" s="9"/>
      <c r="P643" s="9"/>
      <c r="Q643" s="9"/>
    </row>
    <row r="644" spans="4:17" s="294" customFormat="1" ht="15" customHeight="1">
      <c r="D644" s="10"/>
      <c r="E644" s="10"/>
      <c r="F644" s="9"/>
      <c r="G644" s="9"/>
      <c r="H644" s="9"/>
      <c r="I644" s="9"/>
      <c r="J644" s="9"/>
      <c r="K644" s="9"/>
      <c r="L644" s="9"/>
      <c r="M644" s="9"/>
      <c r="N644" s="9"/>
      <c r="O644" s="9"/>
      <c r="P644" s="9"/>
      <c r="Q644" s="9"/>
    </row>
    <row r="645" spans="4:17" s="294" customFormat="1" ht="15" customHeight="1">
      <c r="D645" s="10"/>
      <c r="E645" s="10"/>
      <c r="F645" s="9"/>
      <c r="G645" s="9"/>
      <c r="H645" s="9"/>
      <c r="I645" s="9"/>
      <c r="J645" s="9"/>
      <c r="K645" s="9"/>
      <c r="L645" s="9"/>
      <c r="M645" s="9"/>
      <c r="N645" s="9"/>
      <c r="O645" s="9"/>
      <c r="P645" s="9"/>
      <c r="Q645" s="9"/>
    </row>
    <row r="646" spans="4:17" s="294" customFormat="1" ht="15" customHeight="1">
      <c r="D646" s="10"/>
      <c r="E646" s="10"/>
      <c r="F646" s="9"/>
      <c r="G646" s="9"/>
      <c r="H646" s="9"/>
      <c r="I646" s="9"/>
      <c r="J646" s="9"/>
      <c r="K646" s="9"/>
      <c r="L646" s="9"/>
      <c r="M646" s="9"/>
      <c r="N646" s="9"/>
      <c r="O646" s="9"/>
      <c r="P646" s="9"/>
      <c r="Q646" s="9"/>
    </row>
    <row r="647" spans="4:17" s="294" customFormat="1" ht="15" customHeight="1">
      <c r="D647" s="10"/>
      <c r="E647" s="10"/>
      <c r="F647" s="9"/>
      <c r="G647" s="9"/>
      <c r="H647" s="9"/>
      <c r="I647" s="9"/>
      <c r="J647" s="9"/>
      <c r="K647" s="9"/>
      <c r="L647" s="9"/>
      <c r="M647" s="9"/>
      <c r="N647" s="9"/>
      <c r="O647" s="9"/>
      <c r="P647" s="9"/>
      <c r="Q647" s="9"/>
    </row>
    <row r="648" spans="4:17" s="294" customFormat="1" ht="15" customHeight="1">
      <c r="D648" s="10"/>
      <c r="E648" s="10"/>
      <c r="F648" s="9"/>
      <c r="G648" s="9"/>
      <c r="H648" s="9"/>
      <c r="I648" s="9"/>
      <c r="J648" s="9"/>
      <c r="K648" s="9"/>
      <c r="L648" s="9"/>
      <c r="M648" s="9"/>
      <c r="N648" s="9"/>
      <c r="O648" s="9"/>
      <c r="P648" s="9"/>
      <c r="Q648" s="9"/>
    </row>
    <row r="649" spans="4:17" s="294" customFormat="1" ht="15" customHeight="1">
      <c r="D649" s="10"/>
      <c r="E649" s="10"/>
      <c r="F649" s="9"/>
      <c r="G649" s="9"/>
      <c r="H649" s="9"/>
      <c r="I649" s="9"/>
      <c r="J649" s="9"/>
      <c r="K649" s="9"/>
      <c r="L649" s="9"/>
      <c r="M649" s="9"/>
      <c r="N649" s="9"/>
      <c r="O649" s="9"/>
      <c r="P649" s="9"/>
      <c r="Q649" s="9"/>
    </row>
    <row r="650" spans="4:17" s="294" customFormat="1" ht="15" customHeight="1">
      <c r="D650" s="10"/>
      <c r="E650" s="10"/>
      <c r="F650" s="9"/>
      <c r="G650" s="9"/>
      <c r="H650" s="9"/>
      <c r="I650" s="9"/>
      <c r="J650" s="9"/>
      <c r="K650" s="9"/>
      <c r="L650" s="9"/>
      <c r="M650" s="9"/>
      <c r="N650" s="9"/>
      <c r="O650" s="9"/>
      <c r="P650" s="9"/>
      <c r="Q650" s="9"/>
    </row>
    <row r="651" spans="4:17" s="294" customFormat="1" ht="15" customHeight="1">
      <c r="D651" s="10"/>
      <c r="E651" s="10"/>
      <c r="F651" s="9"/>
      <c r="G651" s="9"/>
      <c r="H651" s="9"/>
      <c r="I651" s="9"/>
      <c r="J651" s="9"/>
      <c r="K651" s="9"/>
      <c r="L651" s="9"/>
      <c r="M651" s="9"/>
      <c r="N651" s="9"/>
      <c r="O651" s="9"/>
      <c r="P651" s="9"/>
      <c r="Q651" s="9"/>
    </row>
    <row r="652" spans="4:17" s="294" customFormat="1" ht="15" customHeight="1">
      <c r="D652" s="10"/>
      <c r="E652" s="10"/>
      <c r="F652" s="9"/>
      <c r="G652" s="9"/>
      <c r="H652" s="9"/>
      <c r="I652" s="9"/>
      <c r="J652" s="9"/>
      <c r="K652" s="9"/>
      <c r="L652" s="9"/>
      <c r="M652" s="9"/>
      <c r="N652" s="9"/>
      <c r="O652" s="9"/>
      <c r="P652" s="9"/>
      <c r="Q652" s="9"/>
    </row>
    <row r="653" spans="4:17" s="294" customFormat="1" ht="15" customHeight="1">
      <c r="D653" s="10"/>
      <c r="E653" s="10"/>
      <c r="F653" s="9"/>
      <c r="G653" s="9"/>
      <c r="H653" s="9"/>
      <c r="I653" s="9"/>
      <c r="J653" s="9"/>
      <c r="K653" s="9"/>
      <c r="L653" s="9"/>
      <c r="M653" s="9"/>
      <c r="N653" s="9"/>
      <c r="O653" s="9"/>
      <c r="P653" s="9"/>
      <c r="Q653" s="9"/>
    </row>
    <row r="654" spans="4:17" s="294" customFormat="1" ht="15" customHeight="1">
      <c r="D654" s="10"/>
      <c r="E654" s="10"/>
      <c r="F654" s="9"/>
      <c r="G654" s="9"/>
      <c r="H654" s="9"/>
      <c r="I654" s="9"/>
      <c r="J654" s="9"/>
      <c r="K654" s="9"/>
      <c r="L654" s="9"/>
      <c r="M654" s="9"/>
      <c r="N654" s="9"/>
      <c r="O654" s="9"/>
      <c r="P654" s="9"/>
      <c r="Q654" s="9"/>
    </row>
    <row r="655" spans="4:17" s="294" customFormat="1" ht="15" customHeight="1">
      <c r="D655" s="10"/>
      <c r="E655" s="10"/>
      <c r="F655" s="9"/>
      <c r="G655" s="9"/>
      <c r="H655" s="9"/>
      <c r="I655" s="9"/>
      <c r="J655" s="9"/>
      <c r="K655" s="9"/>
      <c r="L655" s="9"/>
      <c r="M655" s="9"/>
      <c r="N655" s="9"/>
      <c r="O655" s="9"/>
      <c r="P655" s="9"/>
      <c r="Q655" s="9"/>
    </row>
    <row r="656" spans="4:17" s="294" customFormat="1" ht="15" customHeight="1">
      <c r="D656" s="10"/>
      <c r="E656" s="10"/>
      <c r="F656" s="9"/>
      <c r="G656" s="9"/>
      <c r="H656" s="9"/>
      <c r="I656" s="9"/>
      <c r="J656" s="9"/>
      <c r="K656" s="9"/>
      <c r="L656" s="9"/>
      <c r="M656" s="9"/>
      <c r="N656" s="9"/>
      <c r="O656" s="9"/>
      <c r="P656" s="9"/>
      <c r="Q656" s="9"/>
    </row>
    <row r="657" spans="4:17" s="294" customFormat="1" ht="15" customHeight="1">
      <c r="D657" s="10"/>
      <c r="E657" s="10"/>
      <c r="F657" s="9"/>
      <c r="G657" s="9"/>
      <c r="H657" s="9"/>
      <c r="I657" s="9"/>
      <c r="J657" s="9"/>
      <c r="K657" s="9"/>
      <c r="L657" s="9"/>
      <c r="M657" s="9"/>
      <c r="N657" s="9"/>
      <c r="O657" s="9"/>
      <c r="P657" s="9"/>
      <c r="Q657" s="9"/>
    </row>
    <row r="658" spans="4:17" s="294" customFormat="1" ht="15" customHeight="1">
      <c r="D658" s="10"/>
      <c r="E658" s="10"/>
      <c r="F658" s="9"/>
      <c r="G658" s="9"/>
      <c r="H658" s="9"/>
      <c r="I658" s="9"/>
      <c r="J658" s="9"/>
      <c r="K658" s="9"/>
      <c r="L658" s="9"/>
      <c r="M658" s="9"/>
      <c r="N658" s="9"/>
      <c r="O658" s="9"/>
      <c r="P658" s="9"/>
      <c r="Q658" s="9"/>
    </row>
    <row r="659" spans="4:17" s="294" customFormat="1" ht="15" customHeight="1">
      <c r="D659" s="10"/>
      <c r="E659" s="10"/>
      <c r="F659" s="9"/>
      <c r="G659" s="9"/>
      <c r="H659" s="9"/>
      <c r="I659" s="9"/>
      <c r="J659" s="9"/>
      <c r="K659" s="9"/>
      <c r="L659" s="9"/>
      <c r="M659" s="9"/>
      <c r="N659" s="9"/>
      <c r="O659" s="9"/>
      <c r="P659" s="9"/>
      <c r="Q659" s="9"/>
    </row>
    <row r="660" spans="4:17" s="294" customFormat="1" ht="15" customHeight="1">
      <c r="D660" s="10"/>
      <c r="E660" s="10"/>
      <c r="F660" s="9"/>
      <c r="G660" s="9"/>
      <c r="H660" s="9"/>
      <c r="I660" s="9"/>
      <c r="J660" s="9"/>
      <c r="K660" s="9"/>
      <c r="L660" s="9"/>
      <c r="M660" s="9"/>
      <c r="N660" s="9"/>
      <c r="O660" s="9"/>
      <c r="P660" s="9"/>
      <c r="Q660" s="9"/>
    </row>
    <row r="661" spans="4:17" s="294" customFormat="1" ht="15" customHeight="1">
      <c r="D661" s="10"/>
      <c r="E661" s="10"/>
      <c r="F661" s="9"/>
      <c r="G661" s="9"/>
      <c r="H661" s="9"/>
      <c r="I661" s="9"/>
      <c r="J661" s="9"/>
      <c r="K661" s="9"/>
      <c r="L661" s="9"/>
      <c r="M661" s="9"/>
      <c r="N661" s="9"/>
      <c r="O661" s="9"/>
      <c r="P661" s="9"/>
      <c r="Q661" s="9"/>
    </row>
    <row r="662" spans="4:17" s="294" customFormat="1" ht="15" customHeight="1">
      <c r="D662" s="10"/>
      <c r="E662" s="10"/>
      <c r="F662" s="9"/>
      <c r="G662" s="9"/>
      <c r="H662" s="9"/>
      <c r="I662" s="9"/>
      <c r="J662" s="9"/>
      <c r="K662" s="9"/>
      <c r="L662" s="9"/>
      <c r="M662" s="9"/>
      <c r="N662" s="9"/>
      <c r="O662" s="9"/>
      <c r="P662" s="9"/>
      <c r="Q662" s="9"/>
    </row>
    <row r="663" spans="4:17" s="294" customFormat="1" ht="15" customHeight="1">
      <c r="D663" s="10"/>
      <c r="E663" s="10"/>
      <c r="F663" s="9"/>
      <c r="G663" s="9"/>
      <c r="H663" s="9"/>
      <c r="I663" s="9"/>
      <c r="J663" s="9"/>
      <c r="K663" s="9"/>
      <c r="L663" s="9"/>
      <c r="M663" s="9"/>
      <c r="N663" s="9"/>
      <c r="O663" s="9"/>
      <c r="P663" s="9"/>
      <c r="Q663" s="9"/>
    </row>
    <row r="664" spans="4:17" s="294" customFormat="1" ht="15" customHeight="1">
      <c r="D664" s="10"/>
      <c r="E664" s="10"/>
      <c r="F664" s="9"/>
      <c r="G664" s="9"/>
      <c r="H664" s="9"/>
      <c r="I664" s="9"/>
      <c r="J664" s="9"/>
      <c r="K664" s="9"/>
      <c r="L664" s="9"/>
      <c r="M664" s="9"/>
      <c r="N664" s="9"/>
      <c r="O664" s="9"/>
      <c r="P664" s="9"/>
      <c r="Q664" s="9"/>
    </row>
    <row r="665" spans="4:17" s="294" customFormat="1" ht="15" customHeight="1">
      <c r="D665" s="10"/>
      <c r="E665" s="10"/>
      <c r="F665" s="9"/>
      <c r="G665" s="9"/>
      <c r="H665" s="9"/>
      <c r="I665" s="9"/>
      <c r="J665" s="9"/>
      <c r="K665" s="9"/>
      <c r="L665" s="9"/>
      <c r="M665" s="9"/>
      <c r="N665" s="9"/>
      <c r="O665" s="9"/>
      <c r="P665" s="9"/>
      <c r="Q665" s="9"/>
    </row>
    <row r="666" spans="4:17" s="294" customFormat="1" ht="15" customHeight="1">
      <c r="D666" s="10"/>
      <c r="E666" s="10"/>
      <c r="F666" s="9"/>
      <c r="G666" s="9"/>
      <c r="H666" s="9"/>
      <c r="I666" s="9"/>
      <c r="J666" s="9"/>
      <c r="K666" s="9"/>
      <c r="L666" s="9"/>
      <c r="M666" s="9"/>
      <c r="N666" s="9"/>
      <c r="O666" s="9"/>
      <c r="P666" s="9"/>
      <c r="Q666" s="9"/>
    </row>
    <row r="667" spans="4:17" s="294" customFormat="1" ht="15" customHeight="1">
      <c r="D667" s="10"/>
      <c r="E667" s="10"/>
      <c r="F667" s="9"/>
      <c r="G667" s="9"/>
      <c r="H667" s="9"/>
      <c r="I667" s="9"/>
      <c r="J667" s="9"/>
      <c r="K667" s="9"/>
      <c r="L667" s="9"/>
      <c r="M667" s="9"/>
      <c r="N667" s="9"/>
      <c r="O667" s="9"/>
      <c r="P667" s="9"/>
      <c r="Q667" s="9"/>
    </row>
    <row r="668" spans="4:17" s="294" customFormat="1" ht="15" customHeight="1">
      <c r="D668" s="10"/>
      <c r="E668" s="10"/>
      <c r="F668" s="9"/>
      <c r="G668" s="9"/>
      <c r="H668" s="9"/>
      <c r="I668" s="9"/>
      <c r="J668" s="9"/>
      <c r="K668" s="9"/>
      <c r="L668" s="9"/>
      <c r="M668" s="9"/>
      <c r="N668" s="9"/>
      <c r="O668" s="9"/>
      <c r="P668" s="9"/>
      <c r="Q668" s="9"/>
    </row>
    <row r="669" spans="4:17" s="294" customFormat="1" ht="15" customHeight="1">
      <c r="D669" s="10"/>
      <c r="E669" s="10"/>
      <c r="F669" s="9"/>
      <c r="G669" s="9"/>
      <c r="H669" s="9"/>
      <c r="I669" s="9"/>
      <c r="J669" s="9"/>
      <c r="K669" s="9"/>
      <c r="L669" s="9"/>
      <c r="M669" s="9"/>
      <c r="N669" s="9"/>
      <c r="O669" s="9"/>
      <c r="P669" s="9"/>
      <c r="Q669" s="9"/>
    </row>
    <row r="670" spans="4:17" s="294" customFormat="1" ht="15" customHeight="1">
      <c r="D670" s="10"/>
      <c r="E670" s="10"/>
      <c r="F670" s="9"/>
      <c r="G670" s="9"/>
      <c r="H670" s="9"/>
      <c r="I670" s="9"/>
      <c r="J670" s="9"/>
      <c r="K670" s="9"/>
      <c r="L670" s="9"/>
      <c r="M670" s="9"/>
      <c r="N670" s="9"/>
      <c r="O670" s="9"/>
      <c r="P670" s="9"/>
      <c r="Q670" s="9"/>
    </row>
    <row r="671" spans="4:17" s="294" customFormat="1" ht="15" customHeight="1">
      <c r="D671" s="10"/>
      <c r="E671" s="10"/>
      <c r="F671" s="9"/>
      <c r="G671" s="9"/>
      <c r="H671" s="9"/>
      <c r="I671" s="9"/>
      <c r="J671" s="9"/>
      <c r="K671" s="9"/>
      <c r="L671" s="9"/>
      <c r="M671" s="9"/>
      <c r="N671" s="9"/>
      <c r="O671" s="9"/>
      <c r="P671" s="9"/>
      <c r="Q671" s="9"/>
    </row>
    <row r="672" spans="4:17" s="294" customFormat="1" ht="15" customHeight="1">
      <c r="D672" s="10"/>
      <c r="E672" s="10"/>
      <c r="F672" s="9"/>
      <c r="G672" s="9"/>
      <c r="H672" s="9"/>
      <c r="I672" s="9"/>
      <c r="J672" s="9"/>
      <c r="K672" s="9"/>
      <c r="L672" s="9"/>
      <c r="M672" s="9"/>
      <c r="N672" s="9"/>
      <c r="O672" s="9"/>
      <c r="P672" s="9"/>
      <c r="Q672" s="9"/>
    </row>
    <row r="673" spans="4:17" s="294" customFormat="1" ht="15" customHeight="1">
      <c r="D673" s="10"/>
      <c r="E673" s="10"/>
      <c r="F673" s="9"/>
      <c r="G673" s="9"/>
      <c r="H673" s="9"/>
      <c r="I673" s="9"/>
      <c r="J673" s="9"/>
      <c r="K673" s="9"/>
      <c r="L673" s="9"/>
      <c r="M673" s="9"/>
      <c r="N673" s="9"/>
      <c r="O673" s="9"/>
      <c r="P673" s="9"/>
      <c r="Q673" s="9"/>
    </row>
    <row r="674" spans="4:17" s="294" customFormat="1" ht="15" customHeight="1">
      <c r="D674" s="10"/>
      <c r="E674" s="10"/>
      <c r="F674" s="9"/>
      <c r="G674" s="9"/>
      <c r="H674" s="9"/>
      <c r="I674" s="9"/>
      <c r="J674" s="9"/>
      <c r="K674" s="9"/>
      <c r="L674" s="9"/>
      <c r="M674" s="9"/>
      <c r="N674" s="9"/>
      <c r="O674" s="9"/>
      <c r="P674" s="9"/>
      <c r="Q674" s="9"/>
    </row>
    <row r="675" spans="4:17" s="294" customFormat="1" ht="15" customHeight="1">
      <c r="D675" s="10"/>
      <c r="E675" s="10"/>
      <c r="F675" s="9"/>
      <c r="G675" s="9"/>
      <c r="H675" s="9"/>
      <c r="I675" s="9"/>
      <c r="J675" s="9"/>
      <c r="K675" s="9"/>
      <c r="L675" s="9"/>
      <c r="M675" s="9"/>
      <c r="N675" s="9"/>
      <c r="O675" s="9"/>
      <c r="P675" s="9"/>
      <c r="Q675" s="9"/>
    </row>
    <row r="676" spans="4:17" s="294" customFormat="1" ht="15" customHeight="1">
      <c r="D676" s="10"/>
      <c r="E676" s="10"/>
      <c r="F676" s="9"/>
      <c r="G676" s="9"/>
      <c r="H676" s="9"/>
      <c r="I676" s="9"/>
      <c r="J676" s="9"/>
      <c r="K676" s="9"/>
      <c r="L676" s="9"/>
      <c r="M676" s="9"/>
      <c r="N676" s="9"/>
      <c r="O676" s="9"/>
      <c r="P676" s="9"/>
      <c r="Q676" s="9"/>
    </row>
    <row r="677" spans="4:17" s="294" customFormat="1" ht="15" customHeight="1">
      <c r="D677" s="10"/>
      <c r="E677" s="10"/>
      <c r="F677" s="9"/>
      <c r="G677" s="9"/>
      <c r="H677" s="9"/>
      <c r="I677" s="9"/>
      <c r="J677" s="9"/>
      <c r="K677" s="9"/>
      <c r="L677" s="9"/>
      <c r="M677" s="9"/>
      <c r="N677" s="9"/>
      <c r="O677" s="9"/>
      <c r="P677" s="9"/>
      <c r="Q677" s="9"/>
    </row>
    <row r="678" spans="4:17" s="294" customFormat="1" ht="15" customHeight="1">
      <c r="D678" s="10"/>
      <c r="E678" s="10"/>
      <c r="F678" s="9"/>
      <c r="G678" s="9"/>
      <c r="H678" s="9"/>
      <c r="I678" s="9"/>
      <c r="J678" s="9"/>
      <c r="K678" s="9"/>
      <c r="L678" s="9"/>
      <c r="M678" s="9"/>
      <c r="N678" s="9"/>
      <c r="O678" s="9"/>
      <c r="P678" s="9"/>
      <c r="Q678" s="9"/>
    </row>
    <row r="679" spans="4:17" s="294" customFormat="1" ht="15" customHeight="1">
      <c r="D679" s="10"/>
      <c r="E679" s="10"/>
      <c r="F679" s="9"/>
      <c r="G679" s="9"/>
      <c r="H679" s="9"/>
      <c r="I679" s="9"/>
      <c r="J679" s="9"/>
      <c r="K679" s="9"/>
      <c r="L679" s="9"/>
      <c r="M679" s="9"/>
      <c r="N679" s="9"/>
      <c r="O679" s="9"/>
      <c r="P679" s="9"/>
      <c r="Q679" s="9"/>
    </row>
    <row r="680" spans="4:17" s="294" customFormat="1" ht="15" customHeight="1">
      <c r="D680" s="10"/>
      <c r="E680" s="10"/>
      <c r="F680" s="9"/>
      <c r="G680" s="9"/>
      <c r="H680" s="9"/>
      <c r="I680" s="9"/>
      <c r="J680" s="9"/>
      <c r="K680" s="9"/>
      <c r="L680" s="9"/>
      <c r="M680" s="9"/>
      <c r="N680" s="9"/>
      <c r="O680" s="9"/>
      <c r="P680" s="9"/>
      <c r="Q680" s="9"/>
    </row>
    <row r="681" spans="4:17" s="294" customFormat="1" ht="15" customHeight="1">
      <c r="D681" s="10"/>
      <c r="E681" s="10"/>
      <c r="F681" s="9"/>
      <c r="G681" s="9"/>
      <c r="H681" s="9"/>
      <c r="I681" s="9"/>
      <c r="J681" s="9"/>
      <c r="K681" s="9"/>
      <c r="L681" s="9"/>
      <c r="M681" s="9"/>
      <c r="N681" s="9"/>
      <c r="O681" s="9"/>
      <c r="P681" s="9"/>
      <c r="Q681" s="9"/>
    </row>
    <row r="682" spans="4:17" s="294" customFormat="1" ht="15" customHeight="1">
      <c r="D682" s="10"/>
      <c r="E682" s="10"/>
      <c r="F682" s="9"/>
      <c r="G682" s="9"/>
      <c r="H682" s="9"/>
      <c r="I682" s="9"/>
      <c r="J682" s="9"/>
      <c r="K682" s="9"/>
      <c r="L682" s="9"/>
      <c r="M682" s="9"/>
      <c r="N682" s="9"/>
      <c r="O682" s="9"/>
      <c r="P682" s="9"/>
      <c r="Q682" s="9"/>
    </row>
    <row r="683" spans="4:17" s="294" customFormat="1" ht="15" customHeight="1">
      <c r="D683" s="10"/>
      <c r="E683" s="10"/>
      <c r="F683" s="9"/>
      <c r="G683" s="9"/>
      <c r="H683" s="9"/>
      <c r="I683" s="9"/>
      <c r="J683" s="9"/>
      <c r="K683" s="9"/>
      <c r="L683" s="9"/>
      <c r="M683" s="9"/>
      <c r="N683" s="9"/>
      <c r="O683" s="9"/>
      <c r="P683" s="9"/>
      <c r="Q683" s="9"/>
    </row>
    <row r="684" spans="4:17" s="294" customFormat="1" ht="15" customHeight="1">
      <c r="D684" s="10"/>
      <c r="E684" s="10"/>
      <c r="F684" s="9"/>
      <c r="G684" s="9"/>
      <c r="H684" s="9"/>
      <c r="I684" s="9"/>
      <c r="J684" s="9"/>
      <c r="K684" s="9"/>
      <c r="L684" s="9"/>
      <c r="M684" s="9"/>
      <c r="N684" s="9"/>
      <c r="O684" s="9"/>
      <c r="P684" s="9"/>
      <c r="Q684" s="9"/>
    </row>
    <row r="685" spans="4:17" s="294" customFormat="1" ht="15" customHeight="1">
      <c r="D685" s="10"/>
      <c r="E685" s="10"/>
      <c r="F685" s="9"/>
      <c r="G685" s="9"/>
      <c r="H685" s="9"/>
      <c r="I685" s="9"/>
      <c r="J685" s="9"/>
      <c r="K685" s="9"/>
      <c r="L685" s="9"/>
      <c r="M685" s="9"/>
      <c r="N685" s="9"/>
      <c r="O685" s="9"/>
      <c r="P685" s="9"/>
      <c r="Q685" s="9"/>
    </row>
    <row r="686" spans="4:17" s="294" customFormat="1" ht="15" customHeight="1">
      <c r="D686" s="10"/>
      <c r="E686" s="10"/>
      <c r="F686" s="9"/>
      <c r="G686" s="9"/>
      <c r="H686" s="9"/>
      <c r="I686" s="9"/>
      <c r="J686" s="9"/>
      <c r="K686" s="9"/>
      <c r="L686" s="9"/>
      <c r="M686" s="9"/>
      <c r="N686" s="9"/>
      <c r="O686" s="9"/>
      <c r="P686" s="9"/>
      <c r="Q686" s="9"/>
    </row>
    <row r="687" spans="4:17" s="294" customFormat="1" ht="15" customHeight="1">
      <c r="D687" s="10"/>
      <c r="E687" s="10"/>
      <c r="F687" s="9"/>
      <c r="G687" s="9"/>
      <c r="H687" s="9"/>
      <c r="I687" s="9"/>
      <c r="J687" s="9"/>
      <c r="K687" s="9"/>
      <c r="L687" s="9"/>
      <c r="M687" s="9"/>
      <c r="N687" s="9"/>
      <c r="O687" s="9"/>
      <c r="P687" s="9"/>
      <c r="Q687" s="9"/>
    </row>
    <row r="688" spans="4:17" s="294" customFormat="1" ht="15" customHeight="1">
      <c r="D688" s="10"/>
      <c r="E688" s="10"/>
      <c r="F688" s="9"/>
      <c r="G688" s="9"/>
      <c r="H688" s="9"/>
      <c r="I688" s="9"/>
      <c r="J688" s="9"/>
      <c r="K688" s="9"/>
      <c r="L688" s="9"/>
      <c r="M688" s="9"/>
      <c r="N688" s="9"/>
      <c r="O688" s="9"/>
      <c r="P688" s="9"/>
      <c r="Q688" s="9"/>
    </row>
    <row r="689" spans="4:17" s="294" customFormat="1" ht="15" customHeight="1">
      <c r="D689" s="10"/>
      <c r="E689" s="10"/>
      <c r="F689" s="9"/>
      <c r="G689" s="9"/>
      <c r="H689" s="9"/>
      <c r="I689" s="9"/>
      <c r="J689" s="9"/>
      <c r="K689" s="9"/>
      <c r="L689" s="9"/>
      <c r="M689" s="9"/>
      <c r="N689" s="9"/>
      <c r="O689" s="9"/>
      <c r="P689" s="9"/>
      <c r="Q689" s="9"/>
    </row>
    <row r="690" spans="4:17" s="294" customFormat="1" ht="15" customHeight="1">
      <c r="D690" s="10"/>
      <c r="E690" s="10"/>
      <c r="F690" s="9"/>
      <c r="G690" s="9"/>
      <c r="H690" s="9"/>
      <c r="I690" s="9"/>
      <c r="J690" s="9"/>
      <c r="K690" s="9"/>
      <c r="L690" s="9"/>
      <c r="M690" s="9"/>
      <c r="N690" s="9"/>
      <c r="O690" s="9"/>
      <c r="P690" s="9"/>
      <c r="Q690" s="9"/>
    </row>
    <row r="691" spans="4:17" s="294" customFormat="1" ht="15" customHeight="1">
      <c r="D691" s="10"/>
      <c r="E691" s="10"/>
      <c r="F691" s="9"/>
      <c r="G691" s="9"/>
      <c r="H691" s="9"/>
      <c r="I691" s="9"/>
      <c r="J691" s="9"/>
      <c r="K691" s="9"/>
      <c r="L691" s="9"/>
      <c r="M691" s="9"/>
      <c r="N691" s="9"/>
      <c r="O691" s="9"/>
      <c r="P691" s="9"/>
      <c r="Q691" s="9"/>
    </row>
    <row r="692" spans="4:17" s="294" customFormat="1" ht="15" customHeight="1">
      <c r="D692" s="10"/>
      <c r="E692" s="10"/>
      <c r="F692" s="9"/>
      <c r="G692" s="9"/>
      <c r="H692" s="9"/>
      <c r="I692" s="9"/>
      <c r="J692" s="9"/>
      <c r="K692" s="9"/>
      <c r="L692" s="9"/>
      <c r="M692" s="9"/>
      <c r="N692" s="9"/>
      <c r="O692" s="9"/>
      <c r="P692" s="9"/>
      <c r="Q692" s="9"/>
    </row>
    <row r="693" spans="4:17" s="294" customFormat="1" ht="15" customHeight="1">
      <c r="D693" s="10"/>
      <c r="E693" s="10"/>
      <c r="F693" s="9"/>
      <c r="G693" s="9"/>
      <c r="H693" s="9"/>
      <c r="I693" s="9"/>
      <c r="J693" s="9"/>
      <c r="K693" s="9"/>
      <c r="L693" s="9"/>
      <c r="M693" s="9"/>
      <c r="N693" s="9"/>
      <c r="O693" s="9"/>
      <c r="P693" s="9"/>
      <c r="Q693" s="9"/>
    </row>
    <row r="694" spans="4:17" s="294" customFormat="1" ht="15" customHeight="1">
      <c r="D694" s="10"/>
      <c r="E694" s="10"/>
      <c r="F694" s="9"/>
      <c r="G694" s="9"/>
      <c r="H694" s="9"/>
      <c r="I694" s="9"/>
      <c r="J694" s="9"/>
      <c r="K694" s="9"/>
      <c r="L694" s="9"/>
      <c r="M694" s="9"/>
      <c r="N694" s="9"/>
      <c r="O694" s="9"/>
      <c r="P694" s="9"/>
      <c r="Q694" s="9"/>
    </row>
    <row r="695" spans="4:17" s="294" customFormat="1" ht="15" customHeight="1">
      <c r="D695" s="10"/>
      <c r="E695" s="10"/>
      <c r="F695" s="9"/>
      <c r="G695" s="9"/>
      <c r="H695" s="9"/>
      <c r="I695" s="9"/>
      <c r="J695" s="9"/>
      <c r="K695" s="9"/>
      <c r="L695" s="9"/>
      <c r="M695" s="9"/>
      <c r="N695" s="9"/>
      <c r="O695" s="9"/>
      <c r="P695" s="9"/>
      <c r="Q695" s="9"/>
    </row>
    <row r="696" spans="4:17" s="294" customFormat="1" ht="15" customHeight="1">
      <c r="D696" s="10"/>
      <c r="E696" s="10"/>
      <c r="F696" s="9"/>
      <c r="G696" s="9"/>
      <c r="H696" s="9"/>
      <c r="I696" s="9"/>
      <c r="J696" s="9"/>
      <c r="K696" s="9"/>
      <c r="L696" s="9"/>
      <c r="M696" s="9"/>
      <c r="N696" s="9"/>
      <c r="O696" s="9"/>
      <c r="P696" s="9"/>
      <c r="Q696" s="9"/>
    </row>
    <row r="697" spans="4:17" s="294" customFormat="1" ht="15" customHeight="1">
      <c r="D697" s="10"/>
      <c r="E697" s="10"/>
      <c r="F697" s="9"/>
      <c r="G697" s="9"/>
      <c r="H697" s="9"/>
      <c r="I697" s="9"/>
      <c r="J697" s="9"/>
      <c r="K697" s="9"/>
      <c r="L697" s="9"/>
      <c r="M697" s="9"/>
      <c r="N697" s="9"/>
      <c r="O697" s="9"/>
      <c r="P697" s="9"/>
      <c r="Q697" s="9"/>
    </row>
    <row r="698" spans="4:17" s="294" customFormat="1" ht="15" customHeight="1">
      <c r="D698" s="10"/>
      <c r="E698" s="10"/>
      <c r="F698" s="9"/>
      <c r="G698" s="9"/>
      <c r="H698" s="9"/>
      <c r="I698" s="9"/>
      <c r="J698" s="9"/>
      <c r="K698" s="9"/>
      <c r="L698" s="9"/>
      <c r="M698" s="9"/>
      <c r="N698" s="9"/>
      <c r="O698" s="9"/>
      <c r="P698" s="9"/>
      <c r="Q698" s="9"/>
    </row>
    <row r="699" spans="4:17" s="294" customFormat="1" ht="15" customHeight="1">
      <c r="D699" s="10"/>
      <c r="E699" s="10"/>
      <c r="F699" s="9"/>
      <c r="G699" s="9"/>
      <c r="H699" s="9"/>
      <c r="I699" s="9"/>
      <c r="J699" s="9"/>
      <c r="K699" s="9"/>
      <c r="L699" s="9"/>
      <c r="M699" s="9"/>
      <c r="N699" s="9"/>
      <c r="O699" s="9"/>
      <c r="P699" s="9"/>
      <c r="Q699" s="9"/>
    </row>
    <row r="700" spans="4:17" s="294" customFormat="1" ht="15" customHeight="1">
      <c r="D700" s="10"/>
      <c r="E700" s="10"/>
      <c r="F700" s="9"/>
      <c r="G700" s="9"/>
      <c r="H700" s="9"/>
      <c r="I700" s="9"/>
      <c r="J700" s="9"/>
      <c r="K700" s="9"/>
      <c r="L700" s="9"/>
      <c r="M700" s="9"/>
      <c r="N700" s="9"/>
      <c r="O700" s="9"/>
      <c r="P700" s="9"/>
      <c r="Q700" s="9"/>
    </row>
    <row r="701" spans="4:17" s="294" customFormat="1" ht="15" customHeight="1">
      <c r="D701" s="10"/>
      <c r="E701" s="10"/>
      <c r="F701" s="9"/>
      <c r="G701" s="9"/>
      <c r="H701" s="9"/>
      <c r="I701" s="9"/>
      <c r="J701" s="9"/>
      <c r="K701" s="9"/>
      <c r="L701" s="9"/>
      <c r="M701" s="9"/>
      <c r="N701" s="9"/>
      <c r="O701" s="9"/>
      <c r="P701" s="9"/>
      <c r="Q701" s="9"/>
    </row>
    <row r="702" spans="4:17" s="294" customFormat="1" ht="15" customHeight="1">
      <c r="D702" s="10"/>
      <c r="E702" s="10"/>
      <c r="F702" s="9"/>
      <c r="G702" s="9"/>
      <c r="H702" s="9"/>
      <c r="I702" s="9"/>
      <c r="J702" s="9"/>
      <c r="K702" s="9"/>
      <c r="L702" s="9"/>
      <c r="M702" s="9"/>
      <c r="N702" s="9"/>
      <c r="O702" s="9"/>
      <c r="P702" s="9"/>
      <c r="Q702" s="9"/>
    </row>
    <row r="703" spans="4:17" s="294" customFormat="1" ht="15" customHeight="1">
      <c r="D703" s="10"/>
      <c r="E703" s="10"/>
      <c r="F703" s="9"/>
      <c r="G703" s="9"/>
      <c r="H703" s="9"/>
      <c r="I703" s="9"/>
      <c r="J703" s="9"/>
      <c r="K703" s="9"/>
      <c r="L703" s="9"/>
      <c r="M703" s="9"/>
      <c r="N703" s="9"/>
      <c r="O703" s="9"/>
      <c r="P703" s="9"/>
      <c r="Q703" s="9"/>
    </row>
    <row r="704" spans="4:17" s="294" customFormat="1" ht="15" customHeight="1">
      <c r="D704" s="10"/>
      <c r="E704" s="10"/>
      <c r="F704" s="9"/>
      <c r="G704" s="9"/>
      <c r="H704" s="9"/>
      <c r="I704" s="9"/>
      <c r="J704" s="9"/>
      <c r="K704" s="9"/>
      <c r="L704" s="9"/>
      <c r="M704" s="9"/>
      <c r="N704" s="9"/>
      <c r="O704" s="9"/>
      <c r="P704" s="9"/>
      <c r="Q704" s="9"/>
    </row>
    <row r="705" spans="4:17" s="294" customFormat="1" ht="15" customHeight="1">
      <c r="D705" s="10"/>
      <c r="E705" s="10"/>
      <c r="F705" s="9"/>
      <c r="G705" s="9"/>
      <c r="H705" s="9"/>
      <c r="I705" s="9"/>
      <c r="J705" s="9"/>
      <c r="K705" s="9"/>
      <c r="L705" s="9"/>
      <c r="M705" s="9"/>
      <c r="N705" s="9"/>
      <c r="O705" s="9"/>
      <c r="P705" s="9"/>
      <c r="Q705" s="9"/>
    </row>
    <row r="706" spans="4:17" s="294" customFormat="1" ht="15" customHeight="1">
      <c r="D706" s="10"/>
      <c r="E706" s="10"/>
      <c r="F706" s="9"/>
      <c r="G706" s="9"/>
      <c r="H706" s="9"/>
      <c r="I706" s="9"/>
      <c r="J706" s="9"/>
      <c r="K706" s="9"/>
      <c r="L706" s="9"/>
      <c r="M706" s="9"/>
      <c r="N706" s="9"/>
      <c r="O706" s="9"/>
      <c r="P706" s="9"/>
      <c r="Q706" s="9"/>
    </row>
    <row r="707" spans="4:17" s="294" customFormat="1" ht="15" customHeight="1">
      <c r="D707" s="10"/>
      <c r="E707" s="10"/>
      <c r="F707" s="9"/>
      <c r="G707" s="9"/>
      <c r="H707" s="9"/>
      <c r="I707" s="9"/>
      <c r="J707" s="9"/>
      <c r="K707" s="9"/>
      <c r="L707" s="9"/>
      <c r="M707" s="9"/>
      <c r="N707" s="9"/>
      <c r="O707" s="9"/>
      <c r="P707" s="9"/>
      <c r="Q707" s="9"/>
    </row>
    <row r="708" spans="4:17" s="294" customFormat="1" ht="15" customHeight="1">
      <c r="D708" s="10"/>
      <c r="E708" s="10"/>
      <c r="F708" s="9"/>
      <c r="G708" s="9"/>
      <c r="H708" s="9"/>
      <c r="I708" s="9"/>
      <c r="J708" s="9"/>
      <c r="K708" s="9"/>
      <c r="L708" s="9"/>
      <c r="M708" s="9"/>
      <c r="N708" s="9"/>
      <c r="O708" s="9"/>
      <c r="P708" s="9"/>
      <c r="Q708" s="9"/>
    </row>
    <row r="709" spans="4:17" s="294" customFormat="1" ht="15" customHeight="1">
      <c r="D709" s="10"/>
      <c r="E709" s="10"/>
      <c r="F709" s="9"/>
      <c r="G709" s="9"/>
      <c r="H709" s="9"/>
      <c r="I709" s="9"/>
      <c r="J709" s="9"/>
      <c r="K709" s="9"/>
      <c r="L709" s="9"/>
      <c r="M709" s="9"/>
      <c r="N709" s="9"/>
      <c r="O709" s="9"/>
      <c r="P709" s="9"/>
      <c r="Q709" s="9"/>
    </row>
    <row r="710" spans="4:17" s="294" customFormat="1" ht="15" customHeight="1">
      <c r="D710" s="10"/>
      <c r="E710" s="10"/>
      <c r="F710" s="9"/>
      <c r="G710" s="9"/>
      <c r="H710" s="9"/>
      <c r="I710" s="9"/>
      <c r="J710" s="9"/>
      <c r="K710" s="9"/>
      <c r="L710" s="9"/>
      <c r="M710" s="9"/>
      <c r="N710" s="9"/>
      <c r="O710" s="9"/>
      <c r="P710" s="9"/>
      <c r="Q710" s="9"/>
    </row>
    <row r="711" spans="4:17" s="294" customFormat="1" ht="15" customHeight="1">
      <c r="D711" s="10"/>
      <c r="E711" s="10"/>
      <c r="F711" s="9"/>
      <c r="G711" s="9"/>
      <c r="H711" s="9"/>
      <c r="I711" s="9"/>
      <c r="J711" s="9"/>
      <c r="K711" s="9"/>
      <c r="L711" s="9"/>
      <c r="M711" s="9"/>
      <c r="N711" s="9"/>
      <c r="O711" s="9"/>
      <c r="P711" s="9"/>
      <c r="Q711" s="9"/>
    </row>
    <row r="712" spans="4:17" s="294" customFormat="1" ht="15" customHeight="1">
      <c r="D712" s="10"/>
      <c r="E712" s="10"/>
      <c r="F712" s="9"/>
      <c r="G712" s="9"/>
      <c r="H712" s="9"/>
      <c r="I712" s="9"/>
      <c r="J712" s="9"/>
      <c r="K712" s="9"/>
      <c r="L712" s="9"/>
      <c r="M712" s="9"/>
      <c r="N712" s="9"/>
      <c r="O712" s="9"/>
      <c r="P712" s="9"/>
      <c r="Q712" s="9"/>
    </row>
    <row r="713" spans="4:17" s="294" customFormat="1" ht="15" customHeight="1">
      <c r="D713" s="10"/>
      <c r="E713" s="10"/>
      <c r="F713" s="9"/>
      <c r="G713" s="9"/>
      <c r="H713" s="9"/>
      <c r="I713" s="9"/>
      <c r="J713" s="9"/>
      <c r="K713" s="9"/>
      <c r="L713" s="9"/>
      <c r="M713" s="9"/>
      <c r="N713" s="9"/>
      <c r="O713" s="9"/>
      <c r="P713" s="9"/>
      <c r="Q713" s="9"/>
    </row>
    <row r="714" spans="4:17" s="294" customFormat="1" ht="15" customHeight="1">
      <c r="D714" s="10"/>
      <c r="E714" s="10"/>
      <c r="F714" s="9"/>
      <c r="G714" s="9"/>
      <c r="H714" s="9"/>
      <c r="I714" s="9"/>
      <c r="J714" s="9"/>
      <c r="K714" s="9"/>
      <c r="L714" s="9"/>
      <c r="M714" s="9"/>
      <c r="N714" s="9"/>
      <c r="O714" s="9"/>
      <c r="P714" s="9"/>
      <c r="Q714" s="9"/>
    </row>
    <row r="715" spans="4:17" s="294" customFormat="1" ht="15" customHeight="1">
      <c r="D715" s="10"/>
      <c r="E715" s="10"/>
      <c r="F715" s="9"/>
      <c r="G715" s="9"/>
      <c r="H715" s="9"/>
      <c r="I715" s="9"/>
      <c r="J715" s="9"/>
      <c r="K715" s="9"/>
      <c r="L715" s="9"/>
      <c r="M715" s="9"/>
      <c r="N715" s="9"/>
      <c r="O715" s="9"/>
      <c r="P715" s="9"/>
      <c r="Q715" s="9"/>
    </row>
    <row r="716" spans="4:17" s="294" customFormat="1" ht="15" customHeight="1">
      <c r="D716" s="10"/>
      <c r="E716" s="10"/>
      <c r="F716" s="9"/>
      <c r="G716" s="9"/>
      <c r="H716" s="9"/>
      <c r="I716" s="9"/>
      <c r="J716" s="9"/>
      <c r="K716" s="9"/>
      <c r="L716" s="9"/>
      <c r="M716" s="9"/>
      <c r="N716" s="9"/>
      <c r="O716" s="9"/>
      <c r="P716" s="9"/>
      <c r="Q716" s="9"/>
    </row>
    <row r="717" spans="4:17" s="294" customFormat="1" ht="15" customHeight="1">
      <c r="D717" s="10"/>
      <c r="E717" s="10"/>
      <c r="F717" s="9"/>
      <c r="G717" s="9"/>
      <c r="H717" s="9"/>
      <c r="I717" s="9"/>
      <c r="J717" s="9"/>
      <c r="K717" s="9"/>
      <c r="L717" s="9"/>
      <c r="M717" s="9"/>
      <c r="N717" s="9"/>
      <c r="O717" s="9"/>
      <c r="P717" s="9"/>
      <c r="Q717" s="9"/>
    </row>
    <row r="718" spans="4:17" s="294" customFormat="1" ht="15" customHeight="1">
      <c r="D718" s="10"/>
      <c r="E718" s="10"/>
      <c r="F718" s="9"/>
      <c r="G718" s="9"/>
      <c r="H718" s="9"/>
      <c r="I718" s="9"/>
      <c r="J718" s="9"/>
      <c r="K718" s="9"/>
      <c r="L718" s="9"/>
      <c r="M718" s="9"/>
      <c r="N718" s="9"/>
      <c r="O718" s="9"/>
      <c r="P718" s="9"/>
      <c r="Q718" s="9"/>
    </row>
    <row r="719" spans="4:17" s="294" customFormat="1" ht="15" customHeight="1">
      <c r="D719" s="10"/>
      <c r="E719" s="10"/>
      <c r="F719" s="9"/>
      <c r="G719" s="9"/>
      <c r="H719" s="9"/>
      <c r="I719" s="9"/>
      <c r="J719" s="9"/>
      <c r="K719" s="9"/>
      <c r="L719" s="9"/>
      <c r="M719" s="9"/>
      <c r="N719" s="9"/>
      <c r="O719" s="9"/>
      <c r="P719" s="9"/>
      <c r="Q719" s="9"/>
    </row>
    <row r="720" spans="4:17" s="294" customFormat="1" ht="15" customHeight="1">
      <c r="D720" s="10"/>
      <c r="E720" s="10"/>
      <c r="F720" s="9"/>
      <c r="G720" s="9"/>
      <c r="H720" s="9"/>
      <c r="I720" s="9"/>
      <c r="J720" s="9"/>
      <c r="K720" s="9"/>
      <c r="L720" s="9"/>
      <c r="M720" s="9"/>
      <c r="N720" s="9"/>
      <c r="O720" s="9"/>
      <c r="P720" s="9"/>
      <c r="Q720" s="9"/>
    </row>
    <row r="721" spans="4:17" s="294" customFormat="1" ht="15" customHeight="1">
      <c r="D721" s="10"/>
      <c r="E721" s="10"/>
      <c r="F721" s="9"/>
      <c r="G721" s="9"/>
      <c r="H721" s="9"/>
      <c r="I721" s="9"/>
      <c r="J721" s="9"/>
      <c r="K721" s="9"/>
      <c r="L721" s="9"/>
      <c r="M721" s="9"/>
      <c r="N721" s="9"/>
      <c r="O721" s="9"/>
      <c r="P721" s="9"/>
      <c r="Q721" s="9"/>
    </row>
    <row r="722" spans="4:17" s="294" customFormat="1" ht="15" customHeight="1">
      <c r="D722" s="10"/>
      <c r="E722" s="10"/>
      <c r="F722" s="9"/>
      <c r="G722" s="9"/>
      <c r="H722" s="9"/>
      <c r="I722" s="9"/>
      <c r="J722" s="9"/>
      <c r="K722" s="9"/>
      <c r="L722" s="9"/>
      <c r="M722" s="9"/>
      <c r="N722" s="9"/>
      <c r="O722" s="9"/>
      <c r="P722" s="9"/>
      <c r="Q722" s="9"/>
    </row>
    <row r="723" spans="4:17" s="294" customFormat="1" ht="15" customHeight="1">
      <c r="D723" s="10"/>
      <c r="E723" s="10"/>
      <c r="F723" s="9"/>
      <c r="G723" s="9"/>
      <c r="H723" s="9"/>
      <c r="I723" s="9"/>
      <c r="J723" s="9"/>
      <c r="K723" s="9"/>
      <c r="L723" s="9"/>
      <c r="M723" s="9"/>
      <c r="N723" s="9"/>
      <c r="O723" s="9"/>
      <c r="P723" s="9"/>
      <c r="Q723" s="9"/>
    </row>
    <row r="724" spans="4:17" s="294" customFormat="1" ht="15" customHeight="1">
      <c r="D724" s="10"/>
      <c r="E724" s="10"/>
      <c r="F724" s="9"/>
      <c r="G724" s="9"/>
      <c r="H724" s="9"/>
      <c r="I724" s="9"/>
      <c r="J724" s="9"/>
      <c r="K724" s="9"/>
      <c r="L724" s="9"/>
      <c r="M724" s="9"/>
      <c r="N724" s="9"/>
      <c r="O724" s="9"/>
      <c r="P724" s="9"/>
      <c r="Q724" s="9"/>
    </row>
    <row r="725" spans="4:17" s="294" customFormat="1" ht="15" customHeight="1">
      <c r="D725" s="10"/>
      <c r="E725" s="10"/>
      <c r="F725" s="9"/>
      <c r="G725" s="9"/>
      <c r="H725" s="9"/>
      <c r="I725" s="9"/>
      <c r="J725" s="9"/>
      <c r="K725" s="9"/>
      <c r="L725" s="9"/>
      <c r="M725" s="9"/>
      <c r="N725" s="9"/>
      <c r="O725" s="9"/>
      <c r="P725" s="9"/>
      <c r="Q725" s="9"/>
    </row>
    <row r="726" spans="4:17" s="294" customFormat="1" ht="15" customHeight="1">
      <c r="D726" s="10"/>
      <c r="E726" s="10"/>
      <c r="F726" s="9"/>
      <c r="G726" s="9"/>
      <c r="H726" s="9"/>
      <c r="I726" s="9"/>
      <c r="J726" s="9"/>
      <c r="K726" s="9"/>
      <c r="L726" s="9"/>
      <c r="M726" s="9"/>
      <c r="N726" s="9"/>
      <c r="O726" s="9"/>
      <c r="P726" s="9"/>
      <c r="Q726" s="9"/>
    </row>
    <row r="727" spans="4:17" s="294" customFormat="1" ht="15" customHeight="1">
      <c r="D727" s="10"/>
      <c r="E727" s="10"/>
      <c r="F727" s="9"/>
      <c r="G727" s="9"/>
      <c r="H727" s="9"/>
      <c r="I727" s="9"/>
      <c r="J727" s="9"/>
      <c r="K727" s="9"/>
      <c r="L727" s="9"/>
      <c r="M727" s="9"/>
      <c r="N727" s="9"/>
      <c r="O727" s="9"/>
      <c r="P727" s="9"/>
      <c r="Q727" s="9"/>
    </row>
    <row r="728" spans="4:17" s="294" customFormat="1" ht="15" customHeight="1">
      <c r="D728" s="10"/>
      <c r="E728" s="10"/>
      <c r="F728" s="9"/>
      <c r="G728" s="9"/>
      <c r="H728" s="9"/>
      <c r="I728" s="9"/>
      <c r="J728" s="9"/>
      <c r="K728" s="9"/>
      <c r="L728" s="9"/>
      <c r="M728" s="9"/>
      <c r="N728" s="9"/>
      <c r="O728" s="9"/>
      <c r="P728" s="9"/>
      <c r="Q728" s="9"/>
    </row>
    <row r="729" spans="4:17" s="294" customFormat="1" ht="15" customHeight="1">
      <c r="D729" s="10"/>
      <c r="E729" s="10"/>
      <c r="F729" s="9"/>
      <c r="G729" s="9"/>
      <c r="H729" s="9"/>
      <c r="I729" s="9"/>
      <c r="J729" s="9"/>
      <c r="K729" s="9"/>
      <c r="L729" s="9"/>
      <c r="M729" s="9"/>
      <c r="N729" s="9"/>
      <c r="O729" s="9"/>
      <c r="P729" s="9"/>
      <c r="Q729" s="9"/>
    </row>
    <row r="730" spans="4:17" s="294" customFormat="1" ht="15" customHeight="1">
      <c r="D730" s="10"/>
      <c r="E730" s="10"/>
      <c r="F730" s="9"/>
      <c r="G730" s="9"/>
      <c r="H730" s="9"/>
      <c r="I730" s="9"/>
      <c r="J730" s="9"/>
      <c r="K730" s="9"/>
      <c r="L730" s="9"/>
      <c r="M730" s="9"/>
      <c r="N730" s="9"/>
      <c r="O730" s="9"/>
      <c r="P730" s="9"/>
      <c r="Q730" s="9"/>
    </row>
    <row r="731" spans="4:17" s="294" customFormat="1" ht="15" customHeight="1">
      <c r="D731" s="10"/>
      <c r="E731" s="10"/>
      <c r="F731" s="9"/>
      <c r="G731" s="9"/>
      <c r="H731" s="9"/>
      <c r="I731" s="9"/>
      <c r="J731" s="9"/>
      <c r="K731" s="9"/>
      <c r="L731" s="9"/>
      <c r="M731" s="9"/>
      <c r="N731" s="9"/>
      <c r="O731" s="9"/>
      <c r="P731" s="9"/>
      <c r="Q731" s="9"/>
    </row>
    <row r="732" spans="4:17" s="294" customFormat="1" ht="15" customHeight="1">
      <c r="D732" s="10"/>
      <c r="E732" s="10"/>
      <c r="F732" s="9"/>
      <c r="G732" s="9"/>
      <c r="H732" s="9"/>
      <c r="I732" s="9"/>
      <c r="J732" s="9"/>
      <c r="K732" s="9"/>
      <c r="L732" s="9"/>
      <c r="M732" s="9"/>
      <c r="N732" s="9"/>
      <c r="O732" s="9"/>
      <c r="P732" s="9"/>
      <c r="Q732" s="9"/>
    </row>
    <row r="733" spans="4:17" s="294" customFormat="1" ht="15" customHeight="1">
      <c r="D733" s="10"/>
      <c r="E733" s="10"/>
      <c r="F733" s="9"/>
      <c r="G733" s="9"/>
      <c r="H733" s="9"/>
      <c r="I733" s="9"/>
      <c r="J733" s="9"/>
      <c r="K733" s="9"/>
      <c r="L733" s="9"/>
      <c r="M733" s="9"/>
      <c r="N733" s="9"/>
      <c r="O733" s="9"/>
      <c r="P733" s="9"/>
      <c r="Q733" s="9"/>
    </row>
    <row r="734" spans="4:17" s="294" customFormat="1" ht="15" customHeight="1">
      <c r="D734" s="10"/>
      <c r="E734" s="10"/>
      <c r="F734" s="9"/>
      <c r="G734" s="9"/>
      <c r="H734" s="9"/>
      <c r="I734" s="9"/>
      <c r="J734" s="9"/>
      <c r="K734" s="9"/>
      <c r="L734" s="9"/>
      <c r="M734" s="9"/>
      <c r="N734" s="9"/>
      <c r="O734" s="9"/>
      <c r="P734" s="9"/>
      <c r="Q734" s="9"/>
    </row>
    <row r="735" spans="4:17" s="294" customFormat="1" ht="15" customHeight="1">
      <c r="D735" s="10"/>
      <c r="E735" s="10"/>
      <c r="F735" s="9"/>
      <c r="G735" s="9"/>
      <c r="H735" s="9"/>
      <c r="I735" s="9"/>
      <c r="J735" s="9"/>
      <c r="K735" s="9"/>
      <c r="L735" s="9"/>
      <c r="M735" s="9"/>
      <c r="N735" s="9"/>
      <c r="O735" s="9"/>
      <c r="P735" s="9"/>
      <c r="Q735" s="9"/>
    </row>
    <row r="736" spans="4:17" s="294" customFormat="1" ht="15" customHeight="1">
      <c r="D736" s="10"/>
      <c r="E736" s="10"/>
      <c r="F736" s="9"/>
      <c r="G736" s="9"/>
      <c r="H736" s="9"/>
      <c r="I736" s="9"/>
      <c r="J736" s="9"/>
      <c r="K736" s="9"/>
      <c r="L736" s="9"/>
      <c r="M736" s="9"/>
      <c r="N736" s="9"/>
      <c r="O736" s="9"/>
      <c r="P736" s="9"/>
      <c r="Q736" s="9"/>
    </row>
    <row r="737" spans="4:17" s="294" customFormat="1" ht="15" customHeight="1">
      <c r="D737" s="10"/>
      <c r="E737" s="10"/>
      <c r="F737" s="9"/>
      <c r="G737" s="9"/>
      <c r="H737" s="9"/>
      <c r="I737" s="9"/>
      <c r="J737" s="9"/>
      <c r="K737" s="9"/>
      <c r="L737" s="9"/>
      <c r="M737" s="9"/>
      <c r="N737" s="9"/>
      <c r="O737" s="9"/>
      <c r="P737" s="9"/>
      <c r="Q737" s="9"/>
    </row>
    <row r="738" spans="4:17" s="294" customFormat="1" ht="15" customHeight="1">
      <c r="D738" s="10"/>
      <c r="E738" s="10"/>
      <c r="F738" s="9"/>
      <c r="G738" s="9"/>
      <c r="H738" s="9"/>
      <c r="I738" s="9"/>
      <c r="J738" s="9"/>
      <c r="K738" s="9"/>
      <c r="L738" s="9"/>
      <c r="M738" s="9"/>
      <c r="N738" s="9"/>
      <c r="O738" s="9"/>
      <c r="P738" s="9"/>
      <c r="Q738" s="9"/>
    </row>
    <row r="739" spans="4:17" s="294" customFormat="1" ht="15" customHeight="1">
      <c r="D739" s="10"/>
      <c r="E739" s="10"/>
      <c r="F739" s="9"/>
      <c r="G739" s="9"/>
      <c r="H739" s="9"/>
      <c r="I739" s="9"/>
      <c r="J739" s="9"/>
      <c r="K739" s="9"/>
      <c r="L739" s="9"/>
      <c r="M739" s="9"/>
      <c r="N739" s="9"/>
      <c r="O739" s="9"/>
      <c r="P739" s="9"/>
      <c r="Q739" s="9"/>
    </row>
    <row r="740" spans="4:17" s="294" customFormat="1" ht="15" customHeight="1">
      <c r="D740" s="10"/>
      <c r="E740" s="10"/>
      <c r="F740" s="9"/>
      <c r="G740" s="9"/>
      <c r="H740" s="9"/>
      <c r="I740" s="9"/>
      <c r="J740" s="9"/>
      <c r="K740" s="9"/>
      <c r="L740" s="9"/>
      <c r="M740" s="9"/>
      <c r="N740" s="9"/>
      <c r="O740" s="9"/>
      <c r="P740" s="9"/>
      <c r="Q740" s="9"/>
    </row>
    <row r="741" spans="4:17" s="294" customFormat="1" ht="15" customHeight="1">
      <c r="D741" s="10"/>
      <c r="E741" s="10"/>
      <c r="F741" s="9"/>
      <c r="G741" s="9"/>
      <c r="H741" s="9"/>
      <c r="I741" s="9"/>
      <c r="J741" s="9"/>
      <c r="K741" s="9"/>
      <c r="L741" s="9"/>
      <c r="M741" s="9"/>
      <c r="N741" s="9"/>
      <c r="O741" s="9"/>
      <c r="P741" s="9"/>
      <c r="Q741" s="9"/>
    </row>
    <row r="742" spans="4:17" s="294" customFormat="1" ht="15" customHeight="1">
      <c r="D742" s="10"/>
      <c r="E742" s="10"/>
      <c r="F742" s="9"/>
      <c r="G742" s="9"/>
      <c r="H742" s="9"/>
      <c r="I742" s="9"/>
      <c r="J742" s="9"/>
      <c r="K742" s="9"/>
      <c r="L742" s="9"/>
      <c r="M742" s="9"/>
      <c r="N742" s="9"/>
      <c r="O742" s="9"/>
      <c r="P742" s="9"/>
      <c r="Q742" s="9"/>
    </row>
    <row r="743" spans="4:17" s="294" customFormat="1" ht="15" customHeight="1">
      <c r="D743" s="10"/>
      <c r="E743" s="10"/>
      <c r="F743" s="9"/>
      <c r="G743" s="9"/>
      <c r="H743" s="9"/>
      <c r="I743" s="9"/>
      <c r="J743" s="9"/>
      <c r="K743" s="9"/>
      <c r="L743" s="9"/>
      <c r="M743" s="9"/>
      <c r="N743" s="9"/>
      <c r="O743" s="9"/>
      <c r="P743" s="9"/>
      <c r="Q743" s="9"/>
    </row>
    <row r="744" spans="4:17" s="294" customFormat="1" ht="15" customHeight="1">
      <c r="D744" s="10"/>
      <c r="E744" s="10"/>
      <c r="F744" s="9"/>
      <c r="G744" s="9"/>
      <c r="H744" s="9"/>
      <c r="I744" s="9"/>
      <c r="J744" s="9"/>
      <c r="K744" s="9"/>
      <c r="L744" s="9"/>
      <c r="M744" s="9"/>
      <c r="N744" s="9"/>
      <c r="O744" s="9"/>
      <c r="P744" s="9"/>
      <c r="Q744" s="9"/>
    </row>
    <row r="745" spans="4:17" s="294" customFormat="1" ht="15" customHeight="1">
      <c r="D745" s="10"/>
      <c r="E745" s="10"/>
      <c r="F745" s="9"/>
      <c r="G745" s="9"/>
      <c r="H745" s="9"/>
      <c r="I745" s="9"/>
      <c r="J745" s="9"/>
      <c r="K745" s="9"/>
      <c r="L745" s="9"/>
      <c r="M745" s="9"/>
      <c r="N745" s="9"/>
      <c r="O745" s="9"/>
      <c r="P745" s="9"/>
      <c r="Q745" s="9"/>
    </row>
    <row r="746" spans="4:17" s="294" customFormat="1" ht="15" customHeight="1">
      <c r="D746" s="10"/>
      <c r="E746" s="10"/>
      <c r="F746" s="9"/>
      <c r="G746" s="9"/>
      <c r="H746" s="9"/>
      <c r="I746" s="9"/>
      <c r="J746" s="9"/>
      <c r="K746" s="9"/>
      <c r="L746" s="9"/>
      <c r="M746" s="9"/>
      <c r="N746" s="9"/>
      <c r="O746" s="9"/>
      <c r="P746" s="9"/>
      <c r="Q746" s="9"/>
    </row>
    <row r="747" spans="4:17" s="294" customFormat="1" ht="15" customHeight="1">
      <c r="D747" s="10"/>
      <c r="E747" s="10"/>
      <c r="F747" s="9"/>
      <c r="G747" s="9"/>
      <c r="H747" s="9"/>
      <c r="I747" s="9"/>
      <c r="J747" s="9"/>
      <c r="K747" s="9"/>
      <c r="L747" s="9"/>
      <c r="M747" s="9"/>
      <c r="N747" s="9"/>
      <c r="O747" s="9"/>
      <c r="P747" s="9"/>
      <c r="Q747" s="9"/>
    </row>
    <row r="748" spans="4:17" s="294" customFormat="1" ht="15" customHeight="1">
      <c r="D748" s="10"/>
      <c r="E748" s="10"/>
      <c r="F748" s="9"/>
      <c r="G748" s="9"/>
      <c r="H748" s="9"/>
      <c r="I748" s="9"/>
      <c r="J748" s="9"/>
      <c r="K748" s="9"/>
      <c r="L748" s="9"/>
      <c r="M748" s="9"/>
      <c r="N748" s="9"/>
      <c r="O748" s="9"/>
      <c r="P748" s="9"/>
      <c r="Q748" s="9"/>
    </row>
    <row r="749" spans="4:17" s="294" customFormat="1" ht="15" customHeight="1">
      <c r="D749" s="10"/>
      <c r="E749" s="10"/>
      <c r="F749" s="9"/>
      <c r="G749" s="9"/>
      <c r="H749" s="9"/>
      <c r="I749" s="9"/>
      <c r="J749" s="9"/>
      <c r="K749" s="9"/>
      <c r="L749" s="9"/>
      <c r="M749" s="9"/>
      <c r="N749" s="9"/>
      <c r="O749" s="9"/>
      <c r="P749" s="9"/>
      <c r="Q749" s="9"/>
    </row>
    <row r="750" spans="4:17" s="294" customFormat="1" ht="15" customHeight="1">
      <c r="D750" s="10"/>
      <c r="E750" s="10"/>
      <c r="F750" s="9"/>
      <c r="G750" s="9"/>
      <c r="H750" s="9"/>
      <c r="I750" s="9"/>
      <c r="J750" s="9"/>
      <c r="K750" s="9"/>
      <c r="L750" s="9"/>
      <c r="M750" s="9"/>
      <c r="N750" s="9"/>
      <c r="O750" s="9"/>
      <c r="P750" s="9"/>
      <c r="Q750" s="9"/>
    </row>
    <row r="751" spans="4:17" s="294" customFormat="1" ht="15" customHeight="1">
      <c r="D751" s="10"/>
      <c r="E751" s="10"/>
      <c r="F751" s="9"/>
      <c r="G751" s="9"/>
      <c r="H751" s="9"/>
      <c r="I751" s="9"/>
      <c r="J751" s="9"/>
      <c r="K751" s="9"/>
      <c r="L751" s="9"/>
      <c r="M751" s="9"/>
      <c r="N751" s="9"/>
      <c r="O751" s="9"/>
      <c r="P751" s="9"/>
      <c r="Q751" s="9"/>
    </row>
    <row r="752" spans="4:17" s="294" customFormat="1" ht="15" customHeight="1">
      <c r="D752" s="10"/>
      <c r="E752" s="10"/>
      <c r="F752" s="9"/>
      <c r="G752" s="9"/>
      <c r="H752" s="9"/>
      <c r="I752" s="9"/>
      <c r="J752" s="9"/>
      <c r="K752" s="9"/>
      <c r="L752" s="9"/>
      <c r="M752" s="9"/>
      <c r="N752" s="9"/>
      <c r="O752" s="9"/>
      <c r="P752" s="9"/>
      <c r="Q752" s="9"/>
    </row>
    <row r="753" spans="4:17" s="294" customFormat="1" ht="15" customHeight="1">
      <c r="D753" s="10"/>
      <c r="E753" s="10"/>
      <c r="F753" s="9"/>
      <c r="G753" s="9"/>
      <c r="H753" s="9"/>
      <c r="I753" s="9"/>
      <c r="J753" s="9"/>
      <c r="K753" s="9"/>
      <c r="L753" s="9"/>
      <c r="M753" s="9"/>
      <c r="N753" s="9"/>
      <c r="O753" s="9"/>
      <c r="P753" s="9"/>
      <c r="Q753" s="9"/>
    </row>
    <row r="754" spans="4:17" s="294" customFormat="1" ht="15" customHeight="1">
      <c r="D754" s="10"/>
      <c r="E754" s="10"/>
      <c r="F754" s="9"/>
      <c r="G754" s="9"/>
      <c r="H754" s="9"/>
      <c r="I754" s="9"/>
      <c r="J754" s="9"/>
      <c r="K754" s="9"/>
      <c r="L754" s="9"/>
      <c r="M754" s="9"/>
      <c r="N754" s="9"/>
      <c r="O754" s="9"/>
      <c r="P754" s="9"/>
      <c r="Q754" s="9"/>
    </row>
    <row r="755" spans="4:17" s="294" customFormat="1" ht="15" customHeight="1">
      <c r="D755" s="10"/>
      <c r="E755" s="10"/>
      <c r="F755" s="9"/>
      <c r="G755" s="9"/>
      <c r="H755" s="9"/>
      <c r="I755" s="9"/>
      <c r="J755" s="9"/>
      <c r="K755" s="9"/>
      <c r="L755" s="9"/>
      <c r="M755" s="9"/>
      <c r="N755" s="9"/>
      <c r="O755" s="9"/>
      <c r="P755" s="9"/>
      <c r="Q755" s="9"/>
    </row>
    <row r="756" spans="4:17" s="294" customFormat="1" ht="15" customHeight="1">
      <c r="D756" s="10"/>
      <c r="E756" s="10"/>
      <c r="F756" s="9"/>
      <c r="G756" s="9"/>
      <c r="H756" s="9"/>
      <c r="I756" s="9"/>
      <c r="J756" s="9"/>
      <c r="K756" s="9"/>
      <c r="L756" s="9"/>
      <c r="M756" s="9"/>
      <c r="N756" s="9"/>
      <c r="O756" s="9"/>
      <c r="P756" s="9"/>
      <c r="Q756" s="9"/>
    </row>
    <row r="757" spans="4:17" s="294" customFormat="1" ht="15" customHeight="1">
      <c r="D757" s="10"/>
      <c r="E757" s="10"/>
      <c r="F757" s="9"/>
      <c r="G757" s="9"/>
      <c r="H757" s="9"/>
      <c r="I757" s="9"/>
      <c r="J757" s="9"/>
      <c r="K757" s="9"/>
      <c r="L757" s="9"/>
      <c r="M757" s="9"/>
      <c r="N757" s="9"/>
      <c r="O757" s="9"/>
      <c r="P757" s="9"/>
      <c r="Q757" s="9"/>
    </row>
    <row r="758" spans="4:17" s="294" customFormat="1" ht="15" customHeight="1">
      <c r="D758" s="10"/>
      <c r="E758" s="10"/>
      <c r="F758" s="9"/>
      <c r="G758" s="9"/>
      <c r="H758" s="9"/>
      <c r="I758" s="9"/>
      <c r="J758" s="9"/>
      <c r="K758" s="9"/>
      <c r="L758" s="9"/>
      <c r="M758" s="9"/>
      <c r="N758" s="9"/>
      <c r="O758" s="9"/>
      <c r="P758" s="9"/>
      <c r="Q758" s="9"/>
    </row>
    <row r="759" spans="4:17" s="294" customFormat="1" ht="15" customHeight="1">
      <c r="D759" s="10"/>
      <c r="E759" s="10"/>
      <c r="F759" s="9"/>
      <c r="G759" s="9"/>
      <c r="H759" s="9"/>
      <c r="I759" s="9"/>
      <c r="J759" s="9"/>
      <c r="K759" s="9"/>
      <c r="L759" s="9"/>
      <c r="M759" s="9"/>
      <c r="N759" s="9"/>
      <c r="O759" s="9"/>
      <c r="P759" s="9"/>
      <c r="Q759" s="9"/>
    </row>
    <row r="760" spans="4:17" s="294" customFormat="1" ht="15" customHeight="1">
      <c r="D760" s="10"/>
      <c r="E760" s="10"/>
      <c r="F760" s="9"/>
      <c r="G760" s="9"/>
      <c r="H760" s="9"/>
      <c r="I760" s="9"/>
      <c r="J760" s="9"/>
      <c r="K760" s="9"/>
      <c r="L760" s="9"/>
      <c r="M760" s="9"/>
      <c r="N760" s="9"/>
      <c r="O760" s="9"/>
      <c r="P760" s="9"/>
      <c r="Q760" s="9"/>
    </row>
    <row r="761" spans="4:17" s="294" customFormat="1" ht="15" customHeight="1">
      <c r="D761" s="10"/>
      <c r="E761" s="10"/>
      <c r="F761" s="9"/>
      <c r="G761" s="9"/>
      <c r="H761" s="9"/>
      <c r="I761" s="9"/>
      <c r="J761" s="9"/>
      <c r="K761" s="9"/>
      <c r="L761" s="9"/>
      <c r="M761" s="9"/>
      <c r="N761" s="9"/>
      <c r="O761" s="9"/>
      <c r="P761" s="9"/>
      <c r="Q761" s="9"/>
    </row>
    <row r="762" spans="4:17" s="294" customFormat="1" ht="15" customHeight="1">
      <c r="D762" s="10"/>
      <c r="E762" s="10"/>
      <c r="F762" s="9"/>
      <c r="G762" s="9"/>
      <c r="H762" s="9"/>
      <c r="I762" s="9"/>
      <c r="J762" s="9"/>
      <c r="K762" s="9"/>
      <c r="L762" s="9"/>
      <c r="M762" s="9"/>
      <c r="N762" s="9"/>
      <c r="O762" s="9"/>
      <c r="P762" s="9"/>
      <c r="Q762" s="9"/>
    </row>
    <row r="763" spans="4:17" s="294" customFormat="1" ht="15" customHeight="1">
      <c r="D763" s="10"/>
      <c r="E763" s="10"/>
      <c r="F763" s="9"/>
      <c r="G763" s="9"/>
      <c r="H763" s="9"/>
      <c r="I763" s="9"/>
      <c r="J763" s="9"/>
      <c r="K763" s="9"/>
      <c r="L763" s="9"/>
      <c r="M763" s="9"/>
      <c r="N763" s="9"/>
      <c r="O763" s="9"/>
      <c r="P763" s="9"/>
      <c r="Q763" s="9"/>
    </row>
    <row r="764" spans="4:17" s="294" customFormat="1" ht="15" customHeight="1">
      <c r="D764" s="10"/>
      <c r="E764" s="10"/>
      <c r="F764" s="9"/>
      <c r="G764" s="9"/>
      <c r="H764" s="9"/>
      <c r="I764" s="9"/>
      <c r="J764" s="9"/>
      <c r="K764" s="9"/>
      <c r="L764" s="9"/>
      <c r="M764" s="9"/>
      <c r="N764" s="9"/>
      <c r="O764" s="9"/>
      <c r="P764" s="9"/>
      <c r="Q764" s="9"/>
    </row>
    <row r="765" spans="4:17" s="294" customFormat="1" ht="15" customHeight="1">
      <c r="D765" s="10"/>
      <c r="E765" s="10"/>
      <c r="F765" s="9"/>
      <c r="G765" s="9"/>
      <c r="H765" s="9"/>
      <c r="I765" s="9"/>
      <c r="J765" s="9"/>
      <c r="K765" s="9"/>
      <c r="L765" s="9"/>
      <c r="M765" s="9"/>
      <c r="N765" s="9"/>
      <c r="O765" s="9"/>
      <c r="P765" s="9"/>
      <c r="Q765" s="9"/>
    </row>
    <row r="766" spans="4:17" s="294" customFormat="1" ht="15" customHeight="1">
      <c r="D766" s="10"/>
      <c r="E766" s="10"/>
      <c r="F766" s="9"/>
      <c r="G766" s="9"/>
      <c r="H766" s="9"/>
      <c r="I766" s="9"/>
      <c r="J766" s="9"/>
      <c r="K766" s="9"/>
      <c r="L766" s="9"/>
      <c r="M766" s="9"/>
      <c r="N766" s="9"/>
      <c r="O766" s="9"/>
      <c r="P766" s="9"/>
      <c r="Q766" s="9"/>
    </row>
    <row r="767" spans="4:17" s="294" customFormat="1" ht="15" customHeight="1">
      <c r="D767" s="10"/>
      <c r="E767" s="10"/>
      <c r="F767" s="9"/>
      <c r="G767" s="9"/>
      <c r="H767" s="9"/>
      <c r="I767" s="9"/>
      <c r="J767" s="9"/>
      <c r="K767" s="9"/>
      <c r="L767" s="9"/>
      <c r="M767" s="9"/>
      <c r="N767" s="9"/>
      <c r="O767" s="9"/>
      <c r="P767" s="9"/>
      <c r="Q767" s="9"/>
    </row>
    <row r="768" spans="4:17" s="294" customFormat="1" ht="15" customHeight="1">
      <c r="D768" s="10"/>
      <c r="E768" s="10"/>
      <c r="F768" s="9"/>
      <c r="G768" s="9"/>
      <c r="H768" s="9"/>
      <c r="I768" s="9"/>
      <c r="J768" s="9"/>
      <c r="K768" s="9"/>
      <c r="L768" s="9"/>
      <c r="M768" s="9"/>
      <c r="N768" s="9"/>
      <c r="O768" s="9"/>
      <c r="P768" s="9"/>
      <c r="Q768" s="9"/>
    </row>
    <row r="769" spans="4:17" s="294" customFormat="1" ht="15" customHeight="1">
      <c r="D769" s="10"/>
      <c r="E769" s="10"/>
      <c r="F769" s="9"/>
      <c r="G769" s="9"/>
      <c r="H769" s="9"/>
      <c r="I769" s="9"/>
      <c r="J769" s="9"/>
      <c r="K769" s="9"/>
      <c r="L769" s="9"/>
      <c r="M769" s="9"/>
      <c r="N769" s="9"/>
      <c r="O769" s="9"/>
      <c r="P769" s="9"/>
      <c r="Q769" s="9"/>
    </row>
    <row r="770" spans="4:17" s="294" customFormat="1" ht="15" customHeight="1">
      <c r="D770" s="10"/>
      <c r="E770" s="10"/>
      <c r="F770" s="9"/>
      <c r="G770" s="9"/>
      <c r="H770" s="9"/>
      <c r="I770" s="9"/>
      <c r="J770" s="9"/>
      <c r="K770" s="9"/>
      <c r="L770" s="9"/>
      <c r="M770" s="9"/>
      <c r="N770" s="9"/>
      <c r="O770" s="9"/>
      <c r="P770" s="9"/>
      <c r="Q770" s="9"/>
    </row>
    <row r="771" spans="4:17" s="294" customFormat="1" ht="15" customHeight="1">
      <c r="D771" s="10"/>
      <c r="E771" s="10"/>
      <c r="F771" s="9"/>
      <c r="G771" s="9"/>
      <c r="H771" s="9"/>
      <c r="I771" s="9"/>
      <c r="J771" s="9"/>
      <c r="K771" s="9"/>
      <c r="L771" s="9"/>
      <c r="M771" s="9"/>
      <c r="N771" s="9"/>
      <c r="O771" s="9"/>
      <c r="P771" s="9"/>
      <c r="Q771" s="9"/>
    </row>
    <row r="772" spans="4:17" s="294" customFormat="1" ht="15" customHeight="1">
      <c r="D772" s="10"/>
      <c r="E772" s="10"/>
      <c r="F772" s="9"/>
      <c r="G772" s="9"/>
      <c r="H772" s="9"/>
      <c r="I772" s="9"/>
      <c r="J772" s="9"/>
      <c r="K772" s="9"/>
      <c r="L772" s="9"/>
      <c r="M772" s="9"/>
      <c r="N772" s="9"/>
      <c r="O772" s="9"/>
      <c r="P772" s="9"/>
      <c r="Q772" s="9"/>
    </row>
    <row r="773" spans="4:17" s="294" customFormat="1" ht="15" customHeight="1">
      <c r="D773" s="10"/>
      <c r="E773" s="10"/>
      <c r="F773" s="9"/>
      <c r="G773" s="9"/>
      <c r="H773" s="9"/>
      <c r="I773" s="9"/>
      <c r="J773" s="9"/>
      <c r="K773" s="9"/>
      <c r="L773" s="9"/>
      <c r="M773" s="9"/>
      <c r="N773" s="9"/>
      <c r="O773" s="9"/>
      <c r="P773" s="9"/>
      <c r="Q773" s="9"/>
    </row>
    <row r="774" spans="4:17" s="294" customFormat="1" ht="15" customHeight="1">
      <c r="D774" s="10"/>
      <c r="E774" s="10"/>
      <c r="F774" s="9"/>
      <c r="G774" s="9"/>
      <c r="H774" s="9"/>
      <c r="I774" s="9"/>
      <c r="J774" s="9"/>
      <c r="K774" s="9"/>
      <c r="L774" s="9"/>
      <c r="M774" s="9"/>
      <c r="N774" s="9"/>
      <c r="O774" s="9"/>
      <c r="P774" s="9"/>
      <c r="Q774" s="9"/>
    </row>
    <row r="775" spans="4:17" s="294" customFormat="1" ht="15" customHeight="1">
      <c r="D775" s="10"/>
      <c r="E775" s="10"/>
      <c r="F775" s="9"/>
      <c r="G775" s="9"/>
      <c r="H775" s="9"/>
      <c r="I775" s="9"/>
      <c r="J775" s="9"/>
      <c r="K775" s="9"/>
      <c r="L775" s="9"/>
      <c r="M775" s="9"/>
      <c r="N775" s="9"/>
      <c r="O775" s="9"/>
      <c r="P775" s="9"/>
      <c r="Q775" s="9"/>
    </row>
    <row r="776" spans="4:17" s="294" customFormat="1" ht="15" customHeight="1">
      <c r="D776" s="10"/>
      <c r="E776" s="10"/>
      <c r="F776" s="9"/>
      <c r="G776" s="9"/>
      <c r="H776" s="9"/>
      <c r="I776" s="9"/>
      <c r="J776" s="9"/>
      <c r="K776" s="9"/>
      <c r="L776" s="9"/>
      <c r="M776" s="9"/>
      <c r="N776" s="9"/>
      <c r="O776" s="9"/>
      <c r="P776" s="9"/>
      <c r="Q776" s="9"/>
    </row>
    <row r="777" spans="4:17" s="294" customFormat="1" ht="15" customHeight="1">
      <c r="D777" s="10"/>
      <c r="E777" s="10"/>
      <c r="F777" s="9"/>
      <c r="G777" s="9"/>
      <c r="H777" s="9"/>
      <c r="I777" s="9"/>
      <c r="J777" s="9"/>
      <c r="K777" s="9"/>
      <c r="L777" s="9"/>
      <c r="M777" s="9"/>
      <c r="N777" s="9"/>
      <c r="O777" s="9"/>
      <c r="P777" s="9"/>
      <c r="Q777" s="9"/>
    </row>
    <row r="778" spans="4:17" s="294" customFormat="1" ht="15" customHeight="1">
      <c r="D778" s="10"/>
      <c r="E778" s="10"/>
      <c r="F778" s="9"/>
      <c r="G778" s="9"/>
      <c r="H778" s="9"/>
      <c r="I778" s="9"/>
      <c r="J778" s="9"/>
      <c r="K778" s="9"/>
      <c r="L778" s="9"/>
      <c r="M778" s="9"/>
      <c r="N778" s="9"/>
      <c r="O778" s="9"/>
      <c r="P778" s="9"/>
      <c r="Q778" s="9"/>
    </row>
    <row r="779" spans="4:17" s="294" customFormat="1" ht="15" customHeight="1">
      <c r="D779" s="10"/>
      <c r="E779" s="10"/>
      <c r="F779" s="9"/>
      <c r="G779" s="9"/>
      <c r="H779" s="9"/>
      <c r="I779" s="9"/>
      <c r="J779" s="9"/>
      <c r="K779" s="9"/>
      <c r="L779" s="9"/>
      <c r="M779" s="9"/>
      <c r="N779" s="9"/>
      <c r="O779" s="9"/>
      <c r="P779" s="9"/>
      <c r="Q779" s="9"/>
    </row>
    <row r="780" spans="4:17" s="294" customFormat="1" ht="15" customHeight="1">
      <c r="D780" s="10"/>
      <c r="E780" s="10"/>
      <c r="F780" s="9"/>
      <c r="G780" s="9"/>
      <c r="H780" s="9"/>
      <c r="I780" s="9"/>
      <c r="J780" s="9"/>
      <c r="K780" s="9"/>
      <c r="L780" s="9"/>
      <c r="M780" s="9"/>
      <c r="N780" s="9"/>
      <c r="O780" s="9"/>
      <c r="P780" s="9"/>
      <c r="Q780" s="9"/>
    </row>
    <row r="781" spans="4:17" s="294" customFormat="1" ht="15" customHeight="1">
      <c r="D781" s="10"/>
      <c r="E781" s="10"/>
      <c r="F781" s="9"/>
      <c r="G781" s="9"/>
      <c r="H781" s="9"/>
      <c r="I781" s="9"/>
      <c r="J781" s="9"/>
      <c r="K781" s="9"/>
      <c r="L781" s="9"/>
      <c r="M781" s="9"/>
      <c r="N781" s="9"/>
      <c r="O781" s="9"/>
      <c r="P781" s="9"/>
      <c r="Q781" s="9"/>
    </row>
    <row r="782" spans="4:17" s="294" customFormat="1" ht="15" customHeight="1">
      <c r="D782" s="10"/>
      <c r="E782" s="10"/>
      <c r="F782" s="9"/>
      <c r="G782" s="9"/>
      <c r="H782" s="9"/>
      <c r="I782" s="9"/>
      <c r="J782" s="9"/>
      <c r="K782" s="9"/>
      <c r="L782" s="9"/>
      <c r="M782" s="9"/>
      <c r="N782" s="9"/>
      <c r="O782" s="9"/>
      <c r="P782" s="9"/>
      <c r="Q782" s="9"/>
    </row>
    <row r="783" spans="4:17" s="294" customFormat="1" ht="15" customHeight="1">
      <c r="D783" s="10"/>
      <c r="E783" s="10"/>
      <c r="F783" s="9"/>
      <c r="G783" s="9"/>
      <c r="H783" s="9"/>
      <c r="I783" s="9"/>
      <c r="J783" s="9"/>
      <c r="K783" s="9"/>
      <c r="L783" s="9"/>
      <c r="M783" s="9"/>
      <c r="N783" s="9"/>
      <c r="O783" s="9"/>
      <c r="P783" s="9"/>
      <c r="Q783" s="9"/>
    </row>
    <row r="784" spans="4:17" s="294" customFormat="1" ht="15" customHeight="1">
      <c r="D784" s="10"/>
      <c r="E784" s="10"/>
      <c r="F784" s="9"/>
      <c r="G784" s="9"/>
      <c r="H784" s="9"/>
      <c r="I784" s="9"/>
      <c r="J784" s="9"/>
      <c r="K784" s="9"/>
      <c r="L784" s="9"/>
      <c r="M784" s="9"/>
      <c r="N784" s="9"/>
      <c r="O784" s="9"/>
      <c r="P784" s="9"/>
      <c r="Q784" s="9"/>
    </row>
    <row r="785" spans="4:17" s="294" customFormat="1" ht="15" customHeight="1">
      <c r="D785" s="10"/>
      <c r="E785" s="10"/>
      <c r="F785" s="9"/>
      <c r="G785" s="9"/>
      <c r="H785" s="9"/>
      <c r="I785" s="9"/>
      <c r="J785" s="9"/>
      <c r="K785" s="9"/>
      <c r="L785" s="9"/>
      <c r="M785" s="9"/>
      <c r="N785" s="9"/>
      <c r="O785" s="9"/>
      <c r="P785" s="9"/>
      <c r="Q785" s="9"/>
    </row>
    <row r="786" spans="4:17" s="294" customFormat="1" ht="15" customHeight="1">
      <c r="D786" s="10"/>
      <c r="E786" s="10"/>
      <c r="F786" s="9"/>
      <c r="G786" s="9"/>
      <c r="H786" s="9"/>
      <c r="I786" s="9"/>
      <c r="J786" s="9"/>
      <c r="K786" s="9"/>
      <c r="L786" s="9"/>
      <c r="M786" s="9"/>
      <c r="N786" s="9"/>
      <c r="O786" s="9"/>
      <c r="P786" s="9"/>
      <c r="Q786" s="9"/>
    </row>
    <row r="787" spans="4:17" s="294" customFormat="1" ht="15" customHeight="1">
      <c r="D787" s="10"/>
      <c r="E787" s="10"/>
      <c r="F787" s="9"/>
      <c r="G787" s="9"/>
      <c r="H787" s="9"/>
      <c r="I787" s="9"/>
      <c r="J787" s="9"/>
      <c r="K787" s="9"/>
      <c r="L787" s="9"/>
      <c r="M787" s="9"/>
      <c r="N787" s="9"/>
      <c r="O787" s="9"/>
      <c r="P787" s="9"/>
      <c r="Q787" s="9"/>
    </row>
    <row r="788" spans="4:17" s="294" customFormat="1" ht="15" customHeight="1">
      <c r="D788" s="10"/>
      <c r="E788" s="10"/>
      <c r="F788" s="9"/>
      <c r="G788" s="9"/>
      <c r="H788" s="9"/>
      <c r="I788" s="9"/>
      <c r="J788" s="9"/>
      <c r="K788" s="9"/>
      <c r="L788" s="9"/>
      <c r="M788" s="9"/>
      <c r="N788" s="9"/>
      <c r="O788" s="9"/>
      <c r="P788" s="9"/>
      <c r="Q788" s="9"/>
    </row>
    <row r="789" spans="4:17" s="294" customFormat="1" ht="15" customHeight="1">
      <c r="D789" s="10"/>
      <c r="E789" s="10"/>
      <c r="F789" s="9"/>
      <c r="G789" s="9"/>
      <c r="H789" s="9"/>
      <c r="I789" s="9"/>
      <c r="J789" s="9"/>
      <c r="K789" s="9"/>
      <c r="L789" s="9"/>
      <c r="M789" s="9"/>
      <c r="N789" s="9"/>
      <c r="O789" s="9"/>
      <c r="P789" s="9"/>
      <c r="Q789" s="9"/>
    </row>
    <row r="790" spans="4:17" s="294" customFormat="1" ht="15" customHeight="1">
      <c r="D790" s="10"/>
      <c r="E790" s="10"/>
      <c r="F790" s="9"/>
      <c r="G790" s="9"/>
      <c r="H790" s="9"/>
      <c r="I790" s="9"/>
      <c r="J790" s="9"/>
      <c r="K790" s="9"/>
      <c r="L790" s="9"/>
      <c r="M790" s="9"/>
      <c r="N790" s="9"/>
      <c r="O790" s="9"/>
      <c r="P790" s="9"/>
      <c r="Q790" s="9"/>
    </row>
    <row r="791" spans="4:17" s="294" customFormat="1" ht="15" customHeight="1">
      <c r="D791" s="10"/>
      <c r="E791" s="10"/>
      <c r="F791" s="9"/>
      <c r="G791" s="9"/>
      <c r="H791" s="9"/>
      <c r="I791" s="9"/>
      <c r="J791" s="9"/>
      <c r="K791" s="9"/>
      <c r="L791" s="9"/>
      <c r="M791" s="9"/>
      <c r="N791" s="9"/>
      <c r="O791" s="9"/>
      <c r="P791" s="9"/>
      <c r="Q791" s="9"/>
    </row>
    <row r="792" spans="4:17" s="294" customFormat="1" ht="15" customHeight="1">
      <c r="D792" s="10"/>
      <c r="E792" s="10"/>
      <c r="F792" s="9"/>
      <c r="G792" s="9"/>
      <c r="H792" s="9"/>
      <c r="I792" s="9"/>
      <c r="J792" s="9"/>
      <c r="K792" s="9"/>
      <c r="L792" s="9"/>
      <c r="M792" s="9"/>
      <c r="N792" s="9"/>
      <c r="O792" s="9"/>
      <c r="P792" s="9"/>
      <c r="Q792" s="9"/>
    </row>
    <row r="793" spans="4:17" s="294" customFormat="1" ht="15" customHeight="1">
      <c r="D793" s="10"/>
      <c r="E793" s="10"/>
      <c r="F793" s="9"/>
      <c r="G793" s="9"/>
      <c r="H793" s="9"/>
      <c r="I793" s="9"/>
      <c r="J793" s="9"/>
      <c r="K793" s="9"/>
      <c r="L793" s="9"/>
      <c r="M793" s="9"/>
      <c r="N793" s="9"/>
      <c r="O793" s="9"/>
      <c r="P793" s="9"/>
      <c r="Q793" s="9"/>
    </row>
    <row r="794" spans="4:17" s="294" customFormat="1" ht="15" customHeight="1">
      <c r="D794" s="10"/>
      <c r="E794" s="10"/>
      <c r="F794" s="9"/>
      <c r="G794" s="9"/>
      <c r="H794" s="9"/>
      <c r="I794" s="9"/>
      <c r="J794" s="9"/>
      <c r="K794" s="9"/>
      <c r="L794" s="9"/>
      <c r="M794" s="9"/>
      <c r="N794" s="9"/>
      <c r="O794" s="9"/>
      <c r="P794" s="9"/>
      <c r="Q794" s="9"/>
    </row>
    <row r="795" spans="4:17" s="294" customFormat="1" ht="15" customHeight="1">
      <c r="D795" s="10"/>
      <c r="E795" s="10"/>
      <c r="F795" s="9"/>
      <c r="G795" s="9"/>
      <c r="H795" s="9"/>
      <c r="I795" s="9"/>
      <c r="J795" s="9"/>
      <c r="K795" s="9"/>
      <c r="L795" s="9"/>
      <c r="M795" s="9"/>
      <c r="N795" s="9"/>
      <c r="O795" s="9"/>
      <c r="P795" s="9"/>
      <c r="Q795" s="9"/>
    </row>
    <row r="796" spans="4:17" s="294" customFormat="1" ht="15" customHeight="1">
      <c r="D796" s="10"/>
      <c r="E796" s="10"/>
      <c r="F796" s="9"/>
      <c r="G796" s="9"/>
      <c r="H796" s="9"/>
      <c r="I796" s="9"/>
      <c r="J796" s="9"/>
      <c r="K796" s="9"/>
      <c r="L796" s="9"/>
      <c r="M796" s="9"/>
      <c r="N796" s="9"/>
      <c r="O796" s="9"/>
      <c r="P796" s="9"/>
      <c r="Q796" s="9"/>
    </row>
    <row r="797" spans="4:17" s="294" customFormat="1" ht="15" customHeight="1">
      <c r="D797" s="10"/>
      <c r="E797" s="10"/>
      <c r="F797" s="9"/>
      <c r="G797" s="9"/>
      <c r="H797" s="9"/>
      <c r="I797" s="9"/>
      <c r="J797" s="9"/>
      <c r="K797" s="9"/>
      <c r="L797" s="9"/>
      <c r="M797" s="9"/>
      <c r="N797" s="9"/>
      <c r="O797" s="9"/>
      <c r="P797" s="9"/>
      <c r="Q797" s="9"/>
    </row>
    <row r="798" spans="4:17" s="294" customFormat="1" ht="15" customHeight="1">
      <c r="D798" s="10"/>
      <c r="E798" s="10"/>
      <c r="F798" s="9"/>
      <c r="G798" s="9"/>
      <c r="H798" s="9"/>
      <c r="I798" s="9"/>
      <c r="J798" s="9"/>
      <c r="K798" s="9"/>
      <c r="L798" s="9"/>
      <c r="M798" s="9"/>
      <c r="N798" s="9"/>
      <c r="O798" s="9"/>
      <c r="P798" s="9"/>
      <c r="Q798" s="9"/>
    </row>
    <row r="799" spans="4:17" s="294" customFormat="1" ht="15" customHeight="1">
      <c r="D799" s="10"/>
      <c r="E799" s="10"/>
      <c r="F799" s="9"/>
      <c r="G799" s="9"/>
      <c r="H799" s="9"/>
      <c r="I799" s="9"/>
      <c r="J799" s="9"/>
      <c r="K799" s="9"/>
      <c r="L799" s="9"/>
      <c r="M799" s="9"/>
      <c r="N799" s="9"/>
      <c r="O799" s="9"/>
      <c r="P799" s="9"/>
      <c r="Q799" s="9"/>
    </row>
    <row r="800" spans="4:17" s="294" customFormat="1" ht="15" customHeight="1">
      <c r="D800" s="10"/>
      <c r="E800" s="10"/>
      <c r="F800" s="9"/>
      <c r="G800" s="9"/>
      <c r="H800" s="9"/>
      <c r="I800" s="9"/>
      <c r="J800" s="9"/>
      <c r="K800" s="9"/>
      <c r="L800" s="9"/>
      <c r="M800" s="9"/>
      <c r="N800" s="9"/>
      <c r="O800" s="9"/>
      <c r="P800" s="9"/>
      <c r="Q800" s="9"/>
    </row>
    <row r="801" spans="4:17" s="294" customFormat="1" ht="15" customHeight="1">
      <c r="D801" s="10"/>
      <c r="E801" s="10"/>
      <c r="F801" s="9"/>
      <c r="G801" s="9"/>
      <c r="H801" s="9"/>
      <c r="I801" s="9"/>
      <c r="J801" s="9"/>
      <c r="K801" s="9"/>
      <c r="L801" s="9"/>
      <c r="M801" s="9"/>
      <c r="N801" s="9"/>
      <c r="O801" s="9"/>
      <c r="P801" s="9"/>
      <c r="Q801" s="9"/>
    </row>
    <row r="802" spans="4:17" s="294" customFormat="1" ht="15" customHeight="1">
      <c r="D802" s="10"/>
      <c r="E802" s="10"/>
      <c r="F802" s="9"/>
      <c r="G802" s="9"/>
      <c r="H802" s="9"/>
      <c r="I802" s="9"/>
      <c r="J802" s="9"/>
      <c r="K802" s="9"/>
      <c r="L802" s="9"/>
      <c r="M802" s="9"/>
      <c r="N802" s="9"/>
      <c r="O802" s="9"/>
      <c r="P802" s="9"/>
      <c r="Q802" s="9"/>
    </row>
    <row r="803" spans="4:17" s="294" customFormat="1" ht="15" customHeight="1">
      <c r="D803" s="10"/>
      <c r="E803" s="10"/>
      <c r="F803" s="9"/>
      <c r="G803" s="9"/>
      <c r="H803" s="9"/>
      <c r="I803" s="9"/>
      <c r="J803" s="9"/>
      <c r="K803" s="9"/>
      <c r="L803" s="9"/>
      <c r="M803" s="9"/>
      <c r="N803" s="9"/>
      <c r="O803" s="9"/>
      <c r="P803" s="9"/>
      <c r="Q803" s="9"/>
    </row>
    <row r="804" spans="4:17" s="294" customFormat="1" ht="15" customHeight="1">
      <c r="D804" s="10"/>
      <c r="E804" s="10"/>
      <c r="F804" s="9"/>
      <c r="G804" s="9"/>
      <c r="H804" s="9"/>
      <c r="I804" s="9"/>
      <c r="J804" s="9"/>
      <c r="K804" s="9"/>
      <c r="L804" s="9"/>
      <c r="M804" s="9"/>
      <c r="N804" s="9"/>
      <c r="O804" s="9"/>
      <c r="P804" s="9"/>
      <c r="Q804" s="9"/>
    </row>
    <row r="805" spans="4:17" s="294" customFormat="1" ht="15" customHeight="1">
      <c r="D805" s="10"/>
      <c r="E805" s="10"/>
      <c r="F805" s="9"/>
      <c r="G805" s="9"/>
      <c r="H805" s="9"/>
      <c r="I805" s="9"/>
      <c r="J805" s="9"/>
      <c r="K805" s="9"/>
      <c r="L805" s="9"/>
      <c r="M805" s="9"/>
      <c r="N805" s="9"/>
      <c r="O805" s="9"/>
      <c r="P805" s="9"/>
      <c r="Q805" s="9"/>
    </row>
    <row r="806" spans="4:17" s="294" customFormat="1" ht="15" customHeight="1">
      <c r="D806" s="10"/>
      <c r="E806" s="10"/>
      <c r="F806" s="9"/>
      <c r="G806" s="9"/>
      <c r="H806" s="9"/>
      <c r="I806" s="9"/>
      <c r="J806" s="9"/>
      <c r="K806" s="9"/>
      <c r="L806" s="9"/>
      <c r="M806" s="9"/>
      <c r="N806" s="9"/>
      <c r="O806" s="9"/>
      <c r="P806" s="9"/>
      <c r="Q806" s="9"/>
    </row>
    <row r="807" spans="4:17" s="294" customFormat="1" ht="15" customHeight="1">
      <c r="D807" s="10"/>
      <c r="E807" s="10"/>
      <c r="F807" s="9"/>
      <c r="G807" s="9"/>
      <c r="H807" s="9"/>
      <c r="I807" s="9"/>
      <c r="J807" s="9"/>
      <c r="K807" s="9"/>
      <c r="L807" s="9"/>
      <c r="M807" s="9"/>
      <c r="N807" s="9"/>
      <c r="O807" s="9"/>
      <c r="P807" s="9"/>
      <c r="Q807" s="9"/>
    </row>
    <row r="808" spans="4:17" s="294" customFormat="1" ht="15" customHeight="1">
      <c r="D808" s="10"/>
      <c r="E808" s="10"/>
      <c r="F808" s="9"/>
      <c r="G808" s="9"/>
      <c r="H808" s="9"/>
      <c r="I808" s="9"/>
      <c r="J808" s="9"/>
      <c r="K808" s="9"/>
      <c r="L808" s="9"/>
      <c r="M808" s="9"/>
      <c r="N808" s="9"/>
      <c r="O808" s="9"/>
      <c r="P808" s="9"/>
      <c r="Q808" s="9"/>
    </row>
    <row r="809" spans="4:17" s="294" customFormat="1" ht="15" customHeight="1">
      <c r="D809" s="10"/>
      <c r="E809" s="10"/>
      <c r="F809" s="9"/>
      <c r="G809" s="9"/>
      <c r="H809" s="9"/>
      <c r="I809" s="9"/>
      <c r="J809" s="9"/>
      <c r="K809" s="9"/>
      <c r="L809" s="9"/>
      <c r="M809" s="9"/>
      <c r="N809" s="9"/>
      <c r="O809" s="9"/>
      <c r="P809" s="9"/>
      <c r="Q809" s="9"/>
    </row>
    <row r="810" spans="4:17" s="294" customFormat="1" ht="15" customHeight="1">
      <c r="D810" s="10"/>
      <c r="E810" s="10"/>
      <c r="F810" s="9"/>
      <c r="G810" s="9"/>
      <c r="H810" s="9"/>
      <c r="I810" s="9"/>
      <c r="J810" s="9"/>
      <c r="K810" s="9"/>
      <c r="L810" s="9"/>
      <c r="M810" s="9"/>
      <c r="N810" s="9"/>
      <c r="O810" s="9"/>
      <c r="P810" s="9"/>
      <c r="Q810" s="9"/>
    </row>
    <row r="811" spans="4:17" s="294" customFormat="1" ht="15" customHeight="1">
      <c r="D811" s="10"/>
      <c r="E811" s="10"/>
      <c r="F811" s="9"/>
      <c r="G811" s="9"/>
      <c r="H811" s="9"/>
      <c r="I811" s="9"/>
      <c r="J811" s="9"/>
      <c r="K811" s="9"/>
      <c r="L811" s="9"/>
      <c r="M811" s="9"/>
      <c r="N811" s="9"/>
      <c r="O811" s="9"/>
      <c r="P811" s="9"/>
      <c r="Q811" s="9"/>
    </row>
    <row r="812" spans="4:17" s="294" customFormat="1" ht="15" customHeight="1">
      <c r="D812" s="10"/>
      <c r="E812" s="10"/>
      <c r="F812" s="9"/>
      <c r="G812" s="9"/>
      <c r="H812" s="9"/>
      <c r="I812" s="9"/>
      <c r="J812" s="9"/>
      <c r="K812" s="9"/>
      <c r="L812" s="9"/>
      <c r="M812" s="9"/>
      <c r="N812" s="9"/>
      <c r="O812" s="9"/>
      <c r="P812" s="9"/>
      <c r="Q812" s="9"/>
    </row>
    <row r="813" spans="4:17" s="294" customFormat="1" ht="15" customHeight="1">
      <c r="D813" s="10"/>
      <c r="E813" s="10"/>
      <c r="F813" s="9"/>
      <c r="G813" s="9"/>
      <c r="H813" s="9"/>
      <c r="I813" s="9"/>
      <c r="J813" s="9"/>
      <c r="K813" s="9"/>
      <c r="L813" s="9"/>
      <c r="M813" s="9"/>
      <c r="N813" s="9"/>
      <c r="O813" s="9"/>
      <c r="P813" s="9"/>
      <c r="Q813" s="9"/>
    </row>
    <row r="814" spans="4:17" s="294" customFormat="1" ht="15" customHeight="1">
      <c r="D814" s="10"/>
      <c r="E814" s="10"/>
      <c r="F814" s="9"/>
      <c r="G814" s="9"/>
      <c r="H814" s="9"/>
      <c r="I814" s="9"/>
      <c r="J814" s="9"/>
      <c r="K814" s="9"/>
      <c r="L814" s="9"/>
      <c r="M814" s="9"/>
      <c r="N814" s="9"/>
      <c r="O814" s="9"/>
      <c r="P814" s="9"/>
      <c r="Q814" s="9"/>
    </row>
    <row r="815" spans="4:17" s="294" customFormat="1" ht="15" customHeight="1">
      <c r="D815" s="10"/>
      <c r="E815" s="10"/>
      <c r="F815" s="9"/>
      <c r="G815" s="9"/>
      <c r="H815" s="9"/>
      <c r="I815" s="9"/>
      <c r="J815" s="9"/>
      <c r="K815" s="9"/>
      <c r="L815" s="9"/>
      <c r="M815" s="9"/>
      <c r="N815" s="9"/>
      <c r="O815" s="9"/>
      <c r="P815" s="9"/>
      <c r="Q815" s="9"/>
    </row>
    <row r="816" spans="4:17" s="294" customFormat="1" ht="15" customHeight="1">
      <c r="D816" s="10"/>
      <c r="E816" s="10"/>
      <c r="F816" s="9"/>
      <c r="G816" s="9"/>
      <c r="H816" s="9"/>
      <c r="I816" s="9"/>
      <c r="J816" s="9"/>
      <c r="K816" s="9"/>
      <c r="L816" s="9"/>
      <c r="M816" s="9"/>
      <c r="N816" s="9"/>
      <c r="O816" s="9"/>
      <c r="P816" s="9"/>
      <c r="Q816" s="9"/>
    </row>
    <row r="817" spans="4:17" s="294" customFormat="1" ht="15" customHeight="1">
      <c r="D817" s="10"/>
      <c r="E817" s="10"/>
      <c r="F817" s="9"/>
      <c r="G817" s="9"/>
      <c r="H817" s="9"/>
      <c r="I817" s="9"/>
      <c r="J817" s="9"/>
      <c r="K817" s="9"/>
      <c r="L817" s="9"/>
      <c r="M817" s="9"/>
      <c r="N817" s="9"/>
      <c r="O817" s="9"/>
      <c r="P817" s="9"/>
      <c r="Q817" s="9"/>
    </row>
    <row r="818" spans="4:17" s="294" customFormat="1" ht="15" customHeight="1">
      <c r="D818" s="10"/>
      <c r="E818" s="10"/>
      <c r="F818" s="9"/>
      <c r="G818" s="9"/>
      <c r="H818" s="9"/>
      <c r="I818" s="9"/>
      <c r="J818" s="9"/>
      <c r="K818" s="9"/>
      <c r="L818" s="9"/>
      <c r="M818" s="9"/>
      <c r="N818" s="9"/>
      <c r="O818" s="9"/>
      <c r="P818" s="9"/>
      <c r="Q818" s="9"/>
    </row>
    <row r="819" spans="4:17" s="294" customFormat="1" ht="15" customHeight="1">
      <c r="D819" s="10"/>
      <c r="E819" s="10"/>
      <c r="F819" s="9"/>
      <c r="G819" s="9"/>
      <c r="H819" s="9"/>
      <c r="I819" s="9"/>
      <c r="J819" s="9"/>
      <c r="K819" s="9"/>
      <c r="L819" s="9"/>
      <c r="M819" s="9"/>
      <c r="N819" s="9"/>
      <c r="O819" s="9"/>
      <c r="P819" s="9"/>
      <c r="Q819" s="9"/>
    </row>
    <row r="820" spans="4:17" s="294" customFormat="1" ht="15" customHeight="1">
      <c r="D820" s="10"/>
      <c r="E820" s="10"/>
      <c r="F820" s="9"/>
      <c r="G820" s="9"/>
      <c r="H820" s="9"/>
      <c r="I820" s="9"/>
      <c r="J820" s="9"/>
      <c r="K820" s="9"/>
      <c r="L820" s="9"/>
      <c r="M820" s="9"/>
      <c r="N820" s="9"/>
      <c r="O820" s="9"/>
      <c r="P820" s="9"/>
      <c r="Q820" s="9"/>
    </row>
    <row r="821" spans="4:17" s="294" customFormat="1" ht="15" customHeight="1">
      <c r="D821" s="10"/>
      <c r="E821" s="10"/>
      <c r="F821" s="9"/>
      <c r="G821" s="9"/>
      <c r="H821" s="9"/>
      <c r="I821" s="9"/>
      <c r="J821" s="9"/>
      <c r="K821" s="9"/>
      <c r="L821" s="9"/>
      <c r="M821" s="9"/>
      <c r="N821" s="9"/>
      <c r="O821" s="9"/>
      <c r="P821" s="9"/>
      <c r="Q821" s="9"/>
    </row>
    <row r="822" spans="4:17" s="294" customFormat="1" ht="15" customHeight="1">
      <c r="D822" s="10"/>
      <c r="E822" s="10"/>
      <c r="F822" s="9"/>
      <c r="G822" s="9"/>
      <c r="H822" s="9"/>
      <c r="I822" s="9"/>
      <c r="J822" s="9"/>
      <c r="K822" s="9"/>
      <c r="L822" s="9"/>
      <c r="M822" s="9"/>
      <c r="N822" s="9"/>
      <c r="O822" s="9"/>
      <c r="P822" s="9"/>
      <c r="Q822" s="9"/>
    </row>
    <row r="823" spans="4:17" s="294" customFormat="1" ht="15" customHeight="1">
      <c r="D823" s="10"/>
      <c r="E823" s="10"/>
      <c r="F823" s="9"/>
      <c r="G823" s="9"/>
      <c r="H823" s="9"/>
      <c r="I823" s="9"/>
      <c r="J823" s="9"/>
      <c r="K823" s="9"/>
      <c r="L823" s="9"/>
      <c r="M823" s="9"/>
      <c r="N823" s="9"/>
      <c r="O823" s="9"/>
      <c r="P823" s="9"/>
      <c r="Q823" s="9"/>
    </row>
    <row r="824" spans="4:17" s="294" customFormat="1" ht="15" customHeight="1">
      <c r="D824" s="10"/>
      <c r="E824" s="10"/>
      <c r="F824" s="9"/>
      <c r="G824" s="9"/>
      <c r="H824" s="9"/>
      <c r="I824" s="9"/>
      <c r="J824" s="9"/>
      <c r="K824" s="9"/>
      <c r="L824" s="9"/>
      <c r="M824" s="9"/>
      <c r="N824" s="9"/>
      <c r="O824" s="9"/>
      <c r="P824" s="9"/>
      <c r="Q824" s="9"/>
    </row>
    <row r="825" spans="4:17" s="294" customFormat="1" ht="15" customHeight="1">
      <c r="D825" s="10"/>
      <c r="E825" s="10"/>
      <c r="F825" s="9"/>
      <c r="G825" s="9"/>
      <c r="H825" s="9"/>
      <c r="I825" s="9"/>
      <c r="J825" s="9"/>
      <c r="K825" s="9"/>
      <c r="L825" s="9"/>
      <c r="M825" s="9"/>
      <c r="N825" s="9"/>
      <c r="O825" s="9"/>
      <c r="P825" s="9"/>
      <c r="Q825" s="9"/>
    </row>
    <row r="826" spans="4:17" s="294" customFormat="1" ht="15" customHeight="1">
      <c r="D826" s="10"/>
      <c r="E826" s="10"/>
      <c r="F826" s="9"/>
      <c r="G826" s="9"/>
      <c r="H826" s="9"/>
      <c r="I826" s="9"/>
      <c r="J826" s="9"/>
      <c r="K826" s="9"/>
      <c r="L826" s="9"/>
      <c r="M826" s="9"/>
      <c r="N826" s="9"/>
      <c r="O826" s="9"/>
      <c r="P826" s="9"/>
      <c r="Q826" s="9"/>
    </row>
    <row r="827" spans="4:17" s="294" customFormat="1" ht="15" customHeight="1">
      <c r="D827" s="10"/>
      <c r="E827" s="10"/>
      <c r="F827" s="9"/>
      <c r="G827" s="9"/>
      <c r="H827" s="9"/>
      <c r="I827" s="9"/>
      <c r="J827" s="9"/>
      <c r="K827" s="9"/>
      <c r="L827" s="9"/>
      <c r="M827" s="9"/>
      <c r="N827" s="9"/>
      <c r="O827" s="9"/>
      <c r="P827" s="9"/>
      <c r="Q827" s="9"/>
    </row>
    <row r="828" spans="4:17" s="294" customFormat="1" ht="15" customHeight="1">
      <c r="D828" s="10"/>
      <c r="E828" s="10"/>
      <c r="F828" s="9"/>
      <c r="G828" s="9"/>
      <c r="H828" s="9"/>
      <c r="I828" s="9"/>
      <c r="J828" s="9"/>
      <c r="K828" s="9"/>
      <c r="L828" s="9"/>
      <c r="M828" s="9"/>
      <c r="N828" s="9"/>
      <c r="O828" s="9"/>
      <c r="P828" s="9"/>
      <c r="Q828" s="9"/>
    </row>
    <row r="829" spans="4:17" s="294" customFormat="1" ht="15" customHeight="1">
      <c r="D829" s="10"/>
      <c r="E829" s="10"/>
      <c r="F829" s="9"/>
      <c r="G829" s="9"/>
      <c r="H829" s="9"/>
      <c r="I829" s="9"/>
      <c r="J829" s="9"/>
      <c r="K829" s="9"/>
      <c r="L829" s="9"/>
      <c r="M829" s="9"/>
      <c r="N829" s="9"/>
      <c r="O829" s="9"/>
      <c r="P829" s="9"/>
      <c r="Q829" s="9"/>
    </row>
    <row r="830" spans="4:17" s="294" customFormat="1" ht="15" customHeight="1">
      <c r="D830" s="10"/>
      <c r="E830" s="10"/>
      <c r="F830" s="9"/>
      <c r="G830" s="9"/>
      <c r="H830" s="9"/>
      <c r="I830" s="9"/>
      <c r="J830" s="9"/>
      <c r="K830" s="9"/>
      <c r="L830" s="9"/>
      <c r="M830" s="9"/>
      <c r="N830" s="9"/>
      <c r="O830" s="9"/>
      <c r="P830" s="9"/>
      <c r="Q830" s="9"/>
    </row>
    <row r="831" spans="4:17" s="294" customFormat="1" ht="15" customHeight="1">
      <c r="D831" s="10"/>
      <c r="E831" s="10"/>
      <c r="F831" s="9"/>
      <c r="G831" s="9"/>
      <c r="H831" s="9"/>
      <c r="I831" s="9"/>
      <c r="J831" s="9"/>
      <c r="K831" s="9"/>
      <c r="L831" s="9"/>
      <c r="M831" s="9"/>
      <c r="N831" s="9"/>
      <c r="O831" s="9"/>
      <c r="P831" s="9"/>
      <c r="Q831" s="9"/>
    </row>
    <row r="832" spans="4:17" s="294" customFormat="1" ht="15" customHeight="1">
      <c r="D832" s="10"/>
      <c r="E832" s="10"/>
      <c r="F832" s="9"/>
      <c r="G832" s="9"/>
      <c r="H832" s="9"/>
      <c r="I832" s="9"/>
      <c r="J832" s="9"/>
      <c r="K832" s="9"/>
      <c r="L832" s="9"/>
      <c r="M832" s="9"/>
      <c r="N832" s="9"/>
      <c r="O832" s="9"/>
      <c r="P832" s="9"/>
      <c r="Q832" s="9"/>
    </row>
    <row r="833" spans="4:17" s="294" customFormat="1" ht="15" customHeight="1">
      <c r="D833" s="10"/>
      <c r="E833" s="10"/>
      <c r="F833" s="9"/>
      <c r="G833" s="9"/>
      <c r="H833" s="9"/>
      <c r="I833" s="9"/>
      <c r="J833" s="9"/>
      <c r="K833" s="9"/>
      <c r="L833" s="9"/>
      <c r="M833" s="9"/>
      <c r="N833" s="9"/>
      <c r="O833" s="9"/>
      <c r="P833" s="9"/>
      <c r="Q833" s="9"/>
    </row>
    <row r="834" spans="4:17" s="294" customFormat="1" ht="15" customHeight="1">
      <c r="D834" s="10"/>
      <c r="E834" s="10"/>
      <c r="F834" s="9"/>
      <c r="G834" s="9"/>
      <c r="H834" s="9"/>
      <c r="I834" s="9"/>
      <c r="J834" s="9"/>
      <c r="K834" s="9"/>
      <c r="L834" s="9"/>
      <c r="M834" s="9"/>
      <c r="N834" s="9"/>
      <c r="O834" s="9"/>
      <c r="P834" s="9"/>
      <c r="Q834" s="9"/>
    </row>
    <row r="835" spans="4:17" s="294" customFormat="1" ht="15" customHeight="1">
      <c r="D835" s="10"/>
      <c r="E835" s="10"/>
      <c r="F835" s="9"/>
      <c r="G835" s="9"/>
      <c r="H835" s="9"/>
      <c r="I835" s="9"/>
      <c r="J835" s="9"/>
      <c r="K835" s="9"/>
      <c r="L835" s="9"/>
      <c r="M835" s="9"/>
      <c r="N835" s="9"/>
      <c r="O835" s="9"/>
      <c r="P835" s="9"/>
      <c r="Q835" s="9"/>
    </row>
    <row r="836" spans="4:17" s="294" customFormat="1" ht="15" customHeight="1">
      <c r="D836" s="10"/>
      <c r="E836" s="10"/>
      <c r="F836" s="9"/>
      <c r="G836" s="9"/>
      <c r="H836" s="9"/>
      <c r="I836" s="9"/>
      <c r="J836" s="9"/>
      <c r="K836" s="9"/>
      <c r="L836" s="9"/>
      <c r="M836" s="9"/>
      <c r="N836" s="9"/>
      <c r="O836" s="9"/>
      <c r="P836" s="9"/>
      <c r="Q836" s="9"/>
    </row>
    <row r="837" spans="4:17" s="294" customFormat="1" ht="15" customHeight="1">
      <c r="D837" s="10"/>
      <c r="E837" s="10"/>
      <c r="F837" s="9"/>
      <c r="G837" s="9"/>
      <c r="H837" s="9"/>
      <c r="I837" s="9"/>
      <c r="J837" s="9"/>
      <c r="K837" s="9"/>
      <c r="L837" s="9"/>
      <c r="M837" s="9"/>
      <c r="N837" s="9"/>
      <c r="O837" s="9"/>
      <c r="P837" s="9"/>
      <c r="Q837" s="9"/>
    </row>
    <row r="838" spans="4:17" s="294" customFormat="1" ht="15" customHeight="1">
      <c r="D838" s="10"/>
      <c r="E838" s="10"/>
      <c r="F838" s="9"/>
      <c r="G838" s="9"/>
      <c r="H838" s="9"/>
      <c r="I838" s="9"/>
      <c r="J838" s="9"/>
      <c r="K838" s="9"/>
      <c r="L838" s="9"/>
      <c r="M838" s="9"/>
      <c r="N838" s="9"/>
      <c r="O838" s="9"/>
      <c r="P838" s="9"/>
      <c r="Q838" s="9"/>
    </row>
    <row r="839" spans="4:17" s="294" customFormat="1" ht="15" customHeight="1">
      <c r="D839" s="10"/>
      <c r="E839" s="10"/>
      <c r="F839" s="9"/>
      <c r="G839" s="9"/>
      <c r="H839" s="9"/>
      <c r="I839" s="9"/>
      <c r="J839" s="9"/>
      <c r="K839" s="9"/>
      <c r="L839" s="9"/>
      <c r="M839" s="9"/>
      <c r="N839" s="9"/>
      <c r="O839" s="9"/>
      <c r="P839" s="9"/>
      <c r="Q839" s="9"/>
    </row>
    <row r="840" spans="4:17" s="294" customFormat="1" ht="15" customHeight="1">
      <c r="D840" s="10"/>
      <c r="E840" s="10"/>
      <c r="F840" s="9"/>
      <c r="G840" s="9"/>
      <c r="H840" s="9"/>
      <c r="I840" s="9"/>
      <c r="J840" s="9"/>
      <c r="K840" s="9"/>
      <c r="L840" s="9"/>
      <c r="M840" s="9"/>
      <c r="N840" s="9"/>
      <c r="O840" s="9"/>
      <c r="P840" s="9"/>
      <c r="Q840" s="9"/>
    </row>
    <row r="841" spans="4:17" s="294" customFormat="1" ht="15" customHeight="1">
      <c r="D841" s="10"/>
      <c r="E841" s="10"/>
      <c r="F841" s="9"/>
      <c r="G841" s="9"/>
      <c r="H841" s="9"/>
      <c r="I841" s="9"/>
      <c r="J841" s="9"/>
      <c r="K841" s="9"/>
      <c r="L841" s="9"/>
      <c r="M841" s="9"/>
      <c r="N841" s="9"/>
      <c r="O841" s="9"/>
      <c r="P841" s="9"/>
      <c r="Q841" s="9"/>
    </row>
    <row r="842" spans="4:17" s="294" customFormat="1" ht="15" customHeight="1">
      <c r="D842" s="10"/>
      <c r="E842" s="10"/>
      <c r="F842" s="9"/>
      <c r="G842" s="9"/>
      <c r="H842" s="9"/>
      <c r="I842" s="9"/>
      <c r="J842" s="9"/>
      <c r="K842" s="9"/>
      <c r="L842" s="9"/>
      <c r="M842" s="9"/>
      <c r="N842" s="9"/>
      <c r="O842" s="9"/>
      <c r="P842" s="9"/>
      <c r="Q842" s="9"/>
    </row>
    <row r="843" spans="4:17" s="294" customFormat="1" ht="15" customHeight="1">
      <c r="D843" s="10"/>
      <c r="E843" s="10"/>
      <c r="F843" s="9"/>
      <c r="G843" s="9"/>
      <c r="H843" s="9"/>
      <c r="I843" s="9"/>
      <c r="J843" s="9"/>
      <c r="K843" s="9"/>
      <c r="L843" s="9"/>
      <c r="M843" s="9"/>
      <c r="N843" s="9"/>
      <c r="O843" s="9"/>
      <c r="P843" s="9"/>
      <c r="Q843" s="9"/>
    </row>
    <row r="844" spans="4:17" s="294" customFormat="1" ht="15" customHeight="1">
      <c r="D844" s="10"/>
      <c r="E844" s="10"/>
      <c r="F844" s="9"/>
      <c r="G844" s="9"/>
      <c r="H844" s="9"/>
      <c r="I844" s="9"/>
      <c r="J844" s="9"/>
      <c r="K844" s="9"/>
      <c r="L844" s="9"/>
      <c r="M844" s="9"/>
      <c r="N844" s="9"/>
      <c r="O844" s="9"/>
      <c r="P844" s="9"/>
      <c r="Q844" s="9"/>
    </row>
    <row r="845" spans="4:17" s="294" customFormat="1" ht="15" customHeight="1">
      <c r="D845" s="10"/>
      <c r="E845" s="10"/>
      <c r="F845" s="9"/>
      <c r="G845" s="9"/>
      <c r="H845" s="9"/>
      <c r="I845" s="9"/>
      <c r="J845" s="9"/>
      <c r="K845" s="9"/>
      <c r="L845" s="9"/>
      <c r="M845" s="9"/>
      <c r="N845" s="9"/>
      <c r="O845" s="9"/>
      <c r="P845" s="9"/>
      <c r="Q845" s="9"/>
    </row>
    <row r="846" spans="4:17" s="294" customFormat="1" ht="15" customHeight="1">
      <c r="D846" s="10"/>
      <c r="E846" s="10"/>
      <c r="F846" s="9"/>
      <c r="G846" s="9"/>
      <c r="H846" s="9"/>
      <c r="I846" s="9"/>
      <c r="J846" s="9"/>
      <c r="K846" s="9"/>
      <c r="L846" s="9"/>
      <c r="M846" s="9"/>
      <c r="N846" s="9"/>
      <c r="O846" s="9"/>
      <c r="P846" s="9"/>
      <c r="Q846" s="9"/>
    </row>
    <row r="847" spans="4:17" s="294" customFormat="1" ht="15" customHeight="1">
      <c r="D847" s="10"/>
      <c r="E847" s="10"/>
      <c r="F847" s="9"/>
      <c r="G847" s="9"/>
      <c r="H847" s="9"/>
      <c r="I847" s="9"/>
      <c r="J847" s="9"/>
      <c r="K847" s="9"/>
      <c r="L847" s="9"/>
      <c r="M847" s="9"/>
      <c r="N847" s="9"/>
      <c r="O847" s="9"/>
      <c r="P847" s="9"/>
      <c r="Q847" s="9"/>
    </row>
    <row r="848" spans="4:17" s="294" customFormat="1" ht="15" customHeight="1">
      <c r="D848" s="10"/>
      <c r="E848" s="10"/>
      <c r="F848" s="9"/>
      <c r="G848" s="9"/>
      <c r="H848" s="9"/>
      <c r="I848" s="9"/>
      <c r="J848" s="9"/>
      <c r="K848" s="9"/>
      <c r="L848" s="9"/>
      <c r="M848" s="9"/>
      <c r="N848" s="9"/>
      <c r="O848" s="9"/>
      <c r="P848" s="9"/>
      <c r="Q848" s="9"/>
    </row>
    <row r="849" spans="4:17" s="294" customFormat="1" ht="15" customHeight="1">
      <c r="D849" s="10"/>
      <c r="E849" s="10"/>
      <c r="F849" s="9"/>
      <c r="G849" s="9"/>
      <c r="H849" s="9"/>
      <c r="I849" s="9"/>
      <c r="J849" s="9"/>
      <c r="K849" s="9"/>
      <c r="L849" s="9"/>
      <c r="M849" s="9"/>
      <c r="N849" s="9"/>
      <c r="O849" s="9"/>
      <c r="P849" s="9"/>
      <c r="Q849" s="9"/>
    </row>
    <row r="850" spans="4:17" s="294" customFormat="1" ht="15" customHeight="1">
      <c r="D850" s="10"/>
      <c r="E850" s="10"/>
      <c r="F850" s="9"/>
      <c r="G850" s="9"/>
      <c r="H850" s="9"/>
      <c r="I850" s="9"/>
      <c r="J850" s="9"/>
      <c r="K850" s="9"/>
      <c r="L850" s="9"/>
      <c r="M850" s="9"/>
      <c r="N850" s="9"/>
      <c r="O850" s="9"/>
      <c r="P850" s="9"/>
      <c r="Q850" s="9"/>
    </row>
    <row r="851" spans="4:17" s="294" customFormat="1" ht="15" customHeight="1">
      <c r="D851" s="10"/>
      <c r="E851" s="10"/>
      <c r="F851" s="9"/>
      <c r="G851" s="9"/>
      <c r="H851" s="9"/>
      <c r="I851" s="9"/>
      <c r="J851" s="9"/>
      <c r="K851" s="9"/>
      <c r="L851" s="9"/>
      <c r="M851" s="9"/>
      <c r="N851" s="9"/>
      <c r="O851" s="9"/>
      <c r="P851" s="9"/>
      <c r="Q851" s="9"/>
    </row>
    <row r="852" spans="4:17" s="294" customFormat="1" ht="15" customHeight="1">
      <c r="D852" s="10"/>
      <c r="E852" s="10"/>
      <c r="F852" s="9"/>
      <c r="G852" s="9"/>
      <c r="H852" s="9"/>
      <c r="I852" s="9"/>
      <c r="J852" s="9"/>
      <c r="K852" s="9"/>
      <c r="L852" s="9"/>
      <c r="M852" s="9"/>
      <c r="N852" s="9"/>
      <c r="O852" s="9"/>
      <c r="P852" s="9"/>
      <c r="Q852" s="9"/>
    </row>
    <row r="853" spans="4:17" s="294" customFormat="1" ht="15" customHeight="1">
      <c r="D853" s="10"/>
      <c r="E853" s="10"/>
      <c r="F853" s="9"/>
      <c r="G853" s="9"/>
      <c r="H853" s="9"/>
      <c r="I853" s="9"/>
      <c r="J853" s="9"/>
      <c r="K853" s="9"/>
      <c r="L853" s="9"/>
      <c r="M853" s="9"/>
      <c r="N853" s="9"/>
      <c r="O853" s="9"/>
      <c r="P853" s="9"/>
      <c r="Q853" s="9"/>
    </row>
    <row r="854" spans="4:17" s="294" customFormat="1" ht="15" customHeight="1">
      <c r="D854" s="10"/>
      <c r="E854" s="10"/>
      <c r="F854" s="9"/>
      <c r="G854" s="9"/>
      <c r="H854" s="9"/>
      <c r="I854" s="9"/>
      <c r="J854" s="9"/>
      <c r="K854" s="9"/>
      <c r="L854" s="9"/>
      <c r="M854" s="9"/>
      <c r="N854" s="9"/>
      <c r="O854" s="9"/>
      <c r="P854" s="9"/>
      <c r="Q854" s="9"/>
    </row>
    <row r="855" spans="4:17" s="294" customFormat="1" ht="15" customHeight="1">
      <c r="D855" s="10"/>
      <c r="E855" s="10"/>
      <c r="F855" s="9"/>
      <c r="G855" s="9"/>
      <c r="H855" s="9"/>
      <c r="I855" s="9"/>
      <c r="J855" s="9"/>
      <c r="K855" s="9"/>
      <c r="L855" s="9"/>
      <c r="M855" s="9"/>
      <c r="N855" s="9"/>
      <c r="O855" s="9"/>
      <c r="P855" s="9"/>
      <c r="Q855" s="9"/>
    </row>
    <row r="856" spans="4:17" s="294" customFormat="1" ht="15" customHeight="1">
      <c r="D856" s="10"/>
      <c r="E856" s="10"/>
      <c r="F856" s="9"/>
      <c r="G856" s="9"/>
      <c r="H856" s="9"/>
      <c r="I856" s="9"/>
      <c r="J856" s="9"/>
      <c r="K856" s="9"/>
      <c r="L856" s="9"/>
      <c r="M856" s="9"/>
      <c r="N856" s="9"/>
      <c r="O856" s="9"/>
      <c r="P856" s="9"/>
      <c r="Q856" s="9"/>
    </row>
    <row r="857" spans="4:17" s="294" customFormat="1" ht="15" customHeight="1">
      <c r="D857" s="10"/>
      <c r="E857" s="10"/>
      <c r="F857" s="9"/>
      <c r="G857" s="9"/>
      <c r="H857" s="9"/>
      <c r="I857" s="9"/>
      <c r="J857" s="9"/>
      <c r="K857" s="9"/>
      <c r="L857" s="9"/>
      <c r="M857" s="9"/>
      <c r="N857" s="9"/>
      <c r="O857" s="9"/>
      <c r="P857" s="9"/>
      <c r="Q857" s="9"/>
    </row>
    <row r="858" spans="4:17" s="294" customFormat="1" ht="15" customHeight="1">
      <c r="D858" s="10"/>
      <c r="E858" s="10"/>
      <c r="F858" s="9"/>
      <c r="G858" s="9"/>
      <c r="H858" s="9"/>
      <c r="I858" s="9"/>
      <c r="J858" s="9"/>
      <c r="K858" s="9"/>
      <c r="L858" s="9"/>
      <c r="M858" s="9"/>
      <c r="N858" s="9"/>
      <c r="O858" s="9"/>
      <c r="P858" s="9"/>
      <c r="Q858" s="9"/>
    </row>
    <row r="859" spans="4:17" s="294" customFormat="1" ht="15" customHeight="1">
      <c r="D859" s="10"/>
      <c r="E859" s="10"/>
      <c r="F859" s="9"/>
      <c r="G859" s="9"/>
      <c r="H859" s="9"/>
      <c r="I859" s="9"/>
      <c r="J859" s="9"/>
      <c r="K859" s="9"/>
      <c r="L859" s="9"/>
      <c r="M859" s="9"/>
      <c r="N859" s="9"/>
      <c r="O859" s="9"/>
      <c r="P859" s="9"/>
      <c r="Q859" s="9"/>
    </row>
    <row r="860" spans="4:17" s="294" customFormat="1" ht="15" customHeight="1">
      <c r="D860" s="10"/>
      <c r="E860" s="10"/>
      <c r="F860" s="9"/>
      <c r="G860" s="9"/>
      <c r="H860" s="9"/>
      <c r="I860" s="9"/>
      <c r="J860" s="9"/>
      <c r="K860" s="9"/>
      <c r="L860" s="9"/>
      <c r="M860" s="9"/>
      <c r="N860" s="9"/>
      <c r="O860" s="9"/>
      <c r="P860" s="9"/>
      <c r="Q860" s="9"/>
    </row>
    <row r="861" spans="4:17" s="294" customFormat="1" ht="15" customHeight="1">
      <c r="D861" s="10"/>
      <c r="E861" s="10"/>
      <c r="F861" s="9"/>
      <c r="G861" s="9"/>
      <c r="H861" s="9"/>
      <c r="I861" s="9"/>
      <c r="J861" s="9"/>
      <c r="K861" s="9"/>
      <c r="L861" s="9"/>
      <c r="M861" s="9"/>
      <c r="N861" s="9"/>
      <c r="O861" s="9"/>
      <c r="P861" s="9"/>
      <c r="Q861" s="9"/>
    </row>
    <row r="862" spans="4:17" s="294" customFormat="1" ht="15" customHeight="1">
      <c r="D862" s="10"/>
      <c r="E862" s="10"/>
      <c r="F862" s="9"/>
      <c r="G862" s="9"/>
      <c r="H862" s="9"/>
      <c r="I862" s="9"/>
      <c r="J862" s="9"/>
      <c r="K862" s="9"/>
      <c r="L862" s="9"/>
      <c r="M862" s="9"/>
      <c r="N862" s="9"/>
      <c r="O862" s="9"/>
      <c r="P862" s="9"/>
      <c r="Q862" s="9"/>
    </row>
    <row r="863" spans="4:17" s="294" customFormat="1" ht="15" customHeight="1">
      <c r="D863" s="10"/>
      <c r="E863" s="10"/>
      <c r="F863" s="9"/>
      <c r="G863" s="9"/>
      <c r="H863" s="9"/>
      <c r="I863" s="9"/>
      <c r="J863" s="9"/>
      <c r="K863" s="9"/>
      <c r="L863" s="9"/>
      <c r="M863" s="9"/>
      <c r="N863" s="9"/>
      <c r="O863" s="9"/>
      <c r="P863" s="9"/>
      <c r="Q863" s="9"/>
    </row>
    <row r="864" spans="4:17" s="294" customFormat="1" ht="15" customHeight="1">
      <c r="D864" s="10"/>
      <c r="E864" s="10"/>
      <c r="F864" s="9"/>
      <c r="G864" s="9"/>
      <c r="H864" s="9"/>
      <c r="I864" s="9"/>
      <c r="J864" s="9"/>
      <c r="K864" s="9"/>
      <c r="L864" s="9"/>
      <c r="M864" s="9"/>
      <c r="N864" s="9"/>
      <c r="O864" s="9"/>
      <c r="P864" s="9"/>
      <c r="Q864" s="9"/>
    </row>
    <row r="865" spans="4:17" s="294" customFormat="1" ht="15" customHeight="1">
      <c r="D865" s="10"/>
      <c r="E865" s="10"/>
      <c r="F865" s="9"/>
      <c r="G865" s="9"/>
      <c r="H865" s="9"/>
      <c r="I865" s="9"/>
      <c r="J865" s="9"/>
      <c r="K865" s="9"/>
      <c r="L865" s="9"/>
      <c r="M865" s="9"/>
      <c r="N865" s="9"/>
      <c r="O865" s="9"/>
      <c r="P865" s="9"/>
      <c r="Q865" s="9"/>
    </row>
    <row r="866" spans="4:17" s="294" customFormat="1" ht="15" customHeight="1">
      <c r="D866" s="10"/>
      <c r="E866" s="10"/>
      <c r="F866" s="9"/>
      <c r="G866" s="9"/>
      <c r="H866" s="9"/>
      <c r="I866" s="9"/>
      <c r="J866" s="9"/>
      <c r="K866" s="9"/>
      <c r="L866" s="9"/>
      <c r="M866" s="9"/>
      <c r="N866" s="9"/>
      <c r="O866" s="9"/>
      <c r="P866" s="9"/>
      <c r="Q866" s="9"/>
    </row>
    <row r="867" spans="4:17" s="294" customFormat="1" ht="15" customHeight="1">
      <c r="D867" s="10"/>
      <c r="E867" s="10"/>
      <c r="F867" s="9"/>
      <c r="G867" s="9"/>
      <c r="H867" s="9"/>
      <c r="I867" s="9"/>
      <c r="J867" s="9"/>
      <c r="K867" s="9"/>
      <c r="L867" s="9"/>
      <c r="M867" s="9"/>
      <c r="N867" s="9"/>
      <c r="O867" s="9"/>
      <c r="P867" s="9"/>
      <c r="Q867" s="9"/>
    </row>
    <row r="868" spans="4:17" s="294" customFormat="1" ht="15" customHeight="1">
      <c r="D868" s="10"/>
      <c r="E868" s="10"/>
      <c r="F868" s="9"/>
      <c r="G868" s="9"/>
      <c r="H868" s="9"/>
      <c r="I868" s="9"/>
      <c r="J868" s="9"/>
      <c r="K868" s="9"/>
      <c r="L868" s="9"/>
      <c r="M868" s="9"/>
      <c r="N868" s="9"/>
      <c r="O868" s="9"/>
      <c r="P868" s="9"/>
      <c r="Q868" s="9"/>
    </row>
    <row r="869" spans="4:17" s="294" customFormat="1" ht="15" customHeight="1">
      <c r="D869" s="10"/>
      <c r="E869" s="10"/>
      <c r="F869" s="9"/>
      <c r="G869" s="9"/>
      <c r="H869" s="9"/>
      <c r="I869" s="9"/>
      <c r="J869" s="9"/>
      <c r="K869" s="9"/>
      <c r="L869" s="9"/>
      <c r="M869" s="9"/>
      <c r="N869" s="9"/>
      <c r="O869" s="9"/>
      <c r="P869" s="9"/>
      <c r="Q869" s="9"/>
    </row>
    <row r="870" spans="4:17" s="294" customFormat="1" ht="15" customHeight="1">
      <c r="D870" s="10"/>
      <c r="E870" s="10"/>
      <c r="F870" s="9"/>
      <c r="G870" s="9"/>
      <c r="H870" s="9"/>
      <c r="I870" s="9"/>
      <c r="J870" s="9"/>
      <c r="K870" s="9"/>
      <c r="L870" s="9"/>
      <c r="M870" s="9"/>
      <c r="N870" s="9"/>
      <c r="O870" s="9"/>
      <c r="P870" s="9"/>
      <c r="Q870" s="9"/>
    </row>
    <row r="871" spans="4:17" s="294" customFormat="1" ht="15" customHeight="1">
      <c r="D871" s="10"/>
      <c r="E871" s="10"/>
      <c r="F871" s="9"/>
      <c r="G871" s="9"/>
      <c r="H871" s="9"/>
      <c r="I871" s="9"/>
      <c r="J871" s="9"/>
      <c r="K871" s="9"/>
      <c r="L871" s="9"/>
      <c r="M871" s="9"/>
      <c r="N871" s="9"/>
      <c r="O871" s="9"/>
      <c r="P871" s="9"/>
      <c r="Q871" s="9"/>
    </row>
    <row r="872" spans="4:17" s="294" customFormat="1" ht="15" customHeight="1">
      <c r="D872" s="10"/>
      <c r="E872" s="10"/>
      <c r="F872" s="9"/>
      <c r="G872" s="9"/>
      <c r="H872" s="9"/>
      <c r="I872" s="9"/>
      <c r="J872" s="9"/>
      <c r="K872" s="9"/>
      <c r="L872" s="9"/>
      <c r="M872" s="9"/>
      <c r="N872" s="9"/>
      <c r="O872" s="9"/>
      <c r="P872" s="9"/>
      <c r="Q872" s="9"/>
    </row>
    <row r="873" spans="4:17" s="294" customFormat="1" ht="15" customHeight="1">
      <c r="D873" s="10"/>
      <c r="E873" s="10"/>
      <c r="F873" s="9"/>
      <c r="G873" s="9"/>
      <c r="H873" s="9"/>
      <c r="I873" s="9"/>
      <c r="J873" s="9"/>
      <c r="K873" s="9"/>
      <c r="L873" s="9"/>
      <c r="M873" s="9"/>
      <c r="N873" s="9"/>
      <c r="O873" s="9"/>
      <c r="P873" s="9"/>
      <c r="Q873" s="9"/>
    </row>
    <row r="874" spans="4:17" s="294" customFormat="1" ht="15" customHeight="1">
      <c r="D874" s="10"/>
      <c r="E874" s="10"/>
      <c r="F874" s="9"/>
      <c r="G874" s="9"/>
      <c r="H874" s="9"/>
      <c r="I874" s="9"/>
      <c r="J874" s="9"/>
      <c r="K874" s="9"/>
      <c r="L874" s="9"/>
      <c r="M874" s="9"/>
      <c r="N874" s="9"/>
      <c r="O874" s="9"/>
      <c r="P874" s="9"/>
      <c r="Q874" s="9"/>
    </row>
    <row r="875" spans="4:17" s="294" customFormat="1" ht="15" customHeight="1">
      <c r="D875" s="10"/>
      <c r="E875" s="10"/>
      <c r="F875" s="9"/>
      <c r="G875" s="9"/>
      <c r="H875" s="9"/>
      <c r="I875" s="9"/>
      <c r="J875" s="9"/>
      <c r="K875" s="9"/>
      <c r="L875" s="9"/>
      <c r="M875" s="9"/>
      <c r="N875" s="9"/>
      <c r="O875" s="9"/>
      <c r="P875" s="9"/>
      <c r="Q875" s="9"/>
    </row>
    <row r="876" spans="4:17" s="294" customFormat="1" ht="15" customHeight="1">
      <c r="D876" s="10"/>
      <c r="E876" s="10"/>
      <c r="F876" s="9"/>
      <c r="G876" s="9"/>
      <c r="H876" s="9"/>
      <c r="I876" s="9"/>
      <c r="J876" s="9"/>
      <c r="K876" s="9"/>
      <c r="L876" s="9"/>
      <c r="M876" s="9"/>
      <c r="N876" s="9"/>
      <c r="O876" s="9"/>
      <c r="P876" s="9"/>
      <c r="Q876" s="9"/>
    </row>
    <row r="877" spans="4:17" s="294" customFormat="1" ht="15" customHeight="1">
      <c r="D877" s="10"/>
      <c r="E877" s="10"/>
      <c r="F877" s="9"/>
      <c r="G877" s="9"/>
      <c r="H877" s="9"/>
      <c r="I877" s="9"/>
      <c r="J877" s="9"/>
      <c r="K877" s="9"/>
      <c r="L877" s="9"/>
      <c r="M877" s="9"/>
      <c r="N877" s="9"/>
      <c r="O877" s="9"/>
      <c r="P877" s="9"/>
      <c r="Q877" s="9"/>
    </row>
    <row r="878" spans="4:17" s="294" customFormat="1" ht="15" customHeight="1">
      <c r="D878" s="10"/>
      <c r="E878" s="10"/>
      <c r="F878" s="9"/>
      <c r="G878" s="9"/>
      <c r="H878" s="9"/>
      <c r="I878" s="9"/>
      <c r="J878" s="9"/>
      <c r="K878" s="9"/>
      <c r="L878" s="9"/>
      <c r="M878" s="9"/>
      <c r="N878" s="9"/>
      <c r="O878" s="9"/>
      <c r="P878" s="9"/>
      <c r="Q878" s="9"/>
    </row>
    <row r="879" spans="4:17" s="294" customFormat="1" ht="15" customHeight="1">
      <c r="D879" s="10"/>
      <c r="E879" s="10"/>
      <c r="F879" s="9"/>
      <c r="G879" s="9"/>
      <c r="H879" s="9"/>
      <c r="I879" s="9"/>
      <c r="J879" s="9"/>
      <c r="K879" s="9"/>
      <c r="L879" s="9"/>
      <c r="M879" s="9"/>
      <c r="N879" s="9"/>
      <c r="O879" s="9"/>
      <c r="P879" s="9"/>
      <c r="Q879" s="9"/>
    </row>
    <row r="880" spans="4:17" s="294" customFormat="1" ht="15" customHeight="1">
      <c r="D880" s="10"/>
      <c r="E880" s="10"/>
      <c r="F880" s="9"/>
      <c r="G880" s="9"/>
      <c r="H880" s="9"/>
      <c r="I880" s="9"/>
      <c r="J880" s="9"/>
      <c r="K880" s="9"/>
      <c r="L880" s="9"/>
      <c r="M880" s="9"/>
      <c r="N880" s="9"/>
      <c r="O880" s="9"/>
      <c r="P880" s="9"/>
      <c r="Q880" s="9"/>
    </row>
    <row r="881" spans="4:17" s="294" customFormat="1" ht="15" customHeight="1">
      <c r="D881" s="10"/>
      <c r="E881" s="10"/>
      <c r="F881" s="9"/>
      <c r="G881" s="9"/>
      <c r="H881" s="9"/>
      <c r="I881" s="9"/>
      <c r="J881" s="9"/>
      <c r="K881" s="9"/>
      <c r="L881" s="9"/>
      <c r="M881" s="9"/>
      <c r="N881" s="9"/>
      <c r="O881" s="9"/>
      <c r="P881" s="9"/>
      <c r="Q881" s="9"/>
    </row>
    <row r="882" spans="4:17" s="294" customFormat="1" ht="15" customHeight="1">
      <c r="D882" s="10"/>
      <c r="E882" s="10"/>
      <c r="F882" s="9"/>
      <c r="G882" s="9"/>
      <c r="H882" s="9"/>
      <c r="I882" s="9"/>
      <c r="J882" s="9"/>
      <c r="K882" s="9"/>
      <c r="L882" s="9"/>
      <c r="M882" s="9"/>
      <c r="N882" s="9"/>
      <c r="O882" s="9"/>
      <c r="P882" s="9"/>
      <c r="Q882" s="9"/>
    </row>
    <row r="883" spans="4:17" s="294" customFormat="1" ht="15" customHeight="1">
      <c r="D883" s="10"/>
      <c r="E883" s="10"/>
      <c r="F883" s="9"/>
      <c r="G883" s="9"/>
      <c r="H883" s="9"/>
      <c r="I883" s="9"/>
      <c r="J883" s="9"/>
      <c r="K883" s="9"/>
      <c r="L883" s="9"/>
      <c r="M883" s="9"/>
      <c r="N883" s="9"/>
      <c r="O883" s="9"/>
      <c r="P883" s="9"/>
      <c r="Q883" s="9"/>
    </row>
    <row r="884" spans="4:17" s="294" customFormat="1" ht="15" customHeight="1">
      <c r="D884" s="10"/>
      <c r="E884" s="10"/>
      <c r="F884" s="9"/>
      <c r="G884" s="9"/>
      <c r="H884" s="9"/>
      <c r="I884" s="9"/>
      <c r="J884" s="9"/>
      <c r="K884" s="9"/>
      <c r="L884" s="9"/>
      <c r="M884" s="9"/>
      <c r="N884" s="9"/>
      <c r="O884" s="9"/>
      <c r="P884" s="9"/>
      <c r="Q884" s="9"/>
    </row>
    <row r="885" spans="4:17" s="294" customFormat="1" ht="15" customHeight="1">
      <c r="D885" s="10"/>
      <c r="E885" s="10"/>
      <c r="F885" s="9"/>
      <c r="G885" s="9"/>
      <c r="H885" s="9"/>
      <c r="I885" s="9"/>
      <c r="J885" s="9"/>
      <c r="K885" s="9"/>
      <c r="L885" s="9"/>
      <c r="M885" s="9"/>
      <c r="N885" s="9"/>
      <c r="O885" s="9"/>
      <c r="P885" s="9"/>
      <c r="Q885" s="9"/>
    </row>
    <row r="886" spans="4:17" s="294" customFormat="1" ht="15" customHeight="1">
      <c r="D886" s="10"/>
      <c r="E886" s="10"/>
      <c r="F886" s="9"/>
      <c r="G886" s="9"/>
      <c r="H886" s="9"/>
      <c r="I886" s="9"/>
      <c r="J886" s="9"/>
      <c r="K886" s="9"/>
      <c r="L886" s="9"/>
      <c r="M886" s="9"/>
      <c r="N886" s="9"/>
      <c r="O886" s="9"/>
      <c r="P886" s="9"/>
      <c r="Q886" s="9"/>
    </row>
    <row r="887" spans="4:17" s="294" customFormat="1" ht="15" customHeight="1">
      <c r="D887" s="10"/>
      <c r="E887" s="10"/>
      <c r="F887" s="9"/>
      <c r="G887" s="9"/>
      <c r="H887" s="9"/>
      <c r="I887" s="9"/>
      <c r="J887" s="9"/>
      <c r="K887" s="9"/>
      <c r="L887" s="9"/>
      <c r="M887" s="9"/>
      <c r="N887" s="9"/>
      <c r="O887" s="9"/>
      <c r="P887" s="9"/>
      <c r="Q887" s="9"/>
    </row>
    <row r="888" spans="4:17" s="294" customFormat="1" ht="15" customHeight="1">
      <c r="D888" s="10"/>
      <c r="E888" s="10"/>
      <c r="F888" s="9"/>
      <c r="G888" s="9"/>
      <c r="H888" s="9"/>
      <c r="I888" s="9"/>
      <c r="J888" s="9"/>
      <c r="K888" s="9"/>
      <c r="L888" s="9"/>
      <c r="M888" s="9"/>
      <c r="N888" s="9"/>
      <c r="O888" s="9"/>
      <c r="P888" s="9"/>
      <c r="Q888" s="9"/>
    </row>
    <row r="889" spans="4:17" s="294" customFormat="1" ht="15" customHeight="1">
      <c r="D889" s="10"/>
      <c r="E889" s="10"/>
      <c r="F889" s="9"/>
      <c r="G889" s="9"/>
      <c r="H889" s="9"/>
      <c r="I889" s="9"/>
      <c r="J889" s="9"/>
      <c r="K889" s="9"/>
      <c r="L889" s="9"/>
      <c r="M889" s="9"/>
      <c r="N889" s="9"/>
      <c r="O889" s="9"/>
      <c r="P889" s="9"/>
      <c r="Q889" s="9"/>
    </row>
    <row r="890" spans="4:17" s="294" customFormat="1" ht="15" customHeight="1">
      <c r="D890" s="10"/>
      <c r="E890" s="10"/>
      <c r="F890" s="9"/>
      <c r="G890" s="9"/>
      <c r="H890" s="9"/>
      <c r="I890" s="9"/>
      <c r="J890" s="9"/>
      <c r="K890" s="9"/>
      <c r="L890" s="9"/>
      <c r="M890" s="9"/>
      <c r="N890" s="9"/>
      <c r="O890" s="9"/>
      <c r="P890" s="9"/>
      <c r="Q890" s="9"/>
    </row>
    <row r="891" spans="4:17" s="294" customFormat="1" ht="15" customHeight="1">
      <c r="D891" s="10"/>
      <c r="E891" s="10"/>
      <c r="F891" s="9"/>
      <c r="G891" s="9"/>
      <c r="H891" s="9"/>
      <c r="I891" s="9"/>
      <c r="J891" s="9"/>
      <c r="K891" s="9"/>
      <c r="L891" s="9"/>
      <c r="M891" s="9"/>
      <c r="N891" s="9"/>
      <c r="O891" s="9"/>
      <c r="P891" s="9"/>
      <c r="Q891" s="9"/>
    </row>
    <row r="892" spans="4:17" s="294" customFormat="1" ht="15" customHeight="1">
      <c r="D892" s="10"/>
      <c r="E892" s="10"/>
      <c r="F892" s="9"/>
      <c r="G892" s="9"/>
      <c r="H892" s="9"/>
      <c r="I892" s="9"/>
      <c r="J892" s="9"/>
      <c r="K892" s="9"/>
      <c r="L892" s="9"/>
      <c r="M892" s="9"/>
      <c r="N892" s="9"/>
      <c r="O892" s="9"/>
      <c r="P892" s="9"/>
      <c r="Q892" s="9"/>
    </row>
    <row r="893" spans="4:17" s="294" customFormat="1" ht="15" customHeight="1">
      <c r="D893" s="10"/>
      <c r="E893" s="10"/>
      <c r="F893" s="9"/>
      <c r="G893" s="9"/>
      <c r="H893" s="9"/>
      <c r="I893" s="9"/>
      <c r="J893" s="9"/>
      <c r="K893" s="9"/>
      <c r="L893" s="9"/>
      <c r="M893" s="9"/>
      <c r="N893" s="9"/>
      <c r="O893" s="9"/>
      <c r="P893" s="9"/>
      <c r="Q893" s="9"/>
    </row>
    <row r="894" spans="4:17" s="294" customFormat="1" ht="15" customHeight="1">
      <c r="D894" s="10"/>
      <c r="E894" s="10"/>
      <c r="F894" s="9"/>
      <c r="G894" s="9"/>
      <c r="H894" s="9"/>
      <c r="I894" s="9"/>
      <c r="J894" s="9"/>
      <c r="K894" s="9"/>
      <c r="L894" s="9"/>
      <c r="M894" s="9"/>
      <c r="N894" s="9"/>
      <c r="O894" s="9"/>
      <c r="P894" s="9"/>
      <c r="Q894" s="9"/>
    </row>
    <row r="895" spans="4:17" s="294" customFormat="1" ht="15" customHeight="1">
      <c r="D895" s="10"/>
      <c r="E895" s="10"/>
      <c r="F895" s="9"/>
      <c r="G895" s="9"/>
      <c r="H895" s="9"/>
      <c r="I895" s="9"/>
      <c r="J895" s="9"/>
      <c r="K895" s="9"/>
      <c r="L895" s="9"/>
      <c r="M895" s="9"/>
      <c r="N895" s="9"/>
      <c r="O895" s="9"/>
      <c r="P895" s="9"/>
      <c r="Q895" s="9"/>
    </row>
    <row r="896" spans="4:17" s="294" customFormat="1" ht="15" customHeight="1">
      <c r="D896" s="10"/>
      <c r="E896" s="10"/>
      <c r="F896" s="9"/>
      <c r="G896" s="9"/>
      <c r="H896" s="9"/>
      <c r="I896" s="9"/>
      <c r="J896" s="9"/>
      <c r="K896" s="9"/>
      <c r="L896" s="9"/>
      <c r="M896" s="9"/>
      <c r="N896" s="9"/>
      <c r="O896" s="9"/>
      <c r="P896" s="9"/>
      <c r="Q896" s="9"/>
    </row>
    <row r="897" spans="4:17" s="294" customFormat="1" ht="15" customHeight="1">
      <c r="D897" s="10"/>
      <c r="E897" s="10"/>
      <c r="F897" s="9"/>
      <c r="G897" s="9"/>
      <c r="H897" s="9"/>
      <c r="I897" s="9"/>
      <c r="J897" s="9"/>
      <c r="K897" s="9"/>
      <c r="L897" s="9"/>
      <c r="M897" s="9"/>
      <c r="N897" s="9"/>
      <c r="O897" s="9"/>
      <c r="P897" s="9"/>
      <c r="Q897" s="9"/>
    </row>
    <row r="898" spans="4:17" s="294" customFormat="1" ht="15" customHeight="1">
      <c r="D898" s="10"/>
      <c r="E898" s="10"/>
      <c r="F898" s="9"/>
      <c r="G898" s="9"/>
      <c r="H898" s="9"/>
      <c r="I898" s="9"/>
      <c r="J898" s="9"/>
      <c r="K898" s="9"/>
      <c r="L898" s="9"/>
      <c r="M898" s="9"/>
      <c r="N898" s="9"/>
      <c r="O898" s="9"/>
      <c r="P898" s="9"/>
      <c r="Q898" s="9"/>
    </row>
    <row r="899" spans="4:17" s="294" customFormat="1" ht="15" customHeight="1">
      <c r="D899" s="10"/>
      <c r="E899" s="10"/>
      <c r="F899" s="9"/>
      <c r="G899" s="9"/>
      <c r="H899" s="9"/>
      <c r="I899" s="9"/>
      <c r="J899" s="9"/>
      <c r="K899" s="9"/>
      <c r="L899" s="9"/>
      <c r="M899" s="9"/>
      <c r="N899" s="9"/>
      <c r="O899" s="9"/>
      <c r="P899" s="9"/>
      <c r="Q899" s="9"/>
    </row>
    <row r="900" spans="4:17" s="294" customFormat="1" ht="15" customHeight="1">
      <c r="D900" s="10"/>
      <c r="E900" s="10"/>
      <c r="F900" s="9"/>
      <c r="G900" s="9"/>
      <c r="H900" s="9"/>
      <c r="I900" s="9"/>
      <c r="J900" s="9"/>
      <c r="K900" s="9"/>
      <c r="L900" s="9"/>
      <c r="M900" s="9"/>
      <c r="N900" s="9"/>
      <c r="O900" s="9"/>
      <c r="P900" s="9"/>
      <c r="Q900" s="9"/>
    </row>
    <row r="901" spans="4:17" s="294" customFormat="1" ht="15" customHeight="1">
      <c r="D901" s="10"/>
      <c r="E901" s="10"/>
      <c r="F901" s="9"/>
      <c r="G901" s="9"/>
      <c r="H901" s="9"/>
      <c r="I901" s="9"/>
      <c r="J901" s="9"/>
      <c r="K901" s="9"/>
      <c r="L901" s="9"/>
      <c r="M901" s="9"/>
      <c r="N901" s="9"/>
      <c r="O901" s="9"/>
      <c r="P901" s="9"/>
      <c r="Q901" s="9"/>
    </row>
    <row r="902" spans="4:17" s="294" customFormat="1" ht="15" customHeight="1">
      <c r="D902" s="10"/>
      <c r="E902" s="10"/>
      <c r="F902" s="9"/>
      <c r="G902" s="9"/>
      <c r="H902" s="9"/>
      <c r="I902" s="9"/>
      <c r="J902" s="9"/>
      <c r="K902" s="9"/>
      <c r="L902" s="9"/>
      <c r="M902" s="9"/>
      <c r="N902" s="9"/>
      <c r="O902" s="9"/>
      <c r="P902" s="9"/>
      <c r="Q902" s="9"/>
    </row>
    <row r="903" spans="4:17" s="294" customFormat="1" ht="15" customHeight="1">
      <c r="D903" s="10"/>
      <c r="E903" s="10"/>
      <c r="F903" s="9"/>
      <c r="G903" s="9"/>
      <c r="H903" s="9"/>
      <c r="I903" s="9"/>
      <c r="J903" s="9"/>
      <c r="K903" s="9"/>
      <c r="L903" s="9"/>
      <c r="M903" s="9"/>
      <c r="N903" s="9"/>
      <c r="O903" s="9"/>
      <c r="P903" s="9"/>
      <c r="Q903" s="9"/>
    </row>
    <row r="904" spans="4:17" s="294" customFormat="1" ht="15" customHeight="1">
      <c r="D904" s="10"/>
      <c r="E904" s="10"/>
      <c r="F904" s="9"/>
      <c r="G904" s="9"/>
      <c r="H904" s="9"/>
      <c r="I904" s="9"/>
      <c r="J904" s="9"/>
      <c r="K904" s="9"/>
      <c r="L904" s="9"/>
      <c r="M904" s="9"/>
      <c r="N904" s="9"/>
      <c r="O904" s="9"/>
      <c r="P904" s="9"/>
      <c r="Q904" s="9"/>
    </row>
    <row r="905" spans="4:17" s="294" customFormat="1" ht="15" customHeight="1">
      <c r="D905" s="10"/>
      <c r="E905" s="10"/>
      <c r="F905" s="9"/>
      <c r="G905" s="9"/>
      <c r="H905" s="9"/>
      <c r="I905" s="9"/>
      <c r="J905" s="9"/>
      <c r="K905" s="9"/>
      <c r="L905" s="9"/>
      <c r="M905" s="9"/>
      <c r="N905" s="9"/>
      <c r="O905" s="9"/>
      <c r="P905" s="9"/>
      <c r="Q905" s="9"/>
    </row>
    <row r="906" spans="4:17" s="294" customFormat="1" ht="15" customHeight="1">
      <c r="D906" s="10"/>
      <c r="E906" s="10"/>
      <c r="F906" s="9"/>
      <c r="G906" s="9"/>
      <c r="H906" s="9"/>
      <c r="I906" s="9"/>
      <c r="J906" s="9"/>
      <c r="K906" s="9"/>
      <c r="L906" s="9"/>
      <c r="M906" s="9"/>
      <c r="N906" s="9"/>
      <c r="O906" s="9"/>
      <c r="P906" s="9"/>
      <c r="Q906" s="9"/>
    </row>
    <row r="907" spans="4:17" s="294" customFormat="1" ht="15" customHeight="1">
      <c r="D907" s="10"/>
      <c r="E907" s="10"/>
      <c r="F907" s="9"/>
      <c r="G907" s="9"/>
      <c r="H907" s="9"/>
      <c r="I907" s="9"/>
      <c r="J907" s="9"/>
      <c r="K907" s="9"/>
      <c r="L907" s="9"/>
      <c r="M907" s="9"/>
      <c r="N907" s="9"/>
      <c r="O907" s="9"/>
      <c r="P907" s="9"/>
      <c r="Q907" s="9"/>
    </row>
    <row r="908" spans="4:17" s="294" customFormat="1" ht="15" customHeight="1">
      <c r="D908" s="10"/>
      <c r="E908" s="10"/>
      <c r="F908" s="9"/>
      <c r="G908" s="9"/>
      <c r="H908" s="9"/>
      <c r="I908" s="9"/>
      <c r="J908" s="9"/>
      <c r="K908" s="9"/>
      <c r="L908" s="9"/>
      <c r="M908" s="9"/>
      <c r="N908" s="9"/>
      <c r="O908" s="9"/>
      <c r="P908" s="9"/>
      <c r="Q908" s="9"/>
    </row>
    <row r="909" spans="4:17" s="294" customFormat="1" ht="15" customHeight="1">
      <c r="D909" s="10"/>
      <c r="E909" s="10"/>
      <c r="F909" s="9"/>
      <c r="G909" s="9"/>
      <c r="H909" s="9"/>
      <c r="I909" s="9"/>
      <c r="J909" s="9"/>
      <c r="K909" s="9"/>
      <c r="L909" s="9"/>
      <c r="M909" s="9"/>
      <c r="N909" s="9"/>
      <c r="O909" s="9"/>
      <c r="P909" s="9"/>
      <c r="Q909" s="9"/>
    </row>
    <row r="910" spans="4:17" s="294" customFormat="1" ht="15" customHeight="1">
      <c r="D910" s="10"/>
      <c r="E910" s="10"/>
      <c r="F910" s="9"/>
      <c r="G910" s="9"/>
      <c r="H910" s="9"/>
      <c r="I910" s="9"/>
      <c r="J910" s="9"/>
      <c r="K910" s="9"/>
      <c r="L910" s="9"/>
      <c r="M910" s="9"/>
      <c r="N910" s="9"/>
      <c r="O910" s="9"/>
      <c r="P910" s="9"/>
      <c r="Q910" s="9"/>
    </row>
    <row r="911" spans="4:17" s="294" customFormat="1" ht="15" customHeight="1">
      <c r="D911" s="10"/>
      <c r="E911" s="10"/>
      <c r="F911" s="9"/>
      <c r="G911" s="9"/>
      <c r="H911" s="9"/>
      <c r="I911" s="9"/>
      <c r="J911" s="9"/>
      <c r="K911" s="9"/>
      <c r="L911" s="9"/>
      <c r="M911" s="9"/>
      <c r="N911" s="9"/>
      <c r="O911" s="9"/>
      <c r="P911" s="9"/>
      <c r="Q911" s="9"/>
    </row>
    <row r="912" spans="4:17" s="294" customFormat="1" ht="15" customHeight="1">
      <c r="D912" s="10"/>
      <c r="E912" s="10"/>
      <c r="F912" s="9"/>
      <c r="G912" s="9"/>
      <c r="H912" s="9"/>
      <c r="I912" s="9"/>
      <c r="J912" s="9"/>
      <c r="K912" s="9"/>
      <c r="L912" s="9"/>
      <c r="M912" s="9"/>
      <c r="N912" s="9"/>
      <c r="O912" s="9"/>
      <c r="P912" s="9"/>
      <c r="Q912" s="9"/>
    </row>
    <row r="913" spans="4:17" s="294" customFormat="1" ht="15" customHeight="1">
      <c r="D913" s="10"/>
      <c r="E913" s="10"/>
      <c r="F913" s="9"/>
      <c r="G913" s="9"/>
      <c r="H913" s="9"/>
      <c r="I913" s="9"/>
      <c r="J913" s="9"/>
      <c r="K913" s="9"/>
      <c r="L913" s="9"/>
      <c r="M913" s="9"/>
      <c r="N913" s="9"/>
      <c r="O913" s="9"/>
      <c r="P913" s="9"/>
      <c r="Q913" s="9"/>
    </row>
    <row r="914" spans="4:17" s="294" customFormat="1" ht="15" customHeight="1">
      <c r="D914" s="10"/>
      <c r="E914" s="10"/>
      <c r="F914" s="9"/>
      <c r="G914" s="9"/>
      <c r="H914" s="9"/>
      <c r="I914" s="9"/>
      <c r="J914" s="9"/>
      <c r="K914" s="9"/>
      <c r="L914" s="9"/>
      <c r="M914" s="9"/>
      <c r="N914" s="9"/>
      <c r="O914" s="9"/>
      <c r="P914" s="9"/>
      <c r="Q914" s="9"/>
    </row>
    <row r="915" spans="4:17" s="294" customFormat="1" ht="15" customHeight="1">
      <c r="D915" s="10"/>
      <c r="E915" s="10"/>
      <c r="F915" s="9"/>
      <c r="G915" s="9"/>
      <c r="H915" s="9"/>
      <c r="I915" s="9"/>
      <c r="J915" s="9"/>
      <c r="K915" s="9"/>
      <c r="L915" s="9"/>
      <c r="M915" s="9"/>
      <c r="N915" s="9"/>
      <c r="O915" s="9"/>
      <c r="P915" s="9"/>
      <c r="Q915" s="9"/>
    </row>
    <row r="916" spans="4:17" s="294" customFormat="1" ht="15" customHeight="1">
      <c r="D916" s="10"/>
      <c r="E916" s="10"/>
      <c r="F916" s="9"/>
      <c r="G916" s="9"/>
      <c r="H916" s="9"/>
      <c r="I916" s="9"/>
      <c r="J916" s="9"/>
      <c r="K916" s="9"/>
      <c r="L916" s="9"/>
      <c r="M916" s="9"/>
      <c r="N916" s="9"/>
      <c r="O916" s="9"/>
      <c r="P916" s="9"/>
      <c r="Q916" s="9"/>
    </row>
    <row r="917" spans="4:17" s="294" customFormat="1" ht="15" customHeight="1">
      <c r="D917" s="10"/>
      <c r="E917" s="10"/>
      <c r="F917" s="9"/>
      <c r="G917" s="9"/>
      <c r="H917" s="9"/>
      <c r="I917" s="9"/>
      <c r="J917" s="9"/>
      <c r="K917" s="9"/>
      <c r="L917" s="9"/>
      <c r="M917" s="9"/>
      <c r="N917" s="9"/>
      <c r="O917" s="9"/>
      <c r="P917" s="9"/>
      <c r="Q917" s="9"/>
    </row>
    <row r="918" spans="4:17" s="294" customFormat="1" ht="15" customHeight="1">
      <c r="D918" s="10"/>
      <c r="E918" s="10"/>
      <c r="F918" s="9"/>
      <c r="G918" s="9"/>
      <c r="H918" s="9"/>
      <c r="I918" s="9"/>
      <c r="J918" s="9"/>
      <c r="K918" s="9"/>
      <c r="L918" s="9"/>
      <c r="M918" s="9"/>
      <c r="N918" s="9"/>
      <c r="O918" s="9"/>
      <c r="P918" s="9"/>
      <c r="Q918" s="9"/>
    </row>
    <row r="919" spans="4:17" s="294" customFormat="1" ht="15" customHeight="1">
      <c r="D919" s="10"/>
      <c r="E919" s="10"/>
      <c r="F919" s="9"/>
      <c r="G919" s="9"/>
      <c r="H919" s="9"/>
      <c r="I919" s="9"/>
      <c r="J919" s="9"/>
      <c r="K919" s="9"/>
      <c r="L919" s="9"/>
      <c r="M919" s="9"/>
      <c r="N919" s="9"/>
      <c r="O919" s="9"/>
      <c r="P919" s="9"/>
      <c r="Q919" s="9"/>
    </row>
    <row r="920" spans="4:17" s="294" customFormat="1" ht="15" customHeight="1">
      <c r="D920" s="10"/>
      <c r="E920" s="10"/>
      <c r="F920" s="9"/>
      <c r="G920" s="9"/>
      <c r="H920" s="9"/>
      <c r="I920" s="9"/>
      <c r="J920" s="9"/>
      <c r="K920" s="9"/>
      <c r="L920" s="9"/>
      <c r="M920" s="9"/>
      <c r="N920" s="9"/>
      <c r="O920" s="9"/>
      <c r="P920" s="9"/>
      <c r="Q920" s="9"/>
    </row>
    <row r="921" spans="4:17" s="294" customFormat="1" ht="15" customHeight="1">
      <c r="D921" s="10"/>
      <c r="E921" s="10"/>
      <c r="F921" s="9"/>
      <c r="G921" s="9"/>
      <c r="H921" s="9"/>
      <c r="I921" s="9"/>
      <c r="J921" s="9"/>
      <c r="K921" s="9"/>
      <c r="L921" s="9"/>
      <c r="M921" s="9"/>
      <c r="N921" s="9"/>
      <c r="O921" s="9"/>
      <c r="P921" s="9"/>
      <c r="Q921" s="9"/>
    </row>
    <row r="922" spans="4:17" s="294" customFormat="1" ht="15" customHeight="1">
      <c r="D922" s="10"/>
      <c r="E922" s="10"/>
      <c r="F922" s="9"/>
      <c r="G922" s="9"/>
      <c r="H922" s="9"/>
      <c r="I922" s="9"/>
      <c r="J922" s="9"/>
      <c r="K922" s="9"/>
      <c r="L922" s="9"/>
      <c r="M922" s="9"/>
      <c r="N922" s="9"/>
      <c r="O922" s="9"/>
      <c r="P922" s="9"/>
      <c r="Q922" s="9"/>
    </row>
    <row r="923" spans="4:17" s="294" customFormat="1" ht="15" customHeight="1">
      <c r="D923" s="10"/>
      <c r="E923" s="10"/>
      <c r="F923" s="9"/>
      <c r="G923" s="9"/>
      <c r="H923" s="9"/>
      <c r="I923" s="9"/>
      <c r="J923" s="9"/>
      <c r="K923" s="9"/>
      <c r="L923" s="9"/>
      <c r="M923" s="9"/>
      <c r="N923" s="9"/>
      <c r="O923" s="9"/>
      <c r="P923" s="9"/>
      <c r="Q923" s="9"/>
    </row>
    <row r="924" spans="4:17" s="294" customFormat="1" ht="15" customHeight="1">
      <c r="D924" s="10"/>
      <c r="E924" s="10"/>
      <c r="F924" s="9"/>
      <c r="G924" s="9"/>
      <c r="H924" s="9"/>
      <c r="I924" s="9"/>
      <c r="J924" s="9"/>
      <c r="K924" s="9"/>
      <c r="L924" s="9"/>
      <c r="M924" s="9"/>
      <c r="N924" s="9"/>
      <c r="O924" s="9"/>
      <c r="P924" s="9"/>
      <c r="Q924" s="9"/>
    </row>
    <row r="925" spans="4:17" s="294" customFormat="1" ht="15" customHeight="1">
      <c r="D925" s="10"/>
      <c r="E925" s="10"/>
      <c r="F925" s="9"/>
      <c r="G925" s="9"/>
      <c r="H925" s="9"/>
      <c r="I925" s="9"/>
      <c r="J925" s="9"/>
      <c r="K925" s="9"/>
      <c r="L925" s="9"/>
      <c r="M925" s="9"/>
      <c r="N925" s="9"/>
      <c r="O925" s="9"/>
      <c r="P925" s="9"/>
      <c r="Q925" s="9"/>
    </row>
    <row r="926" spans="4:17" s="294" customFormat="1" ht="15" customHeight="1">
      <c r="D926" s="10"/>
      <c r="E926" s="10"/>
      <c r="F926" s="9"/>
      <c r="G926" s="9"/>
      <c r="H926" s="9"/>
      <c r="I926" s="9"/>
      <c r="J926" s="9"/>
      <c r="K926" s="9"/>
      <c r="L926" s="9"/>
      <c r="M926" s="9"/>
      <c r="N926" s="9"/>
      <c r="O926" s="9"/>
      <c r="P926" s="9"/>
      <c r="Q926" s="9"/>
    </row>
    <row r="927" spans="4:17" s="294" customFormat="1" ht="15" customHeight="1">
      <c r="D927" s="10"/>
      <c r="E927" s="10"/>
      <c r="F927" s="9"/>
      <c r="G927" s="9"/>
      <c r="H927" s="9"/>
      <c r="I927" s="9"/>
      <c r="J927" s="9"/>
      <c r="K927" s="9"/>
      <c r="L927" s="9"/>
      <c r="M927" s="9"/>
      <c r="N927" s="9"/>
      <c r="O927" s="9"/>
      <c r="P927" s="9"/>
      <c r="Q927" s="9"/>
    </row>
    <row r="928" spans="4:17" s="294" customFormat="1" ht="15" customHeight="1">
      <c r="D928" s="10"/>
      <c r="E928" s="10"/>
      <c r="F928" s="9"/>
      <c r="G928" s="9"/>
      <c r="H928" s="9"/>
      <c r="I928" s="9"/>
      <c r="J928" s="9"/>
      <c r="K928" s="9"/>
      <c r="L928" s="9"/>
      <c r="M928" s="9"/>
      <c r="N928" s="9"/>
      <c r="O928" s="9"/>
      <c r="P928" s="9"/>
      <c r="Q928" s="9"/>
    </row>
    <row r="929" spans="4:17" s="294" customFormat="1" ht="15" customHeight="1">
      <c r="D929" s="10"/>
      <c r="E929" s="10"/>
      <c r="F929" s="9"/>
      <c r="G929" s="9"/>
      <c r="H929" s="9"/>
      <c r="I929" s="9"/>
      <c r="J929" s="9"/>
      <c r="K929" s="9"/>
      <c r="L929" s="9"/>
      <c r="M929" s="9"/>
      <c r="N929" s="9"/>
      <c r="O929" s="9"/>
      <c r="P929" s="9"/>
      <c r="Q929" s="9"/>
    </row>
    <row r="930" spans="4:17" s="294" customFormat="1" ht="15" customHeight="1">
      <c r="D930" s="10"/>
      <c r="E930" s="10"/>
      <c r="F930" s="9"/>
      <c r="G930" s="9"/>
      <c r="H930" s="9"/>
      <c r="I930" s="9"/>
      <c r="J930" s="9"/>
      <c r="K930" s="9"/>
      <c r="L930" s="9"/>
      <c r="M930" s="9"/>
      <c r="N930" s="9"/>
      <c r="O930" s="9"/>
      <c r="P930" s="9"/>
      <c r="Q930" s="9"/>
    </row>
    <row r="931" spans="4:17" s="294" customFormat="1" ht="15" customHeight="1">
      <c r="D931" s="10"/>
      <c r="E931" s="10"/>
      <c r="F931" s="9"/>
      <c r="G931" s="9"/>
      <c r="H931" s="9"/>
      <c r="I931" s="9"/>
      <c r="J931" s="9"/>
      <c r="K931" s="9"/>
      <c r="L931" s="9"/>
      <c r="M931" s="9"/>
      <c r="N931" s="9"/>
      <c r="O931" s="9"/>
      <c r="P931" s="9"/>
      <c r="Q931" s="9"/>
    </row>
    <row r="932" spans="4:17" s="294" customFormat="1" ht="15" customHeight="1">
      <c r="D932" s="10"/>
      <c r="E932" s="10"/>
      <c r="F932" s="9"/>
      <c r="G932" s="9"/>
      <c r="H932" s="9"/>
      <c r="I932" s="9"/>
      <c r="J932" s="9"/>
      <c r="K932" s="9"/>
      <c r="L932" s="9"/>
      <c r="M932" s="9"/>
      <c r="N932" s="9"/>
      <c r="O932" s="9"/>
      <c r="P932" s="9"/>
      <c r="Q932" s="9"/>
    </row>
    <row r="933" spans="4:17" s="294" customFormat="1" ht="15" customHeight="1">
      <c r="D933" s="10"/>
      <c r="E933" s="10"/>
      <c r="F933" s="9"/>
      <c r="G933" s="9"/>
      <c r="H933" s="9"/>
      <c r="I933" s="9"/>
      <c r="J933" s="9"/>
      <c r="K933" s="9"/>
      <c r="L933" s="9"/>
      <c r="M933" s="9"/>
      <c r="N933" s="9"/>
      <c r="O933" s="9"/>
      <c r="P933" s="9"/>
      <c r="Q933" s="9"/>
    </row>
    <row r="934" spans="4:17" s="294" customFormat="1" ht="15" customHeight="1">
      <c r="D934" s="10"/>
      <c r="E934" s="10"/>
      <c r="F934" s="9"/>
      <c r="G934" s="9"/>
      <c r="H934" s="9"/>
      <c r="I934" s="9"/>
      <c r="J934" s="9"/>
      <c r="K934" s="9"/>
      <c r="L934" s="9"/>
      <c r="M934" s="9"/>
      <c r="N934" s="9"/>
      <c r="O934" s="9"/>
      <c r="P934" s="9"/>
      <c r="Q934" s="9"/>
    </row>
    <row r="935" spans="4:17" s="294" customFormat="1" ht="15" customHeight="1">
      <c r="D935" s="10"/>
      <c r="E935" s="10"/>
      <c r="F935" s="9"/>
      <c r="G935" s="9"/>
      <c r="H935" s="9"/>
      <c r="I935" s="9"/>
      <c r="J935" s="9"/>
      <c r="K935" s="9"/>
      <c r="L935" s="9"/>
      <c r="M935" s="9"/>
      <c r="N935" s="9"/>
      <c r="O935" s="9"/>
      <c r="P935" s="9"/>
      <c r="Q935" s="9"/>
    </row>
    <row r="936" spans="4:17" s="294" customFormat="1" ht="15" customHeight="1">
      <c r="D936" s="10"/>
      <c r="E936" s="10"/>
      <c r="F936" s="9"/>
      <c r="G936" s="9"/>
      <c r="H936" s="9"/>
      <c r="I936" s="9"/>
      <c r="J936" s="9"/>
      <c r="K936" s="9"/>
      <c r="L936" s="9"/>
      <c r="M936" s="9"/>
      <c r="N936" s="9"/>
      <c r="O936" s="9"/>
      <c r="P936" s="9"/>
      <c r="Q936" s="9"/>
    </row>
    <row r="937" spans="4:17" s="294" customFormat="1" ht="15" customHeight="1">
      <c r="D937" s="10"/>
      <c r="E937" s="10"/>
      <c r="F937" s="9"/>
      <c r="G937" s="9"/>
      <c r="H937" s="9"/>
      <c r="I937" s="9"/>
      <c r="J937" s="9"/>
      <c r="K937" s="9"/>
      <c r="L937" s="9"/>
      <c r="M937" s="9"/>
      <c r="N937" s="9"/>
      <c r="O937" s="9"/>
      <c r="P937" s="9"/>
      <c r="Q937" s="9"/>
    </row>
    <row r="938" spans="4:17" s="294" customFormat="1" ht="15" customHeight="1">
      <c r="D938" s="10"/>
      <c r="E938" s="10"/>
      <c r="F938" s="9"/>
      <c r="G938" s="9"/>
      <c r="H938" s="9"/>
      <c r="I938" s="9"/>
      <c r="J938" s="9"/>
      <c r="K938" s="9"/>
      <c r="L938" s="9"/>
      <c r="M938" s="9"/>
      <c r="N938" s="9"/>
      <c r="O938" s="9"/>
      <c r="P938" s="9"/>
      <c r="Q938" s="9"/>
    </row>
    <row r="939" spans="4:17" s="294" customFormat="1" ht="15" customHeight="1">
      <c r="D939" s="10"/>
      <c r="E939" s="10"/>
      <c r="F939" s="9"/>
      <c r="G939" s="9"/>
      <c r="H939" s="9"/>
      <c r="I939" s="9"/>
      <c r="J939" s="9"/>
      <c r="K939" s="9"/>
      <c r="L939" s="9"/>
      <c r="M939" s="9"/>
      <c r="N939" s="9"/>
      <c r="O939" s="9"/>
      <c r="P939" s="9"/>
      <c r="Q939" s="9"/>
    </row>
    <row r="940" spans="4:17" s="294" customFormat="1" ht="15" customHeight="1">
      <c r="D940" s="10"/>
      <c r="E940" s="10"/>
      <c r="F940" s="9"/>
      <c r="G940" s="9"/>
      <c r="H940" s="9"/>
      <c r="I940" s="9"/>
      <c r="J940" s="9"/>
      <c r="K940" s="9"/>
      <c r="L940" s="9"/>
      <c r="M940" s="9"/>
      <c r="N940" s="9"/>
      <c r="O940" s="9"/>
      <c r="P940" s="9"/>
      <c r="Q940" s="9"/>
    </row>
    <row r="941" spans="4:17" s="294" customFormat="1" ht="15" customHeight="1">
      <c r="D941" s="10"/>
      <c r="E941" s="10"/>
      <c r="F941" s="9"/>
      <c r="G941" s="9"/>
      <c r="H941" s="9"/>
      <c r="I941" s="9"/>
      <c r="J941" s="9"/>
      <c r="K941" s="9"/>
      <c r="L941" s="9"/>
      <c r="M941" s="9"/>
      <c r="N941" s="9"/>
      <c r="O941" s="9"/>
      <c r="P941" s="9"/>
      <c r="Q941" s="9"/>
    </row>
    <row r="942" spans="4:17" s="294" customFormat="1" ht="15" customHeight="1">
      <c r="D942" s="10"/>
      <c r="E942" s="10"/>
      <c r="F942" s="9"/>
      <c r="G942" s="9"/>
      <c r="H942" s="9"/>
      <c r="I942" s="9"/>
      <c r="J942" s="9"/>
      <c r="K942" s="9"/>
      <c r="L942" s="9"/>
      <c r="M942" s="9"/>
      <c r="N942" s="9"/>
      <c r="O942" s="9"/>
      <c r="P942" s="9"/>
      <c r="Q942" s="9"/>
    </row>
    <row r="943" spans="4:17" s="294" customFormat="1" ht="15" customHeight="1">
      <c r="D943" s="10"/>
      <c r="E943" s="10"/>
      <c r="F943" s="9"/>
      <c r="G943" s="9"/>
      <c r="H943" s="9"/>
      <c r="I943" s="9"/>
      <c r="J943" s="9"/>
      <c r="K943" s="9"/>
      <c r="L943" s="9"/>
      <c r="M943" s="9"/>
      <c r="N943" s="9"/>
      <c r="O943" s="9"/>
      <c r="P943" s="9"/>
      <c r="Q943" s="9"/>
    </row>
    <row r="944" spans="4:17" s="294" customFormat="1" ht="15" customHeight="1">
      <c r="D944" s="10"/>
      <c r="E944" s="10"/>
      <c r="F944" s="9"/>
      <c r="G944" s="9"/>
      <c r="H944" s="9"/>
      <c r="I944" s="9"/>
      <c r="J944" s="9"/>
      <c r="K944" s="9"/>
      <c r="L944" s="9"/>
      <c r="M944" s="9"/>
      <c r="N944" s="9"/>
      <c r="O944" s="9"/>
      <c r="P944" s="9"/>
      <c r="Q944" s="9"/>
    </row>
    <row r="945" spans="4:17" s="294" customFormat="1" ht="15" customHeight="1">
      <c r="D945" s="10"/>
      <c r="E945" s="10"/>
      <c r="F945" s="9"/>
      <c r="G945" s="9"/>
      <c r="H945" s="9"/>
      <c r="I945" s="9"/>
      <c r="J945" s="9"/>
      <c r="K945" s="9"/>
      <c r="L945" s="9"/>
      <c r="M945" s="9"/>
      <c r="N945" s="9"/>
      <c r="O945" s="9"/>
      <c r="P945" s="9"/>
      <c r="Q945" s="9"/>
    </row>
    <row r="946" spans="4:17" s="294" customFormat="1" ht="15" customHeight="1">
      <c r="D946" s="10"/>
      <c r="E946" s="10"/>
      <c r="F946" s="9"/>
      <c r="G946" s="9"/>
      <c r="H946" s="9"/>
      <c r="I946" s="9"/>
      <c r="J946" s="9"/>
      <c r="K946" s="9"/>
      <c r="L946" s="9"/>
      <c r="M946" s="9"/>
      <c r="N946" s="9"/>
      <c r="O946" s="9"/>
      <c r="P946" s="9"/>
      <c r="Q946" s="9"/>
    </row>
    <row r="947" spans="4:17" s="294" customFormat="1" ht="15" customHeight="1">
      <c r="D947" s="10"/>
      <c r="E947" s="10"/>
      <c r="F947" s="9"/>
      <c r="G947" s="9"/>
      <c r="H947" s="9"/>
      <c r="I947" s="9"/>
      <c r="J947" s="9"/>
      <c r="K947" s="9"/>
      <c r="L947" s="9"/>
      <c r="M947" s="9"/>
      <c r="N947" s="9"/>
      <c r="O947" s="9"/>
      <c r="P947" s="9"/>
      <c r="Q947" s="9"/>
    </row>
    <row r="948" spans="4:17" s="294" customFormat="1" ht="15" customHeight="1">
      <c r="D948" s="10"/>
      <c r="E948" s="10"/>
      <c r="F948" s="9"/>
      <c r="G948" s="9"/>
      <c r="H948" s="9"/>
      <c r="I948" s="9"/>
      <c r="J948" s="9"/>
      <c r="K948" s="9"/>
      <c r="L948" s="9"/>
      <c r="M948" s="9"/>
      <c r="N948" s="9"/>
      <c r="O948" s="9"/>
      <c r="P948" s="9"/>
      <c r="Q948" s="9"/>
    </row>
    <row r="949" spans="4:17" s="294" customFormat="1" ht="15" customHeight="1">
      <c r="D949" s="10"/>
      <c r="E949" s="10"/>
      <c r="F949" s="9"/>
      <c r="G949" s="9"/>
      <c r="H949" s="9"/>
      <c r="I949" s="9"/>
      <c r="J949" s="9"/>
      <c r="K949" s="9"/>
      <c r="L949" s="9"/>
      <c r="M949" s="9"/>
      <c r="N949" s="9"/>
      <c r="O949" s="9"/>
      <c r="P949" s="9"/>
      <c r="Q949" s="9"/>
    </row>
    <row r="950" spans="4:17" s="294" customFormat="1" ht="15" customHeight="1">
      <c r="D950" s="10"/>
      <c r="E950" s="10"/>
      <c r="F950" s="9"/>
      <c r="G950" s="9"/>
      <c r="H950" s="9"/>
      <c r="I950" s="9"/>
      <c r="J950" s="9"/>
      <c r="K950" s="9"/>
      <c r="L950" s="9"/>
      <c r="M950" s="9"/>
      <c r="N950" s="9"/>
      <c r="O950" s="9"/>
      <c r="P950" s="9"/>
      <c r="Q950" s="9"/>
    </row>
    <row r="951" spans="4:17" s="294" customFormat="1" ht="15" customHeight="1">
      <c r="D951" s="10"/>
      <c r="E951" s="10"/>
      <c r="F951" s="9"/>
      <c r="G951" s="9"/>
      <c r="H951" s="9"/>
      <c r="I951" s="9"/>
      <c r="J951" s="9"/>
      <c r="K951" s="9"/>
      <c r="L951" s="9"/>
      <c r="M951" s="9"/>
      <c r="N951" s="9"/>
      <c r="O951" s="9"/>
      <c r="P951" s="9"/>
      <c r="Q951" s="9"/>
    </row>
    <row r="952" spans="4:17" s="294" customFormat="1" ht="15" customHeight="1">
      <c r="D952" s="10"/>
      <c r="E952" s="10"/>
      <c r="F952" s="9"/>
      <c r="G952" s="9"/>
      <c r="H952" s="9"/>
      <c r="I952" s="9"/>
      <c r="J952" s="9"/>
      <c r="K952" s="9"/>
      <c r="L952" s="9"/>
      <c r="M952" s="9"/>
      <c r="N952" s="9"/>
      <c r="O952" s="9"/>
      <c r="P952" s="9"/>
      <c r="Q952" s="9"/>
    </row>
    <row r="953" spans="4:17" s="294" customFormat="1" ht="15" customHeight="1">
      <c r="D953" s="10"/>
      <c r="E953" s="10"/>
      <c r="F953" s="9"/>
      <c r="G953" s="9"/>
      <c r="H953" s="9"/>
      <c r="I953" s="9"/>
      <c r="J953" s="9"/>
      <c r="K953" s="9"/>
      <c r="L953" s="9"/>
      <c r="M953" s="9"/>
      <c r="N953" s="9"/>
      <c r="O953" s="9"/>
      <c r="P953" s="9"/>
      <c r="Q953" s="9"/>
    </row>
    <row r="954" spans="4:17" s="294" customFormat="1" ht="15" customHeight="1">
      <c r="D954" s="10"/>
      <c r="E954" s="10"/>
      <c r="F954" s="9"/>
      <c r="G954" s="9"/>
      <c r="H954" s="9"/>
      <c r="I954" s="9"/>
      <c r="J954" s="9"/>
      <c r="K954" s="9"/>
      <c r="L954" s="9"/>
      <c r="M954" s="9"/>
      <c r="N954" s="9"/>
      <c r="O954" s="9"/>
      <c r="P954" s="9"/>
      <c r="Q954" s="9"/>
    </row>
    <row r="955" spans="4:17" s="294" customFormat="1" ht="15" customHeight="1">
      <c r="D955" s="10"/>
      <c r="E955" s="10"/>
      <c r="F955" s="9"/>
      <c r="G955" s="9"/>
      <c r="H955" s="9"/>
      <c r="I955" s="9"/>
      <c r="J955" s="9"/>
      <c r="K955" s="9"/>
      <c r="L955" s="9"/>
      <c r="M955" s="9"/>
      <c r="N955" s="9"/>
      <c r="O955" s="9"/>
      <c r="P955" s="9"/>
      <c r="Q955" s="9"/>
    </row>
    <row r="956" spans="4:17" s="294" customFormat="1" ht="15" customHeight="1">
      <c r="D956" s="10"/>
      <c r="E956" s="10"/>
      <c r="F956" s="9"/>
      <c r="G956" s="9"/>
      <c r="H956" s="9"/>
      <c r="I956" s="9"/>
      <c r="J956" s="9"/>
      <c r="K956" s="9"/>
      <c r="L956" s="9"/>
      <c r="M956" s="9"/>
      <c r="N956" s="9"/>
      <c r="O956" s="9"/>
      <c r="P956" s="9"/>
      <c r="Q956" s="9"/>
    </row>
    <row r="957" spans="4:17" s="294" customFormat="1" ht="15" customHeight="1">
      <c r="D957" s="10"/>
      <c r="E957" s="10"/>
      <c r="F957" s="9"/>
      <c r="G957" s="9"/>
      <c r="H957" s="9"/>
      <c r="I957" s="9"/>
      <c r="J957" s="9"/>
      <c r="K957" s="9"/>
      <c r="L957" s="9"/>
      <c r="M957" s="9"/>
      <c r="N957" s="9"/>
      <c r="O957" s="9"/>
      <c r="P957" s="9"/>
      <c r="Q957" s="9"/>
    </row>
    <row r="958" spans="4:17" s="294" customFormat="1" ht="15" customHeight="1">
      <c r="D958" s="10"/>
      <c r="E958" s="10"/>
      <c r="F958" s="9"/>
      <c r="G958" s="9"/>
      <c r="H958" s="9"/>
      <c r="I958" s="9"/>
      <c r="J958" s="9"/>
      <c r="K958" s="9"/>
      <c r="L958" s="9"/>
      <c r="M958" s="9"/>
      <c r="N958" s="9"/>
      <c r="O958" s="9"/>
      <c r="P958" s="9"/>
      <c r="Q958" s="9"/>
    </row>
    <row r="959" spans="4:17" s="294" customFormat="1" ht="15" customHeight="1">
      <c r="D959" s="10"/>
      <c r="E959" s="10"/>
      <c r="F959" s="9"/>
      <c r="G959" s="9"/>
      <c r="H959" s="9"/>
      <c r="I959" s="9"/>
      <c r="J959" s="9"/>
      <c r="K959" s="9"/>
      <c r="L959" s="9"/>
      <c r="M959" s="9"/>
      <c r="N959" s="9"/>
      <c r="O959" s="9"/>
      <c r="P959" s="9"/>
      <c r="Q959" s="9"/>
    </row>
    <row r="960" spans="4:17" s="294" customFormat="1" ht="15" customHeight="1">
      <c r="D960" s="10"/>
      <c r="E960" s="10"/>
      <c r="F960" s="9"/>
      <c r="G960" s="9"/>
      <c r="H960" s="9"/>
      <c r="I960" s="9"/>
      <c r="J960" s="9"/>
      <c r="K960" s="9"/>
      <c r="L960" s="9"/>
      <c r="M960" s="9"/>
      <c r="N960" s="9"/>
      <c r="O960" s="9"/>
      <c r="P960" s="9"/>
      <c r="Q960" s="9"/>
    </row>
    <row r="961" spans="4:17" s="294" customFormat="1" ht="15" customHeight="1">
      <c r="D961" s="10"/>
      <c r="E961" s="10"/>
      <c r="F961" s="9"/>
      <c r="G961" s="9"/>
      <c r="H961" s="9"/>
      <c r="I961" s="9"/>
      <c r="J961" s="9"/>
      <c r="K961" s="9"/>
      <c r="L961" s="9"/>
      <c r="M961" s="9"/>
      <c r="N961" s="9"/>
      <c r="O961" s="9"/>
      <c r="P961" s="9"/>
      <c r="Q961" s="9"/>
    </row>
    <row r="962" spans="4:17" s="294" customFormat="1" ht="15" customHeight="1">
      <c r="D962" s="10"/>
      <c r="E962" s="10"/>
      <c r="F962" s="9"/>
      <c r="G962" s="9"/>
      <c r="H962" s="9"/>
      <c r="I962" s="9"/>
      <c r="J962" s="9"/>
      <c r="K962" s="9"/>
      <c r="L962" s="9"/>
      <c r="M962" s="9"/>
      <c r="N962" s="9"/>
      <c r="O962" s="9"/>
      <c r="P962" s="9"/>
      <c r="Q962" s="9"/>
    </row>
    <row r="963" spans="4:17" s="294" customFormat="1" ht="15" customHeight="1">
      <c r="D963" s="10"/>
      <c r="E963" s="10"/>
      <c r="F963" s="9"/>
      <c r="G963" s="9"/>
      <c r="H963" s="9"/>
      <c r="I963" s="9"/>
      <c r="J963" s="9"/>
      <c r="K963" s="9"/>
      <c r="L963" s="9"/>
      <c r="M963" s="9"/>
      <c r="N963" s="9"/>
      <c r="O963" s="9"/>
      <c r="P963" s="9"/>
      <c r="Q963" s="9"/>
    </row>
    <row r="964" spans="4:17" s="294" customFormat="1" ht="15" customHeight="1">
      <c r="D964" s="10"/>
      <c r="E964" s="10"/>
      <c r="F964" s="9"/>
      <c r="G964" s="9"/>
      <c r="H964" s="9"/>
      <c r="I964" s="9"/>
      <c r="J964" s="9"/>
      <c r="K964" s="9"/>
      <c r="L964" s="9"/>
      <c r="M964" s="9"/>
      <c r="N964" s="9"/>
      <c r="O964" s="9"/>
      <c r="P964" s="9"/>
      <c r="Q964" s="9"/>
    </row>
    <row r="965" spans="4:17" s="294" customFormat="1" ht="15" customHeight="1">
      <c r="D965" s="10"/>
      <c r="E965" s="10"/>
      <c r="F965" s="9"/>
      <c r="G965" s="9"/>
      <c r="H965" s="9"/>
      <c r="I965" s="9"/>
      <c r="J965" s="9"/>
      <c r="K965" s="9"/>
      <c r="L965" s="9"/>
      <c r="M965" s="9"/>
      <c r="N965" s="9"/>
      <c r="O965" s="9"/>
      <c r="P965" s="9"/>
      <c r="Q965" s="9"/>
    </row>
    <row r="966" spans="4:17" s="294" customFormat="1" ht="15" customHeight="1">
      <c r="D966" s="10"/>
      <c r="E966" s="10"/>
      <c r="F966" s="9"/>
      <c r="G966" s="9"/>
      <c r="H966" s="9"/>
      <c r="I966" s="9"/>
      <c r="J966" s="9"/>
      <c r="K966" s="9"/>
      <c r="L966" s="9"/>
      <c r="M966" s="9"/>
      <c r="N966" s="9"/>
      <c r="O966" s="9"/>
      <c r="P966" s="9"/>
      <c r="Q966" s="9"/>
    </row>
    <row r="967" spans="4:17" s="294" customFormat="1" ht="15" customHeight="1">
      <c r="D967" s="10"/>
      <c r="E967" s="10"/>
      <c r="F967" s="9"/>
      <c r="G967" s="9"/>
      <c r="H967" s="9"/>
      <c r="I967" s="9"/>
      <c r="J967" s="9"/>
      <c r="K967" s="9"/>
      <c r="L967" s="9"/>
      <c r="M967" s="9"/>
      <c r="N967" s="9"/>
      <c r="O967" s="9"/>
      <c r="P967" s="9"/>
      <c r="Q967" s="9"/>
    </row>
    <row r="968" spans="4:17" s="294" customFormat="1" ht="15" customHeight="1">
      <c r="D968" s="10"/>
      <c r="E968" s="10"/>
      <c r="F968" s="9"/>
      <c r="G968" s="9"/>
      <c r="H968" s="9"/>
      <c r="I968" s="9"/>
      <c r="J968" s="9"/>
      <c r="K968" s="9"/>
      <c r="L968" s="9"/>
      <c r="M968" s="9"/>
      <c r="N968" s="9"/>
      <c r="O968" s="9"/>
      <c r="P968" s="9"/>
      <c r="Q968" s="9"/>
    </row>
    <row r="969" spans="4:17" s="294" customFormat="1" ht="15" customHeight="1">
      <c r="D969" s="10"/>
      <c r="E969" s="10"/>
      <c r="F969" s="9"/>
      <c r="G969" s="9"/>
      <c r="H969" s="9"/>
      <c r="I969" s="9"/>
      <c r="J969" s="9"/>
      <c r="K969" s="9"/>
      <c r="L969" s="9"/>
      <c r="M969" s="9"/>
      <c r="N969" s="9"/>
      <c r="O969" s="9"/>
      <c r="P969" s="9"/>
      <c r="Q969" s="9"/>
    </row>
    <row r="970" spans="4:17" s="294" customFormat="1" ht="15" customHeight="1">
      <c r="D970" s="10"/>
      <c r="E970" s="10"/>
      <c r="F970" s="9"/>
      <c r="G970" s="9"/>
      <c r="H970" s="9"/>
      <c r="I970" s="9"/>
      <c r="J970" s="9"/>
      <c r="K970" s="9"/>
      <c r="L970" s="9"/>
      <c r="M970" s="9"/>
      <c r="N970" s="9"/>
      <c r="O970" s="9"/>
      <c r="P970" s="9"/>
      <c r="Q970" s="9"/>
    </row>
    <row r="971" spans="4:17" s="294" customFormat="1" ht="15" customHeight="1">
      <c r="D971" s="10"/>
      <c r="E971" s="10"/>
      <c r="F971" s="9"/>
      <c r="G971" s="9"/>
      <c r="H971" s="9"/>
      <c r="I971" s="9"/>
      <c r="J971" s="9"/>
      <c r="K971" s="9"/>
      <c r="L971" s="9"/>
      <c r="M971" s="9"/>
      <c r="N971" s="9"/>
      <c r="O971" s="9"/>
      <c r="P971" s="9"/>
      <c r="Q971" s="9"/>
    </row>
    <row r="972" spans="4:17" s="294" customFormat="1" ht="15" customHeight="1">
      <c r="D972" s="10"/>
      <c r="E972" s="10"/>
      <c r="F972" s="9"/>
      <c r="G972" s="9"/>
      <c r="H972" s="9"/>
      <c r="I972" s="9"/>
      <c r="J972" s="9"/>
      <c r="K972" s="9"/>
      <c r="L972" s="9"/>
      <c r="M972" s="9"/>
      <c r="N972" s="9"/>
      <c r="O972" s="9"/>
      <c r="P972" s="9"/>
      <c r="Q972" s="9"/>
    </row>
    <row r="973" spans="4:17" s="294" customFormat="1" ht="15" customHeight="1">
      <c r="D973" s="10"/>
      <c r="E973" s="10"/>
      <c r="F973" s="9"/>
      <c r="G973" s="9"/>
      <c r="H973" s="9"/>
      <c r="I973" s="9"/>
      <c r="J973" s="9"/>
      <c r="K973" s="9"/>
      <c r="L973" s="9"/>
      <c r="M973" s="9"/>
      <c r="N973" s="9"/>
      <c r="O973" s="9"/>
      <c r="P973" s="9"/>
      <c r="Q973" s="9"/>
    </row>
    <row r="974" spans="4:17" s="294" customFormat="1" ht="15" customHeight="1">
      <c r="D974" s="10"/>
      <c r="E974" s="10"/>
      <c r="F974" s="9"/>
      <c r="G974" s="9"/>
      <c r="H974" s="9"/>
      <c r="I974" s="9"/>
      <c r="J974" s="9"/>
      <c r="K974" s="9"/>
      <c r="L974" s="9"/>
      <c r="M974" s="9"/>
      <c r="N974" s="9"/>
      <c r="O974" s="9"/>
      <c r="P974" s="9"/>
      <c r="Q974" s="9"/>
    </row>
    <row r="975" spans="4:17" s="294" customFormat="1" ht="15" customHeight="1">
      <c r="D975" s="10"/>
      <c r="E975" s="10"/>
      <c r="F975" s="9"/>
      <c r="G975" s="9"/>
      <c r="H975" s="9"/>
      <c r="I975" s="9"/>
      <c r="J975" s="9"/>
      <c r="K975" s="9"/>
      <c r="L975" s="9"/>
      <c r="M975" s="9"/>
      <c r="N975" s="9"/>
      <c r="O975" s="9"/>
      <c r="P975" s="9"/>
      <c r="Q975" s="9"/>
    </row>
    <row r="976" spans="4:17" s="294" customFormat="1" ht="15" customHeight="1">
      <c r="D976" s="10"/>
      <c r="E976" s="10"/>
      <c r="F976" s="9"/>
      <c r="G976" s="9"/>
      <c r="H976" s="9"/>
      <c r="I976" s="9"/>
      <c r="J976" s="9"/>
      <c r="K976" s="9"/>
      <c r="L976" s="9"/>
      <c r="M976" s="9"/>
      <c r="N976" s="9"/>
      <c r="O976" s="9"/>
      <c r="P976" s="9"/>
      <c r="Q976" s="9"/>
    </row>
    <row r="977" spans="4:17" s="294" customFormat="1" ht="15" customHeight="1">
      <c r="D977" s="10"/>
      <c r="E977" s="10"/>
      <c r="F977" s="9"/>
      <c r="G977" s="9"/>
      <c r="H977" s="9"/>
      <c r="I977" s="9"/>
      <c r="J977" s="9"/>
      <c r="K977" s="9"/>
      <c r="L977" s="9"/>
      <c r="M977" s="9"/>
      <c r="N977" s="9"/>
      <c r="O977" s="9"/>
      <c r="P977" s="9"/>
      <c r="Q977" s="9"/>
    </row>
    <row r="978" spans="4:17" s="294" customFormat="1" ht="15" customHeight="1">
      <c r="D978" s="10"/>
      <c r="E978" s="10"/>
      <c r="F978" s="9"/>
      <c r="G978" s="9"/>
      <c r="H978" s="9"/>
      <c r="I978" s="9"/>
      <c r="J978" s="9"/>
      <c r="K978" s="9"/>
      <c r="L978" s="9"/>
      <c r="M978" s="9"/>
      <c r="N978" s="9"/>
      <c r="O978" s="9"/>
      <c r="P978" s="9"/>
      <c r="Q978" s="9"/>
    </row>
    <row r="979" spans="4:17" s="294" customFormat="1" ht="15" customHeight="1">
      <c r="D979" s="10"/>
      <c r="E979" s="10"/>
      <c r="F979" s="9"/>
      <c r="G979" s="9"/>
      <c r="H979" s="9"/>
      <c r="I979" s="9"/>
      <c r="J979" s="9"/>
      <c r="K979" s="9"/>
      <c r="L979" s="9"/>
      <c r="M979" s="9"/>
      <c r="N979" s="9"/>
      <c r="O979" s="9"/>
      <c r="P979" s="9"/>
      <c r="Q979" s="9"/>
    </row>
    <row r="980" spans="4:17" s="294" customFormat="1" ht="15" customHeight="1">
      <c r="D980" s="10"/>
      <c r="E980" s="10"/>
      <c r="F980" s="9"/>
      <c r="G980" s="9"/>
      <c r="H980" s="9"/>
      <c r="I980" s="9"/>
      <c r="J980" s="9"/>
      <c r="K980" s="9"/>
      <c r="L980" s="9"/>
      <c r="M980" s="9"/>
      <c r="N980" s="9"/>
      <c r="O980" s="9"/>
      <c r="P980" s="9"/>
      <c r="Q980" s="9"/>
    </row>
    <row r="981" spans="4:17" s="294" customFormat="1" ht="15" customHeight="1">
      <c r="D981" s="10"/>
      <c r="E981" s="10"/>
      <c r="F981" s="9"/>
      <c r="G981" s="9"/>
      <c r="H981" s="9"/>
      <c r="I981" s="9"/>
      <c r="J981" s="9"/>
      <c r="K981" s="9"/>
      <c r="L981" s="9"/>
      <c r="M981" s="9"/>
      <c r="N981" s="9"/>
      <c r="O981" s="9"/>
      <c r="P981" s="9"/>
      <c r="Q981" s="9"/>
    </row>
    <row r="982" spans="4:17" s="294" customFormat="1" ht="15" customHeight="1">
      <c r="D982" s="10"/>
      <c r="E982" s="10"/>
      <c r="F982" s="9"/>
      <c r="G982" s="9"/>
      <c r="H982" s="9"/>
      <c r="I982" s="9"/>
      <c r="J982" s="9"/>
      <c r="K982" s="9"/>
      <c r="L982" s="9"/>
      <c r="M982" s="9"/>
      <c r="N982" s="9"/>
      <c r="O982" s="9"/>
      <c r="P982" s="9"/>
      <c r="Q982" s="9"/>
    </row>
    <row r="983" spans="4:17" s="294" customFormat="1" ht="15" customHeight="1">
      <c r="D983" s="10"/>
      <c r="E983" s="10"/>
      <c r="F983" s="9"/>
      <c r="G983" s="9"/>
      <c r="H983" s="9"/>
      <c r="I983" s="9"/>
      <c r="J983" s="9"/>
      <c r="K983" s="9"/>
      <c r="L983" s="9"/>
      <c r="M983" s="9"/>
      <c r="N983" s="9"/>
      <c r="O983" s="9"/>
      <c r="P983" s="9"/>
      <c r="Q983" s="9"/>
    </row>
    <row r="984" spans="4:17" s="294" customFormat="1" ht="15" customHeight="1">
      <c r="D984" s="10"/>
      <c r="E984" s="10"/>
      <c r="F984" s="9"/>
      <c r="G984" s="9"/>
      <c r="H984" s="9"/>
      <c r="I984" s="9"/>
      <c r="J984" s="9"/>
      <c r="K984" s="9"/>
      <c r="L984" s="9"/>
      <c r="M984" s="9"/>
      <c r="N984" s="9"/>
      <c r="O984" s="9"/>
      <c r="P984" s="9"/>
      <c r="Q984" s="9"/>
    </row>
    <row r="985" spans="4:17" s="294" customFormat="1" ht="15" customHeight="1">
      <c r="D985" s="10"/>
      <c r="E985" s="10"/>
      <c r="F985" s="9"/>
      <c r="G985" s="9"/>
      <c r="H985" s="9"/>
      <c r="I985" s="9"/>
      <c r="J985" s="9"/>
      <c r="K985" s="9"/>
      <c r="L985" s="9"/>
      <c r="M985" s="9"/>
      <c r="N985" s="9"/>
      <c r="O985" s="9"/>
      <c r="P985" s="9"/>
      <c r="Q985" s="9"/>
    </row>
    <row r="986" spans="4:17" s="294" customFormat="1" ht="15" customHeight="1">
      <c r="D986" s="10"/>
      <c r="E986" s="10"/>
      <c r="F986" s="9"/>
      <c r="G986" s="9"/>
      <c r="H986" s="9"/>
      <c r="I986" s="9"/>
      <c r="J986" s="9"/>
      <c r="K986" s="9"/>
      <c r="L986" s="9"/>
      <c r="M986" s="9"/>
      <c r="N986" s="9"/>
      <c r="O986" s="9"/>
      <c r="P986" s="9"/>
      <c r="Q986" s="9"/>
    </row>
    <row r="987" spans="4:17" s="294" customFormat="1" ht="15" customHeight="1">
      <c r="D987" s="10"/>
      <c r="E987" s="10"/>
      <c r="F987" s="9"/>
      <c r="G987" s="9"/>
      <c r="H987" s="9"/>
      <c r="I987" s="9"/>
      <c r="J987" s="9"/>
      <c r="K987" s="9"/>
      <c r="L987" s="9"/>
      <c r="M987" s="9"/>
      <c r="N987" s="9"/>
      <c r="O987" s="9"/>
      <c r="P987" s="9"/>
      <c r="Q987" s="9"/>
    </row>
    <row r="988" spans="4:17" s="294" customFormat="1" ht="15" customHeight="1">
      <c r="D988" s="10"/>
      <c r="E988" s="10"/>
      <c r="F988" s="9"/>
      <c r="G988" s="9"/>
      <c r="H988" s="9"/>
      <c r="I988" s="9"/>
      <c r="J988" s="9"/>
      <c r="K988" s="9"/>
      <c r="L988" s="9"/>
      <c r="M988" s="9"/>
      <c r="N988" s="9"/>
      <c r="O988" s="9"/>
      <c r="P988" s="9"/>
      <c r="Q988" s="9"/>
    </row>
    <row r="989" spans="4:17" s="294" customFormat="1" ht="15" customHeight="1">
      <c r="D989" s="10"/>
      <c r="E989" s="10"/>
      <c r="F989" s="9"/>
      <c r="G989" s="9"/>
      <c r="H989" s="9"/>
      <c r="I989" s="9"/>
      <c r="J989" s="9"/>
      <c r="K989" s="9"/>
      <c r="L989" s="9"/>
      <c r="M989" s="9"/>
      <c r="N989" s="9"/>
      <c r="O989" s="9"/>
      <c r="P989" s="9"/>
      <c r="Q989" s="9"/>
    </row>
    <row r="990" spans="4:17" s="294" customFormat="1" ht="15" customHeight="1">
      <c r="D990" s="10"/>
      <c r="E990" s="10"/>
      <c r="F990" s="9"/>
      <c r="G990" s="9"/>
      <c r="H990" s="9"/>
      <c r="I990" s="9"/>
      <c r="J990" s="9"/>
      <c r="K990" s="9"/>
      <c r="L990" s="9"/>
      <c r="M990" s="9"/>
      <c r="N990" s="9"/>
      <c r="O990" s="9"/>
      <c r="P990" s="9"/>
      <c r="Q990" s="9"/>
    </row>
    <row r="991" spans="4:17" s="294" customFormat="1" ht="15" customHeight="1">
      <c r="D991" s="10"/>
      <c r="E991" s="10"/>
      <c r="F991" s="9"/>
      <c r="G991" s="9"/>
      <c r="H991" s="9"/>
      <c r="I991" s="9"/>
      <c r="J991" s="9"/>
      <c r="K991" s="9"/>
      <c r="L991" s="9"/>
      <c r="M991" s="9"/>
      <c r="N991" s="9"/>
      <c r="O991" s="9"/>
      <c r="P991" s="9"/>
      <c r="Q991" s="9"/>
    </row>
    <row r="992" spans="4:17" s="294" customFormat="1" ht="15" customHeight="1">
      <c r="D992" s="10"/>
      <c r="E992" s="10"/>
      <c r="F992" s="9"/>
      <c r="G992" s="9"/>
      <c r="H992" s="9"/>
      <c r="I992" s="9"/>
      <c r="J992" s="9"/>
      <c r="K992" s="9"/>
      <c r="L992" s="9"/>
      <c r="M992" s="9"/>
      <c r="N992" s="9"/>
      <c r="O992" s="9"/>
      <c r="P992" s="9"/>
      <c r="Q992" s="9"/>
    </row>
    <row r="993" spans="4:17" s="294" customFormat="1" ht="15" customHeight="1">
      <c r="D993" s="10"/>
      <c r="E993" s="10"/>
      <c r="F993" s="9"/>
      <c r="G993" s="9"/>
      <c r="H993" s="9"/>
      <c r="I993" s="9"/>
      <c r="J993" s="9"/>
      <c r="K993" s="9"/>
      <c r="L993" s="9"/>
      <c r="M993" s="9"/>
      <c r="N993" s="9"/>
      <c r="O993" s="9"/>
      <c r="P993" s="9"/>
      <c r="Q993" s="9"/>
    </row>
    <row r="994" spans="4:17" s="294" customFormat="1" ht="15" customHeight="1">
      <c r="D994" s="10"/>
      <c r="E994" s="10"/>
      <c r="F994" s="9"/>
      <c r="G994" s="9"/>
      <c r="H994" s="9"/>
      <c r="I994" s="9"/>
      <c r="J994" s="9"/>
      <c r="K994" s="9"/>
      <c r="L994" s="9"/>
      <c r="M994" s="9"/>
      <c r="N994" s="9"/>
      <c r="O994" s="9"/>
      <c r="P994" s="9"/>
      <c r="Q994" s="9"/>
    </row>
    <row r="995" spans="4:17" s="294" customFormat="1" ht="15" customHeight="1">
      <c r="D995" s="10"/>
      <c r="E995" s="10"/>
      <c r="F995" s="9"/>
      <c r="G995" s="9"/>
      <c r="H995" s="9"/>
      <c r="I995" s="9"/>
      <c r="J995" s="9"/>
      <c r="K995" s="9"/>
      <c r="L995" s="9"/>
      <c r="M995" s="9"/>
      <c r="N995" s="9"/>
      <c r="O995" s="9"/>
      <c r="P995" s="9"/>
      <c r="Q995" s="9"/>
    </row>
    <row r="996" spans="4:17" s="294" customFormat="1" ht="15" customHeight="1">
      <c r="D996" s="10"/>
      <c r="E996" s="10"/>
      <c r="F996" s="9"/>
      <c r="G996" s="9"/>
      <c r="H996" s="9"/>
      <c r="I996" s="9"/>
      <c r="J996" s="9"/>
      <c r="K996" s="9"/>
      <c r="L996" s="9"/>
      <c r="M996" s="9"/>
      <c r="N996" s="9"/>
      <c r="O996" s="9"/>
      <c r="P996" s="9"/>
      <c r="Q996" s="9"/>
    </row>
    <row r="997" spans="4:17" s="294" customFormat="1" ht="15" customHeight="1">
      <c r="D997" s="10"/>
      <c r="E997" s="10"/>
      <c r="F997" s="9"/>
      <c r="G997" s="9"/>
      <c r="H997" s="9"/>
      <c r="I997" s="9"/>
      <c r="J997" s="9"/>
      <c r="K997" s="9"/>
      <c r="L997" s="9"/>
      <c r="M997" s="9"/>
      <c r="N997" s="9"/>
      <c r="O997" s="9"/>
      <c r="P997" s="9"/>
      <c r="Q997" s="9"/>
    </row>
    <row r="998" spans="4:17" s="294" customFormat="1" ht="15" customHeight="1">
      <c r="D998" s="10"/>
      <c r="E998" s="10"/>
      <c r="F998" s="9"/>
      <c r="G998" s="9"/>
      <c r="H998" s="9"/>
      <c r="I998" s="9"/>
      <c r="J998" s="9"/>
      <c r="K998" s="9"/>
      <c r="L998" s="9"/>
      <c r="M998" s="9"/>
      <c r="N998" s="9"/>
      <c r="O998" s="9"/>
      <c r="P998" s="9"/>
      <c r="Q998" s="9"/>
    </row>
    <row r="999" spans="4:17" s="294" customFormat="1" ht="15" customHeight="1">
      <c r="D999" s="10"/>
      <c r="E999" s="10"/>
      <c r="F999" s="9"/>
      <c r="G999" s="9"/>
      <c r="H999" s="9"/>
      <c r="I999" s="9"/>
      <c r="J999" s="9"/>
      <c r="K999" s="9"/>
      <c r="L999" s="9"/>
      <c r="M999" s="9"/>
      <c r="N999" s="9"/>
      <c r="O999" s="9"/>
      <c r="P999" s="9"/>
      <c r="Q999" s="9"/>
    </row>
    <row r="1000" spans="4:17" s="294" customFormat="1" ht="15" customHeight="1">
      <c r="D1000" s="10"/>
      <c r="E1000" s="10"/>
      <c r="F1000" s="9"/>
      <c r="G1000" s="9"/>
      <c r="H1000" s="9"/>
      <c r="I1000" s="9"/>
      <c r="J1000" s="9"/>
      <c r="K1000" s="9"/>
      <c r="L1000" s="9"/>
      <c r="M1000" s="9"/>
      <c r="N1000" s="9"/>
      <c r="O1000" s="9"/>
      <c r="P1000" s="9"/>
      <c r="Q1000" s="9"/>
    </row>
    <row r="1001" spans="4:17" s="294" customFormat="1" ht="15" customHeight="1">
      <c r="D1001" s="10"/>
      <c r="E1001" s="10"/>
      <c r="F1001" s="9"/>
      <c r="G1001" s="9"/>
      <c r="H1001" s="9"/>
      <c r="I1001" s="9"/>
      <c r="J1001" s="9"/>
      <c r="K1001" s="9"/>
      <c r="L1001" s="9"/>
      <c r="M1001" s="9"/>
      <c r="N1001" s="9"/>
      <c r="O1001" s="9"/>
      <c r="P1001" s="9"/>
      <c r="Q1001" s="9"/>
    </row>
    <row r="1002" spans="4:17" s="294" customFormat="1" ht="15" customHeight="1">
      <c r="D1002" s="10"/>
      <c r="E1002" s="10"/>
      <c r="F1002" s="9"/>
      <c r="G1002" s="9"/>
      <c r="H1002" s="9"/>
      <c r="I1002" s="9"/>
      <c r="J1002" s="9"/>
      <c r="K1002" s="9"/>
      <c r="L1002" s="9"/>
      <c r="M1002" s="9"/>
      <c r="N1002" s="9"/>
      <c r="O1002" s="9"/>
      <c r="P1002" s="9"/>
      <c r="Q1002" s="9"/>
    </row>
    <row r="1003" spans="4:17" s="294" customFormat="1" ht="15" customHeight="1">
      <c r="D1003" s="10"/>
      <c r="E1003" s="10"/>
      <c r="F1003" s="9"/>
      <c r="G1003" s="9"/>
      <c r="H1003" s="9"/>
      <c r="I1003" s="9"/>
      <c r="J1003" s="9"/>
      <c r="K1003" s="9"/>
      <c r="L1003" s="9"/>
      <c r="M1003" s="9"/>
      <c r="N1003" s="9"/>
      <c r="O1003" s="9"/>
      <c r="P1003" s="9"/>
      <c r="Q1003" s="9"/>
    </row>
    <row r="1004" spans="4:17" s="294" customFormat="1" ht="15" customHeight="1">
      <c r="D1004" s="10"/>
      <c r="E1004" s="10"/>
      <c r="F1004" s="9"/>
      <c r="G1004" s="9"/>
      <c r="H1004" s="9"/>
      <c r="I1004" s="9"/>
      <c r="J1004" s="9"/>
      <c r="K1004" s="9"/>
      <c r="L1004" s="9"/>
      <c r="M1004" s="9"/>
      <c r="N1004" s="9"/>
      <c r="O1004" s="9"/>
      <c r="P1004" s="9"/>
      <c r="Q1004" s="9"/>
    </row>
    <row r="1005" spans="4:17" s="294" customFormat="1" ht="15" customHeight="1">
      <c r="D1005" s="10"/>
      <c r="E1005" s="10"/>
      <c r="F1005" s="9"/>
      <c r="G1005" s="9"/>
      <c r="H1005" s="9"/>
      <c r="I1005" s="9"/>
      <c r="J1005" s="9"/>
      <c r="K1005" s="9"/>
      <c r="L1005" s="9"/>
      <c r="M1005" s="9"/>
      <c r="N1005" s="9"/>
      <c r="O1005" s="9"/>
      <c r="P1005" s="9"/>
      <c r="Q1005" s="9"/>
    </row>
    <row r="1006" spans="4:17" s="294" customFormat="1" ht="15" customHeight="1">
      <c r="D1006" s="10"/>
      <c r="E1006" s="10"/>
      <c r="F1006" s="9"/>
      <c r="G1006" s="9"/>
      <c r="H1006" s="9"/>
      <c r="I1006" s="9"/>
      <c r="J1006" s="9"/>
      <c r="K1006" s="9"/>
      <c r="L1006" s="9"/>
      <c r="M1006" s="9"/>
      <c r="N1006" s="9"/>
      <c r="O1006" s="9"/>
      <c r="P1006" s="9"/>
      <c r="Q1006" s="9"/>
    </row>
    <row r="1007" spans="4:17" s="294" customFormat="1" ht="15" customHeight="1">
      <c r="D1007" s="10"/>
      <c r="E1007" s="10"/>
      <c r="F1007" s="9"/>
      <c r="G1007" s="9"/>
      <c r="H1007" s="9"/>
      <c r="I1007" s="9"/>
      <c r="J1007" s="9"/>
      <c r="K1007" s="9"/>
      <c r="L1007" s="9"/>
      <c r="M1007" s="9"/>
      <c r="N1007" s="9"/>
      <c r="O1007" s="9"/>
      <c r="P1007" s="9"/>
      <c r="Q1007" s="9"/>
    </row>
    <row r="1008" spans="4:17" s="294" customFormat="1" ht="15" customHeight="1">
      <c r="D1008" s="10"/>
      <c r="E1008" s="10"/>
      <c r="F1008" s="9"/>
      <c r="G1008" s="9"/>
      <c r="H1008" s="9"/>
      <c r="I1008" s="9"/>
      <c r="J1008" s="9"/>
      <c r="K1008" s="9"/>
      <c r="L1008" s="9"/>
      <c r="M1008" s="9"/>
      <c r="N1008" s="9"/>
      <c r="O1008" s="9"/>
      <c r="P1008" s="9"/>
      <c r="Q1008" s="9"/>
    </row>
    <row r="1009" spans="4:17" s="294" customFormat="1" ht="15" customHeight="1">
      <c r="D1009" s="10"/>
      <c r="E1009" s="10"/>
      <c r="F1009" s="9"/>
      <c r="G1009" s="9"/>
      <c r="H1009" s="9"/>
      <c r="I1009" s="9"/>
      <c r="J1009" s="9"/>
      <c r="K1009" s="9"/>
      <c r="L1009" s="9"/>
      <c r="M1009" s="9"/>
      <c r="N1009" s="9"/>
      <c r="O1009" s="9"/>
      <c r="P1009" s="9"/>
      <c r="Q1009" s="9"/>
    </row>
    <row r="1010" spans="4:17" s="294" customFormat="1" ht="15" customHeight="1">
      <c r="D1010" s="10"/>
      <c r="E1010" s="10"/>
      <c r="F1010" s="9"/>
      <c r="G1010" s="9"/>
      <c r="H1010" s="9"/>
      <c r="I1010" s="9"/>
      <c r="J1010" s="9"/>
      <c r="K1010" s="9"/>
      <c r="L1010" s="9"/>
      <c r="M1010" s="9"/>
      <c r="N1010" s="9"/>
      <c r="O1010" s="9"/>
      <c r="P1010" s="9"/>
      <c r="Q1010" s="9"/>
    </row>
    <row r="1011" spans="4:17" s="294" customFormat="1" ht="15" customHeight="1">
      <c r="D1011" s="10"/>
      <c r="E1011" s="10"/>
      <c r="F1011" s="9"/>
      <c r="G1011" s="9"/>
      <c r="H1011" s="9"/>
      <c r="I1011" s="9"/>
      <c r="J1011" s="9"/>
      <c r="K1011" s="9"/>
      <c r="L1011" s="9"/>
      <c r="M1011" s="9"/>
      <c r="N1011" s="9"/>
      <c r="O1011" s="9"/>
      <c r="P1011" s="9"/>
      <c r="Q1011" s="9"/>
    </row>
    <row r="1012" spans="4:17" s="294" customFormat="1" ht="15" customHeight="1">
      <c r="D1012" s="10"/>
      <c r="E1012" s="10"/>
      <c r="F1012" s="9"/>
      <c r="G1012" s="9"/>
      <c r="H1012" s="9"/>
      <c r="I1012" s="9"/>
      <c r="J1012" s="9"/>
      <c r="K1012" s="9"/>
      <c r="L1012" s="9"/>
      <c r="M1012" s="9"/>
      <c r="N1012" s="9"/>
      <c r="O1012" s="9"/>
      <c r="P1012" s="9"/>
      <c r="Q1012" s="9"/>
    </row>
    <row r="1013" spans="4:17" s="294" customFormat="1" ht="15" customHeight="1">
      <c r="D1013" s="10"/>
      <c r="E1013" s="10"/>
      <c r="F1013" s="9"/>
      <c r="G1013" s="9"/>
      <c r="H1013" s="9"/>
      <c r="I1013" s="9"/>
      <c r="J1013" s="9"/>
      <c r="K1013" s="9"/>
      <c r="L1013" s="9"/>
      <c r="M1013" s="9"/>
      <c r="N1013" s="9"/>
      <c r="O1013" s="9"/>
      <c r="P1013" s="9"/>
      <c r="Q1013" s="9"/>
    </row>
    <row r="1014" spans="4:17" s="294" customFormat="1" ht="15" customHeight="1">
      <c r="D1014" s="10"/>
      <c r="E1014" s="10"/>
      <c r="F1014" s="9"/>
      <c r="G1014" s="9"/>
      <c r="H1014" s="9"/>
      <c r="I1014" s="9"/>
      <c r="J1014" s="9"/>
      <c r="K1014" s="9"/>
      <c r="L1014" s="9"/>
      <c r="M1014" s="9"/>
      <c r="N1014" s="9"/>
      <c r="O1014" s="9"/>
      <c r="P1014" s="9"/>
      <c r="Q1014" s="9"/>
    </row>
    <row r="1015" spans="4:17" s="294" customFormat="1" ht="15" customHeight="1">
      <c r="D1015" s="10"/>
      <c r="E1015" s="10"/>
      <c r="F1015" s="9"/>
      <c r="G1015" s="9"/>
      <c r="H1015" s="9"/>
      <c r="I1015" s="9"/>
      <c r="J1015" s="9"/>
      <c r="K1015" s="9"/>
      <c r="L1015" s="9"/>
      <c r="M1015" s="9"/>
      <c r="N1015" s="9"/>
      <c r="O1015" s="9"/>
      <c r="P1015" s="9"/>
      <c r="Q1015" s="9"/>
    </row>
    <row r="1016" spans="4:17" s="294" customFormat="1" ht="15" customHeight="1">
      <c r="D1016" s="10"/>
      <c r="E1016" s="10"/>
      <c r="F1016" s="9"/>
      <c r="G1016" s="9"/>
      <c r="H1016" s="9"/>
      <c r="I1016" s="9"/>
      <c r="J1016" s="9"/>
      <c r="K1016" s="9"/>
      <c r="L1016" s="9"/>
      <c r="M1016" s="9"/>
      <c r="N1016" s="9"/>
      <c r="O1016" s="9"/>
      <c r="P1016" s="9"/>
      <c r="Q1016" s="9"/>
    </row>
    <row r="1017" spans="4:17" s="294" customFormat="1" ht="15" customHeight="1">
      <c r="D1017" s="10"/>
      <c r="E1017" s="10"/>
      <c r="F1017" s="9"/>
      <c r="G1017" s="9"/>
      <c r="H1017" s="9"/>
      <c r="I1017" s="9"/>
      <c r="J1017" s="9"/>
      <c r="K1017" s="9"/>
      <c r="L1017" s="9"/>
      <c r="M1017" s="9"/>
      <c r="N1017" s="9"/>
      <c r="O1017" s="9"/>
      <c r="P1017" s="9"/>
      <c r="Q1017" s="9"/>
    </row>
    <row r="1018" spans="4:17" s="294" customFormat="1" ht="15" customHeight="1">
      <c r="D1018" s="10"/>
      <c r="E1018" s="10"/>
      <c r="F1018" s="9"/>
      <c r="G1018" s="9"/>
      <c r="H1018" s="9"/>
      <c r="I1018" s="9"/>
      <c r="J1018" s="9"/>
      <c r="K1018" s="9"/>
      <c r="L1018" s="9"/>
      <c r="M1018" s="9"/>
      <c r="N1018" s="9"/>
      <c r="O1018" s="9"/>
      <c r="P1018" s="9"/>
      <c r="Q1018" s="9"/>
    </row>
    <row r="1019" spans="4:17" s="294" customFormat="1" ht="15" customHeight="1">
      <c r="D1019" s="10"/>
      <c r="E1019" s="10"/>
      <c r="F1019" s="9"/>
      <c r="G1019" s="9"/>
      <c r="H1019" s="9"/>
      <c r="I1019" s="9"/>
      <c r="J1019" s="9"/>
      <c r="K1019" s="9"/>
      <c r="L1019" s="9"/>
      <c r="M1019" s="9"/>
      <c r="N1019" s="9"/>
      <c r="O1019" s="9"/>
      <c r="P1019" s="9"/>
      <c r="Q1019" s="9"/>
    </row>
    <row r="1020" spans="4:17" s="294" customFormat="1" ht="15" customHeight="1">
      <c r="D1020" s="10"/>
      <c r="E1020" s="10"/>
      <c r="F1020" s="9"/>
      <c r="G1020" s="9"/>
      <c r="H1020" s="9"/>
      <c r="I1020" s="9"/>
      <c r="J1020" s="9"/>
      <c r="K1020" s="9"/>
      <c r="L1020" s="9"/>
      <c r="M1020" s="9"/>
      <c r="N1020" s="9"/>
      <c r="O1020" s="9"/>
      <c r="P1020" s="9"/>
      <c r="Q1020" s="9"/>
    </row>
    <row r="1021" spans="4:17" s="294" customFormat="1" ht="15" customHeight="1">
      <c r="D1021" s="10"/>
      <c r="E1021" s="10"/>
      <c r="F1021" s="9"/>
      <c r="G1021" s="9"/>
      <c r="H1021" s="9"/>
      <c r="I1021" s="9"/>
      <c r="J1021" s="9"/>
      <c r="K1021" s="9"/>
      <c r="L1021" s="9"/>
      <c r="M1021" s="9"/>
      <c r="N1021" s="9"/>
      <c r="O1021" s="9"/>
      <c r="P1021" s="9"/>
      <c r="Q1021" s="9"/>
    </row>
    <row r="1022" spans="4:17" s="294" customFormat="1" ht="15" customHeight="1">
      <c r="D1022" s="10"/>
      <c r="E1022" s="10"/>
      <c r="F1022" s="9"/>
      <c r="G1022" s="9"/>
      <c r="H1022" s="9"/>
      <c r="I1022" s="9"/>
      <c r="J1022" s="9"/>
      <c r="K1022" s="9"/>
      <c r="L1022" s="9"/>
      <c r="M1022" s="9"/>
      <c r="N1022" s="9"/>
      <c r="O1022" s="9"/>
      <c r="P1022" s="9"/>
      <c r="Q1022" s="9"/>
    </row>
    <row r="1023" spans="4:17" s="294" customFormat="1" ht="15" customHeight="1">
      <c r="D1023" s="10"/>
      <c r="E1023" s="10"/>
      <c r="F1023" s="9"/>
      <c r="G1023" s="9"/>
      <c r="H1023" s="9"/>
      <c r="I1023" s="9"/>
      <c r="J1023" s="9"/>
      <c r="K1023" s="9"/>
      <c r="L1023" s="9"/>
      <c r="M1023" s="9"/>
      <c r="N1023" s="9"/>
      <c r="O1023" s="9"/>
      <c r="P1023" s="9"/>
      <c r="Q1023" s="9"/>
    </row>
    <row r="1024" spans="4:17" s="294" customFormat="1" ht="15" customHeight="1">
      <c r="D1024" s="10"/>
      <c r="E1024" s="10"/>
      <c r="F1024" s="9"/>
      <c r="G1024" s="9"/>
      <c r="H1024" s="9"/>
      <c r="I1024" s="9"/>
      <c r="J1024" s="9"/>
      <c r="K1024" s="9"/>
      <c r="L1024" s="9"/>
      <c r="M1024" s="9"/>
      <c r="N1024" s="9"/>
      <c r="O1024" s="9"/>
      <c r="P1024" s="9"/>
      <c r="Q1024" s="9"/>
    </row>
    <row r="1025" spans="4:17" s="294" customFormat="1" ht="15" customHeight="1">
      <c r="D1025" s="10"/>
      <c r="E1025" s="10"/>
      <c r="F1025" s="9"/>
      <c r="G1025" s="9"/>
      <c r="H1025" s="9"/>
      <c r="I1025" s="9"/>
      <c r="J1025" s="9"/>
      <c r="K1025" s="9"/>
      <c r="L1025" s="9"/>
      <c r="M1025" s="9"/>
      <c r="N1025" s="9"/>
      <c r="O1025" s="9"/>
      <c r="P1025" s="9"/>
      <c r="Q1025" s="9"/>
    </row>
    <row r="1026" spans="4:17" s="294" customFormat="1" ht="15" customHeight="1">
      <c r="D1026" s="10"/>
      <c r="E1026" s="10"/>
      <c r="F1026" s="9"/>
      <c r="G1026" s="9"/>
      <c r="H1026" s="9"/>
      <c r="I1026" s="9"/>
      <c r="J1026" s="9"/>
      <c r="K1026" s="9"/>
      <c r="L1026" s="9"/>
      <c r="M1026" s="9"/>
      <c r="N1026" s="9"/>
      <c r="O1026" s="9"/>
      <c r="P1026" s="9"/>
      <c r="Q1026" s="9"/>
    </row>
    <row r="1027" spans="4:17" s="294" customFormat="1" ht="15" customHeight="1">
      <c r="D1027" s="10"/>
      <c r="E1027" s="10"/>
      <c r="F1027" s="9"/>
      <c r="G1027" s="9"/>
      <c r="H1027" s="9"/>
      <c r="I1027" s="9"/>
      <c r="J1027" s="9"/>
      <c r="K1027" s="9"/>
      <c r="L1027" s="9"/>
      <c r="M1027" s="9"/>
      <c r="N1027" s="9"/>
      <c r="O1027" s="9"/>
      <c r="P1027" s="9"/>
      <c r="Q1027" s="9"/>
    </row>
    <row r="1028" spans="4:17" s="294" customFormat="1" ht="15" customHeight="1">
      <c r="D1028" s="10"/>
      <c r="E1028" s="10"/>
      <c r="F1028" s="9"/>
      <c r="G1028" s="9"/>
      <c r="H1028" s="9"/>
      <c r="I1028" s="9"/>
      <c r="J1028" s="9"/>
      <c r="K1028" s="9"/>
      <c r="L1028" s="9"/>
      <c r="M1028" s="9"/>
      <c r="N1028" s="9"/>
      <c r="O1028" s="9"/>
      <c r="P1028" s="9"/>
      <c r="Q1028" s="9"/>
    </row>
    <row r="1029" spans="4:17" s="294" customFormat="1" ht="15" customHeight="1">
      <c r="D1029" s="10"/>
      <c r="E1029" s="10"/>
      <c r="F1029" s="9"/>
      <c r="G1029" s="9"/>
      <c r="H1029" s="9"/>
      <c r="I1029" s="9"/>
      <c r="J1029" s="9"/>
      <c r="K1029" s="9"/>
      <c r="L1029" s="9"/>
      <c r="M1029" s="9"/>
      <c r="N1029" s="9"/>
      <c r="O1029" s="9"/>
      <c r="P1029" s="9"/>
      <c r="Q1029" s="9"/>
    </row>
    <row r="1030" spans="4:17" s="294" customFormat="1" ht="15" customHeight="1">
      <c r="D1030" s="10"/>
      <c r="E1030" s="10"/>
      <c r="F1030" s="9"/>
      <c r="G1030" s="9"/>
      <c r="H1030" s="9"/>
      <c r="I1030" s="9"/>
      <c r="J1030" s="9"/>
      <c r="K1030" s="9"/>
      <c r="L1030" s="9"/>
      <c r="M1030" s="9"/>
      <c r="N1030" s="9"/>
      <c r="O1030" s="9"/>
      <c r="P1030" s="9"/>
      <c r="Q1030" s="9"/>
    </row>
    <row r="1031" spans="4:17" s="294" customFormat="1" ht="15" customHeight="1">
      <c r="D1031" s="10"/>
      <c r="E1031" s="10"/>
      <c r="F1031" s="9"/>
      <c r="G1031" s="9"/>
      <c r="H1031" s="9"/>
      <c r="I1031" s="9"/>
      <c r="J1031" s="9"/>
      <c r="K1031" s="9"/>
      <c r="L1031" s="9"/>
      <c r="M1031" s="9"/>
      <c r="N1031" s="9"/>
      <c r="O1031" s="9"/>
      <c r="P1031" s="9"/>
      <c r="Q1031" s="9"/>
    </row>
    <row r="1032" spans="4:17" s="294" customFormat="1" ht="15" customHeight="1">
      <c r="D1032" s="10"/>
      <c r="E1032" s="10"/>
      <c r="F1032" s="9"/>
      <c r="G1032" s="9"/>
      <c r="H1032" s="9"/>
      <c r="I1032" s="9"/>
      <c r="J1032" s="9"/>
      <c r="K1032" s="9"/>
      <c r="L1032" s="9"/>
      <c r="M1032" s="9"/>
      <c r="N1032" s="9"/>
      <c r="O1032" s="9"/>
      <c r="P1032" s="9"/>
      <c r="Q1032" s="9"/>
    </row>
    <row r="1033" spans="4:17" s="294" customFormat="1" ht="15" customHeight="1">
      <c r="D1033" s="10"/>
      <c r="E1033" s="10"/>
      <c r="F1033" s="9"/>
      <c r="G1033" s="9"/>
      <c r="H1033" s="9"/>
      <c r="I1033" s="9"/>
      <c r="J1033" s="9"/>
      <c r="K1033" s="9"/>
      <c r="L1033" s="9"/>
      <c r="M1033" s="9"/>
      <c r="N1033" s="9"/>
      <c r="O1033" s="9"/>
      <c r="P1033" s="9"/>
      <c r="Q1033" s="9"/>
    </row>
    <row r="1034" spans="4:17" s="294" customFormat="1" ht="15" customHeight="1">
      <c r="D1034" s="10"/>
      <c r="E1034" s="10"/>
      <c r="F1034" s="9"/>
      <c r="G1034" s="9"/>
      <c r="H1034" s="9"/>
      <c r="I1034" s="9"/>
      <c r="J1034" s="9"/>
      <c r="K1034" s="9"/>
      <c r="L1034" s="9"/>
      <c r="M1034" s="9"/>
      <c r="N1034" s="9"/>
      <c r="O1034" s="9"/>
      <c r="P1034" s="9"/>
      <c r="Q1034" s="9"/>
    </row>
    <row r="1035" spans="4:17" s="294" customFormat="1" ht="15" customHeight="1">
      <c r="D1035" s="10"/>
      <c r="E1035" s="10"/>
      <c r="F1035" s="9"/>
      <c r="G1035" s="9"/>
      <c r="H1035" s="9"/>
      <c r="I1035" s="9"/>
      <c r="J1035" s="9"/>
      <c r="K1035" s="9"/>
      <c r="L1035" s="9"/>
      <c r="M1035" s="9"/>
      <c r="N1035" s="9"/>
      <c r="O1035" s="9"/>
      <c r="P1035" s="9"/>
      <c r="Q1035" s="9"/>
    </row>
    <row r="1036" spans="4:17" s="294" customFormat="1" ht="15" customHeight="1">
      <c r="D1036" s="10"/>
      <c r="E1036" s="10"/>
      <c r="F1036" s="9"/>
      <c r="G1036" s="9"/>
      <c r="H1036" s="9"/>
      <c r="I1036" s="9"/>
      <c r="J1036" s="9"/>
      <c r="K1036" s="9"/>
      <c r="L1036" s="9"/>
      <c r="M1036" s="9"/>
      <c r="N1036" s="9"/>
      <c r="O1036" s="9"/>
      <c r="P1036" s="9"/>
      <c r="Q1036" s="9"/>
    </row>
    <row r="1037" spans="4:17" s="294" customFormat="1" ht="15" customHeight="1">
      <c r="D1037" s="10"/>
      <c r="E1037" s="10"/>
      <c r="F1037" s="9"/>
      <c r="G1037" s="9"/>
      <c r="H1037" s="9"/>
      <c r="I1037" s="9"/>
      <c r="J1037" s="9"/>
      <c r="K1037" s="9"/>
      <c r="L1037" s="9"/>
      <c r="M1037" s="9"/>
      <c r="N1037" s="9"/>
      <c r="O1037" s="9"/>
      <c r="P1037" s="9"/>
      <c r="Q1037" s="9"/>
    </row>
    <row r="1038" spans="4:17" s="294" customFormat="1" ht="15" customHeight="1">
      <c r="D1038" s="10"/>
      <c r="E1038" s="10"/>
      <c r="F1038" s="9"/>
      <c r="G1038" s="9"/>
      <c r="H1038" s="9"/>
      <c r="I1038" s="9"/>
      <c r="J1038" s="9"/>
      <c r="K1038" s="9"/>
      <c r="L1038" s="9"/>
      <c r="M1038" s="9"/>
      <c r="N1038" s="9"/>
      <c r="O1038" s="9"/>
      <c r="P1038" s="9"/>
      <c r="Q1038" s="9"/>
    </row>
    <row r="1039" spans="4:17" s="294" customFormat="1" ht="15" customHeight="1">
      <c r="D1039" s="10"/>
      <c r="E1039" s="10"/>
      <c r="F1039" s="9"/>
      <c r="G1039" s="9"/>
      <c r="H1039" s="9"/>
      <c r="I1039" s="9"/>
      <c r="J1039" s="9"/>
      <c r="K1039" s="9"/>
      <c r="L1039" s="9"/>
      <c r="M1039" s="9"/>
      <c r="N1039" s="9"/>
      <c r="O1039" s="9"/>
      <c r="P1039" s="9"/>
      <c r="Q1039" s="9"/>
    </row>
    <row r="1040" spans="4:17" s="294" customFormat="1" ht="15" customHeight="1">
      <c r="D1040" s="10"/>
      <c r="E1040" s="10"/>
      <c r="F1040" s="9"/>
      <c r="G1040" s="9"/>
      <c r="H1040" s="9"/>
      <c r="I1040" s="9"/>
      <c r="J1040" s="9"/>
      <c r="K1040" s="9"/>
      <c r="L1040" s="9"/>
      <c r="M1040" s="9"/>
      <c r="N1040" s="9"/>
      <c r="O1040" s="9"/>
      <c r="P1040" s="9"/>
      <c r="Q1040" s="9"/>
    </row>
    <row r="1041" spans="4:17" s="294" customFormat="1" ht="15" customHeight="1">
      <c r="D1041" s="10"/>
      <c r="E1041" s="10"/>
      <c r="F1041" s="9"/>
      <c r="G1041" s="9"/>
      <c r="H1041" s="9"/>
      <c r="I1041" s="9"/>
      <c r="J1041" s="9"/>
      <c r="K1041" s="9"/>
      <c r="L1041" s="9"/>
      <c r="M1041" s="9"/>
      <c r="N1041" s="9"/>
      <c r="O1041" s="9"/>
      <c r="P1041" s="9"/>
      <c r="Q1041" s="9"/>
    </row>
    <row r="1042" spans="4:17" s="294" customFormat="1" ht="15" customHeight="1">
      <c r="D1042" s="10"/>
      <c r="E1042" s="10"/>
      <c r="F1042" s="9"/>
      <c r="G1042" s="9"/>
      <c r="H1042" s="9"/>
      <c r="I1042" s="9"/>
      <c r="J1042" s="9"/>
      <c r="K1042" s="9"/>
      <c r="L1042" s="9"/>
      <c r="M1042" s="9"/>
      <c r="N1042" s="9"/>
      <c r="O1042" s="9"/>
      <c r="P1042" s="9"/>
      <c r="Q1042" s="9"/>
    </row>
    <row r="1043" spans="4:17" s="294" customFormat="1" ht="15" customHeight="1">
      <c r="D1043" s="10"/>
      <c r="E1043" s="10"/>
      <c r="F1043" s="9"/>
      <c r="G1043" s="9"/>
      <c r="H1043" s="9"/>
      <c r="I1043" s="9"/>
      <c r="J1043" s="9"/>
      <c r="K1043" s="9"/>
      <c r="L1043" s="9"/>
      <c r="M1043" s="9"/>
      <c r="N1043" s="9"/>
      <c r="O1043" s="9"/>
      <c r="P1043" s="9"/>
      <c r="Q1043" s="9"/>
    </row>
    <row r="1044" spans="4:17" s="294" customFormat="1" ht="15" customHeight="1">
      <c r="D1044" s="10"/>
      <c r="E1044" s="10"/>
      <c r="F1044" s="9"/>
      <c r="G1044" s="9"/>
      <c r="H1044" s="9"/>
      <c r="I1044" s="9"/>
      <c r="J1044" s="9"/>
      <c r="K1044" s="9"/>
      <c r="L1044" s="9"/>
      <c r="M1044" s="9"/>
      <c r="N1044" s="9"/>
      <c r="O1044" s="9"/>
      <c r="P1044" s="9"/>
      <c r="Q1044" s="9"/>
    </row>
    <row r="1045" spans="4:17" s="294" customFormat="1" ht="15" customHeight="1">
      <c r="D1045" s="10"/>
      <c r="E1045" s="10"/>
      <c r="F1045" s="9"/>
      <c r="G1045" s="9"/>
      <c r="H1045" s="9"/>
      <c r="I1045" s="9"/>
      <c r="J1045" s="9"/>
      <c r="K1045" s="9"/>
      <c r="L1045" s="9"/>
      <c r="M1045" s="9"/>
      <c r="N1045" s="9"/>
      <c r="O1045" s="9"/>
      <c r="P1045" s="9"/>
      <c r="Q1045" s="9"/>
    </row>
    <row r="1046" spans="4:17" s="294" customFormat="1" ht="15" customHeight="1">
      <c r="D1046" s="10"/>
      <c r="E1046" s="10"/>
      <c r="F1046" s="9"/>
      <c r="G1046" s="9"/>
      <c r="H1046" s="9"/>
      <c r="I1046" s="9"/>
      <c r="J1046" s="9"/>
      <c r="K1046" s="9"/>
      <c r="L1046" s="9"/>
      <c r="M1046" s="9"/>
      <c r="N1046" s="9"/>
      <c r="O1046" s="9"/>
      <c r="P1046" s="9"/>
      <c r="Q1046" s="9"/>
    </row>
    <row r="1047" spans="4:17" s="294" customFormat="1" ht="15" customHeight="1">
      <c r="D1047" s="10"/>
      <c r="E1047" s="10"/>
      <c r="F1047" s="9"/>
      <c r="G1047" s="9"/>
      <c r="H1047" s="9"/>
      <c r="I1047" s="9"/>
      <c r="J1047" s="9"/>
      <c r="K1047" s="9"/>
      <c r="L1047" s="9"/>
      <c r="M1047" s="9"/>
      <c r="N1047" s="9"/>
      <c r="O1047" s="9"/>
      <c r="P1047" s="9"/>
      <c r="Q1047" s="9"/>
    </row>
    <row r="1048" spans="4:17" s="294" customFormat="1" ht="15" customHeight="1">
      <c r="D1048" s="10"/>
      <c r="E1048" s="10"/>
      <c r="F1048" s="9"/>
      <c r="G1048" s="9"/>
      <c r="H1048" s="9"/>
      <c r="I1048" s="9"/>
      <c r="J1048" s="9"/>
      <c r="K1048" s="9"/>
      <c r="L1048" s="9"/>
      <c r="M1048" s="9"/>
      <c r="N1048" s="9"/>
      <c r="O1048" s="9"/>
      <c r="P1048" s="9"/>
      <c r="Q1048" s="9"/>
    </row>
    <row r="1049" spans="4:17" s="294" customFormat="1" ht="15" customHeight="1">
      <c r="D1049" s="10"/>
      <c r="E1049" s="10"/>
      <c r="F1049" s="9"/>
      <c r="G1049" s="9"/>
      <c r="H1049" s="9"/>
      <c r="I1049" s="9"/>
      <c r="J1049" s="9"/>
      <c r="K1049" s="9"/>
      <c r="L1049" s="9"/>
      <c r="M1049" s="9"/>
      <c r="N1049" s="9"/>
      <c r="O1049" s="9"/>
      <c r="P1049" s="9"/>
      <c r="Q1049" s="9"/>
    </row>
    <row r="1050" spans="4:17" s="294" customFormat="1" ht="15" customHeight="1">
      <c r="D1050" s="10"/>
      <c r="E1050" s="10"/>
      <c r="F1050" s="9"/>
      <c r="G1050" s="9"/>
      <c r="H1050" s="9"/>
      <c r="I1050" s="9"/>
      <c r="J1050" s="9"/>
      <c r="K1050" s="9"/>
      <c r="L1050" s="9"/>
      <c r="M1050" s="9"/>
      <c r="N1050" s="9"/>
      <c r="O1050" s="9"/>
      <c r="P1050" s="9"/>
      <c r="Q1050" s="9"/>
    </row>
    <row r="1051" spans="4:17" s="294" customFormat="1" ht="15" customHeight="1">
      <c r="D1051" s="10"/>
      <c r="E1051" s="10"/>
      <c r="F1051" s="9"/>
      <c r="G1051" s="9"/>
      <c r="H1051" s="9"/>
      <c r="I1051" s="9"/>
      <c r="J1051" s="9"/>
      <c r="K1051" s="9"/>
      <c r="L1051" s="9"/>
      <c r="M1051" s="9"/>
      <c r="N1051" s="9"/>
      <c r="O1051" s="9"/>
      <c r="P1051" s="9"/>
      <c r="Q1051" s="9"/>
    </row>
    <row r="1052" spans="4:17" s="294" customFormat="1" ht="15" customHeight="1">
      <c r="D1052" s="10"/>
      <c r="E1052" s="10"/>
      <c r="F1052" s="9"/>
      <c r="G1052" s="9"/>
      <c r="H1052" s="9"/>
      <c r="I1052" s="9"/>
      <c r="J1052" s="9"/>
      <c r="K1052" s="9"/>
      <c r="L1052" s="9"/>
      <c r="M1052" s="9"/>
      <c r="N1052" s="9"/>
      <c r="O1052" s="9"/>
      <c r="P1052" s="9"/>
      <c r="Q1052" s="9"/>
    </row>
    <row r="1053" spans="4:17" s="294" customFormat="1" ht="15" customHeight="1">
      <c r="D1053" s="10"/>
      <c r="E1053" s="10"/>
      <c r="F1053" s="9"/>
      <c r="G1053" s="9"/>
      <c r="H1053" s="9"/>
      <c r="I1053" s="9"/>
      <c r="J1053" s="9"/>
      <c r="K1053" s="9"/>
      <c r="L1053" s="9"/>
      <c r="M1053" s="9"/>
      <c r="N1053" s="9"/>
      <c r="O1053" s="9"/>
      <c r="P1053" s="9"/>
      <c r="Q1053" s="9"/>
    </row>
    <row r="1054" spans="4:17" s="294" customFormat="1" ht="15" customHeight="1">
      <c r="D1054" s="10"/>
      <c r="E1054" s="10"/>
      <c r="F1054" s="9"/>
      <c r="G1054" s="9"/>
      <c r="H1054" s="9"/>
      <c r="I1054" s="9"/>
      <c r="J1054" s="9"/>
      <c r="K1054" s="9"/>
      <c r="L1054" s="9"/>
      <c r="M1054" s="9"/>
      <c r="N1054" s="9"/>
      <c r="O1054" s="9"/>
      <c r="P1054" s="9"/>
      <c r="Q1054" s="9"/>
    </row>
    <row r="1055" spans="4:17" s="294" customFormat="1" ht="15" customHeight="1">
      <c r="D1055" s="10"/>
      <c r="E1055" s="10"/>
      <c r="F1055" s="9"/>
      <c r="G1055" s="9"/>
      <c r="H1055" s="9"/>
      <c r="I1055" s="9"/>
      <c r="J1055" s="9"/>
      <c r="K1055" s="9"/>
      <c r="L1055" s="9"/>
      <c r="M1055" s="9"/>
      <c r="N1055" s="9"/>
      <c r="O1055" s="9"/>
      <c r="P1055" s="9"/>
      <c r="Q1055" s="9"/>
    </row>
    <row r="1056" spans="4:17" s="294" customFormat="1" ht="15" customHeight="1">
      <c r="D1056" s="10"/>
      <c r="E1056" s="10"/>
      <c r="F1056" s="9"/>
      <c r="G1056" s="9"/>
      <c r="H1056" s="9"/>
      <c r="I1056" s="9"/>
      <c r="J1056" s="9"/>
      <c r="K1056" s="9"/>
      <c r="L1056" s="9"/>
      <c r="M1056" s="9"/>
      <c r="N1056" s="9"/>
      <c r="O1056" s="9"/>
      <c r="P1056" s="9"/>
      <c r="Q1056" s="9"/>
    </row>
    <row r="1057" spans="4:17" s="294" customFormat="1" ht="15" customHeight="1">
      <c r="D1057" s="10"/>
      <c r="E1057" s="10"/>
      <c r="F1057" s="9"/>
      <c r="G1057" s="9"/>
      <c r="H1057" s="9"/>
      <c r="I1057" s="9"/>
      <c r="J1057" s="9"/>
      <c r="K1057" s="9"/>
      <c r="L1057" s="9"/>
      <c r="M1057" s="9"/>
      <c r="N1057" s="9"/>
      <c r="O1057" s="9"/>
      <c r="P1057" s="9"/>
      <c r="Q1057" s="9"/>
    </row>
    <row r="1058" spans="4:17" s="294" customFormat="1" ht="15" customHeight="1">
      <c r="D1058" s="10"/>
      <c r="E1058" s="10"/>
      <c r="F1058" s="9"/>
      <c r="G1058" s="9"/>
      <c r="H1058" s="9"/>
      <c r="I1058" s="9"/>
      <c r="J1058" s="9"/>
      <c r="K1058" s="9"/>
      <c r="L1058" s="9"/>
      <c r="M1058" s="9"/>
      <c r="N1058" s="9"/>
      <c r="O1058" s="9"/>
      <c r="P1058" s="9"/>
      <c r="Q1058" s="9"/>
    </row>
    <row r="1059" spans="4:17" s="294" customFormat="1" ht="15" customHeight="1">
      <c r="D1059" s="10"/>
      <c r="E1059" s="10"/>
      <c r="F1059" s="9"/>
      <c r="G1059" s="9"/>
      <c r="H1059" s="9"/>
      <c r="I1059" s="9"/>
      <c r="J1059" s="9"/>
      <c r="K1059" s="9"/>
      <c r="L1059" s="9"/>
      <c r="M1059" s="9"/>
      <c r="N1059" s="9"/>
      <c r="O1059" s="9"/>
      <c r="P1059" s="9"/>
      <c r="Q1059" s="9"/>
    </row>
    <row r="1060" spans="4:17" s="294" customFormat="1" ht="15" customHeight="1">
      <c r="D1060" s="10"/>
      <c r="E1060" s="10"/>
      <c r="F1060" s="9"/>
      <c r="G1060" s="9"/>
      <c r="H1060" s="9"/>
      <c r="I1060" s="9"/>
      <c r="J1060" s="9"/>
      <c r="K1060" s="9"/>
      <c r="L1060" s="9"/>
      <c r="M1060" s="9"/>
      <c r="N1060" s="9"/>
      <c r="O1060" s="9"/>
      <c r="P1060" s="9"/>
      <c r="Q1060" s="9"/>
    </row>
    <row r="1061" spans="4:17" s="294" customFormat="1" ht="15" customHeight="1">
      <c r="D1061" s="10"/>
      <c r="E1061" s="10"/>
      <c r="F1061" s="9"/>
      <c r="G1061" s="9"/>
      <c r="H1061" s="9"/>
      <c r="I1061" s="9"/>
      <c r="J1061" s="9"/>
      <c r="K1061" s="9"/>
      <c r="L1061" s="9"/>
      <c r="M1061" s="9"/>
      <c r="N1061" s="9"/>
      <c r="O1061" s="9"/>
      <c r="P1061" s="9"/>
      <c r="Q1061" s="9"/>
    </row>
    <row r="1062" spans="4:17" s="294" customFormat="1" ht="15" customHeight="1">
      <c r="D1062" s="10"/>
      <c r="E1062" s="10"/>
      <c r="F1062" s="9"/>
      <c r="G1062" s="9"/>
      <c r="H1062" s="9"/>
      <c r="I1062" s="9"/>
      <c r="J1062" s="9"/>
      <c r="K1062" s="9"/>
      <c r="L1062" s="9"/>
      <c r="M1062" s="9"/>
      <c r="N1062" s="9"/>
      <c r="O1062" s="9"/>
      <c r="P1062" s="9"/>
      <c r="Q1062" s="9"/>
    </row>
    <row r="1063" spans="4:17" s="294" customFormat="1" ht="15" customHeight="1">
      <c r="D1063" s="10"/>
      <c r="E1063" s="10"/>
      <c r="F1063" s="9"/>
      <c r="G1063" s="9"/>
      <c r="H1063" s="9"/>
      <c r="I1063" s="9"/>
      <c r="J1063" s="9"/>
      <c r="K1063" s="9"/>
      <c r="L1063" s="9"/>
      <c r="M1063" s="9"/>
      <c r="N1063" s="9"/>
      <c r="O1063" s="9"/>
      <c r="P1063" s="9"/>
      <c r="Q1063" s="9"/>
    </row>
    <row r="1064" spans="4:17" s="294" customFormat="1" ht="15" customHeight="1">
      <c r="D1064" s="10"/>
      <c r="E1064" s="10"/>
      <c r="F1064" s="9"/>
      <c r="G1064" s="9"/>
      <c r="H1064" s="9"/>
      <c r="I1064" s="9"/>
      <c r="J1064" s="9"/>
      <c r="K1064" s="9"/>
      <c r="L1064" s="9"/>
      <c r="M1064" s="9"/>
      <c r="N1064" s="9"/>
      <c r="O1064" s="9"/>
      <c r="P1064" s="9"/>
      <c r="Q1064" s="9"/>
    </row>
    <row r="1065" spans="4:17" s="294" customFormat="1" ht="15" customHeight="1">
      <c r="D1065" s="10"/>
      <c r="E1065" s="10"/>
      <c r="F1065" s="9"/>
      <c r="G1065" s="9"/>
      <c r="H1065" s="9"/>
      <c r="I1065" s="9"/>
      <c r="J1065" s="9"/>
      <c r="K1065" s="9"/>
      <c r="L1065" s="9"/>
      <c r="M1065" s="9"/>
      <c r="N1065" s="9"/>
      <c r="O1065" s="9"/>
      <c r="P1065" s="9"/>
      <c r="Q1065" s="9"/>
    </row>
    <row r="1066" spans="4:17" s="294" customFormat="1" ht="15" customHeight="1">
      <c r="D1066" s="10"/>
      <c r="E1066" s="10"/>
      <c r="F1066" s="9"/>
      <c r="G1066" s="9"/>
      <c r="H1066" s="9"/>
      <c r="I1066" s="9"/>
      <c r="J1066" s="9"/>
      <c r="K1066" s="9"/>
      <c r="L1066" s="9"/>
      <c r="M1066" s="9"/>
      <c r="N1066" s="9"/>
      <c r="O1066" s="9"/>
      <c r="P1066" s="9"/>
      <c r="Q1066" s="9"/>
    </row>
    <row r="1067" spans="4:17" s="294" customFormat="1" ht="15" customHeight="1">
      <c r="D1067" s="10"/>
      <c r="E1067" s="10"/>
      <c r="F1067" s="9"/>
      <c r="G1067" s="9"/>
      <c r="H1067" s="9"/>
      <c r="I1067" s="9"/>
      <c r="J1067" s="9"/>
      <c r="K1067" s="9"/>
      <c r="L1067" s="9"/>
      <c r="M1067" s="9"/>
      <c r="N1067" s="9"/>
      <c r="O1067" s="9"/>
      <c r="P1067" s="9"/>
      <c r="Q1067" s="9"/>
    </row>
    <row r="1068" spans="4:17" s="294" customFormat="1" ht="15" customHeight="1">
      <c r="D1068" s="10"/>
      <c r="E1068" s="10"/>
      <c r="F1068" s="9"/>
      <c r="G1068" s="9"/>
      <c r="H1068" s="9"/>
      <c r="I1068" s="9"/>
      <c r="J1068" s="9"/>
      <c r="K1068" s="9"/>
      <c r="L1068" s="9"/>
      <c r="M1068" s="9"/>
      <c r="N1068" s="9"/>
      <c r="O1068" s="9"/>
      <c r="P1068" s="9"/>
      <c r="Q1068" s="9"/>
    </row>
    <row r="1069" spans="4:17" s="294" customFormat="1" ht="15" customHeight="1">
      <c r="D1069" s="10"/>
      <c r="E1069" s="10"/>
      <c r="F1069" s="9"/>
      <c r="G1069" s="9"/>
      <c r="H1069" s="9"/>
      <c r="I1069" s="9"/>
      <c r="J1069" s="9"/>
      <c r="K1069" s="9"/>
      <c r="L1069" s="9"/>
      <c r="M1069" s="9"/>
      <c r="N1069" s="9"/>
      <c r="O1069" s="9"/>
      <c r="P1069" s="9"/>
      <c r="Q1069" s="9"/>
    </row>
    <row r="1070" spans="4:17" s="294" customFormat="1" ht="15" customHeight="1">
      <c r="D1070" s="10"/>
      <c r="E1070" s="10"/>
      <c r="F1070" s="9"/>
      <c r="G1070" s="9"/>
      <c r="H1070" s="9"/>
      <c r="I1070" s="9"/>
      <c r="J1070" s="9"/>
      <c r="K1070" s="9"/>
      <c r="L1070" s="9"/>
      <c r="M1070" s="9"/>
      <c r="N1070" s="9"/>
      <c r="O1070" s="9"/>
      <c r="P1070" s="9"/>
      <c r="Q1070" s="9"/>
    </row>
    <row r="1071" spans="4:17" s="294" customFormat="1" ht="15" customHeight="1">
      <c r="D1071" s="10"/>
      <c r="E1071" s="10"/>
      <c r="F1071" s="9"/>
      <c r="G1071" s="9"/>
      <c r="H1071" s="9"/>
      <c r="I1071" s="9"/>
      <c r="J1071" s="9"/>
      <c r="K1071" s="9"/>
      <c r="L1071" s="9"/>
      <c r="M1071" s="9"/>
      <c r="N1071" s="9"/>
      <c r="O1071" s="9"/>
      <c r="P1071" s="9"/>
      <c r="Q1071" s="9"/>
    </row>
    <row r="1072" spans="4:17" s="294" customFormat="1" ht="15" customHeight="1">
      <c r="D1072" s="10"/>
      <c r="E1072" s="10"/>
      <c r="F1072" s="9"/>
      <c r="G1072" s="9"/>
      <c r="H1072" s="9"/>
      <c r="I1072" s="9"/>
      <c r="J1072" s="9"/>
      <c r="K1072" s="9"/>
      <c r="L1072" s="9"/>
      <c r="M1072" s="9"/>
      <c r="N1072" s="9"/>
      <c r="O1072" s="9"/>
      <c r="P1072" s="9"/>
      <c r="Q1072" s="9"/>
    </row>
    <row r="1073" spans="4:17" s="294" customFormat="1" ht="15" customHeight="1">
      <c r="D1073" s="10"/>
      <c r="E1073" s="10"/>
      <c r="F1073" s="9"/>
      <c r="G1073" s="9"/>
      <c r="H1073" s="9"/>
      <c r="I1073" s="9"/>
      <c r="J1073" s="9"/>
      <c r="K1073" s="9"/>
      <c r="L1073" s="9"/>
      <c r="M1073" s="9"/>
      <c r="N1073" s="9"/>
      <c r="O1073" s="9"/>
      <c r="P1073" s="9"/>
      <c r="Q1073" s="9"/>
    </row>
    <row r="1074" spans="4:17" s="294" customFormat="1" ht="15" customHeight="1">
      <c r="D1074" s="10"/>
      <c r="E1074" s="10"/>
      <c r="F1074" s="9"/>
      <c r="G1074" s="9"/>
      <c r="H1074" s="9"/>
      <c r="I1074" s="9"/>
      <c r="J1074" s="9"/>
      <c r="K1074" s="9"/>
      <c r="L1074" s="9"/>
      <c r="M1074" s="9"/>
      <c r="N1074" s="9"/>
      <c r="O1074" s="9"/>
      <c r="P1074" s="9"/>
      <c r="Q1074" s="9"/>
    </row>
    <row r="1075" spans="4:17" s="294" customFormat="1" ht="15" customHeight="1">
      <c r="D1075" s="10"/>
      <c r="E1075" s="10"/>
      <c r="F1075" s="9"/>
      <c r="G1075" s="9"/>
      <c r="H1075" s="9"/>
      <c r="I1075" s="9"/>
      <c r="J1075" s="9"/>
      <c r="K1075" s="9"/>
      <c r="L1075" s="9"/>
      <c r="M1075" s="9"/>
      <c r="N1075" s="9"/>
      <c r="O1075" s="9"/>
      <c r="P1075" s="9"/>
      <c r="Q1075" s="9"/>
    </row>
    <row r="1076" spans="4:17" s="294" customFormat="1" ht="15" customHeight="1">
      <c r="D1076" s="10"/>
      <c r="E1076" s="10"/>
      <c r="F1076" s="9"/>
      <c r="G1076" s="9"/>
      <c r="H1076" s="9"/>
      <c r="I1076" s="9"/>
      <c r="J1076" s="9"/>
      <c r="K1076" s="9"/>
      <c r="L1076" s="9"/>
      <c r="M1076" s="9"/>
      <c r="N1076" s="9"/>
      <c r="O1076" s="9"/>
      <c r="P1076" s="9"/>
      <c r="Q1076" s="9"/>
    </row>
    <row r="1077" spans="4:17" s="294" customFormat="1" ht="15" customHeight="1">
      <c r="D1077" s="10"/>
      <c r="E1077" s="10"/>
      <c r="F1077" s="9"/>
      <c r="G1077" s="9"/>
      <c r="H1077" s="9"/>
      <c r="I1077" s="9"/>
      <c r="J1077" s="9"/>
      <c r="K1077" s="9"/>
      <c r="L1077" s="9"/>
      <c r="M1077" s="9"/>
      <c r="N1077" s="9"/>
      <c r="O1077" s="9"/>
      <c r="P1077" s="9"/>
      <c r="Q1077" s="9"/>
    </row>
    <row r="1078" spans="4:17" s="294" customFormat="1" ht="15" customHeight="1">
      <c r="D1078" s="10"/>
      <c r="E1078" s="10"/>
      <c r="F1078" s="9"/>
      <c r="G1078" s="9"/>
      <c r="H1078" s="9"/>
      <c r="I1078" s="9"/>
      <c r="J1078" s="9"/>
      <c r="K1078" s="9"/>
      <c r="L1078" s="9"/>
      <c r="M1078" s="9"/>
      <c r="N1078" s="9"/>
      <c r="O1078" s="9"/>
      <c r="P1078" s="9"/>
      <c r="Q1078" s="9"/>
    </row>
    <row r="1079" spans="4:17" s="294" customFormat="1" ht="15" customHeight="1">
      <c r="D1079" s="10"/>
      <c r="E1079" s="10"/>
      <c r="F1079" s="9"/>
      <c r="G1079" s="9"/>
      <c r="H1079" s="9"/>
      <c r="I1079" s="9"/>
      <c r="J1079" s="9"/>
      <c r="K1079" s="9"/>
      <c r="L1079" s="9"/>
      <c r="M1079" s="9"/>
      <c r="N1079" s="9"/>
      <c r="O1079" s="9"/>
      <c r="P1079" s="9"/>
      <c r="Q1079" s="9"/>
    </row>
    <row r="1080" spans="4:17" s="294" customFormat="1" ht="15" customHeight="1">
      <c r="D1080" s="10"/>
      <c r="E1080" s="10"/>
      <c r="F1080" s="9"/>
      <c r="G1080" s="9"/>
      <c r="H1080" s="9"/>
      <c r="I1080" s="9"/>
      <c r="J1080" s="9"/>
      <c r="K1080" s="9"/>
      <c r="L1080" s="9"/>
      <c r="M1080" s="9"/>
      <c r="N1080" s="9"/>
      <c r="O1080" s="9"/>
      <c r="P1080" s="9"/>
      <c r="Q1080" s="9"/>
    </row>
    <row r="1081" spans="4:17" s="294" customFormat="1" ht="15" customHeight="1">
      <c r="D1081" s="10"/>
      <c r="E1081" s="10"/>
      <c r="F1081" s="9"/>
      <c r="G1081" s="9"/>
      <c r="H1081" s="9"/>
      <c r="I1081" s="9"/>
      <c r="J1081" s="9"/>
      <c r="K1081" s="9"/>
      <c r="L1081" s="9"/>
      <c r="M1081" s="9"/>
      <c r="N1081" s="9"/>
      <c r="O1081" s="9"/>
      <c r="P1081" s="9"/>
      <c r="Q1081" s="9"/>
    </row>
    <row r="1082" spans="4:17" s="294" customFormat="1" ht="15" customHeight="1">
      <c r="D1082" s="10"/>
      <c r="E1082" s="10"/>
      <c r="F1082" s="9"/>
      <c r="G1082" s="9"/>
      <c r="H1082" s="9"/>
      <c r="I1082" s="9"/>
      <c r="J1082" s="9"/>
      <c r="K1082" s="9"/>
      <c r="L1082" s="9"/>
      <c r="M1082" s="9"/>
      <c r="N1082" s="9"/>
      <c r="O1082" s="9"/>
      <c r="P1082" s="9"/>
      <c r="Q1082" s="9"/>
    </row>
    <row r="1083" spans="4:17" s="294" customFormat="1" ht="15" customHeight="1">
      <c r="D1083" s="10"/>
      <c r="E1083" s="10"/>
      <c r="F1083" s="9"/>
      <c r="G1083" s="9"/>
      <c r="H1083" s="9"/>
      <c r="I1083" s="9"/>
      <c r="J1083" s="9"/>
      <c r="K1083" s="9"/>
      <c r="L1083" s="9"/>
      <c r="M1083" s="9"/>
      <c r="N1083" s="9"/>
      <c r="O1083" s="9"/>
      <c r="P1083" s="9"/>
      <c r="Q1083" s="9"/>
    </row>
    <row r="1084" spans="4:17" s="294" customFormat="1" ht="15" customHeight="1">
      <c r="D1084" s="10"/>
      <c r="E1084" s="10"/>
      <c r="F1084" s="9"/>
      <c r="G1084" s="9"/>
      <c r="H1084" s="9"/>
      <c r="I1084" s="9"/>
      <c r="J1084" s="9"/>
      <c r="K1084" s="9"/>
      <c r="L1084" s="9"/>
      <c r="M1084" s="9"/>
      <c r="N1084" s="9"/>
      <c r="O1084" s="9"/>
      <c r="P1084" s="9"/>
      <c r="Q1084" s="9"/>
    </row>
    <row r="1085" spans="4:17" s="294" customFormat="1" ht="15" customHeight="1">
      <c r="D1085" s="10"/>
      <c r="E1085" s="10"/>
      <c r="F1085" s="9"/>
      <c r="G1085" s="9"/>
      <c r="H1085" s="9"/>
      <c r="I1085" s="9"/>
      <c r="J1085" s="9"/>
      <c r="K1085" s="9"/>
      <c r="L1085" s="9"/>
      <c r="M1085" s="9"/>
      <c r="N1085" s="9"/>
      <c r="O1085" s="9"/>
      <c r="P1085" s="9"/>
      <c r="Q1085" s="9"/>
    </row>
    <row r="1086" spans="4:17" s="294" customFormat="1" ht="15" customHeight="1">
      <c r="D1086" s="10"/>
      <c r="E1086" s="10"/>
      <c r="F1086" s="9"/>
      <c r="G1086" s="9"/>
      <c r="H1086" s="9"/>
      <c r="I1086" s="9"/>
      <c r="J1086" s="9"/>
      <c r="K1086" s="9"/>
      <c r="L1086" s="9"/>
      <c r="M1086" s="9"/>
      <c r="N1086" s="9"/>
      <c r="O1086" s="9"/>
      <c r="P1086" s="9"/>
      <c r="Q1086" s="9"/>
    </row>
    <row r="1087" spans="4:17" s="294" customFormat="1" ht="15" customHeight="1">
      <c r="D1087" s="10"/>
      <c r="E1087" s="10"/>
      <c r="F1087" s="9"/>
      <c r="G1087" s="9"/>
      <c r="H1087" s="9"/>
      <c r="I1087" s="9"/>
      <c r="J1087" s="9"/>
      <c r="K1087" s="9"/>
      <c r="L1087" s="9"/>
      <c r="M1087" s="9"/>
      <c r="N1087" s="9"/>
      <c r="O1087" s="9"/>
      <c r="P1087" s="9"/>
      <c r="Q1087" s="9"/>
    </row>
    <row r="1088" spans="4:17" s="294" customFormat="1" ht="15" customHeight="1">
      <c r="D1088" s="10"/>
      <c r="E1088" s="10"/>
      <c r="F1088" s="9"/>
      <c r="G1088" s="9"/>
      <c r="H1088" s="9"/>
      <c r="I1088" s="9"/>
      <c r="J1088" s="9"/>
      <c r="K1088" s="9"/>
      <c r="L1088" s="9"/>
      <c r="M1088" s="9"/>
      <c r="N1088" s="9"/>
      <c r="O1088" s="9"/>
      <c r="P1088" s="9"/>
      <c r="Q1088" s="9"/>
    </row>
    <row r="1089" spans="4:17" s="294" customFormat="1" ht="15" customHeight="1">
      <c r="D1089" s="10"/>
      <c r="E1089" s="10"/>
      <c r="F1089" s="9"/>
      <c r="G1089" s="9"/>
      <c r="H1089" s="9"/>
      <c r="I1089" s="9"/>
      <c r="J1089" s="9"/>
      <c r="K1089" s="9"/>
      <c r="L1089" s="9"/>
      <c r="M1089" s="9"/>
      <c r="N1089" s="9"/>
      <c r="O1089" s="9"/>
      <c r="P1089" s="9"/>
      <c r="Q1089" s="9"/>
    </row>
    <row r="1090" spans="4:17" s="294" customFormat="1" ht="15" customHeight="1">
      <c r="D1090" s="10"/>
      <c r="E1090" s="10"/>
      <c r="F1090" s="9"/>
      <c r="G1090" s="9"/>
      <c r="H1090" s="9"/>
      <c r="I1090" s="9"/>
      <c r="J1090" s="9"/>
      <c r="K1090" s="9"/>
      <c r="L1090" s="9"/>
      <c r="M1090" s="9"/>
      <c r="N1090" s="9"/>
      <c r="O1090" s="9"/>
      <c r="P1090" s="9"/>
      <c r="Q1090" s="9"/>
    </row>
    <row r="1091" spans="4:17" s="294" customFormat="1" ht="15" customHeight="1">
      <c r="D1091" s="10"/>
      <c r="E1091" s="10"/>
      <c r="F1091" s="9"/>
      <c r="G1091" s="9"/>
      <c r="H1091" s="9"/>
      <c r="I1091" s="9"/>
      <c r="J1091" s="9"/>
      <c r="K1091" s="9"/>
      <c r="L1091" s="9"/>
      <c r="M1091" s="9"/>
      <c r="N1091" s="9"/>
      <c r="O1091" s="9"/>
      <c r="P1091" s="9"/>
      <c r="Q1091" s="9"/>
    </row>
    <row r="1092" spans="4:17" s="294" customFormat="1" ht="15" customHeight="1">
      <c r="D1092" s="10"/>
      <c r="E1092" s="10"/>
      <c r="F1092" s="9"/>
      <c r="G1092" s="9"/>
      <c r="H1092" s="9"/>
      <c r="I1092" s="9"/>
      <c r="J1092" s="9"/>
      <c r="K1092" s="9"/>
      <c r="L1092" s="9"/>
      <c r="M1092" s="9"/>
      <c r="N1092" s="9"/>
      <c r="O1092" s="9"/>
      <c r="P1092" s="9"/>
      <c r="Q1092" s="9"/>
    </row>
    <row r="1093" spans="4:17" s="294" customFormat="1" ht="15" customHeight="1">
      <c r="D1093" s="10"/>
      <c r="E1093" s="10"/>
      <c r="F1093" s="9"/>
      <c r="G1093" s="9"/>
      <c r="H1093" s="9"/>
      <c r="I1093" s="9"/>
      <c r="J1093" s="9"/>
      <c r="K1093" s="9"/>
      <c r="L1093" s="9"/>
      <c r="M1093" s="9"/>
      <c r="N1093" s="9"/>
      <c r="O1093" s="9"/>
      <c r="P1093" s="9"/>
      <c r="Q1093" s="9"/>
    </row>
    <row r="1094" spans="4:17" s="294" customFormat="1" ht="15" customHeight="1">
      <c r="D1094" s="10"/>
      <c r="E1094" s="10"/>
      <c r="F1094" s="9"/>
      <c r="G1094" s="9"/>
      <c r="H1094" s="9"/>
      <c r="I1094" s="9"/>
      <c r="J1094" s="9"/>
      <c r="K1094" s="9"/>
      <c r="L1094" s="9"/>
      <c r="M1094" s="9"/>
      <c r="N1094" s="9"/>
      <c r="O1094" s="9"/>
      <c r="P1094" s="9"/>
      <c r="Q1094" s="9"/>
    </row>
    <row r="1095" spans="4:17" s="294" customFormat="1" ht="15" customHeight="1">
      <c r="D1095" s="10"/>
      <c r="E1095" s="10"/>
      <c r="F1095" s="9"/>
      <c r="G1095" s="9"/>
      <c r="H1095" s="9"/>
      <c r="I1095" s="9"/>
      <c r="J1095" s="9"/>
      <c r="K1095" s="9"/>
      <c r="L1095" s="9"/>
      <c r="M1095" s="9"/>
      <c r="N1095" s="9"/>
      <c r="O1095" s="9"/>
      <c r="P1095" s="9"/>
      <c r="Q1095" s="9"/>
    </row>
    <row r="1096" spans="4:17" s="294" customFormat="1" ht="15" customHeight="1">
      <c r="D1096" s="10"/>
      <c r="E1096" s="10"/>
      <c r="F1096" s="9"/>
      <c r="G1096" s="9"/>
      <c r="H1096" s="9"/>
      <c r="I1096" s="9"/>
      <c r="J1096" s="9"/>
      <c r="K1096" s="9"/>
      <c r="L1096" s="9"/>
      <c r="M1096" s="9"/>
      <c r="N1096" s="9"/>
      <c r="O1096" s="9"/>
      <c r="P1096" s="9"/>
      <c r="Q1096" s="9"/>
    </row>
    <row r="1097" spans="4:17" s="294" customFormat="1" ht="15" customHeight="1">
      <c r="D1097" s="10"/>
      <c r="E1097" s="10"/>
      <c r="F1097" s="9"/>
      <c r="G1097" s="9"/>
      <c r="H1097" s="9"/>
      <c r="I1097" s="9"/>
      <c r="J1097" s="9"/>
      <c r="K1097" s="9"/>
      <c r="L1097" s="9"/>
      <c r="M1097" s="9"/>
      <c r="N1097" s="9"/>
      <c r="O1097" s="9"/>
      <c r="P1097" s="9"/>
      <c r="Q1097" s="9"/>
    </row>
    <row r="1098" spans="4:17" s="294" customFormat="1" ht="15" customHeight="1">
      <c r="D1098" s="10"/>
      <c r="E1098" s="10"/>
      <c r="F1098" s="9"/>
      <c r="G1098" s="9"/>
      <c r="H1098" s="9"/>
      <c r="I1098" s="9"/>
      <c r="J1098" s="9"/>
      <c r="K1098" s="9"/>
      <c r="L1098" s="9"/>
      <c r="M1098" s="9"/>
      <c r="N1098" s="9"/>
      <c r="O1098" s="9"/>
      <c r="P1098" s="9"/>
      <c r="Q1098" s="9"/>
    </row>
    <row r="1099" spans="4:17" s="294" customFormat="1" ht="15" customHeight="1">
      <c r="D1099" s="10"/>
      <c r="E1099" s="10"/>
      <c r="F1099" s="9"/>
      <c r="G1099" s="9"/>
      <c r="H1099" s="9"/>
      <c r="I1099" s="9"/>
      <c r="J1099" s="9"/>
      <c r="K1099" s="9"/>
      <c r="L1099" s="9"/>
      <c r="M1099" s="9"/>
      <c r="N1099" s="9"/>
      <c r="O1099" s="9"/>
      <c r="P1099" s="9"/>
      <c r="Q1099" s="9"/>
    </row>
    <row r="1100" spans="4:17" s="294" customFormat="1" ht="15" customHeight="1">
      <c r="D1100" s="10"/>
      <c r="E1100" s="10"/>
      <c r="F1100" s="9"/>
      <c r="G1100" s="9"/>
      <c r="H1100" s="9"/>
      <c r="I1100" s="9"/>
      <c r="J1100" s="9"/>
      <c r="K1100" s="9"/>
      <c r="L1100" s="9"/>
      <c r="M1100" s="9"/>
      <c r="N1100" s="9"/>
      <c r="O1100" s="9"/>
      <c r="P1100" s="9"/>
      <c r="Q1100" s="9"/>
    </row>
    <row r="1101" spans="4:17" s="294" customFormat="1" ht="15" customHeight="1">
      <c r="D1101" s="10"/>
      <c r="E1101" s="10"/>
      <c r="F1101" s="9"/>
      <c r="G1101" s="9"/>
      <c r="H1101" s="9"/>
      <c r="I1101" s="9"/>
      <c r="J1101" s="9"/>
      <c r="K1101" s="9"/>
      <c r="L1101" s="9"/>
      <c r="M1101" s="9"/>
      <c r="N1101" s="9"/>
      <c r="O1101" s="9"/>
      <c r="P1101" s="9"/>
      <c r="Q1101" s="9"/>
    </row>
    <row r="1102" spans="4:17" s="294" customFormat="1" ht="15" customHeight="1">
      <c r="D1102" s="10"/>
      <c r="E1102" s="10"/>
      <c r="F1102" s="9"/>
      <c r="G1102" s="9"/>
      <c r="H1102" s="9"/>
      <c r="I1102" s="9"/>
      <c r="J1102" s="9"/>
      <c r="K1102" s="9"/>
      <c r="L1102" s="9"/>
      <c r="M1102" s="9"/>
      <c r="N1102" s="9"/>
      <c r="O1102" s="9"/>
      <c r="P1102" s="9"/>
      <c r="Q1102" s="9"/>
    </row>
    <row r="1103" spans="4:17" s="294" customFormat="1" ht="15" customHeight="1">
      <c r="D1103" s="10"/>
      <c r="E1103" s="10"/>
      <c r="F1103" s="9"/>
      <c r="G1103" s="9"/>
      <c r="H1103" s="9"/>
      <c r="I1103" s="9"/>
      <c r="J1103" s="9"/>
      <c r="K1103" s="9"/>
      <c r="L1103" s="9"/>
      <c r="M1103" s="9"/>
      <c r="N1103" s="9"/>
      <c r="O1103" s="9"/>
      <c r="P1103" s="9"/>
      <c r="Q1103" s="9"/>
    </row>
    <row r="1104" spans="4:17" s="294" customFormat="1" ht="15" customHeight="1">
      <c r="D1104" s="10"/>
      <c r="E1104" s="10"/>
      <c r="F1104" s="9"/>
      <c r="G1104" s="9"/>
      <c r="H1104" s="9"/>
      <c r="I1104" s="9"/>
      <c r="J1104" s="9"/>
      <c r="K1104" s="9"/>
      <c r="L1104" s="9"/>
      <c r="M1104" s="9"/>
      <c r="N1104" s="9"/>
      <c r="O1104" s="9"/>
      <c r="P1104" s="9"/>
      <c r="Q1104" s="9"/>
    </row>
    <row r="1105" spans="4:17" s="294" customFormat="1" ht="15" customHeight="1">
      <c r="D1105" s="10"/>
      <c r="E1105" s="10"/>
      <c r="F1105" s="9"/>
      <c r="G1105" s="9"/>
      <c r="H1105" s="9"/>
      <c r="I1105" s="9"/>
      <c r="J1105" s="9"/>
      <c r="K1105" s="9"/>
      <c r="L1105" s="9"/>
      <c r="M1105" s="9"/>
      <c r="N1105" s="9"/>
      <c r="O1105" s="9"/>
      <c r="P1105" s="9"/>
      <c r="Q1105" s="9"/>
    </row>
    <row r="1106" spans="4:17" s="294" customFormat="1" ht="15" customHeight="1">
      <c r="D1106" s="10"/>
      <c r="E1106" s="10"/>
      <c r="F1106" s="9"/>
      <c r="G1106" s="9"/>
      <c r="H1106" s="9"/>
      <c r="I1106" s="9"/>
      <c r="J1106" s="9"/>
      <c r="K1106" s="9"/>
      <c r="L1106" s="9"/>
      <c r="M1106" s="9"/>
      <c r="N1106" s="9"/>
      <c r="O1106" s="9"/>
      <c r="P1106" s="9"/>
      <c r="Q1106" s="9"/>
    </row>
    <row r="1107" spans="4:17" s="294" customFormat="1" ht="15" customHeight="1">
      <c r="D1107" s="10"/>
      <c r="E1107" s="10"/>
      <c r="F1107" s="9"/>
      <c r="G1107" s="9"/>
      <c r="H1107" s="9"/>
      <c r="I1107" s="9"/>
      <c r="J1107" s="9"/>
      <c r="K1107" s="9"/>
      <c r="L1107" s="9"/>
      <c r="M1107" s="9"/>
      <c r="N1107" s="9"/>
      <c r="O1107" s="9"/>
      <c r="P1107" s="9"/>
      <c r="Q1107" s="9"/>
    </row>
    <row r="1108" spans="4:17" s="294" customFormat="1" ht="15" customHeight="1">
      <c r="D1108" s="10"/>
      <c r="E1108" s="10"/>
      <c r="F1108" s="9"/>
      <c r="G1108" s="9"/>
      <c r="H1108" s="9"/>
      <c r="I1108" s="9"/>
      <c r="J1108" s="9"/>
      <c r="K1108" s="9"/>
      <c r="L1108" s="9"/>
      <c r="M1108" s="9"/>
      <c r="N1108" s="9"/>
      <c r="O1108" s="9"/>
      <c r="P1108" s="9"/>
      <c r="Q1108" s="9"/>
    </row>
    <row r="1109" spans="4:17" s="294" customFormat="1" ht="15" customHeight="1">
      <c r="D1109" s="10"/>
      <c r="E1109" s="10"/>
      <c r="F1109" s="9"/>
      <c r="G1109" s="9"/>
      <c r="H1109" s="9"/>
      <c r="I1109" s="9"/>
      <c r="J1109" s="9"/>
      <c r="K1109" s="9"/>
      <c r="L1109" s="9"/>
      <c r="M1109" s="9"/>
      <c r="N1109" s="9"/>
      <c r="O1109" s="9"/>
      <c r="P1109" s="9"/>
      <c r="Q1109" s="9"/>
    </row>
    <row r="1110" spans="4:17" s="294" customFormat="1" ht="15" customHeight="1">
      <c r="D1110" s="10"/>
      <c r="E1110" s="10"/>
      <c r="F1110" s="9"/>
      <c r="G1110" s="9"/>
      <c r="H1110" s="9"/>
      <c r="I1110" s="9"/>
      <c r="J1110" s="9"/>
      <c r="K1110" s="9"/>
      <c r="L1110" s="9"/>
      <c r="M1110" s="9"/>
      <c r="N1110" s="9"/>
      <c r="O1110" s="9"/>
      <c r="P1110" s="9"/>
      <c r="Q1110" s="9"/>
    </row>
    <row r="1111" spans="4:17" s="294" customFormat="1" ht="15" customHeight="1">
      <c r="D1111" s="10"/>
      <c r="E1111" s="10"/>
      <c r="F1111" s="9"/>
      <c r="G1111" s="9"/>
      <c r="H1111" s="9"/>
      <c r="I1111" s="9"/>
      <c r="J1111" s="9"/>
      <c r="K1111" s="9"/>
      <c r="L1111" s="9"/>
      <c r="M1111" s="9"/>
      <c r="N1111" s="9"/>
      <c r="O1111" s="9"/>
      <c r="P1111" s="9"/>
      <c r="Q1111" s="9"/>
    </row>
    <row r="1112" spans="4:17" s="294" customFormat="1" ht="15" customHeight="1">
      <c r="D1112" s="10"/>
      <c r="E1112" s="10"/>
      <c r="F1112" s="9"/>
      <c r="G1112" s="9"/>
      <c r="H1112" s="9"/>
      <c r="I1112" s="9"/>
      <c r="J1112" s="9"/>
      <c r="K1112" s="9"/>
      <c r="L1112" s="9"/>
      <c r="M1112" s="9"/>
      <c r="N1112" s="9"/>
      <c r="O1112" s="9"/>
      <c r="P1112" s="9"/>
      <c r="Q1112" s="9"/>
    </row>
    <row r="1113" spans="4:17" s="294" customFormat="1" ht="15" customHeight="1">
      <c r="D1113" s="10"/>
      <c r="E1113" s="10"/>
      <c r="F1113" s="9"/>
      <c r="G1113" s="9"/>
      <c r="H1113" s="9"/>
      <c r="I1113" s="9"/>
      <c r="J1113" s="9"/>
      <c r="K1113" s="9"/>
      <c r="L1113" s="9"/>
      <c r="M1113" s="9"/>
      <c r="N1113" s="9"/>
      <c r="O1113" s="9"/>
      <c r="P1113" s="9"/>
      <c r="Q1113" s="9"/>
    </row>
    <row r="1114" spans="4:17" s="294" customFormat="1" ht="15" customHeight="1">
      <c r="D1114" s="10"/>
      <c r="E1114" s="10"/>
      <c r="F1114" s="9"/>
      <c r="G1114" s="9"/>
      <c r="H1114" s="9"/>
      <c r="I1114" s="9"/>
      <c r="J1114" s="9"/>
      <c r="K1114" s="9"/>
      <c r="L1114" s="9"/>
      <c r="M1114" s="9"/>
      <c r="N1114" s="9"/>
      <c r="O1114" s="9"/>
      <c r="P1114" s="9"/>
      <c r="Q1114" s="9"/>
    </row>
    <row r="1115" spans="4:17" s="294" customFormat="1" ht="15" customHeight="1">
      <c r="D1115" s="10"/>
      <c r="E1115" s="10"/>
      <c r="F1115" s="9"/>
      <c r="G1115" s="9"/>
      <c r="H1115" s="9"/>
      <c r="I1115" s="9"/>
      <c r="J1115" s="9"/>
      <c r="K1115" s="9"/>
      <c r="L1115" s="9"/>
      <c r="M1115" s="9"/>
      <c r="N1115" s="9"/>
      <c r="O1115" s="9"/>
      <c r="P1115" s="9"/>
      <c r="Q1115" s="9"/>
    </row>
    <row r="1116" spans="4:17" s="294" customFormat="1" ht="15" customHeight="1">
      <c r="D1116" s="10"/>
      <c r="E1116" s="10"/>
      <c r="F1116" s="9"/>
      <c r="G1116" s="9"/>
      <c r="H1116" s="9"/>
      <c r="I1116" s="9"/>
      <c r="J1116" s="9"/>
      <c r="K1116" s="9"/>
      <c r="L1116" s="9"/>
      <c r="M1116" s="9"/>
      <c r="N1116" s="9"/>
      <c r="O1116" s="9"/>
      <c r="P1116" s="9"/>
      <c r="Q1116" s="9"/>
    </row>
    <row r="1117" spans="4:17" s="294" customFormat="1" ht="15" customHeight="1">
      <c r="D1117" s="10"/>
      <c r="E1117" s="10"/>
      <c r="F1117" s="9"/>
      <c r="G1117" s="9"/>
      <c r="H1117" s="9"/>
      <c r="I1117" s="9"/>
      <c r="J1117" s="9"/>
      <c r="K1117" s="9"/>
      <c r="L1117" s="9"/>
      <c r="M1117" s="9"/>
      <c r="N1117" s="9"/>
      <c r="O1117" s="9"/>
      <c r="P1117" s="9"/>
      <c r="Q1117" s="9"/>
    </row>
    <row r="1118" spans="4:17" s="294" customFormat="1" ht="15" customHeight="1">
      <c r="D1118" s="10"/>
      <c r="E1118" s="10"/>
      <c r="F1118" s="9"/>
      <c r="G1118" s="9"/>
      <c r="H1118" s="9"/>
      <c r="I1118" s="9"/>
      <c r="J1118" s="9"/>
      <c r="K1118" s="9"/>
      <c r="L1118" s="9"/>
      <c r="M1118" s="9"/>
      <c r="N1118" s="9"/>
      <c r="O1118" s="9"/>
      <c r="P1118" s="9"/>
      <c r="Q1118" s="9"/>
    </row>
    <row r="1119" spans="4:17" s="294" customFormat="1" ht="15" customHeight="1">
      <c r="D1119" s="10"/>
      <c r="E1119" s="10"/>
      <c r="F1119" s="9"/>
      <c r="G1119" s="9"/>
      <c r="H1119" s="9"/>
      <c r="I1119" s="9"/>
      <c r="J1119" s="9"/>
      <c r="K1119" s="9"/>
      <c r="L1119" s="9"/>
      <c r="M1119" s="9"/>
      <c r="N1119" s="9"/>
      <c r="O1119" s="9"/>
      <c r="P1119" s="9"/>
      <c r="Q1119" s="9"/>
    </row>
    <row r="1120" spans="4:17" s="294" customFormat="1" ht="15" customHeight="1">
      <c r="D1120" s="10"/>
      <c r="E1120" s="10"/>
      <c r="F1120" s="9"/>
      <c r="G1120" s="9"/>
      <c r="H1120" s="9"/>
      <c r="I1120" s="9"/>
      <c r="J1120" s="9"/>
      <c r="K1120" s="9"/>
      <c r="L1120" s="9"/>
      <c r="M1120" s="9"/>
      <c r="N1120" s="9"/>
      <c r="O1120" s="9"/>
      <c r="P1120" s="9"/>
      <c r="Q1120" s="9"/>
    </row>
    <row r="1121" spans="4:17" s="294" customFormat="1" ht="15" customHeight="1">
      <c r="D1121" s="10"/>
      <c r="E1121" s="10"/>
      <c r="F1121" s="9"/>
      <c r="G1121" s="9"/>
      <c r="H1121" s="9"/>
      <c r="I1121" s="9"/>
      <c r="J1121" s="9"/>
      <c r="K1121" s="9"/>
      <c r="L1121" s="9"/>
      <c r="M1121" s="9"/>
      <c r="N1121" s="9"/>
      <c r="O1121" s="9"/>
      <c r="P1121" s="9"/>
      <c r="Q1121" s="9"/>
    </row>
    <row r="1122" spans="4:17" s="294" customFormat="1" ht="15" customHeight="1">
      <c r="D1122" s="10"/>
      <c r="E1122" s="10"/>
      <c r="F1122" s="9"/>
      <c r="G1122" s="9"/>
      <c r="H1122" s="9"/>
      <c r="I1122" s="9"/>
      <c r="J1122" s="9"/>
      <c r="K1122" s="9"/>
      <c r="L1122" s="9"/>
      <c r="M1122" s="9"/>
      <c r="N1122" s="9"/>
      <c r="O1122" s="9"/>
      <c r="P1122" s="9"/>
      <c r="Q1122" s="9"/>
    </row>
    <row r="1123" spans="4:17" s="294" customFormat="1" ht="15" customHeight="1">
      <c r="D1123" s="10"/>
      <c r="E1123" s="10"/>
      <c r="F1123" s="9"/>
      <c r="G1123" s="9"/>
      <c r="H1123" s="9"/>
      <c r="I1123" s="9"/>
      <c r="J1123" s="9"/>
      <c r="K1123" s="9"/>
      <c r="L1123" s="9"/>
      <c r="M1123" s="9"/>
      <c r="N1123" s="9"/>
      <c r="O1123" s="9"/>
      <c r="P1123" s="9"/>
      <c r="Q1123" s="9"/>
    </row>
    <row r="1124" spans="4:17" s="294" customFormat="1" ht="15" customHeight="1">
      <c r="D1124" s="10"/>
      <c r="E1124" s="10"/>
      <c r="F1124" s="9"/>
      <c r="G1124" s="9"/>
      <c r="H1124" s="9"/>
      <c r="I1124" s="9"/>
      <c r="J1124" s="9"/>
      <c r="K1124" s="9"/>
      <c r="L1124" s="9"/>
      <c r="M1124" s="9"/>
      <c r="N1124" s="9"/>
      <c r="O1124" s="9"/>
      <c r="P1124" s="9"/>
      <c r="Q1124" s="9"/>
    </row>
    <row r="1125" spans="4:17" s="294" customFormat="1" ht="15" customHeight="1">
      <c r="D1125" s="10"/>
      <c r="E1125" s="10"/>
      <c r="F1125" s="9"/>
      <c r="G1125" s="9"/>
      <c r="H1125" s="9"/>
      <c r="I1125" s="9"/>
      <c r="J1125" s="9"/>
      <c r="K1125" s="9"/>
      <c r="L1125" s="9"/>
      <c r="M1125" s="9"/>
      <c r="N1125" s="9"/>
      <c r="O1125" s="9"/>
      <c r="P1125" s="9"/>
      <c r="Q1125" s="9"/>
    </row>
    <row r="1126" spans="4:17" s="294" customFormat="1" ht="15" customHeight="1">
      <c r="D1126" s="10"/>
      <c r="E1126" s="10"/>
      <c r="F1126" s="9"/>
      <c r="G1126" s="9"/>
      <c r="H1126" s="9"/>
      <c r="I1126" s="9"/>
      <c r="J1126" s="9"/>
      <c r="K1126" s="9"/>
      <c r="L1126" s="9"/>
      <c r="M1126" s="9"/>
      <c r="N1126" s="9"/>
      <c r="O1126" s="9"/>
      <c r="P1126" s="9"/>
      <c r="Q1126" s="9"/>
    </row>
    <row r="1127" spans="4:17" s="294" customFormat="1" ht="15" customHeight="1">
      <c r="D1127" s="10"/>
      <c r="E1127" s="10"/>
      <c r="F1127" s="9"/>
      <c r="G1127" s="9"/>
      <c r="H1127" s="9"/>
      <c r="I1127" s="9"/>
      <c r="J1127" s="9"/>
      <c r="K1127" s="9"/>
      <c r="L1127" s="9"/>
      <c r="M1127" s="9"/>
      <c r="N1127" s="9"/>
      <c r="O1127" s="9"/>
      <c r="P1127" s="9"/>
      <c r="Q1127" s="9"/>
    </row>
    <row r="1128" spans="4:17" s="294" customFormat="1" ht="15" customHeight="1">
      <c r="D1128" s="10"/>
      <c r="E1128" s="10"/>
      <c r="F1128" s="9"/>
      <c r="G1128" s="9"/>
      <c r="H1128" s="9"/>
      <c r="I1128" s="9"/>
      <c r="J1128" s="9"/>
      <c r="K1128" s="9"/>
      <c r="L1128" s="9"/>
      <c r="M1128" s="9"/>
      <c r="N1128" s="9"/>
      <c r="O1128" s="9"/>
      <c r="P1128" s="9"/>
      <c r="Q1128" s="9"/>
    </row>
    <row r="1129" spans="4:17" s="294" customFormat="1" ht="15" customHeight="1">
      <c r="D1129" s="10"/>
      <c r="E1129" s="10"/>
      <c r="F1129" s="9"/>
      <c r="G1129" s="9"/>
      <c r="H1129" s="9"/>
      <c r="I1129" s="9"/>
      <c r="J1129" s="9"/>
      <c r="K1129" s="9"/>
      <c r="L1129" s="9"/>
      <c r="M1129" s="9"/>
      <c r="N1129" s="9"/>
      <c r="O1129" s="9"/>
      <c r="P1129" s="9"/>
      <c r="Q1129" s="9"/>
    </row>
    <row r="1130" spans="4:17" s="294" customFormat="1" ht="15" customHeight="1">
      <c r="D1130" s="10"/>
      <c r="E1130" s="10"/>
      <c r="F1130" s="9"/>
      <c r="G1130" s="9"/>
      <c r="H1130" s="9"/>
      <c r="I1130" s="9"/>
      <c r="J1130" s="9"/>
      <c r="K1130" s="9"/>
      <c r="L1130" s="9"/>
      <c r="M1130" s="9"/>
      <c r="N1130" s="9"/>
      <c r="O1130" s="9"/>
      <c r="P1130" s="9"/>
      <c r="Q1130" s="9"/>
    </row>
    <row r="1131" spans="4:17" s="294" customFormat="1" ht="15" customHeight="1">
      <c r="D1131" s="10"/>
      <c r="E1131" s="10"/>
      <c r="F1131" s="9"/>
      <c r="G1131" s="9"/>
      <c r="H1131" s="9"/>
      <c r="I1131" s="9"/>
      <c r="J1131" s="9"/>
      <c r="K1131" s="9"/>
      <c r="L1131" s="9"/>
      <c r="M1131" s="9"/>
      <c r="N1131" s="9"/>
      <c r="O1131" s="9"/>
      <c r="P1131" s="9"/>
      <c r="Q1131" s="9"/>
    </row>
    <row r="1132" spans="4:17" s="294" customFormat="1" ht="15" customHeight="1">
      <c r="D1132" s="10"/>
      <c r="E1132" s="10"/>
      <c r="F1132" s="9"/>
      <c r="G1132" s="9"/>
      <c r="H1132" s="9"/>
      <c r="I1132" s="9"/>
      <c r="J1132" s="9"/>
      <c r="K1132" s="9"/>
      <c r="L1132" s="9"/>
      <c r="M1132" s="9"/>
      <c r="N1132" s="9"/>
      <c r="O1132" s="9"/>
      <c r="P1132" s="9"/>
      <c r="Q1132" s="9"/>
    </row>
    <row r="1133" spans="4:17" s="294" customFormat="1" ht="15" customHeight="1">
      <c r="D1133" s="10"/>
      <c r="E1133" s="10"/>
      <c r="F1133" s="9"/>
      <c r="G1133" s="9"/>
      <c r="H1133" s="9"/>
      <c r="I1133" s="9"/>
      <c r="J1133" s="9"/>
      <c r="K1133" s="9"/>
      <c r="L1133" s="9"/>
      <c r="M1133" s="9"/>
      <c r="N1133" s="9"/>
      <c r="O1133" s="9"/>
      <c r="P1133" s="9"/>
      <c r="Q1133" s="9"/>
    </row>
    <row r="1134" spans="4:17" s="294" customFormat="1" ht="15" customHeight="1">
      <c r="D1134" s="10"/>
      <c r="E1134" s="10"/>
      <c r="F1134" s="9"/>
      <c r="G1134" s="9"/>
      <c r="H1134" s="9"/>
      <c r="I1134" s="9"/>
      <c r="J1134" s="9"/>
      <c r="K1134" s="9"/>
      <c r="L1134" s="9"/>
      <c r="M1134" s="9"/>
      <c r="N1134" s="9"/>
      <c r="O1134" s="9"/>
      <c r="P1134" s="9"/>
      <c r="Q1134" s="9"/>
    </row>
    <row r="1135" spans="4:17" s="294" customFormat="1" ht="15" customHeight="1">
      <c r="D1135" s="10"/>
      <c r="E1135" s="10"/>
      <c r="F1135" s="9"/>
      <c r="G1135" s="9"/>
      <c r="H1135" s="9"/>
      <c r="I1135" s="9"/>
      <c r="J1135" s="9"/>
      <c r="K1135" s="9"/>
      <c r="L1135" s="9"/>
      <c r="M1135" s="9"/>
      <c r="N1135" s="9"/>
      <c r="O1135" s="9"/>
      <c r="P1135" s="9"/>
      <c r="Q1135" s="9"/>
    </row>
    <row r="1136" spans="4:17" s="294" customFormat="1" ht="15" customHeight="1">
      <c r="D1136" s="10"/>
      <c r="E1136" s="10"/>
      <c r="F1136" s="9"/>
      <c r="G1136" s="9"/>
      <c r="H1136" s="9"/>
      <c r="I1136" s="9"/>
      <c r="J1136" s="9"/>
      <c r="K1136" s="9"/>
      <c r="L1136" s="9"/>
      <c r="M1136" s="9"/>
      <c r="N1136" s="9"/>
      <c r="O1136" s="9"/>
      <c r="P1136" s="9"/>
      <c r="Q1136" s="9"/>
    </row>
    <row r="1137" spans="4:17" s="294" customFormat="1" ht="15" customHeight="1">
      <c r="D1137" s="10"/>
      <c r="E1137" s="10"/>
      <c r="F1137" s="9"/>
      <c r="G1137" s="9"/>
      <c r="H1137" s="9"/>
      <c r="I1137" s="9"/>
      <c r="J1137" s="9"/>
      <c r="K1137" s="9"/>
      <c r="L1137" s="9"/>
      <c r="M1137" s="9"/>
      <c r="N1137" s="9"/>
      <c r="O1137" s="9"/>
      <c r="P1137" s="9"/>
      <c r="Q1137" s="9"/>
    </row>
    <row r="1138" spans="4:17" s="294" customFormat="1" ht="15" customHeight="1">
      <c r="D1138" s="10"/>
      <c r="E1138" s="10"/>
      <c r="F1138" s="9"/>
      <c r="G1138" s="9"/>
      <c r="H1138" s="9"/>
      <c r="I1138" s="9"/>
      <c r="J1138" s="9"/>
      <c r="K1138" s="9"/>
      <c r="L1138" s="9"/>
      <c r="M1138" s="9"/>
      <c r="N1138" s="9"/>
      <c r="O1138" s="9"/>
      <c r="P1138" s="9"/>
      <c r="Q1138" s="9"/>
    </row>
    <row r="1139" spans="4:17" s="294" customFormat="1" ht="15" customHeight="1">
      <c r="D1139" s="10"/>
      <c r="E1139" s="10"/>
      <c r="F1139" s="9"/>
      <c r="G1139" s="9"/>
      <c r="H1139" s="9"/>
      <c r="I1139" s="9"/>
      <c r="J1139" s="9"/>
      <c r="K1139" s="9"/>
      <c r="L1139" s="9"/>
      <c r="M1139" s="9"/>
      <c r="N1139" s="9"/>
      <c r="O1139" s="9"/>
      <c r="P1139" s="9"/>
      <c r="Q1139" s="9"/>
    </row>
    <row r="1140" spans="4:17" s="294" customFormat="1" ht="15" customHeight="1">
      <c r="D1140" s="10"/>
      <c r="E1140" s="10"/>
      <c r="F1140" s="9"/>
      <c r="G1140" s="9"/>
      <c r="H1140" s="9"/>
      <c r="I1140" s="9"/>
      <c r="J1140" s="9"/>
      <c r="K1140" s="9"/>
      <c r="L1140" s="9"/>
      <c r="M1140" s="9"/>
      <c r="N1140" s="9"/>
      <c r="O1140" s="9"/>
      <c r="P1140" s="9"/>
      <c r="Q1140" s="9"/>
    </row>
    <row r="1141" spans="4:17" s="294" customFormat="1" ht="15" customHeight="1">
      <c r="D1141" s="10"/>
      <c r="E1141" s="10"/>
      <c r="F1141" s="9"/>
      <c r="G1141" s="9"/>
      <c r="H1141" s="9"/>
      <c r="I1141" s="9"/>
      <c r="J1141" s="9"/>
      <c r="K1141" s="9"/>
      <c r="L1141" s="9"/>
      <c r="M1141" s="9"/>
      <c r="N1141" s="9"/>
      <c r="O1141" s="9"/>
      <c r="P1141" s="9"/>
      <c r="Q1141" s="9"/>
    </row>
    <row r="1142" spans="4:17" s="294" customFormat="1" ht="15" customHeight="1">
      <c r="D1142" s="10"/>
      <c r="E1142" s="10"/>
      <c r="F1142" s="9"/>
      <c r="G1142" s="9"/>
      <c r="H1142" s="9"/>
      <c r="I1142" s="9"/>
      <c r="J1142" s="9"/>
      <c r="K1142" s="9"/>
      <c r="L1142" s="9"/>
      <c r="M1142" s="9"/>
      <c r="N1142" s="9"/>
      <c r="O1142" s="9"/>
      <c r="P1142" s="9"/>
      <c r="Q1142" s="9"/>
    </row>
    <row r="1143" spans="4:17" s="294" customFormat="1" ht="15" customHeight="1">
      <c r="D1143" s="10"/>
      <c r="E1143" s="10"/>
      <c r="F1143" s="9"/>
      <c r="G1143" s="9"/>
      <c r="H1143" s="9"/>
      <c r="I1143" s="9"/>
      <c r="J1143" s="9"/>
      <c r="K1143" s="9"/>
      <c r="L1143" s="9"/>
      <c r="M1143" s="9"/>
      <c r="N1143" s="9"/>
      <c r="O1143" s="9"/>
      <c r="P1143" s="9"/>
      <c r="Q1143" s="9"/>
    </row>
    <row r="1144" spans="4:17" s="294" customFormat="1" ht="15" customHeight="1">
      <c r="D1144" s="10"/>
      <c r="E1144" s="10"/>
      <c r="F1144" s="9"/>
      <c r="G1144" s="9"/>
      <c r="H1144" s="9"/>
      <c r="I1144" s="9"/>
      <c r="J1144" s="9"/>
      <c r="K1144" s="9"/>
      <c r="L1144" s="9"/>
      <c r="M1144" s="9"/>
      <c r="N1144" s="9"/>
      <c r="O1144" s="9"/>
      <c r="P1144" s="9"/>
      <c r="Q1144" s="9"/>
    </row>
    <row r="1145" spans="4:17" s="294" customFormat="1" ht="15" customHeight="1">
      <c r="D1145" s="10"/>
      <c r="E1145" s="10"/>
      <c r="F1145" s="9"/>
      <c r="G1145" s="9"/>
      <c r="H1145" s="9"/>
      <c r="I1145" s="9"/>
      <c r="J1145" s="9"/>
      <c r="K1145" s="9"/>
      <c r="L1145" s="9"/>
      <c r="M1145" s="9"/>
      <c r="N1145" s="9"/>
      <c r="O1145" s="9"/>
      <c r="P1145" s="9"/>
      <c r="Q1145" s="9"/>
    </row>
    <row r="1146" spans="4:17" s="294" customFormat="1" ht="15" customHeight="1">
      <c r="D1146" s="10"/>
      <c r="E1146" s="10"/>
      <c r="F1146" s="9"/>
      <c r="G1146" s="9"/>
      <c r="H1146" s="9"/>
      <c r="I1146" s="9"/>
      <c r="J1146" s="9"/>
      <c r="K1146" s="9"/>
      <c r="L1146" s="9"/>
      <c r="M1146" s="9"/>
      <c r="N1146" s="9"/>
      <c r="O1146" s="9"/>
      <c r="P1146" s="9"/>
      <c r="Q1146" s="9"/>
    </row>
    <row r="1147" spans="4:17" s="294" customFormat="1" ht="15" customHeight="1">
      <c r="D1147" s="10"/>
      <c r="E1147" s="10"/>
      <c r="F1147" s="9"/>
      <c r="G1147" s="9"/>
      <c r="H1147" s="9"/>
      <c r="I1147" s="9"/>
      <c r="J1147" s="9"/>
      <c r="K1147" s="9"/>
      <c r="L1147" s="9"/>
      <c r="M1147" s="9"/>
      <c r="N1147" s="9"/>
      <c r="O1147" s="9"/>
      <c r="P1147" s="9"/>
      <c r="Q1147" s="9"/>
    </row>
    <row r="1148" spans="4:17" s="294" customFormat="1" ht="15" customHeight="1">
      <c r="D1148" s="10"/>
      <c r="E1148" s="10"/>
      <c r="F1148" s="9"/>
      <c r="G1148" s="9"/>
      <c r="H1148" s="9"/>
      <c r="I1148" s="9"/>
      <c r="J1148" s="9"/>
      <c r="K1148" s="9"/>
      <c r="L1148" s="9"/>
      <c r="M1148" s="9"/>
      <c r="N1148" s="9"/>
      <c r="O1148" s="9"/>
      <c r="P1148" s="9"/>
      <c r="Q1148" s="9"/>
    </row>
    <row r="1149" spans="4:17" s="294" customFormat="1" ht="15" customHeight="1">
      <c r="D1149" s="10"/>
      <c r="E1149" s="10"/>
      <c r="F1149" s="9"/>
      <c r="G1149" s="9"/>
      <c r="H1149" s="9"/>
      <c r="I1149" s="9"/>
      <c r="J1149" s="9"/>
      <c r="K1149" s="9"/>
      <c r="L1149" s="9"/>
      <c r="M1149" s="9"/>
      <c r="N1149" s="9"/>
      <c r="O1149" s="9"/>
      <c r="P1149" s="9"/>
      <c r="Q1149" s="9"/>
    </row>
    <row r="1150" spans="4:17" s="294" customFormat="1" ht="15" customHeight="1">
      <c r="D1150" s="10"/>
      <c r="E1150" s="10"/>
      <c r="F1150" s="9"/>
      <c r="G1150" s="9"/>
      <c r="H1150" s="9"/>
      <c r="I1150" s="9"/>
      <c r="J1150" s="9"/>
      <c r="K1150" s="9"/>
      <c r="L1150" s="9"/>
      <c r="M1150" s="9"/>
      <c r="N1150" s="9"/>
      <c r="O1150" s="9"/>
      <c r="P1150" s="9"/>
      <c r="Q1150" s="9"/>
    </row>
    <row r="1151" spans="4:17" s="294" customFormat="1" ht="15" customHeight="1">
      <c r="D1151" s="10"/>
      <c r="E1151" s="10"/>
      <c r="F1151" s="9"/>
      <c r="G1151" s="9"/>
      <c r="H1151" s="9"/>
      <c r="I1151" s="9"/>
      <c r="J1151" s="9"/>
      <c r="K1151" s="9"/>
      <c r="L1151" s="9"/>
      <c r="M1151" s="9"/>
      <c r="N1151" s="9"/>
      <c r="O1151" s="9"/>
      <c r="P1151" s="9"/>
      <c r="Q1151" s="9"/>
    </row>
    <row r="1152" spans="4:17" s="294" customFormat="1" ht="15" customHeight="1">
      <c r="D1152" s="10"/>
      <c r="E1152" s="10"/>
      <c r="F1152" s="9"/>
      <c r="G1152" s="9"/>
      <c r="H1152" s="9"/>
      <c r="I1152" s="9"/>
      <c r="J1152" s="9"/>
      <c r="K1152" s="9"/>
      <c r="L1152" s="9"/>
      <c r="M1152" s="9"/>
      <c r="N1152" s="9"/>
      <c r="O1152" s="9"/>
      <c r="P1152" s="9"/>
      <c r="Q1152" s="9"/>
    </row>
    <row r="1153" spans="4:17" s="294" customFormat="1" ht="15" customHeight="1">
      <c r="D1153" s="10"/>
      <c r="E1153" s="10"/>
      <c r="F1153" s="9"/>
      <c r="G1153" s="9"/>
      <c r="H1153" s="9"/>
      <c r="I1153" s="9"/>
      <c r="J1153" s="9"/>
      <c r="K1153" s="9"/>
      <c r="L1153" s="9"/>
      <c r="M1153" s="9"/>
      <c r="N1153" s="9"/>
      <c r="O1153" s="9"/>
      <c r="P1153" s="9"/>
      <c r="Q1153" s="9"/>
    </row>
    <row r="1154" spans="4:17" s="294" customFormat="1" ht="15" customHeight="1">
      <c r="D1154" s="10"/>
      <c r="E1154" s="10"/>
      <c r="F1154" s="9"/>
      <c r="G1154" s="9"/>
      <c r="H1154" s="9"/>
      <c r="I1154" s="9"/>
      <c r="J1154" s="9"/>
      <c r="K1154" s="9"/>
      <c r="L1154" s="9"/>
      <c r="M1154" s="9"/>
      <c r="N1154" s="9"/>
      <c r="O1154" s="9"/>
      <c r="P1154" s="9"/>
      <c r="Q1154" s="9"/>
    </row>
    <row r="1155" spans="4:17" s="294" customFormat="1" ht="15" customHeight="1">
      <c r="D1155" s="10"/>
      <c r="E1155" s="10"/>
      <c r="F1155" s="9"/>
      <c r="G1155" s="9"/>
      <c r="H1155" s="9"/>
      <c r="I1155" s="9"/>
      <c r="J1155" s="9"/>
      <c r="K1155" s="9"/>
      <c r="L1155" s="9"/>
      <c r="M1155" s="9"/>
      <c r="N1155" s="9"/>
      <c r="O1155" s="9"/>
      <c r="P1155" s="9"/>
      <c r="Q1155" s="9"/>
    </row>
    <row r="1156" spans="4:17" s="294" customFormat="1" ht="15" customHeight="1">
      <c r="D1156" s="10"/>
      <c r="E1156" s="10"/>
      <c r="F1156" s="9"/>
      <c r="G1156" s="9"/>
      <c r="H1156" s="9"/>
      <c r="I1156" s="9"/>
      <c r="J1156" s="9"/>
      <c r="K1156" s="9"/>
      <c r="L1156" s="9"/>
      <c r="M1156" s="9"/>
      <c r="N1156" s="9"/>
      <c r="O1156" s="9"/>
      <c r="P1156" s="9"/>
      <c r="Q1156" s="9"/>
    </row>
    <row r="1157" spans="4:17" s="294" customFormat="1" ht="15" customHeight="1">
      <c r="D1157" s="10"/>
      <c r="E1157" s="10"/>
      <c r="F1157" s="9"/>
      <c r="G1157" s="9"/>
      <c r="H1157" s="9"/>
      <c r="I1157" s="9"/>
      <c r="J1157" s="9"/>
      <c r="K1157" s="9"/>
      <c r="L1157" s="9"/>
      <c r="M1157" s="9"/>
      <c r="N1157" s="9"/>
      <c r="O1157" s="9"/>
      <c r="P1157" s="9"/>
      <c r="Q1157" s="9"/>
    </row>
    <row r="1158" spans="4:17" s="294" customFormat="1" ht="15" customHeight="1">
      <c r="D1158" s="10"/>
      <c r="E1158" s="10"/>
      <c r="F1158" s="9"/>
      <c r="G1158" s="9"/>
      <c r="H1158" s="9"/>
      <c r="I1158" s="9"/>
      <c r="J1158" s="9"/>
      <c r="K1158" s="9"/>
      <c r="L1158" s="9"/>
      <c r="M1158" s="9"/>
      <c r="N1158" s="9"/>
      <c r="O1158" s="9"/>
      <c r="P1158" s="9"/>
      <c r="Q1158" s="9"/>
    </row>
    <row r="1159" spans="4:17" s="294" customFormat="1" ht="15" customHeight="1">
      <c r="D1159" s="10"/>
      <c r="E1159" s="10"/>
      <c r="F1159" s="9"/>
      <c r="G1159" s="9"/>
      <c r="H1159" s="9"/>
      <c r="I1159" s="9"/>
      <c r="J1159" s="9"/>
      <c r="K1159" s="9"/>
      <c r="L1159" s="9"/>
      <c r="M1159" s="9"/>
      <c r="N1159" s="9"/>
      <c r="O1159" s="9"/>
      <c r="P1159" s="9"/>
      <c r="Q1159" s="9"/>
    </row>
    <row r="1160" spans="4:17" s="294" customFormat="1" ht="15" customHeight="1">
      <c r="D1160" s="10"/>
      <c r="E1160" s="10"/>
      <c r="F1160" s="9"/>
      <c r="G1160" s="9"/>
      <c r="H1160" s="9"/>
      <c r="I1160" s="9"/>
      <c r="J1160" s="9"/>
      <c r="K1160" s="9"/>
      <c r="L1160" s="9"/>
      <c r="M1160" s="9"/>
      <c r="N1160" s="9"/>
      <c r="O1160" s="9"/>
      <c r="P1160" s="9"/>
      <c r="Q1160" s="9"/>
    </row>
    <row r="1161" spans="4:17" s="294" customFormat="1" ht="15" customHeight="1">
      <c r="D1161" s="10"/>
      <c r="E1161" s="10"/>
      <c r="F1161" s="9"/>
      <c r="G1161" s="9"/>
      <c r="H1161" s="9"/>
      <c r="I1161" s="9"/>
      <c r="J1161" s="9"/>
      <c r="K1161" s="9"/>
      <c r="L1161" s="9"/>
      <c r="M1161" s="9"/>
      <c r="N1161" s="9"/>
      <c r="O1161" s="9"/>
      <c r="P1161" s="9"/>
      <c r="Q1161" s="9"/>
    </row>
    <row r="1162" spans="4:17" s="294" customFormat="1" ht="15" customHeight="1">
      <c r="D1162" s="10"/>
      <c r="E1162" s="10"/>
      <c r="F1162" s="9"/>
      <c r="G1162" s="9"/>
      <c r="H1162" s="9"/>
      <c r="I1162" s="9"/>
      <c r="J1162" s="9"/>
      <c r="K1162" s="9"/>
      <c r="L1162" s="9"/>
      <c r="M1162" s="9"/>
      <c r="N1162" s="9"/>
      <c r="O1162" s="9"/>
      <c r="P1162" s="9"/>
      <c r="Q1162" s="9"/>
    </row>
    <row r="1163" spans="4:17" s="294" customFormat="1" ht="15" customHeight="1">
      <c r="D1163" s="10"/>
      <c r="E1163" s="10"/>
      <c r="F1163" s="9"/>
      <c r="G1163" s="9"/>
      <c r="H1163" s="9"/>
      <c r="I1163" s="9"/>
      <c r="J1163" s="9"/>
      <c r="K1163" s="9"/>
      <c r="L1163" s="9"/>
      <c r="M1163" s="9"/>
      <c r="N1163" s="9"/>
      <c r="O1163" s="9"/>
      <c r="P1163" s="9"/>
      <c r="Q1163" s="9"/>
    </row>
    <row r="1164" spans="4:17" s="294" customFormat="1" ht="15" customHeight="1">
      <c r="D1164" s="10"/>
      <c r="E1164" s="10"/>
      <c r="F1164" s="9"/>
      <c r="G1164" s="9"/>
      <c r="H1164" s="9"/>
      <c r="I1164" s="9"/>
      <c r="J1164" s="9"/>
      <c r="K1164" s="9"/>
      <c r="L1164" s="9"/>
      <c r="M1164" s="9"/>
      <c r="N1164" s="9"/>
      <c r="O1164" s="9"/>
      <c r="P1164" s="9"/>
      <c r="Q1164" s="9"/>
    </row>
    <row r="1165" spans="4:17" s="294" customFormat="1" ht="15" customHeight="1">
      <c r="D1165" s="10"/>
      <c r="E1165" s="10"/>
      <c r="F1165" s="9"/>
      <c r="G1165" s="9"/>
      <c r="H1165" s="9"/>
      <c r="I1165" s="9"/>
      <c r="J1165" s="9"/>
      <c r="K1165" s="9"/>
      <c r="L1165" s="9"/>
      <c r="M1165" s="9"/>
      <c r="N1165" s="9"/>
      <c r="O1165" s="9"/>
      <c r="P1165" s="9"/>
      <c r="Q1165" s="9"/>
    </row>
    <row r="1166" spans="4:17" s="294" customFormat="1" ht="15" customHeight="1">
      <c r="D1166" s="10"/>
      <c r="E1166" s="10"/>
      <c r="F1166" s="9"/>
      <c r="G1166" s="9"/>
      <c r="H1166" s="9"/>
      <c r="I1166" s="9"/>
      <c r="J1166" s="9"/>
      <c r="K1166" s="9"/>
      <c r="L1166" s="9"/>
      <c r="M1166" s="9"/>
      <c r="N1166" s="9"/>
      <c r="O1166" s="9"/>
      <c r="P1166" s="9"/>
      <c r="Q1166" s="9"/>
    </row>
    <row r="1167" spans="4:17" s="294" customFormat="1" ht="15" customHeight="1">
      <c r="D1167" s="10"/>
      <c r="E1167" s="10"/>
      <c r="F1167" s="9"/>
      <c r="G1167" s="9"/>
      <c r="H1167" s="9"/>
      <c r="I1167" s="9"/>
      <c r="J1167" s="9"/>
      <c r="K1167" s="9"/>
      <c r="L1167" s="9"/>
      <c r="M1167" s="9"/>
      <c r="N1167" s="9"/>
      <c r="O1167" s="9"/>
      <c r="P1167" s="9"/>
      <c r="Q1167" s="9"/>
    </row>
    <row r="1168" spans="4:17" s="294" customFormat="1" ht="15" customHeight="1">
      <c r="D1168" s="10"/>
      <c r="E1168" s="10"/>
      <c r="F1168" s="9"/>
      <c r="G1168" s="9"/>
      <c r="H1168" s="9"/>
      <c r="I1168" s="9"/>
      <c r="J1168" s="9"/>
      <c r="K1168" s="9"/>
      <c r="L1168" s="9"/>
      <c r="M1168" s="9"/>
      <c r="N1168" s="9"/>
      <c r="O1168" s="9"/>
      <c r="P1168" s="9"/>
      <c r="Q1168" s="9"/>
    </row>
    <row r="1169" spans="4:17" s="294" customFormat="1" ht="15" customHeight="1">
      <c r="D1169" s="10"/>
      <c r="E1169" s="10"/>
      <c r="F1169" s="9"/>
      <c r="G1169" s="9"/>
      <c r="H1169" s="9"/>
      <c r="I1169" s="9"/>
      <c r="J1169" s="9"/>
      <c r="K1169" s="9"/>
      <c r="L1169" s="9"/>
      <c r="M1169" s="9"/>
      <c r="N1169" s="9"/>
      <c r="O1169" s="9"/>
      <c r="P1169" s="9"/>
      <c r="Q1169" s="9"/>
    </row>
    <row r="1170" spans="4:17" s="294" customFormat="1" ht="15" customHeight="1">
      <c r="D1170" s="10"/>
      <c r="E1170" s="10"/>
      <c r="F1170" s="9"/>
      <c r="G1170" s="9"/>
      <c r="H1170" s="9"/>
      <c r="I1170" s="9"/>
      <c r="J1170" s="9"/>
      <c r="K1170" s="9"/>
      <c r="L1170" s="9"/>
      <c r="M1170" s="9"/>
      <c r="N1170" s="9"/>
      <c r="O1170" s="9"/>
      <c r="P1170" s="9"/>
      <c r="Q1170" s="9"/>
    </row>
    <row r="1171" spans="4:17" s="294" customFormat="1" ht="15" customHeight="1">
      <c r="D1171" s="10"/>
      <c r="E1171" s="10"/>
      <c r="F1171" s="9"/>
      <c r="G1171" s="9"/>
      <c r="H1171" s="9"/>
      <c r="I1171" s="9"/>
      <c r="J1171" s="9"/>
      <c r="K1171" s="9"/>
      <c r="L1171" s="9"/>
      <c r="M1171" s="9"/>
      <c r="N1171" s="9"/>
      <c r="O1171" s="9"/>
      <c r="P1171" s="9"/>
      <c r="Q1171" s="9"/>
    </row>
    <row r="1172" spans="4:17" s="294" customFormat="1" ht="15" customHeight="1">
      <c r="D1172" s="10"/>
      <c r="E1172" s="10"/>
      <c r="F1172" s="9"/>
      <c r="G1172" s="9"/>
      <c r="H1172" s="9"/>
      <c r="I1172" s="9"/>
      <c r="J1172" s="9"/>
      <c r="K1172" s="9"/>
      <c r="L1172" s="9"/>
      <c r="M1172" s="9"/>
      <c r="N1172" s="9"/>
      <c r="O1172" s="9"/>
      <c r="P1172" s="9"/>
      <c r="Q1172" s="9"/>
    </row>
    <row r="1173" spans="4:17" s="294" customFormat="1" ht="15" customHeight="1">
      <c r="D1173" s="10"/>
      <c r="E1173" s="10"/>
      <c r="F1173" s="9"/>
      <c r="G1173" s="9"/>
      <c r="H1173" s="9"/>
      <c r="I1173" s="9"/>
      <c r="J1173" s="9"/>
      <c r="K1173" s="9"/>
      <c r="L1173" s="9"/>
      <c r="M1173" s="9"/>
      <c r="N1173" s="9"/>
      <c r="O1173" s="9"/>
      <c r="P1173" s="9"/>
      <c r="Q1173" s="9"/>
    </row>
    <row r="1174" spans="4:17" s="294" customFormat="1" ht="15" customHeight="1">
      <c r="D1174" s="10"/>
      <c r="E1174" s="10"/>
      <c r="F1174" s="9"/>
      <c r="G1174" s="9"/>
      <c r="H1174" s="9"/>
      <c r="I1174" s="9"/>
      <c r="J1174" s="9"/>
      <c r="K1174" s="9"/>
      <c r="L1174" s="9"/>
      <c r="M1174" s="9"/>
      <c r="N1174" s="9"/>
      <c r="O1174" s="9"/>
      <c r="P1174" s="9"/>
      <c r="Q1174" s="9"/>
    </row>
    <row r="1175" spans="4:17" s="294" customFormat="1" ht="15" customHeight="1">
      <c r="D1175" s="10"/>
      <c r="E1175" s="10"/>
      <c r="F1175" s="9"/>
      <c r="G1175" s="9"/>
      <c r="H1175" s="9"/>
      <c r="I1175" s="9"/>
      <c r="J1175" s="9"/>
      <c r="K1175" s="9"/>
      <c r="L1175" s="9"/>
      <c r="M1175" s="9"/>
      <c r="N1175" s="9"/>
      <c r="O1175" s="9"/>
      <c r="P1175" s="9"/>
      <c r="Q1175" s="9"/>
    </row>
    <row r="1176" spans="4:17" s="294" customFormat="1" ht="15" customHeight="1">
      <c r="D1176" s="10"/>
      <c r="E1176" s="10"/>
      <c r="F1176" s="9"/>
      <c r="G1176" s="9"/>
      <c r="H1176" s="9"/>
      <c r="I1176" s="9"/>
      <c r="J1176" s="9"/>
      <c r="K1176" s="9"/>
      <c r="L1176" s="9"/>
      <c r="M1176" s="9"/>
      <c r="N1176" s="9"/>
      <c r="O1176" s="9"/>
      <c r="P1176" s="9"/>
      <c r="Q1176" s="9"/>
    </row>
    <row r="1177" spans="4:17" s="294" customFormat="1" ht="15" customHeight="1">
      <c r="D1177" s="10"/>
      <c r="E1177" s="10"/>
      <c r="F1177" s="9"/>
      <c r="G1177" s="9"/>
      <c r="H1177" s="9"/>
      <c r="I1177" s="9"/>
      <c r="J1177" s="9"/>
      <c r="K1177" s="9"/>
      <c r="L1177" s="9"/>
      <c r="M1177" s="9"/>
      <c r="N1177" s="9"/>
      <c r="O1177" s="9"/>
      <c r="P1177" s="9"/>
      <c r="Q1177" s="9"/>
    </row>
    <row r="1178" spans="4:17" s="294" customFormat="1" ht="15" customHeight="1">
      <c r="D1178" s="10"/>
      <c r="E1178" s="10"/>
      <c r="F1178" s="9"/>
      <c r="G1178" s="9"/>
      <c r="H1178" s="9"/>
      <c r="I1178" s="9"/>
      <c r="J1178" s="9"/>
      <c r="K1178" s="9"/>
      <c r="L1178" s="9"/>
      <c r="M1178" s="9"/>
      <c r="N1178" s="9"/>
      <c r="O1178" s="9"/>
      <c r="P1178" s="9"/>
      <c r="Q1178" s="9"/>
    </row>
    <row r="1179" spans="4:17" s="294" customFormat="1" ht="15" customHeight="1">
      <c r="D1179" s="10"/>
      <c r="E1179" s="10"/>
      <c r="F1179" s="9"/>
      <c r="G1179" s="9"/>
      <c r="H1179" s="9"/>
      <c r="I1179" s="9"/>
      <c r="J1179" s="9"/>
      <c r="K1179" s="9"/>
      <c r="L1179" s="9"/>
      <c r="M1179" s="9"/>
      <c r="N1179" s="9"/>
      <c r="O1179" s="9"/>
      <c r="P1179" s="9"/>
      <c r="Q1179" s="9"/>
    </row>
    <row r="1180" spans="4:17" s="294" customFormat="1" ht="15" customHeight="1">
      <c r="D1180" s="10"/>
      <c r="E1180" s="10"/>
      <c r="F1180" s="9"/>
      <c r="G1180" s="9"/>
      <c r="H1180" s="9"/>
      <c r="I1180" s="9"/>
      <c r="J1180" s="9"/>
      <c r="K1180" s="9"/>
      <c r="L1180" s="9"/>
      <c r="M1180" s="9"/>
      <c r="N1180" s="9"/>
      <c r="O1180" s="9"/>
      <c r="P1180" s="9"/>
      <c r="Q1180" s="9"/>
    </row>
    <row r="1181" spans="4:17" s="294" customFormat="1" ht="15" customHeight="1">
      <c r="D1181" s="10"/>
      <c r="E1181" s="10"/>
      <c r="F1181" s="9"/>
      <c r="G1181" s="9"/>
      <c r="H1181" s="9"/>
      <c r="I1181" s="9"/>
      <c r="J1181" s="9"/>
      <c r="K1181" s="9"/>
      <c r="L1181" s="9"/>
      <c r="M1181" s="9"/>
      <c r="N1181" s="9"/>
      <c r="O1181" s="9"/>
      <c r="P1181" s="9"/>
      <c r="Q1181" s="9"/>
    </row>
    <row r="1182" spans="4:17" s="294" customFormat="1" ht="15" customHeight="1">
      <c r="D1182" s="10"/>
      <c r="E1182" s="10"/>
      <c r="F1182" s="9"/>
      <c r="G1182" s="9"/>
      <c r="H1182" s="9"/>
      <c r="I1182" s="9"/>
      <c r="J1182" s="9"/>
      <c r="K1182" s="9"/>
      <c r="L1182" s="9"/>
      <c r="M1182" s="9"/>
      <c r="N1182" s="9"/>
      <c r="O1182" s="9"/>
      <c r="P1182" s="9"/>
      <c r="Q1182" s="9"/>
    </row>
    <row r="1183" spans="4:17" s="294" customFormat="1" ht="15" customHeight="1">
      <c r="D1183" s="10"/>
      <c r="E1183" s="10"/>
      <c r="F1183" s="9"/>
      <c r="G1183" s="9"/>
      <c r="H1183" s="9"/>
      <c r="I1183" s="9"/>
      <c r="J1183" s="9"/>
      <c r="K1183" s="9"/>
      <c r="L1183" s="9"/>
      <c r="M1183" s="9"/>
      <c r="N1183" s="9"/>
      <c r="O1183" s="9"/>
      <c r="P1183" s="9"/>
      <c r="Q1183" s="9"/>
    </row>
    <row r="1184" spans="4:17" s="294" customFormat="1" ht="15" customHeight="1">
      <c r="D1184" s="10"/>
      <c r="E1184" s="10"/>
      <c r="F1184" s="9"/>
      <c r="G1184" s="9"/>
      <c r="H1184" s="9"/>
      <c r="I1184" s="9"/>
      <c r="J1184" s="9"/>
      <c r="K1184" s="9"/>
      <c r="L1184" s="9"/>
      <c r="M1184" s="9"/>
      <c r="N1184" s="9"/>
      <c r="O1184" s="9"/>
      <c r="P1184" s="9"/>
      <c r="Q1184" s="9"/>
    </row>
    <row r="1185" spans="4:17" s="294" customFormat="1" ht="15" customHeight="1">
      <c r="D1185" s="10"/>
      <c r="E1185" s="10"/>
      <c r="F1185" s="9"/>
      <c r="G1185" s="9"/>
      <c r="H1185" s="9"/>
      <c r="I1185" s="9"/>
      <c r="J1185" s="9"/>
      <c r="K1185" s="9"/>
      <c r="L1185" s="9"/>
      <c r="M1185" s="9"/>
      <c r="N1185" s="9"/>
      <c r="O1185" s="9"/>
      <c r="P1185" s="9"/>
      <c r="Q1185" s="9"/>
    </row>
    <row r="1186" spans="4:17" s="294" customFormat="1" ht="15" customHeight="1">
      <c r="D1186" s="10"/>
      <c r="E1186" s="10"/>
      <c r="F1186" s="9"/>
      <c r="G1186" s="9"/>
      <c r="H1186" s="9"/>
      <c r="I1186" s="9"/>
      <c r="J1186" s="9"/>
      <c r="K1186" s="9"/>
      <c r="L1186" s="9"/>
      <c r="M1186" s="9"/>
      <c r="N1186" s="9"/>
      <c r="O1186" s="9"/>
      <c r="P1186" s="9"/>
      <c r="Q1186" s="9"/>
    </row>
    <row r="1187" spans="4:17" s="294" customFormat="1" ht="15" customHeight="1">
      <c r="D1187" s="10"/>
      <c r="E1187" s="10"/>
      <c r="F1187" s="9"/>
      <c r="G1187" s="9"/>
      <c r="H1187" s="9"/>
      <c r="I1187" s="9"/>
      <c r="J1187" s="9"/>
      <c r="K1187" s="9"/>
      <c r="L1187" s="9"/>
      <c r="M1187" s="9"/>
      <c r="N1187" s="9"/>
      <c r="O1187" s="9"/>
      <c r="P1187" s="9"/>
      <c r="Q1187" s="9"/>
    </row>
    <row r="1188" spans="4:17" s="294" customFormat="1" ht="15" customHeight="1">
      <c r="D1188" s="10"/>
      <c r="E1188" s="10"/>
      <c r="F1188" s="9"/>
      <c r="G1188" s="9"/>
      <c r="H1188" s="9"/>
      <c r="I1188" s="9"/>
      <c r="J1188" s="9"/>
      <c r="K1188" s="9"/>
      <c r="L1188" s="9"/>
      <c r="M1188" s="9"/>
      <c r="N1188" s="9"/>
      <c r="O1188" s="9"/>
      <c r="P1188" s="9"/>
      <c r="Q1188" s="9"/>
    </row>
    <row r="1189" spans="4:17" s="294" customFormat="1" ht="15" customHeight="1">
      <c r="D1189" s="10"/>
      <c r="E1189" s="10"/>
      <c r="F1189" s="9"/>
      <c r="G1189" s="9"/>
      <c r="H1189" s="9"/>
      <c r="I1189" s="9"/>
      <c r="J1189" s="9"/>
      <c r="K1189" s="9"/>
      <c r="L1189" s="9"/>
      <c r="M1189" s="9"/>
      <c r="N1189" s="9"/>
      <c r="O1189" s="9"/>
      <c r="P1189" s="9"/>
      <c r="Q1189" s="9"/>
    </row>
    <row r="1190" spans="4:17" s="294" customFormat="1" ht="15" customHeight="1">
      <c r="D1190" s="10"/>
      <c r="E1190" s="10"/>
      <c r="F1190" s="9"/>
      <c r="G1190" s="9"/>
      <c r="H1190" s="9"/>
      <c r="I1190" s="9"/>
      <c r="J1190" s="9"/>
      <c r="K1190" s="9"/>
      <c r="L1190" s="9"/>
      <c r="M1190" s="9"/>
      <c r="N1190" s="9"/>
      <c r="O1190" s="9"/>
      <c r="P1190" s="9"/>
      <c r="Q1190" s="9"/>
    </row>
    <row r="1191" spans="4:17" s="294" customFormat="1" ht="15" customHeight="1">
      <c r="D1191" s="10"/>
      <c r="E1191" s="10"/>
      <c r="F1191" s="9"/>
      <c r="G1191" s="9"/>
      <c r="H1191" s="9"/>
      <c r="I1191" s="9"/>
      <c r="J1191" s="9"/>
      <c r="K1191" s="9"/>
      <c r="L1191" s="9"/>
      <c r="M1191" s="9"/>
      <c r="N1191" s="9"/>
      <c r="O1191" s="9"/>
      <c r="P1191" s="9"/>
      <c r="Q1191" s="9"/>
    </row>
    <row r="1192" spans="4:17" s="294" customFormat="1" ht="15" customHeight="1">
      <c r="D1192" s="10"/>
      <c r="E1192" s="10"/>
      <c r="F1192" s="9"/>
      <c r="G1192" s="9"/>
      <c r="H1192" s="9"/>
      <c r="I1192" s="9"/>
      <c r="J1192" s="9"/>
      <c r="K1192" s="9"/>
      <c r="L1192" s="9"/>
      <c r="M1192" s="9"/>
      <c r="N1192" s="9"/>
      <c r="O1192" s="9"/>
      <c r="P1192" s="9"/>
      <c r="Q1192" s="9"/>
    </row>
    <row r="1193" spans="4:17" s="294" customFormat="1" ht="15" customHeight="1">
      <c r="D1193" s="10"/>
      <c r="E1193" s="10"/>
      <c r="F1193" s="9"/>
      <c r="G1193" s="9"/>
      <c r="H1193" s="9"/>
      <c r="I1193" s="9"/>
      <c r="J1193" s="9"/>
      <c r="K1193" s="9"/>
      <c r="L1193" s="9"/>
      <c r="M1193" s="9"/>
      <c r="N1193" s="9"/>
      <c r="O1193" s="9"/>
      <c r="P1193" s="9"/>
      <c r="Q1193" s="9"/>
    </row>
    <row r="1194" spans="4:17" s="294" customFormat="1" ht="15" customHeight="1">
      <c r="D1194" s="10"/>
      <c r="E1194" s="10"/>
      <c r="F1194" s="9"/>
      <c r="G1194" s="9"/>
      <c r="H1194" s="9"/>
      <c r="I1194" s="9"/>
      <c r="J1194" s="9"/>
      <c r="K1194" s="9"/>
      <c r="L1194" s="9"/>
      <c r="M1194" s="9"/>
      <c r="N1194" s="9"/>
      <c r="O1194" s="9"/>
      <c r="P1194" s="9"/>
      <c r="Q1194" s="9"/>
    </row>
    <row r="1195" spans="4:17" s="294" customFormat="1" ht="15" customHeight="1">
      <c r="D1195" s="10"/>
      <c r="E1195" s="10"/>
      <c r="F1195" s="9"/>
      <c r="G1195" s="9"/>
      <c r="H1195" s="9"/>
      <c r="I1195" s="9"/>
      <c r="J1195" s="9"/>
      <c r="K1195" s="9"/>
      <c r="L1195" s="9"/>
      <c r="M1195" s="9"/>
      <c r="N1195" s="9"/>
      <c r="O1195" s="9"/>
      <c r="P1195" s="9"/>
      <c r="Q1195" s="9"/>
    </row>
    <row r="1196" spans="4:17" s="294" customFormat="1" ht="15" customHeight="1">
      <c r="D1196" s="10"/>
      <c r="E1196" s="10"/>
      <c r="F1196" s="9"/>
      <c r="G1196" s="9"/>
      <c r="H1196" s="9"/>
      <c r="I1196" s="9"/>
      <c r="J1196" s="9"/>
      <c r="K1196" s="9"/>
      <c r="L1196" s="9"/>
      <c r="M1196" s="9"/>
      <c r="N1196" s="9"/>
      <c r="O1196" s="9"/>
      <c r="P1196" s="9"/>
      <c r="Q1196" s="9"/>
    </row>
    <row r="1197" spans="4:17" s="294" customFormat="1" ht="15" customHeight="1">
      <c r="D1197" s="10"/>
      <c r="E1197" s="10"/>
      <c r="F1197" s="9"/>
      <c r="G1197" s="9"/>
      <c r="H1197" s="9"/>
      <c r="I1197" s="9"/>
      <c r="J1197" s="9"/>
      <c r="K1197" s="9"/>
      <c r="L1197" s="9"/>
      <c r="M1197" s="9"/>
      <c r="N1197" s="9"/>
      <c r="O1197" s="9"/>
      <c r="P1197" s="9"/>
      <c r="Q1197" s="9"/>
    </row>
    <row r="1198" spans="4:17" s="294" customFormat="1" ht="15" customHeight="1">
      <c r="D1198" s="10"/>
      <c r="E1198" s="10"/>
      <c r="F1198" s="9"/>
      <c r="G1198" s="9"/>
      <c r="H1198" s="9"/>
      <c r="I1198" s="9"/>
      <c r="J1198" s="9"/>
      <c r="K1198" s="9"/>
      <c r="L1198" s="9"/>
      <c r="M1198" s="9"/>
      <c r="N1198" s="9"/>
      <c r="O1198" s="9"/>
      <c r="P1198" s="9"/>
      <c r="Q1198" s="9"/>
    </row>
    <row r="1199" spans="4:17" s="294" customFormat="1" ht="15" customHeight="1">
      <c r="D1199" s="10"/>
      <c r="E1199" s="10"/>
      <c r="F1199" s="9"/>
      <c r="G1199" s="9"/>
      <c r="H1199" s="9"/>
      <c r="I1199" s="9"/>
      <c r="J1199" s="9"/>
      <c r="K1199" s="9"/>
      <c r="L1199" s="9"/>
      <c r="M1199" s="9"/>
      <c r="N1199" s="9"/>
      <c r="O1199" s="9"/>
      <c r="P1199" s="9"/>
      <c r="Q1199" s="9"/>
    </row>
    <row r="1200" spans="4:17" s="294" customFormat="1" ht="15" customHeight="1">
      <c r="D1200" s="10"/>
      <c r="E1200" s="10"/>
      <c r="F1200" s="9"/>
      <c r="G1200" s="9"/>
      <c r="H1200" s="9"/>
      <c r="I1200" s="9"/>
      <c r="J1200" s="9"/>
      <c r="K1200" s="9"/>
      <c r="L1200" s="9"/>
      <c r="M1200" s="9"/>
      <c r="N1200" s="9"/>
      <c r="O1200" s="9"/>
      <c r="P1200" s="9"/>
      <c r="Q1200" s="9"/>
    </row>
    <row r="1201" spans="4:17" s="294" customFormat="1" ht="15" customHeight="1">
      <c r="D1201" s="10"/>
      <c r="E1201" s="10"/>
      <c r="F1201" s="9"/>
      <c r="G1201" s="9"/>
      <c r="H1201" s="9"/>
      <c r="I1201" s="9"/>
      <c r="J1201" s="9"/>
      <c r="K1201" s="9"/>
      <c r="L1201" s="9"/>
      <c r="M1201" s="9"/>
      <c r="N1201" s="9"/>
      <c r="O1201" s="9"/>
      <c r="P1201" s="9"/>
      <c r="Q1201" s="9"/>
    </row>
    <row r="1202" spans="4:17" s="294" customFormat="1" ht="15" customHeight="1">
      <c r="D1202" s="10"/>
      <c r="E1202" s="10"/>
      <c r="F1202" s="9"/>
      <c r="G1202" s="9"/>
      <c r="H1202" s="9"/>
      <c r="I1202" s="9"/>
      <c r="J1202" s="9"/>
      <c r="K1202" s="9"/>
      <c r="L1202" s="9"/>
      <c r="M1202" s="9"/>
      <c r="N1202" s="9"/>
      <c r="O1202" s="9"/>
      <c r="P1202" s="9"/>
      <c r="Q1202" s="9"/>
    </row>
    <row r="1203" spans="4:17" s="294" customFormat="1" ht="15" customHeight="1">
      <c r="D1203" s="10"/>
      <c r="E1203" s="10"/>
      <c r="F1203" s="9"/>
      <c r="G1203" s="9"/>
      <c r="H1203" s="9"/>
      <c r="I1203" s="9"/>
      <c r="J1203" s="9"/>
      <c r="K1203" s="9"/>
      <c r="L1203" s="9"/>
      <c r="M1203" s="9"/>
      <c r="N1203" s="9"/>
      <c r="O1203" s="9"/>
      <c r="P1203" s="9"/>
      <c r="Q1203" s="9"/>
    </row>
    <row r="1204" spans="4:17" s="294" customFormat="1" ht="15" customHeight="1">
      <c r="D1204" s="10"/>
      <c r="E1204" s="10"/>
      <c r="F1204" s="9"/>
      <c r="G1204" s="9"/>
      <c r="H1204" s="9"/>
      <c r="I1204" s="9"/>
      <c r="J1204" s="9"/>
      <c r="K1204" s="9"/>
      <c r="L1204" s="9"/>
      <c r="M1204" s="9"/>
      <c r="N1204" s="9"/>
      <c r="O1204" s="9"/>
      <c r="P1204" s="9"/>
      <c r="Q1204" s="9"/>
    </row>
    <row r="1205" spans="4:17" s="294" customFormat="1" ht="15" customHeight="1">
      <c r="D1205" s="10"/>
      <c r="E1205" s="10"/>
      <c r="F1205" s="9"/>
      <c r="G1205" s="9"/>
      <c r="H1205" s="9"/>
      <c r="I1205" s="9"/>
      <c r="J1205" s="9"/>
      <c r="K1205" s="9"/>
      <c r="L1205" s="9"/>
      <c r="M1205" s="9"/>
      <c r="N1205" s="9"/>
      <c r="O1205" s="9"/>
      <c r="P1205" s="9"/>
      <c r="Q1205" s="9"/>
    </row>
    <row r="1206" spans="4:17" s="294" customFormat="1" ht="15" customHeight="1">
      <c r="D1206" s="10"/>
      <c r="E1206" s="10"/>
      <c r="F1206" s="9"/>
      <c r="G1206" s="9"/>
      <c r="H1206" s="9"/>
      <c r="I1206" s="9"/>
      <c r="J1206" s="9"/>
      <c r="K1206" s="9"/>
      <c r="L1206" s="9"/>
      <c r="M1206" s="9"/>
      <c r="N1206" s="9"/>
      <c r="O1206" s="9"/>
      <c r="P1206" s="9"/>
      <c r="Q1206" s="9"/>
    </row>
    <row r="1207" spans="4:17" s="294" customFormat="1" ht="15" customHeight="1">
      <c r="D1207" s="10"/>
      <c r="E1207" s="10"/>
      <c r="F1207" s="9"/>
      <c r="G1207" s="9"/>
      <c r="H1207" s="9"/>
      <c r="I1207" s="9"/>
      <c r="J1207" s="9"/>
      <c r="K1207" s="9"/>
      <c r="L1207" s="9"/>
      <c r="M1207" s="9"/>
      <c r="N1207" s="9"/>
      <c r="O1207" s="9"/>
      <c r="P1207" s="9"/>
      <c r="Q1207" s="9"/>
    </row>
    <row r="1208" spans="4:17" s="294" customFormat="1" ht="15" customHeight="1">
      <c r="D1208" s="10"/>
      <c r="E1208" s="10"/>
      <c r="F1208" s="9"/>
      <c r="G1208" s="9"/>
      <c r="H1208" s="9"/>
      <c r="I1208" s="9"/>
      <c r="J1208" s="9"/>
      <c r="K1208" s="9"/>
      <c r="L1208" s="9"/>
      <c r="M1208" s="9"/>
      <c r="N1208" s="9"/>
      <c r="O1208" s="9"/>
      <c r="P1208" s="9"/>
      <c r="Q1208" s="9"/>
    </row>
    <row r="1209" spans="4:17" s="294" customFormat="1" ht="15" customHeight="1">
      <c r="D1209" s="10"/>
      <c r="E1209" s="10"/>
      <c r="F1209" s="9"/>
      <c r="G1209" s="9"/>
      <c r="H1209" s="9"/>
      <c r="I1209" s="9"/>
      <c r="J1209" s="9"/>
      <c r="K1209" s="9"/>
      <c r="L1209" s="9"/>
      <c r="M1209" s="9"/>
      <c r="N1209" s="9"/>
      <c r="O1209" s="9"/>
      <c r="P1209" s="9"/>
      <c r="Q1209" s="9"/>
    </row>
    <row r="1210" spans="4:17" s="294" customFormat="1" ht="15" customHeight="1">
      <c r="D1210" s="10"/>
      <c r="E1210" s="10"/>
      <c r="F1210" s="9"/>
      <c r="G1210" s="9"/>
      <c r="H1210" s="9"/>
      <c r="I1210" s="9"/>
      <c r="J1210" s="9"/>
      <c r="K1210" s="9"/>
      <c r="L1210" s="9"/>
      <c r="M1210" s="9"/>
      <c r="N1210" s="9"/>
      <c r="O1210" s="9"/>
      <c r="P1210" s="9"/>
      <c r="Q1210" s="9"/>
    </row>
    <row r="1211" spans="4:17" s="294" customFormat="1" ht="15" customHeight="1">
      <c r="D1211" s="10"/>
      <c r="E1211" s="10"/>
      <c r="F1211" s="9"/>
      <c r="G1211" s="9"/>
      <c r="H1211" s="9"/>
      <c r="I1211" s="9"/>
      <c r="J1211" s="9"/>
      <c r="K1211" s="9"/>
      <c r="L1211" s="9"/>
      <c r="M1211" s="9"/>
      <c r="N1211" s="9"/>
      <c r="O1211" s="9"/>
      <c r="P1211" s="9"/>
      <c r="Q1211" s="9"/>
    </row>
    <row r="1212" spans="4:17" s="294" customFormat="1" ht="15" customHeight="1">
      <c r="D1212" s="10"/>
      <c r="E1212" s="10"/>
      <c r="F1212" s="9"/>
      <c r="G1212" s="9"/>
      <c r="H1212" s="9"/>
      <c r="I1212" s="9"/>
      <c r="J1212" s="9"/>
      <c r="K1212" s="9"/>
      <c r="L1212" s="9"/>
      <c r="M1212" s="9"/>
      <c r="N1212" s="9"/>
      <c r="O1212" s="9"/>
      <c r="P1212" s="9"/>
      <c r="Q1212" s="9"/>
    </row>
    <row r="1213" spans="4:17" s="294" customFormat="1" ht="15" customHeight="1">
      <c r="D1213" s="10"/>
      <c r="E1213" s="10"/>
      <c r="F1213" s="9"/>
      <c r="G1213" s="9"/>
      <c r="H1213" s="9"/>
      <c r="I1213" s="9"/>
      <c r="J1213" s="9"/>
      <c r="K1213" s="9"/>
      <c r="L1213" s="9"/>
      <c r="M1213" s="9"/>
      <c r="N1213" s="9"/>
      <c r="O1213" s="9"/>
      <c r="P1213" s="9"/>
      <c r="Q1213" s="9"/>
    </row>
    <row r="1214" spans="4:17" s="294" customFormat="1" ht="15" customHeight="1">
      <c r="D1214" s="10"/>
      <c r="E1214" s="10"/>
      <c r="F1214" s="9"/>
      <c r="G1214" s="9"/>
      <c r="H1214" s="9"/>
      <c r="I1214" s="9"/>
      <c r="J1214" s="9"/>
      <c r="K1214" s="9"/>
      <c r="L1214" s="9"/>
      <c r="M1214" s="9"/>
      <c r="N1214" s="9"/>
      <c r="O1214" s="9"/>
      <c r="P1214" s="9"/>
      <c r="Q1214" s="9"/>
    </row>
    <row r="1215" spans="4:17" s="294" customFormat="1" ht="15" customHeight="1">
      <c r="D1215" s="10"/>
      <c r="E1215" s="10"/>
      <c r="F1215" s="9"/>
      <c r="G1215" s="9"/>
      <c r="H1215" s="9"/>
      <c r="I1215" s="9"/>
      <c r="J1215" s="9"/>
      <c r="K1215" s="9"/>
      <c r="L1215" s="9"/>
      <c r="M1215" s="9"/>
      <c r="N1215" s="9"/>
      <c r="O1215" s="9"/>
      <c r="P1215" s="9"/>
      <c r="Q1215" s="9"/>
    </row>
    <row r="1216" spans="4:17" s="294" customFormat="1" ht="15" customHeight="1">
      <c r="D1216" s="10"/>
      <c r="E1216" s="10"/>
      <c r="F1216" s="9"/>
      <c r="G1216" s="9"/>
      <c r="H1216" s="9"/>
      <c r="I1216" s="9"/>
      <c r="J1216" s="9"/>
      <c r="K1216" s="9"/>
      <c r="L1216" s="9"/>
      <c r="M1216" s="9"/>
      <c r="N1216" s="9"/>
      <c r="O1216" s="9"/>
      <c r="P1216" s="9"/>
      <c r="Q1216" s="9"/>
    </row>
    <row r="1217" spans="4:17" s="294" customFormat="1" ht="15" customHeight="1">
      <c r="D1217" s="10"/>
      <c r="E1217" s="10"/>
      <c r="F1217" s="9"/>
      <c r="G1217" s="9"/>
      <c r="H1217" s="9"/>
      <c r="I1217" s="9"/>
      <c r="J1217" s="9"/>
      <c r="K1217" s="9"/>
      <c r="L1217" s="9"/>
      <c r="M1217" s="9"/>
      <c r="N1217" s="9"/>
      <c r="O1217" s="9"/>
      <c r="P1217" s="9"/>
      <c r="Q1217" s="9"/>
    </row>
    <row r="1218" spans="4:17" s="294" customFormat="1" ht="15" customHeight="1">
      <c r="D1218" s="10"/>
      <c r="E1218" s="10"/>
      <c r="F1218" s="9"/>
      <c r="G1218" s="9"/>
      <c r="H1218" s="9"/>
      <c r="I1218" s="9"/>
      <c r="J1218" s="9"/>
      <c r="K1218" s="9"/>
      <c r="L1218" s="9"/>
      <c r="M1218" s="9"/>
      <c r="N1218" s="9"/>
      <c r="O1218" s="9"/>
      <c r="P1218" s="9"/>
      <c r="Q1218" s="9"/>
    </row>
    <row r="1219" spans="4:17" s="294" customFormat="1" ht="15" customHeight="1">
      <c r="D1219" s="10"/>
      <c r="E1219" s="10"/>
      <c r="F1219" s="9"/>
      <c r="G1219" s="9"/>
      <c r="H1219" s="9"/>
      <c r="I1219" s="9"/>
      <c r="J1219" s="9"/>
      <c r="K1219" s="9"/>
      <c r="L1219" s="9"/>
      <c r="M1219" s="9"/>
      <c r="N1219" s="9"/>
      <c r="O1219" s="9"/>
      <c r="P1219" s="9"/>
      <c r="Q1219" s="9"/>
    </row>
    <row r="1220" spans="4:17" s="294" customFormat="1" ht="15" customHeight="1">
      <c r="D1220" s="10"/>
      <c r="E1220" s="10"/>
      <c r="F1220" s="9"/>
      <c r="G1220" s="9"/>
      <c r="H1220" s="9"/>
      <c r="I1220" s="9"/>
      <c r="J1220" s="9"/>
      <c r="K1220" s="9"/>
      <c r="L1220" s="9"/>
      <c r="M1220" s="9"/>
      <c r="N1220" s="9"/>
      <c r="O1220" s="9"/>
      <c r="P1220" s="9"/>
      <c r="Q1220" s="9"/>
    </row>
    <row r="1221" spans="4:17" s="294" customFormat="1" ht="15" customHeight="1">
      <c r="D1221" s="10"/>
      <c r="E1221" s="10"/>
      <c r="F1221" s="9"/>
      <c r="G1221" s="9"/>
      <c r="H1221" s="9"/>
      <c r="I1221" s="9"/>
      <c r="J1221" s="9"/>
      <c r="K1221" s="9"/>
      <c r="L1221" s="9"/>
      <c r="M1221" s="9"/>
      <c r="N1221" s="9"/>
      <c r="O1221" s="9"/>
      <c r="P1221" s="9"/>
      <c r="Q1221" s="9"/>
    </row>
    <row r="1222" spans="4:17" s="294" customFormat="1" ht="15" customHeight="1">
      <c r="D1222" s="10"/>
      <c r="E1222" s="10"/>
      <c r="F1222" s="9"/>
      <c r="G1222" s="9"/>
      <c r="H1222" s="9"/>
      <c r="I1222" s="9"/>
      <c r="J1222" s="9"/>
      <c r="K1222" s="9"/>
      <c r="L1222" s="9"/>
      <c r="M1222" s="9"/>
      <c r="N1222" s="9"/>
      <c r="O1222" s="9"/>
      <c r="P1222" s="9"/>
      <c r="Q1222" s="9"/>
    </row>
    <row r="1223" spans="4:17" s="294" customFormat="1" ht="15" customHeight="1">
      <c r="D1223" s="10"/>
      <c r="E1223" s="10"/>
      <c r="F1223" s="9"/>
      <c r="G1223" s="9"/>
      <c r="H1223" s="9"/>
      <c r="I1223" s="9"/>
      <c r="J1223" s="9"/>
      <c r="K1223" s="9"/>
      <c r="L1223" s="9"/>
      <c r="M1223" s="9"/>
      <c r="N1223" s="9"/>
      <c r="O1223" s="9"/>
      <c r="P1223" s="9"/>
      <c r="Q1223" s="9"/>
    </row>
    <row r="1224" spans="4:17" s="294" customFormat="1" ht="15" customHeight="1">
      <c r="D1224" s="10"/>
      <c r="E1224" s="10"/>
      <c r="F1224" s="9"/>
      <c r="G1224" s="9"/>
      <c r="H1224" s="9"/>
      <c r="I1224" s="9"/>
      <c r="J1224" s="9"/>
      <c r="K1224" s="9"/>
      <c r="L1224" s="9"/>
      <c r="M1224" s="9"/>
      <c r="N1224" s="9"/>
      <c r="O1224" s="9"/>
      <c r="P1224" s="9"/>
      <c r="Q1224" s="9"/>
    </row>
    <row r="1225" spans="4:17" s="294" customFormat="1" ht="15" customHeight="1">
      <c r="D1225" s="10"/>
      <c r="E1225" s="10"/>
      <c r="F1225" s="9"/>
      <c r="G1225" s="9"/>
      <c r="H1225" s="9"/>
      <c r="I1225" s="9"/>
      <c r="J1225" s="9"/>
      <c r="K1225" s="9"/>
      <c r="L1225" s="9"/>
      <c r="M1225" s="9"/>
      <c r="N1225" s="9"/>
      <c r="O1225" s="9"/>
      <c r="P1225" s="9"/>
      <c r="Q1225" s="9"/>
    </row>
    <row r="1226" spans="4:17" s="294" customFormat="1" ht="15" customHeight="1">
      <c r="D1226" s="10"/>
      <c r="E1226" s="10"/>
      <c r="F1226" s="9"/>
      <c r="G1226" s="9"/>
      <c r="H1226" s="9"/>
      <c r="I1226" s="9"/>
      <c r="J1226" s="9"/>
      <c r="K1226" s="9"/>
      <c r="L1226" s="9"/>
      <c r="M1226" s="9"/>
      <c r="N1226" s="9"/>
      <c r="O1226" s="9"/>
      <c r="P1226" s="9"/>
      <c r="Q1226" s="9"/>
    </row>
    <row r="1227" spans="4:17" s="294" customFormat="1" ht="15" customHeight="1">
      <c r="D1227" s="10"/>
      <c r="E1227" s="10"/>
      <c r="F1227" s="9"/>
      <c r="G1227" s="9"/>
      <c r="H1227" s="9"/>
      <c r="I1227" s="9"/>
      <c r="J1227" s="9"/>
      <c r="K1227" s="9"/>
      <c r="L1227" s="9"/>
      <c r="M1227" s="9"/>
      <c r="N1227" s="9"/>
      <c r="O1227" s="9"/>
      <c r="P1227" s="9"/>
      <c r="Q1227" s="9"/>
    </row>
    <row r="1228" spans="4:17" s="294" customFormat="1" ht="15" customHeight="1">
      <c r="D1228" s="10"/>
      <c r="E1228" s="10"/>
      <c r="F1228" s="9"/>
      <c r="G1228" s="9"/>
      <c r="H1228" s="9"/>
      <c r="I1228" s="9"/>
      <c r="J1228" s="9"/>
      <c r="K1228" s="9"/>
      <c r="L1228" s="9"/>
      <c r="M1228" s="9"/>
      <c r="N1228" s="9"/>
      <c r="O1228" s="9"/>
      <c r="P1228" s="9"/>
      <c r="Q1228" s="9"/>
    </row>
    <row r="1229" spans="4:17" s="294" customFormat="1" ht="15" customHeight="1">
      <c r="D1229" s="10"/>
      <c r="E1229" s="10"/>
      <c r="F1229" s="9"/>
      <c r="G1229" s="9"/>
      <c r="H1229" s="9"/>
      <c r="I1229" s="9"/>
      <c r="J1229" s="9"/>
      <c r="K1229" s="9"/>
      <c r="L1229" s="9"/>
      <c r="M1229" s="9"/>
      <c r="N1229" s="9"/>
      <c r="O1229" s="9"/>
      <c r="P1229" s="9"/>
      <c r="Q1229" s="9"/>
    </row>
    <row r="1230" spans="4:17" s="294" customFormat="1" ht="15" customHeight="1">
      <c r="D1230" s="10"/>
      <c r="E1230" s="10"/>
      <c r="F1230" s="9"/>
      <c r="G1230" s="9"/>
      <c r="H1230" s="9"/>
      <c r="I1230" s="9"/>
      <c r="J1230" s="9"/>
      <c r="K1230" s="9"/>
      <c r="L1230" s="9"/>
      <c r="M1230" s="9"/>
      <c r="N1230" s="9"/>
      <c r="O1230" s="9"/>
      <c r="P1230" s="9"/>
      <c r="Q1230" s="9"/>
    </row>
    <row r="1231" spans="4:17" s="294" customFormat="1" ht="15" customHeight="1">
      <c r="D1231" s="10"/>
      <c r="E1231" s="10"/>
      <c r="F1231" s="9"/>
      <c r="G1231" s="9"/>
      <c r="H1231" s="9"/>
      <c r="I1231" s="9"/>
      <c r="J1231" s="9"/>
      <c r="K1231" s="9"/>
      <c r="L1231" s="9"/>
      <c r="M1231" s="9"/>
      <c r="N1231" s="9"/>
      <c r="O1231" s="9"/>
      <c r="P1231" s="9"/>
      <c r="Q1231" s="9"/>
    </row>
    <row r="1232" spans="4:17" s="294" customFormat="1" ht="15" customHeight="1">
      <c r="D1232" s="10"/>
      <c r="E1232" s="10"/>
      <c r="F1232" s="9"/>
      <c r="G1232" s="9"/>
      <c r="H1232" s="9"/>
      <c r="I1232" s="9"/>
      <c r="J1232" s="9"/>
      <c r="K1232" s="9"/>
      <c r="L1232" s="9"/>
      <c r="M1232" s="9"/>
      <c r="N1232" s="9"/>
      <c r="O1232" s="9"/>
      <c r="P1232" s="9"/>
      <c r="Q1232" s="9"/>
    </row>
    <row r="1233" spans="4:17" s="294" customFormat="1" ht="15" customHeight="1">
      <c r="D1233" s="10"/>
      <c r="E1233" s="10"/>
      <c r="F1233" s="9"/>
      <c r="G1233" s="9"/>
      <c r="H1233" s="9"/>
      <c r="I1233" s="9"/>
      <c r="J1233" s="9"/>
      <c r="K1233" s="9"/>
      <c r="L1233" s="9"/>
      <c r="M1233" s="9"/>
      <c r="N1233" s="9"/>
      <c r="O1233" s="9"/>
      <c r="P1233" s="9"/>
      <c r="Q1233" s="9"/>
    </row>
    <row r="1234" spans="4:17" s="294" customFormat="1" ht="15" customHeight="1">
      <c r="D1234" s="10"/>
      <c r="E1234" s="10"/>
      <c r="F1234" s="9"/>
      <c r="G1234" s="9"/>
      <c r="H1234" s="9"/>
      <c r="I1234" s="9"/>
      <c r="J1234" s="9"/>
      <c r="K1234" s="9"/>
      <c r="L1234" s="9"/>
      <c r="M1234" s="9"/>
      <c r="N1234" s="9"/>
      <c r="O1234" s="9"/>
      <c r="P1234" s="9"/>
      <c r="Q1234" s="9"/>
    </row>
    <row r="1235" spans="4:17" s="294" customFormat="1" ht="15" customHeight="1">
      <c r="D1235" s="10"/>
      <c r="E1235" s="10"/>
      <c r="F1235" s="9"/>
      <c r="G1235" s="9"/>
      <c r="H1235" s="9"/>
      <c r="I1235" s="9"/>
      <c r="J1235" s="9"/>
      <c r="K1235" s="9"/>
      <c r="L1235" s="9"/>
      <c r="M1235" s="9"/>
      <c r="N1235" s="9"/>
      <c r="O1235" s="9"/>
      <c r="P1235" s="9"/>
      <c r="Q1235" s="9"/>
    </row>
    <row r="1236" spans="4:17" s="294" customFormat="1" ht="15" customHeight="1">
      <c r="D1236" s="10"/>
      <c r="E1236" s="10"/>
      <c r="F1236" s="9"/>
      <c r="G1236" s="9"/>
      <c r="H1236" s="9"/>
      <c r="I1236" s="9"/>
      <c r="J1236" s="9"/>
      <c r="K1236" s="9"/>
      <c r="L1236" s="9"/>
      <c r="M1236" s="9"/>
      <c r="N1236" s="9"/>
      <c r="O1236" s="9"/>
      <c r="P1236" s="9"/>
      <c r="Q1236" s="9"/>
    </row>
    <row r="1237" spans="4:17" s="294" customFormat="1" ht="15" customHeight="1">
      <c r="D1237" s="10"/>
      <c r="E1237" s="10"/>
      <c r="F1237" s="9"/>
      <c r="G1237" s="9"/>
      <c r="H1237" s="9"/>
      <c r="I1237" s="9"/>
      <c r="J1237" s="9"/>
      <c r="K1237" s="9"/>
      <c r="L1237" s="9"/>
      <c r="M1237" s="9"/>
      <c r="N1237" s="9"/>
      <c r="O1237" s="9"/>
      <c r="P1237" s="9"/>
      <c r="Q1237" s="9"/>
    </row>
    <row r="1238" spans="4:17" s="294" customFormat="1" ht="15" customHeight="1">
      <c r="D1238" s="10"/>
      <c r="E1238" s="10"/>
      <c r="F1238" s="9"/>
      <c r="G1238" s="9"/>
      <c r="H1238" s="9"/>
      <c r="I1238" s="9"/>
      <c r="J1238" s="9"/>
      <c r="K1238" s="9"/>
      <c r="L1238" s="9"/>
      <c r="M1238" s="9"/>
      <c r="N1238" s="9"/>
      <c r="O1238" s="9"/>
      <c r="P1238" s="9"/>
      <c r="Q1238" s="9"/>
    </row>
    <row r="1239" spans="4:17" s="294" customFormat="1" ht="15" customHeight="1">
      <c r="D1239" s="10"/>
      <c r="E1239" s="10"/>
      <c r="F1239" s="9"/>
      <c r="G1239" s="9"/>
      <c r="H1239" s="9"/>
      <c r="I1239" s="9"/>
      <c r="J1239" s="9"/>
      <c r="K1239" s="9"/>
      <c r="L1239" s="9"/>
      <c r="M1239" s="9"/>
      <c r="N1239" s="9"/>
      <c r="O1239" s="9"/>
      <c r="P1239" s="9"/>
      <c r="Q1239" s="9"/>
    </row>
    <row r="1240" spans="4:17" s="294" customFormat="1" ht="15" customHeight="1">
      <c r="D1240" s="10"/>
      <c r="E1240" s="10"/>
      <c r="F1240" s="9"/>
      <c r="G1240" s="9"/>
      <c r="H1240" s="9"/>
      <c r="I1240" s="9"/>
      <c r="J1240" s="9"/>
      <c r="K1240" s="9"/>
      <c r="L1240" s="9"/>
      <c r="M1240" s="9"/>
      <c r="N1240" s="9"/>
      <c r="O1240" s="9"/>
      <c r="P1240" s="9"/>
      <c r="Q1240" s="9"/>
    </row>
    <row r="1241" spans="4:17" s="294" customFormat="1" ht="15" customHeight="1">
      <c r="D1241" s="10"/>
      <c r="E1241" s="10"/>
      <c r="F1241" s="9"/>
      <c r="G1241" s="9"/>
      <c r="H1241" s="9"/>
      <c r="I1241" s="9"/>
      <c r="J1241" s="9"/>
      <c r="K1241" s="9"/>
      <c r="L1241" s="9"/>
      <c r="M1241" s="9"/>
      <c r="N1241" s="9"/>
      <c r="O1241" s="9"/>
      <c r="P1241" s="9"/>
      <c r="Q1241" s="9"/>
    </row>
    <row r="1242" spans="4:17" s="294" customFormat="1" ht="15" customHeight="1">
      <c r="D1242" s="10"/>
      <c r="E1242" s="10"/>
      <c r="F1242" s="9"/>
      <c r="G1242" s="9"/>
      <c r="H1242" s="9"/>
      <c r="I1242" s="9"/>
      <c r="J1242" s="9"/>
      <c r="K1242" s="9"/>
      <c r="L1242" s="9"/>
      <c r="M1242" s="9"/>
      <c r="N1242" s="9"/>
      <c r="O1242" s="9"/>
      <c r="P1242" s="9"/>
      <c r="Q1242" s="9"/>
    </row>
    <row r="1243" spans="4:17" s="294" customFormat="1" ht="15" customHeight="1">
      <c r="D1243" s="10"/>
      <c r="E1243" s="10"/>
      <c r="F1243" s="9"/>
      <c r="G1243" s="9"/>
      <c r="H1243" s="9"/>
      <c r="I1243" s="9"/>
      <c r="J1243" s="9"/>
      <c r="K1243" s="9"/>
      <c r="L1243" s="9"/>
      <c r="M1243" s="9"/>
      <c r="N1243" s="9"/>
      <c r="O1243" s="9"/>
      <c r="P1243" s="9"/>
      <c r="Q1243" s="9"/>
    </row>
    <row r="1244" spans="4:17" s="294" customFormat="1" ht="15" customHeight="1">
      <c r="D1244" s="10"/>
      <c r="E1244" s="10"/>
      <c r="F1244" s="9"/>
      <c r="G1244" s="9"/>
      <c r="H1244" s="9"/>
      <c r="I1244" s="9"/>
      <c r="J1244" s="9"/>
      <c r="K1244" s="9"/>
      <c r="L1244" s="9"/>
      <c r="M1244" s="9"/>
      <c r="N1244" s="9"/>
      <c r="O1244" s="9"/>
      <c r="P1244" s="9"/>
      <c r="Q1244" s="9"/>
    </row>
    <row r="1245" spans="4:17" s="294" customFormat="1" ht="15" customHeight="1">
      <c r="D1245" s="10"/>
      <c r="E1245" s="10"/>
      <c r="F1245" s="9"/>
      <c r="G1245" s="9"/>
      <c r="H1245" s="9"/>
      <c r="I1245" s="9"/>
      <c r="J1245" s="9"/>
      <c r="K1245" s="9"/>
      <c r="L1245" s="9"/>
      <c r="M1245" s="9"/>
      <c r="N1245" s="9"/>
      <c r="O1245" s="9"/>
      <c r="P1245" s="9"/>
      <c r="Q1245" s="9"/>
    </row>
    <row r="1246" spans="4:17" s="294" customFormat="1" ht="15" customHeight="1">
      <c r="D1246" s="10"/>
      <c r="E1246" s="10"/>
      <c r="F1246" s="9"/>
      <c r="G1246" s="9"/>
      <c r="H1246" s="9"/>
      <c r="I1246" s="9"/>
      <c r="J1246" s="9"/>
      <c r="K1246" s="9"/>
      <c r="L1246" s="9"/>
      <c r="M1246" s="9"/>
      <c r="N1246" s="9"/>
      <c r="O1246" s="9"/>
      <c r="P1246" s="9"/>
      <c r="Q1246" s="9"/>
    </row>
    <row r="1247" spans="4:17" s="294" customFormat="1" ht="15" customHeight="1">
      <c r="D1247" s="10"/>
      <c r="E1247" s="10"/>
      <c r="F1247" s="9"/>
      <c r="G1247" s="9"/>
      <c r="H1247" s="9"/>
      <c r="I1247" s="9"/>
      <c r="J1247" s="9"/>
      <c r="K1247" s="9"/>
      <c r="L1247" s="9"/>
      <c r="M1247" s="9"/>
      <c r="N1247" s="9"/>
      <c r="O1247" s="9"/>
      <c r="P1247" s="9"/>
      <c r="Q1247" s="9"/>
    </row>
    <row r="1248" spans="4:17" s="294" customFormat="1" ht="15" customHeight="1">
      <c r="D1248" s="10"/>
      <c r="E1248" s="10"/>
      <c r="F1248" s="9"/>
      <c r="G1248" s="9"/>
      <c r="H1248" s="9"/>
      <c r="I1248" s="9"/>
      <c r="J1248" s="9"/>
      <c r="K1248" s="9"/>
      <c r="L1248" s="9"/>
      <c r="M1248" s="9"/>
      <c r="N1248" s="9"/>
      <c r="O1248" s="9"/>
      <c r="P1248" s="9"/>
      <c r="Q1248" s="9"/>
    </row>
    <row r="1249" spans="4:17" s="294" customFormat="1" ht="15" customHeight="1">
      <c r="D1249" s="10"/>
      <c r="E1249" s="10"/>
      <c r="F1249" s="9"/>
      <c r="G1249" s="9"/>
      <c r="H1249" s="9"/>
      <c r="I1249" s="9"/>
      <c r="J1249" s="9"/>
      <c r="K1249" s="9"/>
      <c r="L1249" s="9"/>
      <c r="M1249" s="9"/>
      <c r="N1249" s="9"/>
      <c r="O1249" s="9"/>
      <c r="P1249" s="9"/>
      <c r="Q1249" s="9"/>
    </row>
    <row r="1250" spans="4:17" s="294" customFormat="1" ht="15" customHeight="1">
      <c r="D1250" s="10"/>
      <c r="E1250" s="10"/>
      <c r="F1250" s="9"/>
      <c r="G1250" s="9"/>
      <c r="H1250" s="9"/>
      <c r="I1250" s="9"/>
      <c r="J1250" s="9"/>
      <c r="K1250" s="9"/>
      <c r="L1250" s="9"/>
      <c r="M1250" s="9"/>
      <c r="N1250" s="9"/>
      <c r="O1250" s="9"/>
      <c r="P1250" s="9"/>
      <c r="Q1250" s="9"/>
    </row>
    <row r="1251" spans="4:17" s="294" customFormat="1" ht="15" customHeight="1">
      <c r="D1251" s="10"/>
      <c r="E1251" s="10"/>
      <c r="F1251" s="9"/>
      <c r="G1251" s="9"/>
      <c r="H1251" s="9"/>
      <c r="I1251" s="9"/>
      <c r="J1251" s="9"/>
      <c r="K1251" s="9"/>
      <c r="L1251" s="9"/>
      <c r="M1251" s="9"/>
      <c r="N1251" s="9"/>
      <c r="O1251" s="9"/>
      <c r="P1251" s="9"/>
      <c r="Q1251" s="9"/>
    </row>
    <row r="1252" spans="4:17" s="294" customFormat="1" ht="15" customHeight="1">
      <c r="D1252" s="10"/>
      <c r="E1252" s="10"/>
      <c r="F1252" s="9"/>
      <c r="G1252" s="9"/>
      <c r="H1252" s="9"/>
      <c r="I1252" s="9"/>
      <c r="J1252" s="9"/>
      <c r="K1252" s="9"/>
      <c r="L1252" s="9"/>
      <c r="M1252" s="9"/>
      <c r="N1252" s="9"/>
      <c r="O1252" s="9"/>
      <c r="P1252" s="9"/>
      <c r="Q1252" s="9"/>
    </row>
    <row r="1253" spans="4:17" s="294" customFormat="1" ht="15" customHeight="1">
      <c r="D1253" s="10"/>
      <c r="E1253" s="10"/>
      <c r="F1253" s="9"/>
      <c r="G1253" s="9"/>
      <c r="H1253" s="9"/>
      <c r="I1253" s="9"/>
      <c r="J1253" s="9"/>
      <c r="K1253" s="9"/>
      <c r="L1253" s="9"/>
      <c r="M1253" s="9"/>
      <c r="N1253" s="9"/>
      <c r="O1253" s="9"/>
      <c r="P1253" s="9"/>
      <c r="Q1253" s="9"/>
    </row>
    <row r="1254" spans="4:17" s="294" customFormat="1" ht="15" customHeight="1">
      <c r="D1254" s="10"/>
      <c r="E1254" s="10"/>
      <c r="F1254" s="9"/>
      <c r="G1254" s="9"/>
      <c r="H1254" s="9"/>
      <c r="I1254" s="9"/>
      <c r="J1254" s="9"/>
      <c r="K1254" s="9"/>
      <c r="L1254" s="9"/>
      <c r="M1254" s="9"/>
      <c r="N1254" s="9"/>
      <c r="O1254" s="9"/>
      <c r="P1254" s="9"/>
      <c r="Q1254" s="9"/>
    </row>
    <row r="1255" spans="4:17" s="294" customFormat="1" ht="15" customHeight="1">
      <c r="D1255" s="10"/>
      <c r="E1255" s="10"/>
      <c r="F1255" s="9"/>
      <c r="G1255" s="9"/>
      <c r="H1255" s="9"/>
      <c r="I1255" s="9"/>
      <c r="J1255" s="9"/>
      <c r="K1255" s="9"/>
      <c r="L1255" s="9"/>
      <c r="M1255" s="9"/>
      <c r="N1255" s="9"/>
      <c r="O1255" s="9"/>
      <c r="P1255" s="9"/>
      <c r="Q1255" s="9"/>
    </row>
    <row r="1256" spans="4:17" s="294" customFormat="1" ht="15" customHeight="1">
      <c r="D1256" s="10"/>
      <c r="E1256" s="10"/>
      <c r="F1256" s="9"/>
      <c r="G1256" s="9"/>
      <c r="H1256" s="9"/>
      <c r="I1256" s="9"/>
      <c r="J1256" s="9"/>
      <c r="K1256" s="9"/>
      <c r="L1256" s="9"/>
      <c r="M1256" s="9"/>
      <c r="N1256" s="9"/>
      <c r="O1256" s="9"/>
      <c r="P1256" s="9"/>
      <c r="Q1256" s="9"/>
    </row>
    <row r="1257" spans="4:17" s="294" customFormat="1" ht="15" customHeight="1">
      <c r="D1257" s="10"/>
      <c r="E1257" s="10"/>
      <c r="F1257" s="9"/>
      <c r="G1257" s="9"/>
      <c r="H1257" s="9"/>
      <c r="I1257" s="9"/>
      <c r="J1257" s="9"/>
      <c r="K1257" s="9"/>
      <c r="L1257" s="9"/>
      <c r="M1257" s="9"/>
      <c r="N1257" s="9"/>
      <c r="O1257" s="9"/>
      <c r="P1257" s="9"/>
      <c r="Q1257" s="9"/>
    </row>
    <row r="1258" spans="4:17" s="294" customFormat="1" ht="15" customHeight="1">
      <c r="D1258" s="10"/>
      <c r="E1258" s="10"/>
      <c r="F1258" s="9"/>
      <c r="G1258" s="9"/>
      <c r="H1258" s="9"/>
      <c r="I1258" s="9"/>
      <c r="J1258" s="9"/>
      <c r="K1258" s="9"/>
      <c r="L1258" s="9"/>
      <c r="M1258" s="9"/>
      <c r="N1258" s="9"/>
      <c r="O1258" s="9"/>
      <c r="P1258" s="9"/>
      <c r="Q1258" s="9"/>
    </row>
    <row r="1259" spans="4:17" s="294" customFormat="1" ht="15" customHeight="1">
      <c r="D1259" s="10"/>
      <c r="E1259" s="10"/>
      <c r="F1259" s="9"/>
      <c r="G1259" s="9"/>
      <c r="H1259" s="9"/>
      <c r="I1259" s="9"/>
      <c r="J1259" s="9"/>
      <c r="K1259" s="9"/>
      <c r="L1259" s="9"/>
      <c r="M1259" s="9"/>
      <c r="N1259" s="9"/>
      <c r="O1259" s="9"/>
      <c r="P1259" s="9"/>
      <c r="Q1259" s="9"/>
    </row>
    <row r="1260" spans="4:17" s="294" customFormat="1" ht="15" customHeight="1">
      <c r="D1260" s="10"/>
      <c r="E1260" s="10"/>
      <c r="F1260" s="9"/>
      <c r="G1260" s="9"/>
      <c r="H1260" s="9"/>
      <c r="I1260" s="9"/>
      <c r="J1260" s="9"/>
      <c r="K1260" s="9"/>
      <c r="L1260" s="9"/>
      <c r="M1260" s="9"/>
      <c r="N1260" s="9"/>
      <c r="O1260" s="9"/>
      <c r="P1260" s="9"/>
      <c r="Q1260" s="9"/>
    </row>
    <row r="1261" spans="4:17" s="294" customFormat="1" ht="15" customHeight="1">
      <c r="D1261" s="10"/>
      <c r="E1261" s="10"/>
      <c r="F1261" s="9"/>
      <c r="G1261" s="9"/>
      <c r="H1261" s="9"/>
      <c r="I1261" s="9"/>
      <c r="J1261" s="9"/>
      <c r="K1261" s="9"/>
      <c r="L1261" s="9"/>
      <c r="M1261" s="9"/>
      <c r="N1261" s="9"/>
      <c r="O1261" s="9"/>
      <c r="P1261" s="9"/>
      <c r="Q1261" s="9"/>
    </row>
    <row r="1262" spans="4:17" s="294" customFormat="1" ht="15" customHeight="1">
      <c r="D1262" s="10"/>
      <c r="E1262" s="10"/>
      <c r="F1262" s="9"/>
      <c r="G1262" s="9"/>
      <c r="H1262" s="9"/>
      <c r="I1262" s="9"/>
      <c r="J1262" s="9"/>
      <c r="K1262" s="9"/>
      <c r="L1262" s="9"/>
      <c r="M1262" s="9"/>
      <c r="N1262" s="9"/>
      <c r="O1262" s="9"/>
      <c r="P1262" s="9"/>
      <c r="Q1262" s="9"/>
    </row>
    <row r="1263" spans="4:17" s="294" customFormat="1" ht="15" customHeight="1">
      <c r="D1263" s="10"/>
      <c r="E1263" s="10"/>
      <c r="F1263" s="9"/>
      <c r="G1263" s="9"/>
      <c r="H1263" s="9"/>
      <c r="I1263" s="9"/>
      <c r="J1263" s="9"/>
      <c r="K1263" s="9"/>
      <c r="L1263" s="9"/>
      <c r="M1263" s="9"/>
      <c r="N1263" s="9"/>
      <c r="O1263" s="9"/>
      <c r="P1263" s="9"/>
      <c r="Q1263" s="9"/>
    </row>
    <row r="1264" spans="4:17" s="294" customFormat="1" ht="15" customHeight="1">
      <c r="D1264" s="10"/>
      <c r="E1264" s="10"/>
      <c r="F1264" s="9"/>
      <c r="G1264" s="9"/>
      <c r="H1264" s="9"/>
      <c r="I1264" s="9"/>
      <c r="J1264" s="9"/>
      <c r="K1264" s="9"/>
      <c r="L1264" s="9"/>
      <c r="M1264" s="9"/>
      <c r="N1264" s="9"/>
      <c r="O1264" s="9"/>
      <c r="P1264" s="9"/>
      <c r="Q1264" s="9"/>
    </row>
    <row r="1265" spans="4:17" s="294" customFormat="1" ht="15" customHeight="1">
      <c r="D1265" s="10"/>
      <c r="E1265" s="10"/>
      <c r="F1265" s="9"/>
      <c r="G1265" s="9"/>
      <c r="H1265" s="9"/>
      <c r="I1265" s="9"/>
      <c r="J1265" s="9"/>
      <c r="K1265" s="9"/>
      <c r="L1265" s="9"/>
      <c r="M1265" s="9"/>
      <c r="N1265" s="9"/>
      <c r="O1265" s="9"/>
      <c r="P1265" s="9"/>
      <c r="Q1265" s="9"/>
    </row>
    <row r="1266" spans="4:17" s="294" customFormat="1" ht="15" customHeight="1">
      <c r="D1266" s="10"/>
      <c r="E1266" s="10"/>
      <c r="F1266" s="9"/>
      <c r="G1266" s="9"/>
      <c r="H1266" s="9"/>
      <c r="I1266" s="9"/>
      <c r="J1266" s="9"/>
      <c r="K1266" s="9"/>
      <c r="L1266" s="9"/>
      <c r="M1266" s="9"/>
      <c r="N1266" s="9"/>
      <c r="O1266" s="9"/>
      <c r="P1266" s="9"/>
      <c r="Q1266" s="9"/>
    </row>
  </sheetData>
  <conditionalFormatting sqref="F7:Q7">
    <cfRule type="cellIs" dxfId="156" priority="3" operator="equal">
      <formula>0</formula>
    </cfRule>
  </conditionalFormatting>
  <conditionalFormatting sqref="C115:Q120">
    <cfRule type="colorScale" priority="2">
      <colorScale>
        <cfvo type="min"/>
        <cfvo type="percentile" val="50"/>
        <cfvo type="max"/>
        <color rgb="FFF8696B"/>
        <color rgb="FFFCFCFF"/>
        <color rgb="FF63BE7B"/>
      </colorScale>
    </cfRule>
  </conditionalFormatting>
  <conditionalFormatting sqref="C133:Q138">
    <cfRule type="colorScale" priority="1">
      <colorScale>
        <cfvo type="min"/>
        <cfvo type="percentile" val="50"/>
        <cfvo type="max"/>
        <color rgb="FFF8696B"/>
        <color rgb="FFFCFCFF"/>
        <color rgb="FF63BE7B"/>
      </colorScale>
    </cfRule>
  </conditionalFormatting>
  <hyperlinks>
    <hyperlink ref="A1" location="ControlPanel!A1" display="&lt;" xr:uid="{00000000-0004-0000-0A00-000000000000}"/>
  </hyperlinks>
  <pageMargins left="0.78740157480314965" right="0.78740157480314965" top="0.98425196850393704" bottom="0.98425196850393704" header="0.59055118110236227" footer="0.59055118110236227"/>
  <pageSetup paperSize="9" scale="32" fitToHeight="0" orientation="landscape" horizontalDpi="4294967293" verticalDpi="1200" r:id="rId1"/>
  <headerFooter scaleWithDoc="0">
    <oddHeader>&amp;C&amp;"Arial,Fett"&amp;18EEG Calculator</oddHeader>
    <oddFooter>&amp;LKontostandsberechnung&amp;C&amp;F  &amp;A  Seite &amp;P/&amp;N&amp;R&amp;D  &amp;T</oddFooter>
  </headerFooter>
  <rowBreaks count="1" manualBreakCount="1">
    <brk id="58" max="16383" man="1"/>
  </row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0">
    <tabColor rgb="FF00B0F0"/>
  </sheetPr>
  <dimension ref="A1:AI996"/>
  <sheetViews>
    <sheetView zoomScaleNormal="100" workbookViewId="0">
      <pane xSplit="5" ySplit="5" topLeftCell="F60" activePane="bottomRight" state="frozen"/>
      <selection activeCell="I45" sqref="I45"/>
      <selection pane="topRight" activeCell="I45" sqref="I45"/>
      <selection pane="bottomLeft" activeCell="I45" sqref="I45"/>
      <selection pane="bottomRight" activeCell="F70" sqref="F70"/>
    </sheetView>
  </sheetViews>
  <sheetFormatPr defaultColWidth="11.5546875" defaultRowHeight="13.2" outlineLevelCol="1"/>
  <cols>
    <col min="1" max="1" width="7.6640625" style="9" customWidth="1"/>
    <col min="2" max="2" width="26.33203125" style="294" hidden="1" customWidth="1" outlineLevel="1"/>
    <col min="3" max="3" width="20.6640625" style="10" hidden="1" customWidth="1" outlineLevel="1"/>
    <col min="4" max="4" width="4" style="29" customWidth="1" outlineLevel="1"/>
    <col min="5" max="5" width="74.5546875" style="36" customWidth="1"/>
    <col min="6" max="6" width="8" style="324" bestFit="1" customWidth="1"/>
    <col min="7" max="7" width="8.44140625" style="324" bestFit="1" customWidth="1"/>
    <col min="8" max="8" width="7.5546875" style="324" bestFit="1" customWidth="1"/>
    <col min="9" max="9" width="7.88671875" style="324" bestFit="1" customWidth="1"/>
    <col min="10" max="10" width="7.5546875" style="324" bestFit="1" customWidth="1"/>
    <col min="11" max="11" width="8.5546875" style="324" bestFit="1" customWidth="1"/>
    <col min="12" max="14" width="7.5546875" style="324" bestFit="1" customWidth="1"/>
    <col min="15" max="15" width="7.5546875" style="324" customWidth="1"/>
    <col min="16" max="16" width="7.88671875" style="324" customWidth="1"/>
    <col min="17" max="31" width="7.5546875" style="324" customWidth="1"/>
    <col min="32" max="33" width="8" style="9" hidden="1" customWidth="1" outlineLevel="1"/>
    <col min="34" max="34" width="41.33203125" style="9" customWidth="1" collapsed="1"/>
    <col min="35" max="35" width="13.6640625" style="9" bestFit="1" customWidth="1"/>
    <col min="36" max="16384" width="11.5546875" style="9"/>
  </cols>
  <sheetData>
    <row r="1" spans="1:34">
      <c r="A1" s="9" t="s">
        <v>74</v>
      </c>
      <c r="B1" s="20"/>
      <c r="C1" s="19"/>
      <c r="D1" s="28"/>
      <c r="E1" s="191" t="s">
        <v>672</v>
      </c>
    </row>
    <row r="2" spans="1:34" ht="47.25" customHeight="1">
      <c r="B2" s="10"/>
      <c r="E2" s="519" t="s">
        <v>673</v>
      </c>
    </row>
    <row r="3" spans="1:34">
      <c r="B3" s="10"/>
      <c r="E3" s="83"/>
    </row>
    <row r="4" spans="1:34">
      <c r="B4" s="10"/>
      <c r="E4" s="314"/>
      <c r="F4" s="300"/>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row>
    <row r="5" spans="1:34">
      <c r="A5" s="927" t="s">
        <v>157</v>
      </c>
      <c r="B5" s="10"/>
      <c r="E5" s="188"/>
      <c r="F5" s="68">
        <v>2010</v>
      </c>
      <c r="G5" s="68">
        <v>2011</v>
      </c>
      <c r="H5" s="68">
        <v>2012</v>
      </c>
      <c r="I5" s="68">
        <v>2013</v>
      </c>
      <c r="J5" s="68">
        <v>2014</v>
      </c>
      <c r="K5" s="68">
        <v>2015</v>
      </c>
      <c r="L5" s="68">
        <v>2016</v>
      </c>
      <c r="M5" s="68">
        <v>2017</v>
      </c>
      <c r="N5" s="68">
        <v>2018</v>
      </c>
      <c r="O5" s="68">
        <v>2019</v>
      </c>
      <c r="P5" s="68">
        <v>2020</v>
      </c>
      <c r="Q5" s="68">
        <v>2021</v>
      </c>
      <c r="R5" s="68">
        <v>2022</v>
      </c>
      <c r="S5" s="68">
        <v>2023</v>
      </c>
      <c r="T5" s="68">
        <v>2024</v>
      </c>
      <c r="U5" s="68">
        <v>2025</v>
      </c>
      <c r="V5" s="68">
        <v>2026</v>
      </c>
      <c r="W5" s="68">
        <v>2027</v>
      </c>
      <c r="X5" s="68">
        <v>2028</v>
      </c>
      <c r="Y5" s="68">
        <v>2029</v>
      </c>
      <c r="Z5" s="68">
        <v>2030</v>
      </c>
      <c r="AA5" s="68">
        <v>2031</v>
      </c>
      <c r="AB5" s="68">
        <v>2032</v>
      </c>
      <c r="AC5" s="68">
        <v>2033</v>
      </c>
      <c r="AD5" s="68">
        <v>2034</v>
      </c>
      <c r="AE5" s="68">
        <v>2035</v>
      </c>
      <c r="AF5" s="9" t="s">
        <v>156</v>
      </c>
      <c r="AG5" s="9" t="s">
        <v>143</v>
      </c>
    </row>
    <row r="6" spans="1:34">
      <c r="B6" s="10"/>
      <c r="E6" s="192" t="s">
        <v>674</v>
      </c>
    </row>
    <row r="7" spans="1:34" s="294" customFormat="1">
      <c r="A7" s="553">
        <v>7</v>
      </c>
      <c r="C7" s="10"/>
      <c r="D7" s="29"/>
      <c r="E7" s="582" t="s">
        <v>675</v>
      </c>
    </row>
    <row r="8" spans="1:34" s="294" customFormat="1">
      <c r="A8" s="553">
        <v>8</v>
      </c>
      <c r="C8" s="10"/>
      <c r="D8" s="29"/>
      <c r="E8" s="199" t="s">
        <v>427</v>
      </c>
      <c r="F8" s="190">
        <v>2.0469999999999997</v>
      </c>
      <c r="G8" s="190">
        <v>3.5300000000000007</v>
      </c>
      <c r="H8" s="190">
        <v>3.5920000000000005</v>
      </c>
      <c r="I8" s="190">
        <v>5.2769999999999992</v>
      </c>
      <c r="J8" s="190">
        <v>6.2399999999999993</v>
      </c>
      <c r="K8" s="190">
        <v>6.17</v>
      </c>
      <c r="L8" s="190">
        <v>6.3394923951914501</v>
      </c>
      <c r="M8" s="190">
        <v>6.862870744991362</v>
      </c>
      <c r="N8" s="190">
        <v>6.7807438583746604</v>
      </c>
      <c r="O8" s="190">
        <v>6.405925003395339</v>
      </c>
      <c r="P8" s="190">
        <v>6.7560731885971812</v>
      </c>
      <c r="Q8" s="190">
        <v>6.5003634995875341</v>
      </c>
      <c r="R8" s="190">
        <v>5.999829931707656</v>
      </c>
      <c r="S8" s="190">
        <v>5.7540581975897345</v>
      </c>
      <c r="T8" s="190">
        <v>5.6173863183219579</v>
      </c>
      <c r="U8" s="190">
        <v>5.1106041596116398</v>
      </c>
      <c r="V8" s="190">
        <v>4.6618439243304826</v>
      </c>
      <c r="W8" s="190">
        <v>4.0727911568283961</v>
      </c>
      <c r="X8" s="190">
        <v>3.6215750816789316</v>
      </c>
      <c r="Y8" s="190">
        <v>3.1227738888994274</v>
      </c>
      <c r="Z8" s="190">
        <v>2.5242573906001367</v>
      </c>
      <c r="AA8" s="190">
        <v>1.6544335601121409</v>
      </c>
      <c r="AB8" s="190">
        <v>0.82320329708978601</v>
      </c>
      <c r="AC8" s="190">
        <v>0.39530094707806102</v>
      </c>
      <c r="AD8" s="190">
        <v>0.21676830628474378</v>
      </c>
      <c r="AE8" s="1023">
        <v>0.54192582780461751</v>
      </c>
      <c r="AF8" s="928"/>
      <c r="AG8" s="928"/>
      <c r="AH8" s="559"/>
    </row>
    <row r="9" spans="1:34" s="294" customFormat="1">
      <c r="A9" s="553">
        <v>9</v>
      </c>
      <c r="C9" s="10"/>
      <c r="D9" s="29"/>
      <c r="E9" s="197" t="s">
        <v>676</v>
      </c>
      <c r="F9" s="56">
        <v>0.12188854688</v>
      </c>
      <c r="G9" s="56">
        <v>5.7623056991530017E-2</v>
      </c>
      <c r="H9" s="56">
        <v>0.14606846574000004</v>
      </c>
      <c r="I9" s="56">
        <v>0.19491568635000001</v>
      </c>
      <c r="J9" s="56">
        <v>0.28466948240000001</v>
      </c>
      <c r="K9" s="56">
        <v>0.33879737999000004</v>
      </c>
      <c r="L9" s="56">
        <v>0.38709749236000002</v>
      </c>
      <c r="M9" s="56">
        <v>0.42404636424999992</v>
      </c>
      <c r="N9" s="56">
        <v>0.33617967500000001</v>
      </c>
      <c r="O9" s="56">
        <v>0.30603378476000004</v>
      </c>
      <c r="P9" s="56">
        <v>0.26585502989999993</v>
      </c>
      <c r="Q9" s="56">
        <v>0.33209319147999994</v>
      </c>
      <c r="R9" s="56">
        <v>0.32424518091618909</v>
      </c>
      <c r="S9" s="56">
        <v>0.31072956518336564</v>
      </c>
      <c r="T9" s="56">
        <v>0.30082191920654222</v>
      </c>
      <c r="U9" s="56">
        <v>0.2903648855795693</v>
      </c>
      <c r="V9" s="56">
        <v>0.27933665668307511</v>
      </c>
      <c r="W9" s="56">
        <v>0.26772344159742978</v>
      </c>
      <c r="X9" s="56">
        <v>0.25550725043928324</v>
      </c>
      <c r="Y9" s="56">
        <v>0.2426699825202005</v>
      </c>
      <c r="Z9" s="56">
        <v>0.20899047184121244</v>
      </c>
      <c r="AA9" s="56">
        <v>0.1897704335619953</v>
      </c>
      <c r="AB9" s="56">
        <v>0.16630887607760214</v>
      </c>
      <c r="AC9" s="56">
        <v>0.14540820097843593</v>
      </c>
      <c r="AD9" s="56">
        <v>0.12946986956304835</v>
      </c>
      <c r="AE9" s="1024">
        <v>0.11575150745165136</v>
      </c>
      <c r="AF9" s="928"/>
      <c r="AG9" s="928"/>
      <c r="AH9" s="559"/>
    </row>
    <row r="10" spans="1:34" s="294" customFormat="1">
      <c r="A10" s="553">
        <v>10</v>
      </c>
      <c r="C10" s="10"/>
      <c r="D10" s="29"/>
      <c r="E10" s="197" t="s">
        <v>679</v>
      </c>
      <c r="F10" s="56">
        <v>3.1084019199999993E-2</v>
      </c>
      <c r="G10" s="56">
        <v>3.9630446239100024E-3</v>
      </c>
      <c r="H10" s="56">
        <v>1.2397567299999995E-2</v>
      </c>
      <c r="I10" s="56">
        <v>3.4412212400000003E-2</v>
      </c>
      <c r="J10" s="56">
        <v>3.0887643399999998E-2</v>
      </c>
      <c r="K10" s="56">
        <v>5.7881579700000012E-2</v>
      </c>
      <c r="L10" s="56">
        <v>6.2763596220000023E-2</v>
      </c>
      <c r="M10" s="56">
        <v>5.9041663249999987E-2</v>
      </c>
      <c r="N10" s="56">
        <v>4.9687954939999994E-2</v>
      </c>
      <c r="O10" s="56">
        <v>3.6943855719999988E-2</v>
      </c>
      <c r="P10" s="56">
        <v>2.3317509879999997E-2</v>
      </c>
      <c r="Q10" s="56">
        <v>3.0264385259999999E-2</v>
      </c>
      <c r="R10" s="56">
        <v>3.3562747043190282E-2</v>
      </c>
      <c r="S10" s="56">
        <v>2.4453382339494401E-2</v>
      </c>
      <c r="T10" s="56">
        <v>1.6161795554004522E-2</v>
      </c>
      <c r="U10" s="56">
        <v>9.7014344363949984E-3</v>
      </c>
      <c r="V10" s="56">
        <v>8.5539387846584151E-3</v>
      </c>
      <c r="W10" s="56">
        <v>7.3383616959830332E-3</v>
      </c>
      <c r="X10" s="56">
        <v>6.228070326826346E-3</v>
      </c>
      <c r="Y10" s="56">
        <v>4.8231976060993595E-3</v>
      </c>
      <c r="Z10" s="56">
        <v>2.6511292636549888E-3</v>
      </c>
      <c r="AA10" s="56">
        <v>5.1777308747166795E-4</v>
      </c>
      <c r="AB10" s="56">
        <v>-1.5924601197898486E-3</v>
      </c>
      <c r="AC10" s="56">
        <v>-4.1305309492215142E-3</v>
      </c>
      <c r="AD10" s="56">
        <v>-6.9630367823201034E-3</v>
      </c>
      <c r="AE10" s="1024">
        <v>-1.0104662561580949E-2</v>
      </c>
      <c r="AF10" s="928"/>
      <c r="AG10" s="928"/>
      <c r="AH10" s="559"/>
    </row>
    <row r="11" spans="1:34" s="294" customFormat="1">
      <c r="A11" s="553">
        <v>11</v>
      </c>
      <c r="C11" s="10"/>
      <c r="D11" s="29"/>
      <c r="E11" s="197" t="s">
        <v>677</v>
      </c>
      <c r="F11" s="56">
        <v>2.5418863742400002</v>
      </c>
      <c r="G11" s="56">
        <v>3.0160733982850703</v>
      </c>
      <c r="H11" s="56">
        <v>3.4528402965599998</v>
      </c>
      <c r="I11" s="56">
        <v>4.3539807116499984</v>
      </c>
      <c r="J11" s="56">
        <v>4.9918920658999983</v>
      </c>
      <c r="K11" s="56">
        <v>5.7822353740800008</v>
      </c>
      <c r="L11" s="56">
        <v>6.2681851475200006</v>
      </c>
      <c r="M11" s="56">
        <v>6.5923082929999994</v>
      </c>
      <c r="N11" s="56">
        <v>6.629159948239999</v>
      </c>
      <c r="O11" s="56">
        <v>6.38129394072</v>
      </c>
      <c r="P11" s="56">
        <v>6.1288223976400005</v>
      </c>
      <c r="Q11" s="56">
        <v>6.4954462491599987</v>
      </c>
      <c r="R11" s="56">
        <v>6.5535882417431974</v>
      </c>
      <c r="S11" s="56">
        <v>6.3759686645360967</v>
      </c>
      <c r="T11" s="56">
        <v>6.2231981056919619</v>
      </c>
      <c r="U11" s="56">
        <v>5.8886911558030466</v>
      </c>
      <c r="V11" s="56">
        <v>5.3006373909567923</v>
      </c>
      <c r="W11" s="56">
        <v>4.5972879834473472</v>
      </c>
      <c r="X11" s="56">
        <v>4.0411171051783903</v>
      </c>
      <c r="Y11" s="56">
        <v>3.7538047856450962</v>
      </c>
      <c r="Z11" s="56">
        <v>3.3568634995212023</v>
      </c>
      <c r="AA11" s="56">
        <v>2.7052106856135492</v>
      </c>
      <c r="AB11" s="56">
        <v>1.6545109416854951</v>
      </c>
      <c r="AC11" s="56">
        <v>1.4504923439700139</v>
      </c>
      <c r="AD11" s="56">
        <v>1.2759526119771478</v>
      </c>
      <c r="AE11" s="1024">
        <v>1.1510167120327033</v>
      </c>
      <c r="AF11" s="928"/>
      <c r="AG11" s="928"/>
      <c r="AH11" s="559"/>
    </row>
    <row r="12" spans="1:34" s="294" customFormat="1">
      <c r="A12" s="553">
        <v>12</v>
      </c>
      <c r="C12" s="10"/>
      <c r="D12" s="29"/>
      <c r="E12" s="197" t="s">
        <v>678</v>
      </c>
      <c r="F12" s="56">
        <v>3.4685827199999993E-3</v>
      </c>
      <c r="G12" s="56">
        <v>9.9642191869200002E-3</v>
      </c>
      <c r="H12" s="56">
        <v>1.78074919E-2</v>
      </c>
      <c r="I12" s="56">
        <v>1.4191574750000002E-2</v>
      </c>
      <c r="J12" s="56">
        <v>2.6326473849999997E-2</v>
      </c>
      <c r="K12" s="56">
        <v>3.3365317839999999E-2</v>
      </c>
      <c r="L12" s="56">
        <v>3.8348230140000002E-2</v>
      </c>
      <c r="M12" s="56">
        <v>4.1819045749999992E-2</v>
      </c>
      <c r="N12" s="56">
        <v>4.3220429720000009E-2</v>
      </c>
      <c r="O12" s="56">
        <v>4.8019032759999997E-2</v>
      </c>
      <c r="P12" s="56">
        <v>3.4556578400000003E-2</v>
      </c>
      <c r="Q12" s="56">
        <v>4.5731817699999996E-2</v>
      </c>
      <c r="R12" s="56">
        <v>7.6261295413400917E-2</v>
      </c>
      <c r="S12" s="56">
        <v>9.4027706508566858E-2</v>
      </c>
      <c r="T12" s="56">
        <v>0.10195623918435989</v>
      </c>
      <c r="U12" s="56">
        <v>0.10567433382917735</v>
      </c>
      <c r="V12" s="56">
        <v>0.11031116693214116</v>
      </c>
      <c r="W12" s="56">
        <v>0.11570812114910349</v>
      </c>
      <c r="X12" s="56">
        <v>0.12031509553965236</v>
      </c>
      <c r="Y12" s="56">
        <v>0.12414703119862211</v>
      </c>
      <c r="Z12" s="56">
        <v>0.12565011937063442</v>
      </c>
      <c r="AA12" s="56">
        <v>0.12799316206431582</v>
      </c>
      <c r="AB12" s="56">
        <v>0.1295977468961283</v>
      </c>
      <c r="AC12" s="56">
        <v>0.11953532032804569</v>
      </c>
      <c r="AD12" s="56">
        <v>0.10844975969923337</v>
      </c>
      <c r="AE12" s="1024">
        <v>0.10533346015596878</v>
      </c>
      <c r="AF12" s="928"/>
      <c r="AG12" s="928"/>
      <c r="AH12" s="559"/>
    </row>
    <row r="13" spans="1:34" s="294" customFormat="1">
      <c r="A13" s="553">
        <v>13</v>
      </c>
      <c r="C13" s="10"/>
      <c r="D13" s="29"/>
      <c r="E13" s="197" t="s">
        <v>680</v>
      </c>
      <c r="F13" s="56">
        <v>2.0691241629712005</v>
      </c>
      <c r="G13" s="56">
        <v>2.3808718814407634</v>
      </c>
      <c r="H13" s="56">
        <v>1.9247531760680991</v>
      </c>
      <c r="I13" s="56">
        <v>2.8611378375708987</v>
      </c>
      <c r="J13" s="56">
        <v>3.9666377987833004</v>
      </c>
      <c r="K13" s="56">
        <v>4.1260719783591906</v>
      </c>
      <c r="L13" s="56">
        <v>4.8417365215600006</v>
      </c>
      <c r="M13" s="56">
        <v>5.2807615635032494</v>
      </c>
      <c r="N13" s="56">
        <v>5.5775143741272988</v>
      </c>
      <c r="O13" s="56">
        <v>5.6413579340662405</v>
      </c>
      <c r="P13" s="56">
        <v>4.8133747401611213</v>
      </c>
      <c r="Q13" s="56">
        <v>5.691108289571261</v>
      </c>
      <c r="R13" s="56">
        <v>4.5233914667596693</v>
      </c>
      <c r="S13" s="56">
        <v>4.2107028130579121</v>
      </c>
      <c r="T13" s="56">
        <v>4.0751240289618806</v>
      </c>
      <c r="U13" s="56">
        <v>3.6179142259369437</v>
      </c>
      <c r="V13" s="56">
        <v>3.4912123951739762</v>
      </c>
      <c r="W13" s="56">
        <v>3.4066631117017918</v>
      </c>
      <c r="X13" s="56">
        <v>3.1201341192929677</v>
      </c>
      <c r="Y13" s="56">
        <v>2.9425756604709763</v>
      </c>
      <c r="Z13" s="56">
        <v>2.7272793707457419</v>
      </c>
      <c r="AA13" s="56">
        <v>2.4444598396076929</v>
      </c>
      <c r="AB13" s="56">
        <v>2.0782823102708132</v>
      </c>
      <c r="AC13" s="56">
        <v>1.5644119559636209</v>
      </c>
      <c r="AD13" s="56">
        <v>1.5290700129335297</v>
      </c>
      <c r="AE13" s="1024">
        <v>2.1420472700810036</v>
      </c>
      <c r="AF13" s="928"/>
      <c r="AG13" s="928"/>
      <c r="AH13" s="559"/>
    </row>
    <row r="14" spans="1:34" s="294" customFormat="1">
      <c r="A14" s="553">
        <v>14</v>
      </c>
      <c r="C14" s="10"/>
      <c r="D14" s="29"/>
      <c r="E14" s="197" t="s">
        <v>681</v>
      </c>
      <c r="F14" s="56">
        <v>6.9065164981200008E-2</v>
      </c>
      <c r="G14" s="56">
        <v>0.12430523595664419</v>
      </c>
      <c r="H14" s="56">
        <v>0.1405379763604</v>
      </c>
      <c r="I14" s="56">
        <v>0.34442926899999993</v>
      </c>
      <c r="J14" s="56">
        <v>1.1323432339999999</v>
      </c>
      <c r="K14" s="56">
        <v>1.672005118</v>
      </c>
      <c r="L14" s="56">
        <v>2.3516706750000003</v>
      </c>
      <c r="M14" s="56">
        <v>3.1470822620000001</v>
      </c>
      <c r="N14" s="56">
        <v>3.553076645</v>
      </c>
      <c r="O14" s="56">
        <v>3.9923599769999991</v>
      </c>
      <c r="P14" s="56">
        <v>4.3621876259999999</v>
      </c>
      <c r="Q14" s="56">
        <v>4.5754770980000004</v>
      </c>
      <c r="R14" s="56">
        <v>3.5334367861382505</v>
      </c>
      <c r="S14" s="56">
        <v>3.4459704409213963</v>
      </c>
      <c r="T14" s="56">
        <v>3.1845212571776784</v>
      </c>
      <c r="U14" s="56">
        <v>2.8195946186785061</v>
      </c>
      <c r="V14" s="56">
        <v>2.2476929639829208</v>
      </c>
      <c r="W14" s="56">
        <v>1.325990264571359</v>
      </c>
      <c r="X14" s="56">
        <v>1.040235513875464</v>
      </c>
      <c r="Y14" s="56">
        <v>0.50076710662172852</v>
      </c>
      <c r="Z14" s="56">
        <v>0.50134932140354227</v>
      </c>
      <c r="AA14" s="56">
        <v>0.50867447869385396</v>
      </c>
      <c r="AB14" s="56">
        <v>0.5352549452529507</v>
      </c>
      <c r="AC14" s="56">
        <v>0.5564051763077611</v>
      </c>
      <c r="AD14" s="56">
        <v>0.2812889535743528</v>
      </c>
      <c r="AE14" s="1024">
        <v>0.36588397396995997</v>
      </c>
      <c r="AF14" s="928"/>
      <c r="AG14" s="928"/>
      <c r="AH14" s="559"/>
    </row>
    <row r="15" spans="1:34" s="294" customFormat="1">
      <c r="A15" s="553">
        <v>15</v>
      </c>
      <c r="C15" s="10"/>
      <c r="D15" s="29"/>
      <c r="E15" s="197" t="s">
        <v>682</v>
      </c>
      <c r="F15" s="56">
        <v>3.3485097015039997</v>
      </c>
      <c r="G15" s="56">
        <v>6.8394584121654045</v>
      </c>
      <c r="H15" s="56">
        <v>7.4319177811085613</v>
      </c>
      <c r="I15" s="56">
        <v>8.6799413922943494</v>
      </c>
      <c r="J15" s="56">
        <v>9.3130277127160497</v>
      </c>
      <c r="K15" s="56">
        <v>9.8702883858915076</v>
      </c>
      <c r="L15" s="56">
        <v>9.6774694935297809</v>
      </c>
      <c r="M15" s="56">
        <v>9.4003909541750232</v>
      </c>
      <c r="N15" s="56">
        <v>9.6147312771624893</v>
      </c>
      <c r="O15" s="56">
        <v>8.9495815133635066</v>
      </c>
      <c r="P15" s="56">
        <v>8.970899724422809</v>
      </c>
      <c r="Q15" s="56">
        <v>9.5745799636013302</v>
      </c>
      <c r="R15" s="56">
        <v>9.7116613632239943</v>
      </c>
      <c r="S15" s="56">
        <v>9.6744183192521049</v>
      </c>
      <c r="T15" s="56">
        <v>9.6302883553410776</v>
      </c>
      <c r="U15" s="56">
        <v>9.0493399682921254</v>
      </c>
      <c r="V15" s="56">
        <v>8.6646323628606225</v>
      </c>
      <c r="W15" s="56">
        <v>8.3173238900473727</v>
      </c>
      <c r="X15" s="56">
        <v>7.8302643702108048</v>
      </c>
      <c r="Y15" s="56">
        <v>7.1014611359460105</v>
      </c>
      <c r="Z15" s="56">
        <v>5.6532991280487508</v>
      </c>
      <c r="AA15" s="56">
        <v>3.6302481928452366</v>
      </c>
      <c r="AB15" s="56">
        <v>2.1357245885357941</v>
      </c>
      <c r="AC15" s="56">
        <v>1.3316624785676141</v>
      </c>
      <c r="AD15" s="56">
        <v>1.1550764667779005</v>
      </c>
      <c r="AE15" s="1024">
        <v>1.5873977247417472</v>
      </c>
      <c r="AF15" s="928"/>
      <c r="AG15" s="928"/>
      <c r="AH15" s="559"/>
    </row>
    <row r="16" spans="1:34" s="294" customFormat="1">
      <c r="A16" s="553">
        <v>16</v>
      </c>
      <c r="C16" s="10"/>
      <c r="D16" s="29"/>
      <c r="E16" s="197" t="s">
        <v>683</v>
      </c>
      <c r="F16" s="56">
        <v>8.200179649999999</v>
      </c>
      <c r="G16" s="56">
        <v>13.525185549484002</v>
      </c>
      <c r="H16" s="56">
        <v>13.883379644640002</v>
      </c>
      <c r="I16" s="56">
        <v>20.224554263969999</v>
      </c>
      <c r="J16" s="56">
        <v>23.104251892799997</v>
      </c>
      <c r="K16" s="56">
        <v>21.638921885261176</v>
      </c>
      <c r="L16" s="56">
        <v>22.557176836808882</v>
      </c>
      <c r="M16" s="56">
        <v>23.518853825944579</v>
      </c>
      <c r="N16" s="56">
        <v>23.287413752796041</v>
      </c>
      <c r="O16" s="56">
        <v>22.055278978333259</v>
      </c>
      <c r="P16" s="56">
        <v>23.251783267739494</v>
      </c>
      <c r="Q16" s="56">
        <v>21.567257675944429</v>
      </c>
      <c r="R16" s="56">
        <v>19.787790878600095</v>
      </c>
      <c r="S16" s="56">
        <v>18.943124428595578</v>
      </c>
      <c r="T16" s="56">
        <v>18.431939163635487</v>
      </c>
      <c r="U16" s="56">
        <v>16.747902745627218</v>
      </c>
      <c r="V16" s="56">
        <v>15.271464606492245</v>
      </c>
      <c r="W16" s="56">
        <v>13.338451125506635</v>
      </c>
      <c r="X16" s="56">
        <v>11.85904313598815</v>
      </c>
      <c r="Y16" s="56">
        <v>10.228520802188038</v>
      </c>
      <c r="Z16" s="56">
        <v>8.2744466014867992</v>
      </c>
      <c r="AA16" s="56">
        <v>5.4274305469536737</v>
      </c>
      <c r="AB16" s="56">
        <v>2.7027079535987095</v>
      </c>
      <c r="AC16" s="56">
        <v>1.2979344983913317</v>
      </c>
      <c r="AD16" s="56">
        <v>0.71162506584497276</v>
      </c>
      <c r="AE16" s="1024">
        <v>1.7782173411559379</v>
      </c>
      <c r="AF16" s="928"/>
      <c r="AG16" s="928"/>
      <c r="AH16" s="559"/>
    </row>
    <row r="17" spans="1:34" s="294" customFormat="1">
      <c r="A17" s="553">
        <v>17</v>
      </c>
      <c r="C17" s="10"/>
      <c r="D17" s="29"/>
      <c r="E17" s="197" t="s">
        <v>684</v>
      </c>
      <c r="F17" s="56">
        <v>3.393607614718952E-2</v>
      </c>
      <c r="G17" s="56">
        <v>3.735757423773732E-2</v>
      </c>
      <c r="H17" s="56">
        <v>4.2365070647105346E-2</v>
      </c>
      <c r="I17" s="56">
        <v>3.2711856918474516E-2</v>
      </c>
      <c r="J17" s="56">
        <v>0.13849324742799995</v>
      </c>
      <c r="K17" s="56">
        <v>0.47547656901000002</v>
      </c>
      <c r="L17" s="56">
        <v>0.49202892511571256</v>
      </c>
      <c r="M17" s="56">
        <v>0.44702878609243896</v>
      </c>
      <c r="N17" s="56">
        <v>0.46681481386608825</v>
      </c>
      <c r="O17" s="56">
        <v>0.41821369137279235</v>
      </c>
      <c r="P17" s="56">
        <v>0.44460305294704661</v>
      </c>
      <c r="Q17" s="56">
        <v>0.41969364885136301</v>
      </c>
      <c r="R17" s="56">
        <v>0.38366564710034995</v>
      </c>
      <c r="S17" s="56">
        <v>0.36409369876060887</v>
      </c>
      <c r="T17" s="56">
        <v>0.35129535331313916</v>
      </c>
      <c r="U17" s="56">
        <v>0.31588530858695335</v>
      </c>
      <c r="V17" s="56">
        <v>0.28814753806588167</v>
      </c>
      <c r="W17" s="56">
        <v>0.25173831727220247</v>
      </c>
      <c r="X17" s="56">
        <v>0.22384875183405006</v>
      </c>
      <c r="Y17" s="56">
        <v>0.19301796083875072</v>
      </c>
      <c r="Z17" s="56">
        <v>0.15602378894537886</v>
      </c>
      <c r="AA17" s="56">
        <v>0.1022601710777673</v>
      </c>
      <c r="AB17" s="56">
        <v>5.0882013047702956E-2</v>
      </c>
      <c r="AC17" s="56">
        <v>2.4433463784829152E-2</v>
      </c>
      <c r="AD17" s="56">
        <v>1.3398400890400973E-2</v>
      </c>
      <c r="AE17" s="1024">
        <v>3.3496315112832055E-2</v>
      </c>
      <c r="AF17" s="928"/>
      <c r="AG17" s="928"/>
      <c r="AH17" s="559"/>
    </row>
    <row r="18" spans="1:34" s="294" customFormat="1">
      <c r="A18" s="553">
        <v>18</v>
      </c>
      <c r="C18" s="10"/>
      <c r="D18" s="29"/>
      <c r="E18" s="197" t="s">
        <v>685</v>
      </c>
      <c r="F18" s="56">
        <v>0</v>
      </c>
      <c r="G18" s="56">
        <v>0</v>
      </c>
      <c r="H18" s="56">
        <v>0</v>
      </c>
      <c r="I18" s="56">
        <v>0</v>
      </c>
      <c r="J18" s="56">
        <v>0</v>
      </c>
      <c r="K18" s="56">
        <v>1.0234140067499999E-3</v>
      </c>
      <c r="L18" s="56">
        <v>3.7802762549999998E-3</v>
      </c>
      <c r="M18" s="56">
        <v>1.6841460720919903E-2</v>
      </c>
      <c r="N18" s="56">
        <v>2.2158757081126169E-2</v>
      </c>
      <c r="O18" s="56">
        <v>3.8612388326398787E-2</v>
      </c>
      <c r="P18" s="56">
        <v>5.1520462007032315E-2</v>
      </c>
      <c r="Q18" s="56">
        <v>6.2394977054711795E-2</v>
      </c>
      <c r="R18" s="56">
        <v>6.4511325061528763E-2</v>
      </c>
      <c r="S18" s="56">
        <v>6.6293793377722898E-2</v>
      </c>
      <c r="T18" s="56">
        <v>6.7828935752848513E-2</v>
      </c>
      <c r="U18" s="56">
        <v>6.9324135649551921E-2</v>
      </c>
      <c r="V18" s="56">
        <v>6.9969126378901764E-2</v>
      </c>
      <c r="W18" s="56">
        <v>7.0544892855285313E-2</v>
      </c>
      <c r="X18" s="56">
        <v>7.1123357379757307E-2</v>
      </c>
      <c r="Y18" s="56">
        <v>7.1704519952317733E-2</v>
      </c>
      <c r="Z18" s="56">
        <v>7.2288380572966618E-2</v>
      </c>
      <c r="AA18" s="56">
        <v>7.2874939241703948E-2</v>
      </c>
      <c r="AB18" s="56">
        <v>7.3464195958529724E-2</v>
      </c>
      <c r="AC18" s="56">
        <v>7.4056150723443931E-2</v>
      </c>
      <c r="AD18" s="56">
        <v>7.4650803536446597E-2</v>
      </c>
      <c r="AE18" s="1024">
        <v>7.5250539594990312E-2</v>
      </c>
      <c r="AF18" s="928"/>
      <c r="AG18" s="928"/>
      <c r="AH18" s="559"/>
    </row>
    <row r="19" spans="1:34" s="294" customFormat="1">
      <c r="A19" s="553">
        <v>19</v>
      </c>
      <c r="C19" s="10"/>
      <c r="D19" s="29"/>
      <c r="E19" s="197" t="s">
        <v>686</v>
      </c>
      <c r="F19" s="56">
        <v>5.3650479999999998</v>
      </c>
      <c r="G19" s="56">
        <v>5.0739089999999996</v>
      </c>
      <c r="H19" s="56">
        <v>5.5220000000000002</v>
      </c>
      <c r="I19" s="56">
        <v>5.1150000000000002</v>
      </c>
      <c r="J19" s="56">
        <v>4.1450000000000005</v>
      </c>
      <c r="K19" s="56">
        <v>3.5670000000000002</v>
      </c>
      <c r="L19" s="56">
        <v>3.1260000000000003</v>
      </c>
      <c r="M19" s="56">
        <v>2.6749999999999998</v>
      </c>
      <c r="N19" s="56">
        <v>3.222</v>
      </c>
      <c r="O19" s="56">
        <v>4.6280000000000001</v>
      </c>
      <c r="P19" s="56">
        <v>4.9340000000000002</v>
      </c>
      <c r="Q19" s="56">
        <v>4.0739999999999998</v>
      </c>
      <c r="R19" s="56">
        <v>4.4938414499999988</v>
      </c>
      <c r="S19" s="56">
        <v>4.752608214374999</v>
      </c>
      <c r="T19" s="56">
        <v>4.9525876681039041</v>
      </c>
      <c r="U19" s="56">
        <v>5.1574971685964419</v>
      </c>
      <c r="V19" s="56">
        <v>5.3674396218784333</v>
      </c>
      <c r="W19" s="56">
        <v>5.5825199118959494</v>
      </c>
      <c r="X19" s="56">
        <v>5.8028449366990689</v>
      </c>
      <c r="Y19" s="56">
        <v>6.0285236452661053</v>
      </c>
      <c r="Z19" s="56">
        <v>6.2596670749793955</v>
      </c>
      <c r="AA19" s="56">
        <v>6.496388389763899</v>
      </c>
      <c r="AB19" s="56">
        <v>6.7388029189000687</v>
      </c>
      <c r="AC19" s="56">
        <v>6.9870281965226253</v>
      </c>
      <c r="AD19" s="56">
        <v>7.2411840018171061</v>
      </c>
      <c r="AE19" s="1024">
        <v>7.5013923999262051</v>
      </c>
      <c r="AF19" s="928"/>
      <c r="AG19" s="928"/>
      <c r="AH19" s="559"/>
    </row>
    <row r="20" spans="1:34" s="294" customFormat="1">
      <c r="A20" s="553">
        <v>20</v>
      </c>
      <c r="C20" s="10"/>
      <c r="D20" s="29"/>
      <c r="E20" s="198" t="s">
        <v>687</v>
      </c>
      <c r="F20" s="57">
        <v>7.4120479999999995</v>
      </c>
      <c r="G20" s="57">
        <v>8.6039089999999998</v>
      </c>
      <c r="H20" s="57">
        <v>9.1140000000000008</v>
      </c>
      <c r="I20" s="57">
        <v>10.391999999999999</v>
      </c>
      <c r="J20" s="57">
        <v>10.385</v>
      </c>
      <c r="K20" s="57">
        <v>9.7370000000000001</v>
      </c>
      <c r="L20" s="57">
        <v>9.4654923951914505</v>
      </c>
      <c r="M20" s="57">
        <v>9.5378707449913627</v>
      </c>
      <c r="N20" s="57">
        <v>10.002743858374661</v>
      </c>
      <c r="O20" s="57">
        <v>11.033925003395339</v>
      </c>
      <c r="P20" s="57">
        <v>11.690073188597182</v>
      </c>
      <c r="Q20" s="57">
        <v>10.574363499587534</v>
      </c>
      <c r="R20" s="57">
        <v>10.493671381707655</v>
      </c>
      <c r="S20" s="57">
        <v>10.506666411964733</v>
      </c>
      <c r="T20" s="57">
        <v>10.569973986425861</v>
      </c>
      <c r="U20" s="57">
        <v>10.268101328208083</v>
      </c>
      <c r="V20" s="57">
        <v>10.029283546208916</v>
      </c>
      <c r="W20" s="57">
        <v>9.6553110687243446</v>
      </c>
      <c r="X20" s="57">
        <v>9.4244200183780009</v>
      </c>
      <c r="Y20" s="57">
        <v>9.1512975341655327</v>
      </c>
      <c r="Z20" s="57">
        <v>8.7839244655795312</v>
      </c>
      <c r="AA20" s="57">
        <v>8.1508219498760397</v>
      </c>
      <c r="AB20" s="57">
        <v>7.5620062159898547</v>
      </c>
      <c r="AC20" s="57">
        <v>7.3823291436006864</v>
      </c>
      <c r="AD20" s="57">
        <v>7.4579523081018495</v>
      </c>
      <c r="AE20" s="1025">
        <v>8.0433182277308219</v>
      </c>
      <c r="AF20" s="928"/>
      <c r="AG20" s="928"/>
      <c r="AH20" s="559"/>
    </row>
    <row r="21" spans="1:34" s="294" customFormat="1">
      <c r="A21" s="553">
        <v>21</v>
      </c>
      <c r="C21" s="10"/>
      <c r="D21" s="29"/>
      <c r="E21" s="197" t="s">
        <v>688</v>
      </c>
      <c r="F21" s="56">
        <v>4.9989800764796158E-2</v>
      </c>
      <c r="G21" s="56">
        <v>4.9990085901745564E-2</v>
      </c>
      <c r="H21" s="56">
        <v>5.0001590567365077E-2</v>
      </c>
      <c r="I21" s="56">
        <v>3.3995000948890464E-2</v>
      </c>
      <c r="J21" s="56">
        <v>0.13001254107481827</v>
      </c>
      <c r="K21" s="56">
        <v>0.43128300000000003</v>
      </c>
      <c r="L21" s="56">
        <v>0.47356008192080123</v>
      </c>
      <c r="M21" s="56">
        <v>0.391630336904225</v>
      </c>
      <c r="N21" s="56">
        <v>0.40702305752216272</v>
      </c>
      <c r="O21" s="56">
        <v>0.36709018643005964</v>
      </c>
      <c r="P21" s="56">
        <v>0.38271212945690902</v>
      </c>
      <c r="Q21" s="56">
        <v>0.37229987479052873</v>
      </c>
      <c r="R21" s="56">
        <v>0.34363246493537836</v>
      </c>
      <c r="S21" s="56">
        <v>0.32955620814682191</v>
      </c>
      <c r="T21" s="56">
        <v>0.32172850381274765</v>
      </c>
      <c r="U21" s="56">
        <v>0.29270321403535332</v>
      </c>
      <c r="V21" s="56">
        <v>0.26700105454585032</v>
      </c>
      <c r="W21" s="56">
        <v>0.23326382252798597</v>
      </c>
      <c r="X21" s="56">
        <v>0.20742100800041705</v>
      </c>
      <c r="Y21" s="56">
        <v>0.1788528176786052</v>
      </c>
      <c r="Z21" s="56">
        <v>0.14457356277370167</v>
      </c>
      <c r="AA21" s="56">
        <v>9.4755532874135753E-2</v>
      </c>
      <c r="AB21" s="56">
        <v>4.7147899414105778E-2</v>
      </c>
      <c r="AC21" s="56">
        <v>2.2640348206846881E-2</v>
      </c>
      <c r="AD21" s="56">
        <v>1.2415123137880811E-2</v>
      </c>
      <c r="AE21" s="1024">
        <v>3.1038097769488564E-2</v>
      </c>
      <c r="AF21" s="928"/>
      <c r="AG21" s="928"/>
      <c r="AH21" s="559"/>
    </row>
    <row r="22" spans="1:34" s="294" customFormat="1">
      <c r="A22" s="553">
        <v>22</v>
      </c>
      <c r="C22" s="10"/>
      <c r="D22" s="29"/>
      <c r="E22" s="198" t="s">
        <v>689</v>
      </c>
      <c r="F22" s="57">
        <v>0</v>
      </c>
      <c r="G22" s="57">
        <v>0</v>
      </c>
      <c r="H22" s="57">
        <v>0</v>
      </c>
      <c r="I22" s="57">
        <v>0</v>
      </c>
      <c r="J22" s="57">
        <v>0</v>
      </c>
      <c r="K22" s="57">
        <v>6.103757601001236E-4</v>
      </c>
      <c r="L22" s="57">
        <v>1.9612103048660479E-3</v>
      </c>
      <c r="M22" s="57">
        <v>1.095739499405661E-2</v>
      </c>
      <c r="N22" s="57">
        <v>1.4739004343403701E-2</v>
      </c>
      <c r="O22" s="57">
        <v>3.0123371733991294E-2</v>
      </c>
      <c r="P22" s="57">
        <v>4.0281218869180284E-2</v>
      </c>
      <c r="Q22" s="57">
        <v>4.6179408648313103E-2</v>
      </c>
      <c r="R22" s="57">
        <v>4.812811739608884E-2</v>
      </c>
      <c r="S22" s="57">
        <v>4.9048595182011996E-2</v>
      </c>
      <c r="T22" s="57">
        <v>5.043552970672735E-2</v>
      </c>
      <c r="U22" s="57">
        <v>5.1785918064717586E-2</v>
      </c>
      <c r="V22" s="57">
        <v>5.2354951335854841E-2</v>
      </c>
      <c r="W22" s="57">
        <v>5.2844138471670146E-2</v>
      </c>
      <c r="X22" s="57">
        <v>5.331022869875629E-2</v>
      </c>
      <c r="Y22" s="57">
        <v>5.3680875489762754E-2</v>
      </c>
      <c r="Z22" s="57">
        <v>5.3936340308719244E-2</v>
      </c>
      <c r="AA22" s="57">
        <v>5.4187106731079106E-2</v>
      </c>
      <c r="AB22" s="57">
        <v>5.4432577709279062E-2</v>
      </c>
      <c r="AC22" s="57">
        <v>5.4852759734234466E-2</v>
      </c>
      <c r="AD22" s="57">
        <v>5.5332417712934366E-2</v>
      </c>
      <c r="AE22" s="1025">
        <v>5.5896639248217417E-2</v>
      </c>
      <c r="AF22" s="928"/>
      <c r="AG22" s="928"/>
      <c r="AH22" s="559"/>
    </row>
    <row r="23" spans="1:34" s="294" customFormat="1">
      <c r="A23" s="553">
        <v>23</v>
      </c>
      <c r="C23" s="10"/>
      <c r="D23" s="29"/>
      <c r="E23" s="198" t="s">
        <v>690</v>
      </c>
      <c r="F23" s="57">
        <v>0</v>
      </c>
      <c r="G23" s="57">
        <v>-1.11629894236</v>
      </c>
      <c r="H23" s="57">
        <v>-0.71124112144000007</v>
      </c>
      <c r="I23" s="57">
        <v>-2.5889139132900003</v>
      </c>
      <c r="J23" s="57">
        <v>-2.1969250054800002</v>
      </c>
      <c r="K23" s="57">
        <v>1.38074493721</v>
      </c>
      <c r="L23" s="57">
        <v>2.5211899999999998</v>
      </c>
      <c r="M23" s="57">
        <v>1.9478101488699999</v>
      </c>
      <c r="N23" s="57">
        <v>3.3292301430700002</v>
      </c>
      <c r="O23" s="57">
        <v>3.6518353547200002</v>
      </c>
      <c r="P23" s="57">
        <v>2.19040541733</v>
      </c>
      <c r="Q23" s="57">
        <v>-4.0803942770500008</v>
      </c>
      <c r="R23" s="57">
        <v>1.219203752449604</v>
      </c>
      <c r="S23" s="57">
        <v>0.54049753340217066</v>
      </c>
      <c r="T23" s="57">
        <v>0.42800984111489981</v>
      </c>
      <c r="U23" s="57">
        <v>0.33737715960394965</v>
      </c>
      <c r="V23" s="57">
        <v>0.1111449217809195</v>
      </c>
      <c r="W23" s="57">
        <v>-4.0370551945052568E-2</v>
      </c>
      <c r="X23" s="57">
        <v>-0.2059084632874324</v>
      </c>
      <c r="Y23" s="57">
        <v>-0.35413993529710908</v>
      </c>
      <c r="Z23" s="57">
        <v>-0.52527747185884799</v>
      </c>
      <c r="AA23" s="57">
        <v>-0.6808683888424536</v>
      </c>
      <c r="AB23" s="57">
        <v>-0.87299830822617785</v>
      </c>
      <c r="AC23" s="57">
        <v>-1.0327622462484287</v>
      </c>
      <c r="AD23" s="57">
        <v>-1.1490392870777635</v>
      </c>
      <c r="AE23" s="1025">
        <v>-1.2186354389422762</v>
      </c>
      <c r="AF23" s="928"/>
      <c r="AG23" s="928"/>
      <c r="AH23" s="559"/>
    </row>
    <row r="24" spans="1:34" s="294" customFormat="1">
      <c r="A24" s="553">
        <v>24</v>
      </c>
      <c r="C24" s="10"/>
      <c r="D24" s="29"/>
      <c r="F24" s="654"/>
      <c r="G24" s="654"/>
      <c r="H24" s="654"/>
      <c r="I24" s="654"/>
      <c r="J24" s="654"/>
      <c r="K24" s="654"/>
      <c r="L24" s="654"/>
      <c r="M24" s="654"/>
      <c r="N24" s="654"/>
      <c r="O24" s="654"/>
      <c r="P24" s="654"/>
      <c r="Q24" s="654"/>
      <c r="R24" s="654"/>
      <c r="S24" s="654"/>
      <c r="T24" s="654"/>
      <c r="U24" s="654"/>
      <c r="V24" s="654"/>
      <c r="W24" s="654"/>
      <c r="X24" s="654"/>
      <c r="Y24" s="654"/>
      <c r="Z24" s="654"/>
      <c r="AA24" s="654"/>
      <c r="AB24" s="654"/>
      <c r="AC24" s="654"/>
      <c r="AD24" s="654"/>
      <c r="AE24" s="654"/>
      <c r="AF24" s="928" t="s">
        <v>153</v>
      </c>
      <c r="AG24" s="928" t="s">
        <v>153</v>
      </c>
      <c r="AH24" s="559"/>
    </row>
    <row r="25" spans="1:34" s="294" customFormat="1">
      <c r="A25" s="553">
        <v>25</v>
      </c>
      <c r="C25" s="10"/>
      <c r="D25" s="29"/>
      <c r="E25" s="582" t="s">
        <v>691</v>
      </c>
      <c r="F25" s="654"/>
      <c r="G25" s="654"/>
      <c r="H25" s="654"/>
      <c r="I25" s="654"/>
      <c r="J25" s="654"/>
      <c r="K25" s="654"/>
      <c r="L25" s="654"/>
      <c r="M25" s="654"/>
      <c r="N25" s="654"/>
      <c r="O25" s="654"/>
      <c r="P25" s="654"/>
      <c r="Q25" s="654"/>
      <c r="R25" s="654"/>
      <c r="S25" s="654"/>
      <c r="T25" s="654"/>
      <c r="U25" s="654"/>
      <c r="V25" s="654"/>
      <c r="W25" s="654"/>
      <c r="X25" s="654"/>
      <c r="Y25" s="654"/>
      <c r="Z25" s="654"/>
      <c r="AA25" s="654"/>
      <c r="AB25" s="654"/>
      <c r="AC25" s="654"/>
      <c r="AD25" s="654"/>
      <c r="AE25" s="654"/>
      <c r="AF25" s="928" t="s">
        <v>153</v>
      </c>
      <c r="AG25" s="928" t="s">
        <v>153</v>
      </c>
      <c r="AH25" s="559"/>
    </row>
    <row r="26" spans="1:34" s="294" customFormat="1">
      <c r="A26" s="553">
        <v>26</v>
      </c>
      <c r="C26" s="10"/>
      <c r="D26" s="29"/>
      <c r="E26" s="199" t="s">
        <v>427</v>
      </c>
      <c r="F26" s="190">
        <v>2.3590226418993994</v>
      </c>
      <c r="G26" s="190">
        <v>3.9844027383447282</v>
      </c>
      <c r="H26" s="190">
        <v>3.974886029032457</v>
      </c>
      <c r="I26" s="190">
        <v>5.7531991111074063</v>
      </c>
      <c r="J26" s="190">
        <v>6.742418940791211</v>
      </c>
      <c r="K26" s="190">
        <v>6.6468423039665909</v>
      </c>
      <c r="L26" s="190">
        <v>6.7285061577205809</v>
      </c>
      <c r="M26" s="190">
        <v>7.1763555284576048</v>
      </c>
      <c r="N26" s="190">
        <v>6.9856918414940328</v>
      </c>
      <c r="O26" s="190">
        <v>6.5020138784462684</v>
      </c>
      <c r="P26" s="190">
        <v>6.7560731885971812</v>
      </c>
      <c r="Q26" s="190">
        <v>6.4042990143719551</v>
      </c>
      <c r="R26" s="190">
        <v>5.8238054130968067</v>
      </c>
      <c r="S26" s="190">
        <v>5.5027036373299163</v>
      </c>
      <c r="T26" s="190">
        <v>5.292612804551351</v>
      </c>
      <c r="U26" s="190">
        <v>4.7439710802205184</v>
      </c>
      <c r="V26" s="190">
        <v>4.2634529637333207</v>
      </c>
      <c r="W26" s="190">
        <v>3.6696939450573818</v>
      </c>
      <c r="X26" s="190">
        <v>3.2149124856868574</v>
      </c>
      <c r="Y26" s="190">
        <v>2.7311538111244245</v>
      </c>
      <c r="Z26" s="190">
        <v>2.1750698779126849</v>
      </c>
      <c r="AA26" s="190">
        <v>1.404503631340007</v>
      </c>
      <c r="AB26" s="190">
        <v>0.68851688334871619</v>
      </c>
      <c r="AC26" s="190">
        <v>0.3257386600979586</v>
      </c>
      <c r="AD26" s="190">
        <v>0.17598319283858238</v>
      </c>
      <c r="AE26" s="1023">
        <v>0.43346018891901889</v>
      </c>
      <c r="AF26" s="928" t="s">
        <v>153</v>
      </c>
      <c r="AG26" s="928" t="s">
        <v>153</v>
      </c>
      <c r="AH26" s="559"/>
    </row>
    <row r="27" spans="1:34" s="294" customFormat="1">
      <c r="A27" s="553">
        <v>27</v>
      </c>
      <c r="C27" s="10"/>
      <c r="D27" s="29"/>
      <c r="E27" s="197" t="s">
        <v>676</v>
      </c>
      <c r="F27" s="56">
        <v>0.14046792470842034</v>
      </c>
      <c r="G27" s="56">
        <v>6.5040641945848868E-2</v>
      </c>
      <c r="H27" s="56">
        <v>0.16163850327175172</v>
      </c>
      <c r="I27" s="56">
        <v>0.21250497507100818</v>
      </c>
      <c r="J27" s="56">
        <v>0.30758988942291515</v>
      </c>
      <c r="K27" s="56">
        <v>0.36498099802116313</v>
      </c>
      <c r="L27" s="56">
        <v>0.41085116892924328</v>
      </c>
      <c r="M27" s="56">
        <v>0.44341611309359791</v>
      </c>
      <c r="N27" s="56">
        <v>0.34634070567687492</v>
      </c>
      <c r="O27" s="56">
        <v>0.31062429153139998</v>
      </c>
      <c r="P27" s="56">
        <v>0.26585502989999993</v>
      </c>
      <c r="Q27" s="56">
        <v>0.3271854103251231</v>
      </c>
      <c r="R27" s="56">
        <v>0.31473239429851652</v>
      </c>
      <c r="S27" s="56">
        <v>0.29715596364261215</v>
      </c>
      <c r="T27" s="56">
        <v>0.28342966840099121</v>
      </c>
      <c r="U27" s="56">
        <v>0.26953420317446242</v>
      </c>
      <c r="V27" s="56">
        <v>0.25546515845355161</v>
      </c>
      <c r="W27" s="56">
        <v>0.24122599336644723</v>
      </c>
      <c r="X27" s="56">
        <v>0.22681662842675646</v>
      </c>
      <c r="Y27" s="56">
        <v>0.21223728364115585</v>
      </c>
      <c r="Z27" s="56">
        <v>0.18008024132773071</v>
      </c>
      <c r="AA27" s="56">
        <v>0.16110242773407218</v>
      </c>
      <c r="AB27" s="56">
        <v>0.13909865210086661</v>
      </c>
      <c r="AC27" s="56">
        <v>0.11982028604808048</v>
      </c>
      <c r="AD27" s="56">
        <v>0.10511002006063848</v>
      </c>
      <c r="AE27" s="1024">
        <v>9.258401743078265E-2</v>
      </c>
      <c r="AF27" s="928" t="s">
        <v>153</v>
      </c>
      <c r="AG27" s="928" t="s">
        <v>153</v>
      </c>
      <c r="AH27" s="559"/>
    </row>
    <row r="28" spans="1:34" s="294" customFormat="1">
      <c r="A28" s="553">
        <v>28</v>
      </c>
      <c r="C28" s="10"/>
      <c r="D28" s="29"/>
      <c r="E28" s="197" t="s">
        <v>679</v>
      </c>
      <c r="F28" s="56">
        <v>3.5822132434800022E-2</v>
      </c>
      <c r="G28" s="56">
        <v>4.4731914594020863E-3</v>
      </c>
      <c r="H28" s="56">
        <v>1.3719074903886306E-2</v>
      </c>
      <c r="I28" s="56">
        <v>3.751758760487385E-2</v>
      </c>
      <c r="J28" s="56">
        <v>3.3374588444962286E-2</v>
      </c>
      <c r="K28" s="56">
        <v>6.2354899930368551E-2</v>
      </c>
      <c r="L28" s="56">
        <v>6.6614993334053033E-2</v>
      </c>
      <c r="M28" s="56">
        <v>6.1738590484557189E-2</v>
      </c>
      <c r="N28" s="56">
        <v>5.1189773378061486E-2</v>
      </c>
      <c r="O28" s="56">
        <v>3.7498013555799986E-2</v>
      </c>
      <c r="P28" s="56">
        <v>2.3317509879999997E-2</v>
      </c>
      <c r="Q28" s="56">
        <v>2.9817128334975372E-2</v>
      </c>
      <c r="R28" s="56">
        <v>3.2578074734344722E-2</v>
      </c>
      <c r="S28" s="56">
        <v>2.3385185085705161E-2</v>
      </c>
      <c r="T28" s="56">
        <v>1.5227388904101156E-2</v>
      </c>
      <c r="U28" s="56">
        <v>9.0054566868295032E-3</v>
      </c>
      <c r="V28" s="56">
        <v>7.8229379307851697E-3</v>
      </c>
      <c r="W28" s="56">
        <v>6.6120604876192066E-3</v>
      </c>
      <c r="X28" s="56">
        <v>5.5287273089385984E-3</v>
      </c>
      <c r="Y28" s="56">
        <v>4.2183311992361533E-3</v>
      </c>
      <c r="Z28" s="56">
        <v>2.284391213551268E-3</v>
      </c>
      <c r="AA28" s="56">
        <v>4.3955478122360662E-4</v>
      </c>
      <c r="AB28" s="56">
        <v>-1.3319136140622656E-3</v>
      </c>
      <c r="AC28" s="56">
        <v>-3.4036690952497801E-3</v>
      </c>
      <c r="AD28" s="56">
        <v>-5.6529363808173246E-3</v>
      </c>
      <c r="AE28" s="1024">
        <v>-8.0822295564863568E-3</v>
      </c>
      <c r="AF28" s="928" t="s">
        <v>153</v>
      </c>
      <c r="AG28" s="928" t="s">
        <v>153</v>
      </c>
      <c r="AH28" s="559"/>
    </row>
    <row r="29" spans="1:34" s="294" customFormat="1">
      <c r="A29" s="553">
        <v>29</v>
      </c>
      <c r="C29" s="10"/>
      <c r="D29" s="29"/>
      <c r="E29" s="197" t="s">
        <v>677</v>
      </c>
      <c r="F29" s="56">
        <v>2.9293441670580025</v>
      </c>
      <c r="G29" s="56">
        <v>3.4043204269619611</v>
      </c>
      <c r="H29" s="56">
        <v>3.8208927214021786</v>
      </c>
      <c r="I29" s="56">
        <v>4.746886101960123</v>
      </c>
      <c r="J29" s="56">
        <v>5.3938185281265261</v>
      </c>
      <c r="K29" s="56">
        <v>6.2291096751907675</v>
      </c>
      <c r="L29" s="56">
        <v>6.652823244146715</v>
      </c>
      <c r="M29" s="56">
        <v>6.8934342233232613</v>
      </c>
      <c r="N29" s="56">
        <v>6.8295263076755512</v>
      </c>
      <c r="O29" s="56">
        <v>6.4770133498307993</v>
      </c>
      <c r="P29" s="56">
        <v>6.1288223976400005</v>
      </c>
      <c r="Q29" s="56">
        <v>6.3994544326699501</v>
      </c>
      <c r="R29" s="56">
        <v>6.3613174226437907</v>
      </c>
      <c r="S29" s="56">
        <v>6.0974471854561392</v>
      </c>
      <c r="T29" s="56">
        <v>5.8633991171331825</v>
      </c>
      <c r="U29" s="56">
        <v>5.4662383684990505</v>
      </c>
      <c r="V29" s="56">
        <v>4.8476565412678383</v>
      </c>
      <c r="W29" s="56">
        <v>4.1422796374561619</v>
      </c>
      <c r="X29" s="56">
        <v>3.5873446068493022</v>
      </c>
      <c r="Y29" s="56">
        <v>3.283048536743383</v>
      </c>
      <c r="Z29" s="56">
        <v>2.8924992789016795</v>
      </c>
      <c r="AA29" s="56">
        <v>2.2965432538895567</v>
      </c>
      <c r="AB29" s="56">
        <v>1.3838121410140558</v>
      </c>
      <c r="AC29" s="56">
        <v>1.1952448788690546</v>
      </c>
      <c r="AD29" s="56">
        <v>1.0358812061367797</v>
      </c>
      <c r="AE29" s="1024">
        <v>0.92064244929570127</v>
      </c>
      <c r="AF29" s="928" t="s">
        <v>153</v>
      </c>
      <c r="AG29" s="928" t="s">
        <v>153</v>
      </c>
      <c r="AH29" s="559"/>
    </row>
    <row r="30" spans="1:34" s="294" customFormat="1">
      <c r="A30" s="553">
        <v>30</v>
      </c>
      <c r="C30" s="10"/>
      <c r="D30" s="29"/>
      <c r="E30" s="197" t="s">
        <v>678</v>
      </c>
      <c r="F30" s="56">
        <v>3.9972961269081602E-3</v>
      </c>
      <c r="G30" s="56">
        <v>1.1246873148394086E-2</v>
      </c>
      <c r="H30" s="56">
        <v>1.9705665580573115E-2</v>
      </c>
      <c r="I30" s="56">
        <v>1.5472229531346283E-2</v>
      </c>
      <c r="J30" s="56">
        <v>2.8446172424757134E-2</v>
      </c>
      <c r="K30" s="56">
        <v>3.594392319354995E-2</v>
      </c>
      <c r="L30" s="56">
        <v>4.0701413701575026E-2</v>
      </c>
      <c r="M30" s="56">
        <v>4.3729271803910633E-2</v>
      </c>
      <c r="N30" s="56">
        <v>4.4526767208287001E-2</v>
      </c>
      <c r="O30" s="56">
        <v>4.8739318251399988E-2</v>
      </c>
      <c r="P30" s="56">
        <v>3.4556578400000003E-2</v>
      </c>
      <c r="Q30" s="56">
        <v>4.5055978029556652E-2</v>
      </c>
      <c r="R30" s="56">
        <v>7.4023922360067884E-2</v>
      </c>
      <c r="S30" s="56">
        <v>8.9920293616636088E-2</v>
      </c>
      <c r="T30" s="56">
        <v>9.6061560738845295E-2</v>
      </c>
      <c r="U30" s="56">
        <v>9.8093291507296398E-2</v>
      </c>
      <c r="V30" s="56">
        <v>0.10088421646532536</v>
      </c>
      <c r="W30" s="56">
        <v>0.10425611705204403</v>
      </c>
      <c r="X30" s="56">
        <v>0.10680504867172796</v>
      </c>
      <c r="Y30" s="56">
        <v>0.10857803012993605</v>
      </c>
      <c r="Z30" s="56">
        <v>0.1082685905236566</v>
      </c>
      <c r="AA30" s="56">
        <v>0.10865764890180095</v>
      </c>
      <c r="AB30" s="56">
        <v>0.10839392540990486</v>
      </c>
      <c r="AC30" s="56">
        <v>9.850033339370888E-2</v>
      </c>
      <c r="AD30" s="56">
        <v>8.8044859055077362E-2</v>
      </c>
      <c r="AE30" s="1024">
        <v>8.4251126623109338E-2</v>
      </c>
      <c r="AF30" s="928" t="s">
        <v>153</v>
      </c>
      <c r="AG30" s="928" t="s">
        <v>153</v>
      </c>
      <c r="AH30" s="559"/>
    </row>
    <row r="31" spans="1:34" s="294" customFormat="1">
      <c r="A31" s="553">
        <v>31</v>
      </c>
      <c r="C31" s="10"/>
      <c r="D31" s="29"/>
      <c r="E31" s="197" t="s">
        <v>680</v>
      </c>
      <c r="F31" s="56">
        <v>2.3845191740841258</v>
      </c>
      <c r="G31" s="56">
        <v>2.6873519671559607</v>
      </c>
      <c r="H31" s="56">
        <v>2.1299205202920195</v>
      </c>
      <c r="I31" s="56">
        <v>3.1193283425940237</v>
      </c>
      <c r="J31" s="56">
        <v>4.2860150361818725</v>
      </c>
      <c r="K31" s="56">
        <v>4.4449513411619117</v>
      </c>
      <c r="L31" s="56">
        <v>5.138842665713657</v>
      </c>
      <c r="M31" s="56">
        <v>5.5219781704865358</v>
      </c>
      <c r="N31" s="56">
        <v>5.7460947460852951</v>
      </c>
      <c r="O31" s="56">
        <v>5.7259783030772331</v>
      </c>
      <c r="P31" s="56">
        <v>4.8133747401611213</v>
      </c>
      <c r="Q31" s="56">
        <v>5.6070032409569084</v>
      </c>
      <c r="R31" s="56">
        <v>4.3906830709404945</v>
      </c>
      <c r="S31" s="56">
        <v>4.0267666557204205</v>
      </c>
      <c r="T31" s="56">
        <v>3.8395175965503849</v>
      </c>
      <c r="U31" s="56">
        <v>3.3583662366579214</v>
      </c>
      <c r="V31" s="56">
        <v>3.1928610384279796</v>
      </c>
      <c r="W31" s="56">
        <v>3.0694947303896689</v>
      </c>
      <c r="X31" s="56">
        <v>2.7697777654473645</v>
      </c>
      <c r="Y31" s="56">
        <v>2.5735538388434716</v>
      </c>
      <c r="Z31" s="56">
        <v>2.3500072655235051</v>
      </c>
      <c r="AA31" s="56">
        <v>2.075183195123957</v>
      </c>
      <c r="AB31" s="56">
        <v>1.7382491834582139</v>
      </c>
      <c r="AC31" s="56">
        <v>1.2891177168775836</v>
      </c>
      <c r="AD31" s="56">
        <v>1.2413743852217094</v>
      </c>
      <c r="AE31" s="1024">
        <v>1.7133197325622451</v>
      </c>
      <c r="AF31" s="928" t="s">
        <v>153</v>
      </c>
      <c r="AG31" s="928" t="s">
        <v>153</v>
      </c>
      <c r="AH31" s="559"/>
    </row>
    <row r="32" spans="1:34" s="294" customFormat="1">
      <c r="A32" s="553">
        <v>32</v>
      </c>
      <c r="C32" s="10"/>
      <c r="D32" s="29"/>
      <c r="E32" s="197" t="s">
        <v>681</v>
      </c>
      <c r="F32" s="56">
        <v>7.9592715172041209E-2</v>
      </c>
      <c r="G32" s="56">
        <v>0.14030655029355257</v>
      </c>
      <c r="H32" s="56">
        <v>0.15551849632055889</v>
      </c>
      <c r="I32" s="56">
        <v>0.37551073796668061</v>
      </c>
      <c r="J32" s="56">
        <v>1.2235148186535858</v>
      </c>
      <c r="K32" s="56">
        <v>1.8012243680342062</v>
      </c>
      <c r="L32" s="56">
        <v>2.4959775375186899</v>
      </c>
      <c r="M32" s="56">
        <v>3.2908358657194836</v>
      </c>
      <c r="N32" s="56">
        <v>3.6604683865951242</v>
      </c>
      <c r="O32" s="56">
        <v>4.0522453766549988</v>
      </c>
      <c r="P32" s="56">
        <v>4.3621876259999999</v>
      </c>
      <c r="Q32" s="56">
        <v>4.5078592098522172</v>
      </c>
      <c r="R32" s="56">
        <v>3.4297719295670861</v>
      </c>
      <c r="S32" s="56">
        <v>3.2954400925823846</v>
      </c>
      <c r="T32" s="56">
        <v>3.0004057095256629</v>
      </c>
      <c r="U32" s="56">
        <v>2.6173178182465016</v>
      </c>
      <c r="V32" s="56">
        <v>2.055610051387935</v>
      </c>
      <c r="W32" s="56">
        <v>1.1947527525304869</v>
      </c>
      <c r="X32" s="56">
        <v>0.92342863704008582</v>
      </c>
      <c r="Y32" s="56">
        <v>0.43796702559777695</v>
      </c>
      <c r="Z32" s="56">
        <v>0.43199628189958605</v>
      </c>
      <c r="AA32" s="56">
        <v>0.43183066985601831</v>
      </c>
      <c r="AB32" s="56">
        <v>0.44768050371687695</v>
      </c>
      <c r="AC32" s="56">
        <v>0.45849289747911509</v>
      </c>
      <c r="AD32" s="56">
        <v>0.22836423372341655</v>
      </c>
      <c r="AE32" s="1024">
        <v>0.29265284720225493</v>
      </c>
      <c r="AF32" s="928" t="s">
        <v>153</v>
      </c>
      <c r="AG32" s="928" t="s">
        <v>153</v>
      </c>
      <c r="AH32" s="559"/>
    </row>
    <row r="33" spans="1:34" s="294" customFormat="1">
      <c r="A33" s="553">
        <v>33</v>
      </c>
      <c r="C33" s="10"/>
      <c r="D33" s="29"/>
      <c r="E33" s="197" t="s">
        <v>682</v>
      </c>
      <c r="F33" s="56">
        <v>3.8589204701845317</v>
      </c>
      <c r="G33" s="56">
        <v>7.719874455021734</v>
      </c>
      <c r="H33" s="56">
        <v>8.2241164134316023</v>
      </c>
      <c r="I33" s="56">
        <v>9.4632236313458868</v>
      </c>
      <c r="J33" s="56">
        <v>10.062874109988806</v>
      </c>
      <c r="K33" s="56">
        <v>10.633103791846644</v>
      </c>
      <c r="L33" s="56">
        <v>10.271313382717885</v>
      </c>
      <c r="M33" s="56">
        <v>9.8297855373264351</v>
      </c>
      <c r="N33" s="56">
        <v>9.9053365300147238</v>
      </c>
      <c r="O33" s="56">
        <v>9.0838252360639586</v>
      </c>
      <c r="P33" s="56">
        <v>8.970899724422809</v>
      </c>
      <c r="Q33" s="56">
        <v>9.4330837079816074</v>
      </c>
      <c r="R33" s="56">
        <v>9.4267382010958745</v>
      </c>
      <c r="S33" s="56">
        <v>9.2518106432602742</v>
      </c>
      <c r="T33" s="56">
        <v>9.073505821516239</v>
      </c>
      <c r="U33" s="56">
        <v>8.4001432636731117</v>
      </c>
      <c r="V33" s="56">
        <v>7.9241718784918644</v>
      </c>
      <c r="W33" s="56">
        <v>7.4941316515125145</v>
      </c>
      <c r="X33" s="56">
        <v>6.9510127837386646</v>
      </c>
      <c r="Y33" s="56">
        <v>6.2108828035661778</v>
      </c>
      <c r="Z33" s="56">
        <v>4.8712626097632077</v>
      </c>
      <c r="AA33" s="56">
        <v>3.0818383357570629</v>
      </c>
      <c r="AB33" s="56">
        <v>1.7862931824840591</v>
      </c>
      <c r="AC33" s="56">
        <v>1.0973258593931039</v>
      </c>
      <c r="AD33" s="56">
        <v>0.93774799499178518</v>
      </c>
      <c r="AE33" s="1024">
        <v>1.2696824590250979</v>
      </c>
      <c r="AF33" s="928" t="s">
        <v>153</v>
      </c>
      <c r="AG33" s="928" t="s">
        <v>153</v>
      </c>
      <c r="AH33" s="559"/>
    </row>
    <row r="34" spans="1:34" s="294" customFormat="1">
      <c r="A34" s="553">
        <v>34</v>
      </c>
      <c r="C34" s="10"/>
      <c r="D34" s="29"/>
      <c r="E34" s="197" t="s">
        <v>683</v>
      </c>
      <c r="F34" s="56">
        <v>9.4501267523168995</v>
      </c>
      <c r="G34" s="56">
        <v>15.266228424924815</v>
      </c>
      <c r="H34" s="56">
        <v>15.363266087202987</v>
      </c>
      <c r="I34" s="56">
        <v>22.04962812469504</v>
      </c>
      <c r="J34" s="56">
        <v>24.964510508786205</v>
      </c>
      <c r="K34" s="56">
        <v>23.311264408295379</v>
      </c>
      <c r="L34" s="56">
        <v>23.941365299591475</v>
      </c>
      <c r="M34" s="56">
        <v>24.593156850576253</v>
      </c>
      <c r="N34" s="56">
        <v>23.991275833474297</v>
      </c>
      <c r="O34" s="56">
        <v>22.386108163008256</v>
      </c>
      <c r="P34" s="56">
        <v>23.251783267739494</v>
      </c>
      <c r="Q34" s="56">
        <v>21.248529729994512</v>
      </c>
      <c r="R34" s="56">
        <v>19.207251696085905</v>
      </c>
      <c r="S34" s="56">
        <v>18.115631805616697</v>
      </c>
      <c r="T34" s="56">
        <v>17.366282413581633</v>
      </c>
      <c r="U34" s="56">
        <v>15.546413652517932</v>
      </c>
      <c r="V34" s="56">
        <v>13.9663987241805</v>
      </c>
      <c r="W34" s="56">
        <v>12.018301809963861</v>
      </c>
      <c r="X34" s="56">
        <v>10.527404509452428</v>
      </c>
      <c r="Y34" s="56">
        <v>8.9457849222976566</v>
      </c>
      <c r="Z34" s="56">
        <v>7.129819497136169</v>
      </c>
      <c r="AA34" s="56">
        <v>4.6075261623231478</v>
      </c>
      <c r="AB34" s="56">
        <v>2.2605109374466075</v>
      </c>
      <c r="AC34" s="56">
        <v>1.0695330925109561</v>
      </c>
      <c r="AD34" s="56">
        <v>0.5777322955453601</v>
      </c>
      <c r="AE34" s="1024">
        <v>1.4223098163803014</v>
      </c>
      <c r="AF34" s="928" t="s">
        <v>153</v>
      </c>
      <c r="AG34" s="928" t="s">
        <v>153</v>
      </c>
      <c r="AH34" s="559"/>
    </row>
    <row r="35" spans="1:34" s="294" customFormat="1">
      <c r="A35" s="553">
        <v>35</v>
      </c>
      <c r="C35" s="10"/>
      <c r="D35" s="29"/>
      <c r="E35" s="197" t="s">
        <v>684</v>
      </c>
      <c r="F35" s="56">
        <v>3.9108926237636649E-2</v>
      </c>
      <c r="G35" s="56">
        <v>4.2166464898231455E-2</v>
      </c>
      <c r="H35" s="56">
        <v>4.6880937481668161E-2</v>
      </c>
      <c r="I35" s="56">
        <v>3.5663791196899809E-2</v>
      </c>
      <c r="J35" s="56">
        <v>0.14964414978048568</v>
      </c>
      <c r="K35" s="56">
        <v>0.51222330201629795</v>
      </c>
      <c r="L35" s="56">
        <v>0.52222156697101474</v>
      </c>
      <c r="M35" s="56">
        <v>0.46744833461936403</v>
      </c>
      <c r="N35" s="56">
        <v>0.48092429161519068</v>
      </c>
      <c r="O35" s="56">
        <v>0.42448689674338419</v>
      </c>
      <c r="P35" s="56">
        <v>0.44460305294704661</v>
      </c>
      <c r="Q35" s="56">
        <v>0.41349127965651533</v>
      </c>
      <c r="R35" s="56">
        <v>0.37240956791026236</v>
      </c>
      <c r="S35" s="56">
        <v>0.34818899143879589</v>
      </c>
      <c r="T35" s="56">
        <v>0.33098494206464296</v>
      </c>
      <c r="U35" s="56">
        <v>0.29322379933978632</v>
      </c>
      <c r="V35" s="56">
        <v>0.26352308123139845</v>
      </c>
      <c r="W35" s="56">
        <v>0.2268229680974185</v>
      </c>
      <c r="X35" s="56">
        <v>0.19871302705205293</v>
      </c>
      <c r="Y35" s="56">
        <v>0.16881201076841618</v>
      </c>
      <c r="Z35" s="56">
        <v>0.134440586303371</v>
      </c>
      <c r="AA35" s="56">
        <v>8.6812057663070707E-2</v>
      </c>
      <c r="AB35" s="56">
        <v>4.25570757138162E-2</v>
      </c>
      <c r="AC35" s="56">
        <v>2.0133834268933785E-2</v>
      </c>
      <c r="AD35" s="56">
        <v>1.0877482082305764E-2</v>
      </c>
      <c r="AE35" s="1024">
        <v>2.6792078051931994E-2</v>
      </c>
      <c r="AF35" s="928" t="s">
        <v>153</v>
      </c>
      <c r="AG35" s="928" t="s">
        <v>153</v>
      </c>
      <c r="AH35" s="559"/>
    </row>
    <row r="36" spans="1:34" s="294" customFormat="1">
      <c r="A36" s="553">
        <v>36</v>
      </c>
      <c r="C36" s="10"/>
      <c r="D36" s="29"/>
      <c r="E36" s="197" t="s">
        <v>685</v>
      </c>
      <c r="F36" s="56">
        <v>0</v>
      </c>
      <c r="G36" s="56">
        <v>0</v>
      </c>
      <c r="H36" s="56">
        <v>0</v>
      </c>
      <c r="I36" s="56">
        <v>0</v>
      </c>
      <c r="J36" s="56">
        <v>0</v>
      </c>
      <c r="K36" s="56">
        <v>1.1025075388229903E-3</v>
      </c>
      <c r="L36" s="56">
        <v>4.0122474283501765E-3</v>
      </c>
      <c r="M36" s="56">
        <v>1.7610751279277848E-2</v>
      </c>
      <c r="N36" s="56">
        <v>2.2828505513903204E-2</v>
      </c>
      <c r="O36" s="56">
        <v>3.9191574151294761E-2</v>
      </c>
      <c r="P36" s="56">
        <v>5.1520462007032315E-2</v>
      </c>
      <c r="Q36" s="56">
        <v>6.1472883797745619E-2</v>
      </c>
      <c r="R36" s="56">
        <v>6.2618675591767606E-2</v>
      </c>
      <c r="S36" s="56">
        <v>6.3397881186672639E-2</v>
      </c>
      <c r="T36" s="56">
        <v>6.3907353623465266E-2</v>
      </c>
      <c r="U36" s="56">
        <v>6.4350844716517794E-2</v>
      </c>
      <c r="V36" s="56">
        <v>6.3989718247120894E-2</v>
      </c>
      <c r="W36" s="56">
        <v>6.3562838406710356E-2</v>
      </c>
      <c r="X36" s="56">
        <v>6.3136995508083618E-2</v>
      </c>
      <c r="Y36" s="56">
        <v>6.2712216737421E-2</v>
      </c>
      <c r="Z36" s="56">
        <v>6.2288528773987897E-2</v>
      </c>
      <c r="AA36" s="56">
        <v>6.1865957791449704E-2</v>
      </c>
      <c r="AB36" s="56">
        <v>6.1444529459372878E-2</v>
      </c>
      <c r="AC36" s="56">
        <v>6.1024268944904599E-2</v>
      </c>
      <c r="AD36" s="56">
        <v>6.0605200914623812E-2</v>
      </c>
      <c r="AE36" s="1024">
        <v>6.0189257340328386E-2</v>
      </c>
      <c r="AF36" s="928" t="s">
        <v>153</v>
      </c>
      <c r="AG36" s="928" t="s">
        <v>153</v>
      </c>
      <c r="AH36" s="559"/>
    </row>
    <row r="37" spans="1:34" s="294" customFormat="1">
      <c r="A37" s="553">
        <v>37</v>
      </c>
      <c r="C37" s="10"/>
      <c r="D37" s="29"/>
      <c r="E37" s="197" t="s">
        <v>686</v>
      </c>
      <c r="F37" s="56">
        <v>6.1828381567548067</v>
      </c>
      <c r="G37" s="56">
        <v>5.7270529500600444</v>
      </c>
      <c r="H37" s="56">
        <v>6.1106126537631473</v>
      </c>
      <c r="I37" s="56">
        <v>5.5765801503343546</v>
      </c>
      <c r="J37" s="56">
        <v>4.4787382226890351</v>
      </c>
      <c r="K37" s="56">
        <v>3.8426720418555642</v>
      </c>
      <c r="L37" s="56">
        <v>3.3178224592537493</v>
      </c>
      <c r="M37" s="56">
        <v>2.7971896531249989</v>
      </c>
      <c r="N37" s="56">
        <v>3.3193849499999994</v>
      </c>
      <c r="O37" s="56">
        <v>4.6974199999999993</v>
      </c>
      <c r="P37" s="56">
        <v>4.9340000000000002</v>
      </c>
      <c r="Q37" s="56">
        <v>4.0137931034482763</v>
      </c>
      <c r="R37" s="56">
        <v>4.3620000000000001</v>
      </c>
      <c r="S37" s="56">
        <v>4.5450000000000008</v>
      </c>
      <c r="T37" s="56">
        <v>4.6662500000000007</v>
      </c>
      <c r="U37" s="56">
        <v>4.7874999999999996</v>
      </c>
      <c r="V37" s="56">
        <v>4.9087500000000004</v>
      </c>
      <c r="W37" s="56">
        <v>5.03</v>
      </c>
      <c r="X37" s="56">
        <v>5.1512500000000001</v>
      </c>
      <c r="Y37" s="56">
        <v>5.2725000000000009</v>
      </c>
      <c r="Z37" s="56">
        <v>5.3937500000000007</v>
      </c>
      <c r="AA37" s="56">
        <v>5.5149999999999997</v>
      </c>
      <c r="AB37" s="56">
        <v>5.6362500000000004</v>
      </c>
      <c r="AC37" s="56">
        <v>5.7575000000000003</v>
      </c>
      <c r="AD37" s="56">
        <v>5.8787499999999993</v>
      </c>
      <c r="AE37" s="1024">
        <v>6.0000000000000009</v>
      </c>
      <c r="AF37" s="928" t="s">
        <v>153</v>
      </c>
      <c r="AG37" s="928" t="s">
        <v>153</v>
      </c>
      <c r="AH37" s="559"/>
    </row>
    <row r="38" spans="1:34" s="294" customFormat="1">
      <c r="A38" s="553">
        <v>38</v>
      </c>
      <c r="C38" s="10"/>
      <c r="D38" s="29"/>
      <c r="E38" s="198" t="s">
        <v>687</v>
      </c>
      <c r="F38" s="57">
        <v>8.5418607986542074</v>
      </c>
      <c r="G38" s="57">
        <v>9.7114556884047722</v>
      </c>
      <c r="H38" s="57">
        <v>10.085498682795604</v>
      </c>
      <c r="I38" s="57">
        <v>11.329779261441761</v>
      </c>
      <c r="J38" s="57">
        <v>11.221157163480246</v>
      </c>
      <c r="K38" s="57">
        <v>10.489514345822155</v>
      </c>
      <c r="L38" s="57">
        <v>10.04632861697433</v>
      </c>
      <c r="M38" s="57">
        <v>9.9735451815826046</v>
      </c>
      <c r="N38" s="57">
        <v>10.305076791494033</v>
      </c>
      <c r="O38" s="57">
        <v>11.199433878446268</v>
      </c>
      <c r="P38" s="57">
        <v>11.690073188597182</v>
      </c>
      <c r="Q38" s="57">
        <v>10.418092117820231</v>
      </c>
      <c r="R38" s="57">
        <v>10.185805413096807</v>
      </c>
      <c r="S38" s="57">
        <v>10.047703637329917</v>
      </c>
      <c r="T38" s="57">
        <v>9.9588628045513499</v>
      </c>
      <c r="U38" s="57">
        <v>9.531471080220518</v>
      </c>
      <c r="V38" s="57">
        <v>9.1722029637333211</v>
      </c>
      <c r="W38" s="57">
        <v>8.6996939450573816</v>
      </c>
      <c r="X38" s="57">
        <v>8.3661624856868588</v>
      </c>
      <c r="Y38" s="57">
        <v>8.0036538111244244</v>
      </c>
      <c r="Z38" s="57">
        <v>7.5688198779126843</v>
      </c>
      <c r="AA38" s="57">
        <v>6.9195036313400067</v>
      </c>
      <c r="AB38" s="57">
        <v>6.3247668833487163</v>
      </c>
      <c r="AC38" s="57">
        <v>6.0832386600979591</v>
      </c>
      <c r="AD38" s="57">
        <v>6.0547331928385821</v>
      </c>
      <c r="AE38" s="1025">
        <v>6.4334601889190193</v>
      </c>
      <c r="AF38" s="928" t="s">
        <v>153</v>
      </c>
      <c r="AG38" s="928" t="s">
        <v>153</v>
      </c>
      <c r="AH38" s="559"/>
    </row>
    <row r="39" spans="1:34" s="294" customFormat="1">
      <c r="A39" s="553">
        <v>39</v>
      </c>
      <c r="C39" s="10"/>
      <c r="D39" s="29"/>
      <c r="E39" s="197" t="s">
        <v>688</v>
      </c>
      <c r="F39" s="56">
        <v>5.7609707800778731E-2</v>
      </c>
      <c r="G39" s="56">
        <v>5.642510910963263E-2</v>
      </c>
      <c r="H39" s="56">
        <v>5.5331465416375417E-2</v>
      </c>
      <c r="I39" s="56">
        <v>3.7062726784394935E-2</v>
      </c>
      <c r="J39" s="56">
        <v>0.1404806120966747</v>
      </c>
      <c r="K39" s="56">
        <v>0.46461427704726477</v>
      </c>
      <c r="L39" s="56">
        <v>0.50261940998172727</v>
      </c>
      <c r="M39" s="56">
        <v>0.40951937429471241</v>
      </c>
      <c r="N39" s="56">
        <v>0.41932532943577</v>
      </c>
      <c r="O39" s="56">
        <v>0.37259653922651048</v>
      </c>
      <c r="P39" s="56">
        <v>0.38271212945690902</v>
      </c>
      <c r="Q39" s="56">
        <v>0.3667979061975653</v>
      </c>
      <c r="R39" s="56">
        <v>0.33355088930610155</v>
      </c>
      <c r="S39" s="56">
        <v>0.31516020224366026</v>
      </c>
      <c r="T39" s="56">
        <v>0.30312752272611315</v>
      </c>
      <c r="U39" s="56">
        <v>0.27170478070773374</v>
      </c>
      <c r="V39" s="56">
        <v>0.2441837298289459</v>
      </c>
      <c r="W39" s="56">
        <v>0.21017695338900899</v>
      </c>
      <c r="X39" s="56">
        <v>0.18412993611198383</v>
      </c>
      <c r="Y39" s="56">
        <v>0.15642328647925888</v>
      </c>
      <c r="Z39" s="56">
        <v>0.12457430161542901</v>
      </c>
      <c r="AA39" s="56">
        <v>8.0441120888686726E-2</v>
      </c>
      <c r="AB39" s="56">
        <v>3.9433910038747404E-2</v>
      </c>
      <c r="AC39" s="56">
        <v>1.8656258588708102E-2</v>
      </c>
      <c r="AD39" s="56">
        <v>1.007920874935671E-2</v>
      </c>
      <c r="AE39" s="1024">
        <v>2.4825869210463303E-2</v>
      </c>
      <c r="AF39" s="928" t="s">
        <v>153</v>
      </c>
      <c r="AG39" s="928" t="s">
        <v>153</v>
      </c>
      <c r="AH39" s="559"/>
    </row>
    <row r="40" spans="1:34" s="294" customFormat="1">
      <c r="A40" s="553">
        <v>40</v>
      </c>
      <c r="C40" s="10"/>
      <c r="D40" s="29"/>
      <c r="E40" s="198" t="s">
        <v>689</v>
      </c>
      <c r="F40" s="57">
        <v>0</v>
      </c>
      <c r="G40" s="57">
        <v>0</v>
      </c>
      <c r="H40" s="57">
        <v>0</v>
      </c>
      <c r="I40" s="57">
        <v>0</v>
      </c>
      <c r="J40" s="57">
        <v>0</v>
      </c>
      <c r="K40" s="57">
        <v>6.5754804271462967E-4</v>
      </c>
      <c r="L40" s="57">
        <v>2.0815571326949665E-3</v>
      </c>
      <c r="M40" s="57">
        <v>1.1457910991618248E-2</v>
      </c>
      <c r="N40" s="57">
        <v>1.5184490749683074E-2</v>
      </c>
      <c r="O40" s="57">
        <v>3.0575222310001159E-2</v>
      </c>
      <c r="P40" s="57">
        <v>4.0281218869180284E-2</v>
      </c>
      <c r="Q40" s="57">
        <v>4.5496954333313404E-2</v>
      </c>
      <c r="R40" s="57">
        <v>4.6716122590782456E-2</v>
      </c>
      <c r="S40" s="57">
        <v>4.6906005091682246E-2</v>
      </c>
      <c r="T40" s="57">
        <v>4.7519560735836137E-2</v>
      </c>
      <c r="U40" s="57">
        <v>4.8070813154184558E-2</v>
      </c>
      <c r="V40" s="57">
        <v>4.7880811983859184E-2</v>
      </c>
      <c r="W40" s="57">
        <v>4.7613984492216016E-2</v>
      </c>
      <c r="X40" s="57">
        <v>4.7324083028260598E-2</v>
      </c>
      <c r="Y40" s="57">
        <v>4.694887715038245E-2</v>
      </c>
      <c r="Z40" s="57">
        <v>4.6475177043039793E-2</v>
      </c>
      <c r="AA40" s="57">
        <v>4.6001235716259602E-2</v>
      </c>
      <c r="AB40" s="57">
        <v>4.5526723337384736E-2</v>
      </c>
      <c r="AC40" s="57">
        <v>4.5200155958585196E-2</v>
      </c>
      <c r="AD40" s="57">
        <v>4.4921583341658709E-2</v>
      </c>
      <c r="AE40" s="1025">
        <v>4.4709011022087561E-2</v>
      </c>
      <c r="AF40" s="928" t="s">
        <v>153</v>
      </c>
      <c r="AG40" s="928" t="s">
        <v>153</v>
      </c>
      <c r="AH40" s="559"/>
    </row>
    <row r="41" spans="1:34" s="294" customFormat="1">
      <c r="A41" s="553">
        <v>41</v>
      </c>
      <c r="C41" s="10"/>
      <c r="D41" s="29"/>
      <c r="E41" s="198" t="s">
        <v>690</v>
      </c>
      <c r="F41" s="57">
        <v>0</v>
      </c>
      <c r="G41" s="57">
        <v>-1.2599956268415036</v>
      </c>
      <c r="H41" s="57">
        <v>-0.78705523298586666</v>
      </c>
      <c r="I41" s="57">
        <v>-2.8225387956554155</v>
      </c>
      <c r="J41" s="57">
        <v>-2.3738123026356077</v>
      </c>
      <c r="K41" s="57">
        <v>1.4874544343006681</v>
      </c>
      <c r="L41" s="57">
        <v>2.6758991702002426</v>
      </c>
      <c r="M41" s="57">
        <v>2.0367829512788891</v>
      </c>
      <c r="N41" s="57">
        <v>3.4298561241442904</v>
      </c>
      <c r="O41" s="57">
        <v>3.7066128850407996</v>
      </c>
      <c r="P41" s="57">
        <v>2.19040541733</v>
      </c>
      <c r="Q41" s="57">
        <v>-4.0200928837931045</v>
      </c>
      <c r="R41" s="57">
        <v>1.183434446309888</v>
      </c>
      <c r="S41" s="57">
        <v>0.51688697626760316</v>
      </c>
      <c r="T41" s="57">
        <v>0.40326412270598511</v>
      </c>
      <c r="U41" s="57">
        <v>0.31317383195839282</v>
      </c>
      <c r="V41" s="57">
        <v>0.10164672045274951</v>
      </c>
      <c r="W41" s="57">
        <v>-3.6374948856142883E-2</v>
      </c>
      <c r="X41" s="57">
        <v>-0.18278723334502098</v>
      </c>
      <c r="Y41" s="57">
        <v>-0.30972803935507953</v>
      </c>
      <c r="Z41" s="57">
        <v>-0.45261438506264129</v>
      </c>
      <c r="AA41" s="57">
        <v>-0.57801180273992225</v>
      </c>
      <c r="AB41" s="57">
        <v>-0.73016480433633557</v>
      </c>
      <c r="AC41" s="57">
        <v>-0.85102399268041562</v>
      </c>
      <c r="AD41" s="57">
        <v>-0.93284671501419103</v>
      </c>
      <c r="AE41" s="1025">
        <v>-0.97472738977440887</v>
      </c>
      <c r="AF41" s="928" t="s">
        <v>153</v>
      </c>
      <c r="AG41" s="928" t="s">
        <v>153</v>
      </c>
      <c r="AH41" s="559"/>
    </row>
    <row r="42" spans="1:34" s="294" customFormat="1">
      <c r="A42" s="553">
        <v>42</v>
      </c>
      <c r="C42" s="10"/>
      <c r="D42" s="29"/>
      <c r="F42" s="654"/>
      <c r="G42" s="654"/>
      <c r="H42" s="654"/>
      <c r="I42" s="654"/>
      <c r="J42" s="654"/>
      <c r="K42" s="654"/>
      <c r="L42" s="654"/>
      <c r="M42" s="654"/>
      <c r="N42" s="654"/>
      <c r="O42" s="654"/>
      <c r="P42" s="654"/>
      <c r="Q42" s="654"/>
      <c r="R42" s="654"/>
      <c r="S42" s="654"/>
      <c r="T42" s="654"/>
      <c r="U42" s="654"/>
      <c r="V42" s="654"/>
      <c r="W42" s="654"/>
      <c r="X42" s="654"/>
      <c r="Y42" s="654"/>
      <c r="Z42" s="654"/>
      <c r="AA42" s="654"/>
      <c r="AB42" s="654"/>
      <c r="AC42" s="654"/>
      <c r="AD42" s="654"/>
      <c r="AE42" s="654"/>
      <c r="AF42" s="928" t="s">
        <v>153</v>
      </c>
      <c r="AG42" s="928" t="s">
        <v>153</v>
      </c>
      <c r="AH42" s="559"/>
    </row>
    <row r="43" spans="1:34" s="294" customFormat="1">
      <c r="A43" s="553">
        <v>43</v>
      </c>
      <c r="C43" s="10"/>
      <c r="D43" s="29"/>
      <c r="E43" s="582" t="s">
        <v>692</v>
      </c>
      <c r="F43" s="654"/>
      <c r="G43" s="654"/>
      <c r="H43" s="654"/>
      <c r="I43" s="654"/>
      <c r="J43" s="654"/>
      <c r="K43" s="654"/>
      <c r="L43" s="654"/>
      <c r="M43" s="654"/>
      <c r="N43" s="654"/>
      <c r="O43" s="654"/>
      <c r="P43" s="654"/>
      <c r="Q43" s="654"/>
      <c r="R43" s="654"/>
      <c r="S43" s="654"/>
      <c r="T43" s="654"/>
      <c r="U43" s="654"/>
      <c r="V43" s="654"/>
      <c r="W43" s="654"/>
      <c r="X43" s="654"/>
      <c r="Y43" s="654"/>
      <c r="Z43" s="654"/>
      <c r="AA43" s="654"/>
      <c r="AB43" s="654"/>
      <c r="AC43" s="654"/>
      <c r="AD43" s="654"/>
      <c r="AE43" s="654"/>
      <c r="AF43" s="928" t="s">
        <v>153</v>
      </c>
      <c r="AG43" s="928" t="s">
        <v>153</v>
      </c>
      <c r="AH43" s="559"/>
    </row>
    <row r="44" spans="1:34" s="294" customFormat="1">
      <c r="A44" s="553">
        <v>44</v>
      </c>
      <c r="C44" s="10"/>
      <c r="D44" s="29"/>
      <c r="E44" s="199" t="s">
        <v>693</v>
      </c>
      <c r="F44" s="190">
        <v>400.59500000000003</v>
      </c>
      <c r="G44" s="190">
        <v>383.14973227999997</v>
      </c>
      <c r="H44" s="190">
        <v>386.50834199999997</v>
      </c>
      <c r="I44" s="190">
        <v>383.25856100000004</v>
      </c>
      <c r="J44" s="190">
        <v>370.260447</v>
      </c>
      <c r="K44" s="190">
        <v>350.71186199775002</v>
      </c>
      <c r="L44" s="190">
        <v>355.81992107000013</v>
      </c>
      <c r="M44" s="190">
        <v>342.69702431899992</v>
      </c>
      <c r="N44" s="190">
        <v>343.43449980099996</v>
      </c>
      <c r="O44" s="190">
        <v>344.29499200573338</v>
      </c>
      <c r="P44" s="190">
        <v>344.16121049404217</v>
      </c>
      <c r="Q44" s="190">
        <v>331.78540980535826</v>
      </c>
      <c r="R44" s="190">
        <v>329.80586289665291</v>
      </c>
      <c r="S44" s="190">
        <v>329.21329222096659</v>
      </c>
      <c r="T44" s="190">
        <v>328.12304725272179</v>
      </c>
      <c r="U44" s="190">
        <v>327.70886225122763</v>
      </c>
      <c r="V44" s="190">
        <v>327.584210333371</v>
      </c>
      <c r="W44" s="190">
        <v>327.50147532469316</v>
      </c>
      <c r="X44" s="190">
        <v>327.45539906052142</v>
      </c>
      <c r="Y44" s="190">
        <v>327.54599487806399</v>
      </c>
      <c r="Z44" s="190">
        <v>327.79726157480195</v>
      </c>
      <c r="AA44" s="190">
        <v>328.05370235513061</v>
      </c>
      <c r="AB44" s="190">
        <v>328.31597773641175</v>
      </c>
      <c r="AC44" s="190">
        <v>328.34085220014043</v>
      </c>
      <c r="AD44" s="190">
        <v>328.28833607722714</v>
      </c>
      <c r="AE44" s="1023">
        <v>328.12928447415595</v>
      </c>
      <c r="AF44" s="928"/>
      <c r="AG44" s="928"/>
      <c r="AH44" s="559"/>
    </row>
    <row r="45" spans="1:34" s="294" customFormat="1">
      <c r="A45" s="553">
        <v>45</v>
      </c>
      <c r="C45" s="10"/>
      <c r="D45" s="29"/>
      <c r="E45" s="197" t="s">
        <v>694</v>
      </c>
      <c r="F45" s="56">
        <v>67.885999999999996</v>
      </c>
      <c r="G45" s="56">
        <v>74.729966079999997</v>
      </c>
      <c r="H45" s="56">
        <v>84.727446</v>
      </c>
      <c r="I45" s="56">
        <v>96.225492000000003</v>
      </c>
      <c r="J45" s="56">
        <v>106.52299099999999</v>
      </c>
      <c r="K45" s="56">
        <v>110.247</v>
      </c>
      <c r="L45" s="56">
        <v>103.9</v>
      </c>
      <c r="M45" s="56">
        <v>114.145597</v>
      </c>
      <c r="N45" s="56">
        <v>114.690017</v>
      </c>
      <c r="O45" s="56">
        <v>113.926688</v>
      </c>
      <c r="P45" s="56">
        <v>116.17166499999999</v>
      </c>
      <c r="Q45" s="56">
        <v>112.73</v>
      </c>
      <c r="R45" s="56">
        <v>111.65</v>
      </c>
      <c r="S45" s="56">
        <v>110.48</v>
      </c>
      <c r="T45" s="56">
        <v>109.19</v>
      </c>
      <c r="U45" s="56">
        <v>107.92</v>
      </c>
      <c r="V45" s="56">
        <v>107.92</v>
      </c>
      <c r="W45" s="56">
        <v>107.92</v>
      </c>
      <c r="X45" s="56">
        <v>107.92</v>
      </c>
      <c r="Y45" s="56">
        <v>107.92</v>
      </c>
      <c r="Z45" s="56">
        <v>107.92</v>
      </c>
      <c r="AA45" s="56">
        <v>107.92</v>
      </c>
      <c r="AB45" s="56">
        <v>107.92</v>
      </c>
      <c r="AC45" s="56">
        <v>107.92</v>
      </c>
      <c r="AD45" s="56">
        <v>107.92</v>
      </c>
      <c r="AE45" s="1024">
        <v>107.92</v>
      </c>
      <c r="AF45" s="928"/>
      <c r="AG45" s="928"/>
      <c r="AH45" s="559"/>
    </row>
    <row r="46" spans="1:34" s="294" customFormat="1">
      <c r="A46" s="553">
        <v>46</v>
      </c>
      <c r="C46" s="10"/>
      <c r="D46" s="29"/>
      <c r="E46" s="198" t="s">
        <v>695</v>
      </c>
      <c r="F46" s="57">
        <v>66.919000000000011</v>
      </c>
      <c r="G46" s="57">
        <v>54.256241999999979</v>
      </c>
      <c r="H46" s="57">
        <v>62.745360999999974</v>
      </c>
      <c r="I46" s="57">
        <v>55.017604000000063</v>
      </c>
      <c r="J46" s="57">
        <v>47.117968535482987</v>
      </c>
      <c r="K46" s="57">
        <v>59.641138002250003</v>
      </c>
      <c r="L46" s="57">
        <v>51.880078929999996</v>
      </c>
      <c r="M46" s="57">
        <v>65.062022680999988</v>
      </c>
      <c r="N46" s="57">
        <v>66.515483199000002</v>
      </c>
      <c r="O46" s="57">
        <v>78.014784994266563</v>
      </c>
      <c r="P46" s="57">
        <v>78.1848945059578</v>
      </c>
      <c r="Q46" s="57">
        <v>74.011420194641829</v>
      </c>
      <c r="R46" s="57">
        <v>74.604137103347114</v>
      </c>
      <c r="S46" s="57">
        <v>73.986707779033338</v>
      </c>
      <c r="T46" s="57">
        <v>74.356952747278342</v>
      </c>
      <c r="U46" s="57">
        <v>74.701137748772354</v>
      </c>
      <c r="V46" s="57">
        <v>74.825789666628978</v>
      </c>
      <c r="W46" s="57">
        <v>74.908524675306808</v>
      </c>
      <c r="X46" s="57">
        <v>74.954600939478595</v>
      </c>
      <c r="Y46" s="57">
        <v>74.864005121935975</v>
      </c>
      <c r="Z46" s="57">
        <v>74.612738425198017</v>
      </c>
      <c r="AA46" s="57">
        <v>74.356297644869386</v>
      </c>
      <c r="AB46" s="57">
        <v>74.094022263588187</v>
      </c>
      <c r="AC46" s="57">
        <v>74.069147799859579</v>
      </c>
      <c r="AD46" s="57">
        <v>74.121663922772839</v>
      </c>
      <c r="AE46" s="1025">
        <v>74.280715525844087</v>
      </c>
      <c r="AF46" s="928"/>
      <c r="AG46" s="928"/>
      <c r="AH46" s="559"/>
    </row>
    <row r="47" spans="1:34" s="294" customFormat="1">
      <c r="A47" s="553">
        <v>47</v>
      </c>
      <c r="F47" s="654"/>
      <c r="G47" s="654"/>
      <c r="H47" s="654"/>
      <c r="I47" s="654"/>
      <c r="J47" s="654"/>
      <c r="K47" s="654"/>
      <c r="L47" s="654"/>
      <c r="M47" s="654"/>
      <c r="N47" s="654"/>
      <c r="O47" s="654"/>
      <c r="P47" s="654"/>
      <c r="Q47" s="654"/>
      <c r="R47" s="654"/>
      <c r="S47" s="654"/>
      <c r="T47" s="654"/>
      <c r="U47" s="654"/>
      <c r="V47" s="654"/>
      <c r="W47" s="654"/>
      <c r="X47" s="654"/>
      <c r="Y47" s="654"/>
      <c r="Z47" s="654"/>
      <c r="AA47" s="654"/>
      <c r="AB47" s="654"/>
      <c r="AC47" s="654"/>
      <c r="AD47" s="654"/>
      <c r="AE47" s="654"/>
      <c r="AF47" s="928"/>
      <c r="AG47" s="928"/>
      <c r="AH47" s="559"/>
    </row>
    <row r="48" spans="1:34" s="294" customFormat="1">
      <c r="A48" s="553">
        <v>48</v>
      </c>
      <c r="E48" s="612" t="s">
        <v>429</v>
      </c>
      <c r="F48" s="655">
        <v>0.17956606533398342</v>
      </c>
      <c r="G48" s="655">
        <v>0.20889978081740276</v>
      </c>
      <c r="H48" s="613">
        <v>0.22202076099489373</v>
      </c>
      <c r="I48" s="613">
        <v>0.25922769498261294</v>
      </c>
      <c r="J48" s="613">
        <v>0.28309799017205339</v>
      </c>
      <c r="K48" s="613">
        <v>0.30059636757838554</v>
      </c>
      <c r="L48" s="613">
        <v>0.3286545774843071</v>
      </c>
      <c r="M48" s="613">
        <v>0.34699981369395438</v>
      </c>
      <c r="N48" s="613">
        <v>0.37850965504665413</v>
      </c>
      <c r="O48" s="613">
        <v>0.3996767110480044</v>
      </c>
      <c r="P48" s="613">
        <v>0.41402554600735214</v>
      </c>
      <c r="Q48" s="613">
        <v>0.43632172207942227</v>
      </c>
      <c r="R48" s="613">
        <v>0.44585345469727838</v>
      </c>
      <c r="S48" s="613">
        <v>0.46501375143170837</v>
      </c>
      <c r="T48" s="613">
        <v>0.48493602092876686</v>
      </c>
      <c r="U48" s="613">
        <v>0.50114232433943284</v>
      </c>
      <c r="V48" s="613">
        <v>0.51342139388381569</v>
      </c>
      <c r="W48" s="613">
        <v>0.52189392023515602</v>
      </c>
      <c r="X48" s="613">
        <v>0.53144422060354224</v>
      </c>
      <c r="Y48" s="613">
        <v>0.54450527032353824</v>
      </c>
      <c r="Z48" s="613">
        <v>0.55579821584924383</v>
      </c>
      <c r="AA48" s="613">
        <v>0.56508080175091169</v>
      </c>
      <c r="AB48" s="613">
        <v>0.56781934667108935</v>
      </c>
      <c r="AC48" s="613">
        <v>0.58156360156609255</v>
      </c>
      <c r="AD48" s="613">
        <v>0.59552959919521942</v>
      </c>
      <c r="AE48" s="614">
        <v>0.59955065091912929</v>
      </c>
      <c r="AF48" s="928" t="s">
        <v>161</v>
      </c>
      <c r="AG48" s="928"/>
      <c r="AH48" s="559"/>
    </row>
    <row r="49" spans="1:34" s="294" customFormat="1">
      <c r="A49" s="553">
        <v>49</v>
      </c>
      <c r="AF49" s="928"/>
      <c r="AG49" s="928"/>
      <c r="AH49" s="559"/>
    </row>
    <row r="50" spans="1:34" s="294" customFormat="1">
      <c r="A50" s="553">
        <v>50</v>
      </c>
      <c r="C50" s="10"/>
      <c r="D50" s="29"/>
      <c r="E50" s="192" t="s">
        <v>674</v>
      </c>
      <c r="AF50" s="928"/>
      <c r="AG50" s="928"/>
      <c r="AH50" s="559"/>
    </row>
    <row r="51" spans="1:34" s="294" customFormat="1">
      <c r="A51" s="553">
        <v>51</v>
      </c>
      <c r="C51" s="10"/>
      <c r="D51" s="29"/>
      <c r="E51" s="582" t="s">
        <v>675</v>
      </c>
      <c r="AF51" s="928"/>
      <c r="AG51" s="928"/>
      <c r="AH51" s="559"/>
    </row>
    <row r="52" spans="1:34" s="294" customFormat="1">
      <c r="A52" s="553">
        <v>52</v>
      </c>
      <c r="C52" s="10"/>
      <c r="D52" s="29"/>
      <c r="E52" s="193" t="s">
        <v>427</v>
      </c>
      <c r="F52" s="856">
        <f>'MOD-Berechnungen'!F399</f>
        <v>2.0469999999999997</v>
      </c>
      <c r="G52" s="856">
        <f>'MOD-Berechnungen'!G399</f>
        <v>3.5300000000000007</v>
      </c>
      <c r="H52" s="856">
        <f>'MOD-Berechnungen'!H399</f>
        <v>3.5920000000000005</v>
      </c>
      <c r="I52" s="856">
        <f>'MOD-Berechnungen'!I399</f>
        <v>5.2769999999999992</v>
      </c>
      <c r="J52" s="856">
        <f>'MOD-Berechnungen'!J399</f>
        <v>6.2399999999999993</v>
      </c>
      <c r="K52" s="856">
        <f>'MOD-Berechnungen'!K399</f>
        <v>6.17</v>
      </c>
      <c r="L52" s="856">
        <f>'MOD-Berechnungen'!L399</f>
        <v>6.3394923951914501</v>
      </c>
      <c r="M52" s="856">
        <f>'MOD-Berechnungen'!M399</f>
        <v>6.862870744991362</v>
      </c>
      <c r="N52" s="856">
        <f>'MOD-Berechnungen'!N399</f>
        <v>6.7807438583746604</v>
      </c>
      <c r="O52" s="856">
        <f>'MOD-Berechnungen'!O399</f>
        <v>6.405925003395339</v>
      </c>
      <c r="P52" s="856">
        <f>'MOD-Berechnungen'!P399</f>
        <v>6.7560731885971812</v>
      </c>
      <c r="Q52" s="856">
        <f>'MOD-Berechnungen'!Q399</f>
        <v>6.5003634995875359</v>
      </c>
      <c r="R52" s="856">
        <f>'MOD-Berechnungen'!R399</f>
        <v>6.3455464049513157</v>
      </c>
      <c r="S52" s="856">
        <f>'MOD-Berechnungen'!S399</f>
        <v>5.7377594551042073</v>
      </c>
      <c r="T52" s="856">
        <f>'MOD-Berechnungen'!T399</f>
        <v>5.5978679128930713</v>
      </c>
      <c r="U52" s="856">
        <f>'MOD-Berechnungen'!U399</f>
        <v>5.0894537215159117</v>
      </c>
      <c r="V52" s="856">
        <f>'MOD-Berechnungen'!V399</f>
        <v>4.6385294957784931</v>
      </c>
      <c r="W52" s="856">
        <f>'MOD-Berechnungen'!W399</f>
        <v>4.0472663312227866</v>
      </c>
      <c r="X52" s="856">
        <f>'MOD-Berechnungen'!X399</f>
        <v>3.5942292522672457</v>
      </c>
      <c r="Y52" s="856">
        <f>'MOD-Berechnungen'!Y399</f>
        <v>3.0939960732966507</v>
      </c>
      <c r="Z52" s="856">
        <f>'MOD-Berechnungen'!Z399</f>
        <v>2.4944400473394257</v>
      </c>
      <c r="AA52" s="856">
        <f>'MOD-Berechnungen'!AA399</f>
        <v>1.6239565889944165</v>
      </c>
      <c r="AB52" s="856">
        <f>'MOD-Berechnungen'!AB399</f>
        <v>0.7924471987414281</v>
      </c>
      <c r="AC52" s="856">
        <f>'MOD-Berechnungen'!AC399</f>
        <v>0.36462549858475624</v>
      </c>
      <c r="AD52" s="856">
        <f>'MOD-Berechnungen'!AD399</f>
        <v>0.18655001507974711</v>
      </c>
      <c r="AE52" s="860">
        <f>'MOD-Berechnungen'!AE399</f>
        <v>0.51203044585412305</v>
      </c>
      <c r="AF52" s="928"/>
      <c r="AG52" s="928"/>
      <c r="AH52" s="559"/>
    </row>
    <row r="53" spans="1:34" s="294" customFormat="1">
      <c r="A53" s="553">
        <v>53</v>
      </c>
      <c r="C53" s="10"/>
      <c r="D53" s="29"/>
      <c r="E53" s="194" t="s">
        <v>676</v>
      </c>
      <c r="F53" s="857">
        <f>IF(ControlPanel!$D$59&gt;'GrD-Grafikdaten'!F$5,'MOD-Berechnungen'!F314-'MOD-Berechnungen'!F354,'MOD-Berechnungen'!F304+'MOD-Berechnungen'!F324+'MOD-Berechnungen'!F364-'MOD-Berechnungen'!F354)</f>
        <v>0.12188854688</v>
      </c>
      <c r="G53" s="857">
        <f>IF(ControlPanel!$D$59&gt;'GrD-Grafikdaten'!G$5,'MOD-Berechnungen'!G314-'MOD-Berechnungen'!G354,'MOD-Berechnungen'!G304+'MOD-Berechnungen'!G324+'MOD-Berechnungen'!G364-'MOD-Berechnungen'!G354)</f>
        <v>5.7623056991530017E-2</v>
      </c>
      <c r="H53" s="857">
        <f>IF(ControlPanel!$D$59&gt;'GrD-Grafikdaten'!H$5,'MOD-Berechnungen'!H314-'MOD-Berechnungen'!H354,'MOD-Berechnungen'!H304+'MOD-Berechnungen'!H324+'MOD-Berechnungen'!H364-'MOD-Berechnungen'!H354)</f>
        <v>0.14606846574000004</v>
      </c>
      <c r="I53" s="857">
        <f>IF(ControlPanel!$D$59&gt;'GrD-Grafikdaten'!I$5,'MOD-Berechnungen'!I314-'MOD-Berechnungen'!I354,'MOD-Berechnungen'!I304+'MOD-Berechnungen'!I324+'MOD-Berechnungen'!I364-'MOD-Berechnungen'!I354)</f>
        <v>0.19491568635000001</v>
      </c>
      <c r="J53" s="857">
        <f>IF(ControlPanel!$D$59&gt;'GrD-Grafikdaten'!J$5,'MOD-Berechnungen'!J314-'MOD-Berechnungen'!J354,'MOD-Berechnungen'!J304+'MOD-Berechnungen'!J324+'MOD-Berechnungen'!J364-'MOD-Berechnungen'!J354)</f>
        <v>0.28466948240000001</v>
      </c>
      <c r="K53" s="857">
        <f>IF(ControlPanel!$D$59&gt;'GrD-Grafikdaten'!K$5,'MOD-Berechnungen'!K314-'MOD-Berechnungen'!K354,'MOD-Berechnungen'!K304+'MOD-Berechnungen'!K324+'MOD-Berechnungen'!K364-'MOD-Berechnungen'!K354)</f>
        <v>0.33879737999000004</v>
      </c>
      <c r="L53" s="857">
        <f>IF(ControlPanel!$D$59&gt;'GrD-Grafikdaten'!L$5,'MOD-Berechnungen'!L314-'MOD-Berechnungen'!L354,'MOD-Berechnungen'!L304+'MOD-Berechnungen'!L324+'MOD-Berechnungen'!L364-'MOD-Berechnungen'!L354)</f>
        <v>0.38709749236000002</v>
      </c>
      <c r="M53" s="857">
        <f>IF(ControlPanel!$D$59&gt;'GrD-Grafikdaten'!M$5,'MOD-Berechnungen'!M314-'MOD-Berechnungen'!M354,'MOD-Berechnungen'!M304+'MOD-Berechnungen'!M324+'MOD-Berechnungen'!M364-'MOD-Berechnungen'!M354)</f>
        <v>0.42404636424999992</v>
      </c>
      <c r="N53" s="857">
        <f>IF(ControlPanel!$D$59&gt;'GrD-Grafikdaten'!N$5,'MOD-Berechnungen'!N314-'MOD-Berechnungen'!N354,'MOD-Berechnungen'!N304+'MOD-Berechnungen'!N324+'MOD-Berechnungen'!N364-'MOD-Berechnungen'!N354)</f>
        <v>0.33617967500000001</v>
      </c>
      <c r="O53" s="857">
        <f>IF(ControlPanel!$D$59&gt;'GrD-Grafikdaten'!O$5,'MOD-Berechnungen'!O314-'MOD-Berechnungen'!O354,'MOD-Berechnungen'!O304+'MOD-Berechnungen'!O324+'MOD-Berechnungen'!O364-'MOD-Berechnungen'!O354)</f>
        <v>0.30603378476000004</v>
      </c>
      <c r="P53" s="857">
        <f>IF(ControlPanel!$D$59&gt;'GrD-Grafikdaten'!P$5,'MOD-Berechnungen'!P314-'MOD-Berechnungen'!P354,'MOD-Berechnungen'!P304+'MOD-Berechnungen'!P324+'MOD-Berechnungen'!P364-'MOD-Berechnungen'!P354)</f>
        <v>0.26585502989999993</v>
      </c>
      <c r="Q53" s="857">
        <f>IF(ControlPanel!$D$59&gt;'GrD-Grafikdaten'!Q$5,'MOD-Berechnungen'!Q314-'MOD-Berechnungen'!Q354,'MOD-Berechnungen'!Q304+'MOD-Berechnungen'!Q324+'MOD-Berechnungen'!Q364-'MOD-Berechnungen'!Q354)</f>
        <v>0.33209319147999994</v>
      </c>
      <c r="R53" s="857">
        <f>IF(ControlPanel!$D$59&gt;'GrD-Grafikdaten'!R$5,'MOD-Berechnungen'!R314-'MOD-Berechnungen'!R354,'MOD-Berechnungen'!R304+'MOD-Berechnungen'!R324+'MOD-Berechnungen'!R364-'MOD-Berechnungen'!R354)</f>
        <v>0.31895911068414645</v>
      </c>
      <c r="S53" s="857">
        <f>IF(ControlPanel!$D$59&gt;'GrD-Grafikdaten'!S$5,'MOD-Berechnungen'!S314-'MOD-Berechnungen'!S354,'MOD-Berechnungen'!S304+'MOD-Berechnungen'!S324+'MOD-Berechnungen'!S364-'MOD-Berechnungen'!S354)</f>
        <v>0.30226811764750705</v>
      </c>
      <c r="T53" s="857">
        <f>IF(ControlPanel!$D$59&gt;'GrD-Grafikdaten'!T$5,'MOD-Berechnungen'!T314-'MOD-Berechnungen'!T354,'MOD-Berechnungen'!T304+'MOD-Berechnungen'!T324+'MOD-Berechnungen'!T364-'MOD-Berechnungen'!T354)</f>
        <v>0.28935067284785881</v>
      </c>
      <c r="U53" s="857">
        <f>IF(ControlPanel!$D$59&gt;'GrD-Grafikdaten'!U$5,'MOD-Berechnungen'!U314-'MOD-Berechnungen'!U354,'MOD-Berechnungen'!U304+'MOD-Berechnungen'!U324+'MOD-Berechnungen'!U364-'MOD-Berechnungen'!U354)</f>
        <v>0.27611813443868966</v>
      </c>
      <c r="V53" s="857">
        <f>IF(ControlPanel!$D$59&gt;'GrD-Grafikdaten'!V$5,'MOD-Berechnungen'!V314-'MOD-Berechnungen'!V354,'MOD-Berechnungen'!V304+'MOD-Berechnungen'!V324+'MOD-Berechnungen'!V364-'MOD-Berechnungen'!V354)</f>
        <v>0.26256388053953411</v>
      </c>
      <c r="W53" s="857">
        <f>IF(ControlPanel!$D$59&gt;'GrD-Grafikdaten'!W$5,'MOD-Berechnungen'!W314-'MOD-Berechnungen'!W354,'MOD-Berechnungen'!W304+'MOD-Berechnungen'!W324+'MOD-Berechnungen'!W364-'MOD-Berechnungen'!W354)</f>
        <v>0.24868116262529827</v>
      </c>
      <c r="X53" s="857">
        <f>IF(ControlPanel!$D$59&gt;'GrD-Grafikdaten'!X$5,'MOD-Berechnungen'!X314-'MOD-Berechnungen'!X354,'MOD-Berechnungen'!X304+'MOD-Berechnungen'!X324+'MOD-Berechnungen'!X364-'MOD-Berechnungen'!X354)</f>
        <v>0.23446310320035502</v>
      </c>
      <c r="Y53" s="857">
        <f>IF(ControlPanel!$D$59&gt;'GrD-Grafikdaten'!Y$5,'MOD-Berechnungen'!Y314-'MOD-Berechnungen'!Y354,'MOD-Berechnungen'!Y304+'MOD-Berechnungen'!Y324+'MOD-Berechnungen'!Y364-'MOD-Berechnungen'!Y354)</f>
        <v>0.21990269343160157</v>
      </c>
      <c r="Z53" s="857">
        <f>IF(ControlPanel!$D$59&gt;'GrD-Grafikdaten'!Z$5,'MOD-Berechnungen'!Z314-'MOD-Berechnungen'!Z354,'MOD-Berechnungen'!Z304+'MOD-Berechnungen'!Z324+'MOD-Berechnungen'!Z364-'MOD-Berechnungen'!Z354)</f>
        <v>0.18478988225667997</v>
      </c>
      <c r="AA53" s="857">
        <f>IF(ControlPanel!$D$59&gt;'GrD-Grafikdaten'!AA$5,'MOD-Berechnungen'!AA314-'MOD-Berechnungen'!AA354,'MOD-Berechnungen'!AA304+'MOD-Berechnungen'!AA324+'MOD-Berechnungen'!AA364-'MOD-Berechnungen'!AA354)</f>
        <v>0.16443756037570534</v>
      </c>
      <c r="AB53" s="857">
        <f>IF(ControlPanel!$D$59&gt;'GrD-Grafikdaten'!AB$5,'MOD-Berechnungen'!AB314-'MOD-Berechnungen'!AB354,'MOD-Berechnungen'!AB304+'MOD-Berechnungen'!AB324+'MOD-Berechnungen'!AB364-'MOD-Berechnungen'!AB354)</f>
        <v>0.1401560049255357</v>
      </c>
      <c r="AC53" s="857">
        <f>IF(ControlPanel!$D$59&gt;'GrD-Grafikdaten'!AC$5,'MOD-Berechnungen'!AC314-'MOD-Berechnungen'!AC354,'MOD-Berechnungen'!AC304+'MOD-Berechnungen'!AC324+'MOD-Berechnungen'!AC364-'MOD-Berechnungen'!AC354)</f>
        <v>0.11875900803616046</v>
      </c>
      <c r="AD53" s="857">
        <f>IF(ControlPanel!$D$59&gt;'GrD-Grafikdaten'!AD$5,'MOD-Berechnungen'!AD314-'MOD-Berechnungen'!AD354,'MOD-Berechnungen'!AD304+'MOD-Berechnungen'!AD324+'MOD-Berechnungen'!AD364-'MOD-Berechnungen'!AD354)</f>
        <v>0.10265956867577913</v>
      </c>
      <c r="AE53" s="862">
        <f>IF(ControlPanel!$D$59&gt;'GrD-Grafikdaten'!AE$5,'MOD-Berechnungen'!AE314-'MOD-Berechnungen'!AE354,'MOD-Berechnungen'!AE304+'MOD-Berechnungen'!AE324+'MOD-Berechnungen'!AE364-'MOD-Berechnungen'!AE354)</f>
        <v>8.9127019924165329E-2</v>
      </c>
      <c r="AF53" s="928"/>
      <c r="AG53" s="549" t="s">
        <v>223</v>
      </c>
      <c r="AH53" s="945" t="s">
        <v>747</v>
      </c>
    </row>
    <row r="54" spans="1:34" s="294" customFormat="1">
      <c r="A54" s="553">
        <v>54</v>
      </c>
      <c r="C54" s="10"/>
      <c r="D54" s="29"/>
      <c r="E54" s="194" t="s">
        <v>679</v>
      </c>
      <c r="F54" s="857">
        <f>IF(ControlPanel!$D$59&gt;'GrD-Grafikdaten'!F$5,'MOD-Berechnungen'!F315-'MOD-Berechnungen'!F355,'MOD-Berechnungen'!F305+'MOD-Berechnungen'!F325+'MOD-Berechnungen'!F365-'MOD-Berechnungen'!F355)</f>
        <v>3.1084019199999993E-2</v>
      </c>
      <c r="G54" s="857">
        <f>IF(ControlPanel!$D$59&gt;'GrD-Grafikdaten'!G$5,'MOD-Berechnungen'!G315-'MOD-Berechnungen'!G355,'MOD-Berechnungen'!G305+'MOD-Berechnungen'!G325+'MOD-Berechnungen'!G365-'MOD-Berechnungen'!G355)</f>
        <v>3.9630446239100024E-3</v>
      </c>
      <c r="H54" s="857">
        <f>IF(ControlPanel!$D$59&gt;'GrD-Grafikdaten'!H$5,'MOD-Berechnungen'!H315-'MOD-Berechnungen'!H355,'MOD-Berechnungen'!H305+'MOD-Berechnungen'!H325+'MOD-Berechnungen'!H365-'MOD-Berechnungen'!H355)</f>
        <v>1.2397567299999995E-2</v>
      </c>
      <c r="I54" s="857">
        <f>IF(ControlPanel!$D$59&gt;'GrD-Grafikdaten'!I$5,'MOD-Berechnungen'!I315-'MOD-Berechnungen'!I355,'MOD-Berechnungen'!I305+'MOD-Berechnungen'!I325+'MOD-Berechnungen'!I365-'MOD-Berechnungen'!I355)</f>
        <v>3.4412212400000003E-2</v>
      </c>
      <c r="J54" s="857">
        <f>IF(ControlPanel!$D$59&gt;'GrD-Grafikdaten'!J$5,'MOD-Berechnungen'!J315-'MOD-Berechnungen'!J355,'MOD-Berechnungen'!J305+'MOD-Berechnungen'!J325+'MOD-Berechnungen'!J365-'MOD-Berechnungen'!J355)</f>
        <v>3.0887643399999998E-2</v>
      </c>
      <c r="K54" s="857">
        <f>IF(ControlPanel!$D$59&gt;'GrD-Grafikdaten'!K$5,'MOD-Berechnungen'!K315-'MOD-Berechnungen'!K355,'MOD-Berechnungen'!K305+'MOD-Berechnungen'!K325+'MOD-Berechnungen'!K365-'MOD-Berechnungen'!K355)</f>
        <v>5.7881579700000012E-2</v>
      </c>
      <c r="L54" s="857">
        <f>IF(ControlPanel!$D$59&gt;'GrD-Grafikdaten'!L$5,'MOD-Berechnungen'!L315-'MOD-Berechnungen'!L355,'MOD-Berechnungen'!L305+'MOD-Berechnungen'!L325+'MOD-Berechnungen'!L365-'MOD-Berechnungen'!L355)</f>
        <v>6.2763596220000023E-2</v>
      </c>
      <c r="M54" s="857">
        <f>IF(ControlPanel!$D$59&gt;'GrD-Grafikdaten'!M$5,'MOD-Berechnungen'!M315-'MOD-Berechnungen'!M355,'MOD-Berechnungen'!M305+'MOD-Berechnungen'!M325+'MOD-Berechnungen'!M365-'MOD-Berechnungen'!M355)</f>
        <v>5.9041663249999987E-2</v>
      </c>
      <c r="N54" s="857">
        <f>IF(ControlPanel!$D$59&gt;'GrD-Grafikdaten'!N$5,'MOD-Berechnungen'!N315-'MOD-Berechnungen'!N355,'MOD-Berechnungen'!N305+'MOD-Berechnungen'!N325+'MOD-Berechnungen'!N365-'MOD-Berechnungen'!N355)</f>
        <v>4.9687954939999994E-2</v>
      </c>
      <c r="O54" s="857">
        <f>IF(ControlPanel!$D$59&gt;'GrD-Grafikdaten'!O$5,'MOD-Berechnungen'!O315-'MOD-Berechnungen'!O355,'MOD-Berechnungen'!O305+'MOD-Berechnungen'!O325+'MOD-Berechnungen'!O365-'MOD-Berechnungen'!O355)</f>
        <v>3.6943855719999988E-2</v>
      </c>
      <c r="P54" s="857">
        <f>IF(ControlPanel!$D$59&gt;'GrD-Grafikdaten'!P$5,'MOD-Berechnungen'!P315-'MOD-Berechnungen'!P355,'MOD-Berechnungen'!P305+'MOD-Berechnungen'!P325+'MOD-Berechnungen'!P365-'MOD-Berechnungen'!P355)</f>
        <v>2.3317509879999997E-2</v>
      </c>
      <c r="Q54" s="857">
        <f>IF(ControlPanel!$D$59&gt;'GrD-Grafikdaten'!Q$5,'MOD-Berechnungen'!Q315-'MOD-Berechnungen'!Q355,'MOD-Berechnungen'!Q305+'MOD-Berechnungen'!Q325+'MOD-Berechnungen'!Q365-'MOD-Berechnungen'!Q355)</f>
        <v>3.0264385259999999E-2</v>
      </c>
      <c r="R54" s="857">
        <f>IF(ControlPanel!$D$59&gt;'GrD-Grafikdaten'!R$5,'MOD-Berechnungen'!R315-'MOD-Berechnungen'!R355,'MOD-Berechnungen'!R305+'MOD-Berechnungen'!R325+'MOD-Berechnungen'!R365-'MOD-Berechnungen'!R355)</f>
        <v>3.3333568254236542E-2</v>
      </c>
      <c r="S54" s="857">
        <f>IF(ControlPanel!$D$59&gt;'GrD-Grafikdaten'!S$5,'MOD-Berechnungen'!S315-'MOD-Berechnungen'!S355,'MOD-Berechnungen'!S305+'MOD-Berechnungen'!S325+'MOD-Berechnungen'!S365-'MOD-Berechnungen'!S355)</f>
        <v>2.4109647383004064E-2</v>
      </c>
      <c r="T54" s="857">
        <f>IF(ControlPanel!$D$59&gt;'GrD-Grafikdaten'!T$5,'MOD-Berechnungen'!T315-'MOD-Berechnungen'!T355,'MOD-Berechnungen'!T305+'MOD-Berechnungen'!T325+'MOD-Berechnungen'!T365-'MOD-Berechnungen'!T355)</f>
        <v>1.5709463435627409E-2</v>
      </c>
      <c r="U54" s="857">
        <f>IF(ControlPanel!$D$59&gt;'GrD-Grafikdaten'!U$5,'MOD-Berechnungen'!U315-'MOD-Berechnungen'!U355,'MOD-Berechnungen'!U305+'MOD-Berechnungen'!U325+'MOD-Berechnungen'!U365-'MOD-Berechnungen'!U355)</f>
        <v>8.9818797876486667E-3</v>
      </c>
      <c r="V54" s="857">
        <f>IF(ControlPanel!$D$59&gt;'GrD-Grafikdaten'!V$5,'MOD-Berechnungen'!V315-'MOD-Berechnungen'!V355,'MOD-Berechnungen'!V305+'MOD-Berechnungen'!V325+'MOD-Berechnungen'!V365-'MOD-Berechnungen'!V355)</f>
        <v>7.6125214182410569E-3</v>
      </c>
      <c r="W54" s="857">
        <f>IF(ControlPanel!$D$59&gt;'GrD-Grafikdaten'!W$5,'MOD-Berechnungen'!W315-'MOD-Berechnungen'!W355,'MOD-Berechnungen'!W305+'MOD-Berechnungen'!W325+'MOD-Berechnungen'!W365-'MOD-Berechnungen'!W355)</f>
        <v>6.4832213664668265E-3</v>
      </c>
      <c r="X54" s="857">
        <f>IF(ControlPanel!$D$59&gt;'GrD-Grafikdaten'!X$5,'MOD-Berechnungen'!X315-'MOD-Berechnungen'!X355,'MOD-Berechnungen'!X305+'MOD-Berechnungen'!X325+'MOD-Berechnungen'!X365-'MOD-Berechnungen'!X355)</f>
        <v>5.7647533504428736E-3</v>
      </c>
      <c r="Y54" s="857">
        <f>IF(ControlPanel!$D$59&gt;'GrD-Grafikdaten'!Y$5,'MOD-Berechnungen'!Y315-'MOD-Berechnungen'!Y355,'MOD-Berechnungen'!Y305+'MOD-Berechnungen'!Y325+'MOD-Berechnungen'!Y365-'MOD-Berechnungen'!Y355)</f>
        <v>5.0584615313568754E-3</v>
      </c>
      <c r="Z54" s="857">
        <f>IF(ControlPanel!$D$59&gt;'GrD-Grafikdaten'!Z$5,'MOD-Berechnungen'!Z315-'MOD-Berechnungen'!Z355,'MOD-Berechnungen'!Z305+'MOD-Berechnungen'!Z325+'MOD-Berechnungen'!Z365-'MOD-Berechnungen'!Z355)</f>
        <v>3.8953215861087711E-3</v>
      </c>
      <c r="AA54" s="857">
        <f>IF(ControlPanel!$D$59&gt;'GrD-Grafikdaten'!AA$5,'MOD-Berechnungen'!AA315-'MOD-Berechnungen'!AA355,'MOD-Berechnungen'!AA305+'MOD-Berechnungen'!AA325+'MOD-Berechnungen'!AA365-'MOD-Berechnungen'!AA355)</f>
        <v>3.0864223085349633E-3</v>
      </c>
      <c r="AB54" s="857">
        <f>IF(ControlPanel!$D$59&gt;'GrD-Grafikdaten'!AB$5,'MOD-Berechnungen'!AB315-'MOD-Berechnungen'!AB355,'MOD-Berechnungen'!AB305+'MOD-Berechnungen'!AB325+'MOD-Berechnungen'!AB365-'MOD-Berechnungen'!AB355)</f>
        <v>2.6224882016363318E-3</v>
      </c>
      <c r="AC54" s="857">
        <f>IF(ControlPanel!$D$59&gt;'GrD-Grafikdaten'!AC$5,'MOD-Berechnungen'!AC315-'MOD-Berechnungen'!AC355,'MOD-Berechnungen'!AC305+'MOD-Berechnungen'!AC325+'MOD-Berechnungen'!AC365-'MOD-Berechnungen'!AC355)</f>
        <v>2.0597269254519004E-3</v>
      </c>
      <c r="AD54" s="857">
        <f>IF(ControlPanel!$D$59&gt;'GrD-Grafikdaten'!AD$5,'MOD-Berechnungen'!AD315-'MOD-Berechnungen'!AD355,'MOD-Berechnungen'!AD305+'MOD-Berechnungen'!AD325+'MOD-Berechnungen'!AD365-'MOD-Berechnungen'!AD355)</f>
        <v>1.5393893750767738E-3</v>
      </c>
      <c r="AE54" s="862">
        <f>IF(ControlPanel!$D$59&gt;'GrD-Grafikdaten'!AE$5,'MOD-Berechnungen'!AE315-'MOD-Berechnungen'!AE355,'MOD-Berechnungen'!AE305+'MOD-Berechnungen'!AE325+'MOD-Berechnungen'!AE365-'MOD-Berechnungen'!AE355)</f>
        <v>1.0552065072820058E-3</v>
      </c>
      <c r="AF54" s="928"/>
      <c r="AG54" s="549" t="s">
        <v>223</v>
      </c>
      <c r="AH54" s="945" t="s">
        <v>747</v>
      </c>
    </row>
    <row r="55" spans="1:34" s="294" customFormat="1">
      <c r="A55" s="553">
        <v>55</v>
      </c>
      <c r="C55" s="10"/>
      <c r="D55" s="29"/>
      <c r="E55" s="194" t="s">
        <v>677</v>
      </c>
      <c r="F55" s="857">
        <f>IF(ControlPanel!$D$59&gt;'GrD-Grafikdaten'!F$5,'MOD-Berechnungen'!F316-'MOD-Berechnungen'!F356,'MOD-Berechnungen'!F306+'MOD-Berechnungen'!F326+'MOD-Berechnungen'!F366-'MOD-Berechnungen'!F356)</f>
        <v>2.5418863742400002</v>
      </c>
      <c r="G55" s="857">
        <f>IF(ControlPanel!$D$59&gt;'GrD-Grafikdaten'!G$5,'MOD-Berechnungen'!G316-'MOD-Berechnungen'!G356,'MOD-Berechnungen'!G306+'MOD-Berechnungen'!G326+'MOD-Berechnungen'!G366-'MOD-Berechnungen'!G356)</f>
        <v>3.0160733982850703</v>
      </c>
      <c r="H55" s="857">
        <f>IF(ControlPanel!$D$59&gt;'GrD-Grafikdaten'!H$5,'MOD-Berechnungen'!H316-'MOD-Berechnungen'!H356,'MOD-Berechnungen'!H306+'MOD-Berechnungen'!H326+'MOD-Berechnungen'!H366-'MOD-Berechnungen'!H356)</f>
        <v>3.4528402965599998</v>
      </c>
      <c r="I55" s="857">
        <f>IF(ControlPanel!$D$59&gt;'GrD-Grafikdaten'!I$5,'MOD-Berechnungen'!I316-'MOD-Berechnungen'!I356,'MOD-Berechnungen'!I306+'MOD-Berechnungen'!I326+'MOD-Berechnungen'!I366-'MOD-Berechnungen'!I356)</f>
        <v>4.3539807116499984</v>
      </c>
      <c r="J55" s="857">
        <f>IF(ControlPanel!$D$59&gt;'GrD-Grafikdaten'!J$5,'MOD-Berechnungen'!J316-'MOD-Berechnungen'!J356,'MOD-Berechnungen'!J306+'MOD-Berechnungen'!J326+'MOD-Berechnungen'!J366-'MOD-Berechnungen'!J356)</f>
        <v>4.9918920658999983</v>
      </c>
      <c r="K55" s="857">
        <f>IF(ControlPanel!$D$59&gt;'GrD-Grafikdaten'!K$5,'MOD-Berechnungen'!K316-'MOD-Berechnungen'!K356,'MOD-Berechnungen'!K306+'MOD-Berechnungen'!K326+'MOD-Berechnungen'!K366-'MOD-Berechnungen'!K356)</f>
        <v>5.7822353740800008</v>
      </c>
      <c r="L55" s="857">
        <f>IF(ControlPanel!$D$59&gt;'GrD-Grafikdaten'!L$5,'MOD-Berechnungen'!L316-'MOD-Berechnungen'!L356,'MOD-Berechnungen'!L306+'MOD-Berechnungen'!L326+'MOD-Berechnungen'!L366-'MOD-Berechnungen'!L356)</f>
        <v>6.2681851475200006</v>
      </c>
      <c r="M55" s="857">
        <f>IF(ControlPanel!$D$59&gt;'GrD-Grafikdaten'!M$5,'MOD-Berechnungen'!M316-'MOD-Berechnungen'!M356,'MOD-Berechnungen'!M306+'MOD-Berechnungen'!M326+'MOD-Berechnungen'!M366-'MOD-Berechnungen'!M356)</f>
        <v>6.5923082929999994</v>
      </c>
      <c r="N55" s="857">
        <f>IF(ControlPanel!$D$59&gt;'GrD-Grafikdaten'!N$5,'MOD-Berechnungen'!N316-'MOD-Berechnungen'!N356,'MOD-Berechnungen'!N306+'MOD-Berechnungen'!N326+'MOD-Berechnungen'!N366-'MOD-Berechnungen'!N356)</f>
        <v>6.629159948239999</v>
      </c>
      <c r="O55" s="857">
        <f>IF(ControlPanel!$D$59&gt;'GrD-Grafikdaten'!O$5,'MOD-Berechnungen'!O316-'MOD-Berechnungen'!O356,'MOD-Berechnungen'!O306+'MOD-Berechnungen'!O326+'MOD-Berechnungen'!O366-'MOD-Berechnungen'!O356)</f>
        <v>6.38129394072</v>
      </c>
      <c r="P55" s="857">
        <f>IF(ControlPanel!$D$59&gt;'GrD-Grafikdaten'!P$5,'MOD-Berechnungen'!P316-'MOD-Berechnungen'!P356,'MOD-Berechnungen'!P306+'MOD-Berechnungen'!P326+'MOD-Berechnungen'!P366-'MOD-Berechnungen'!P356)</f>
        <v>6.1288223976400005</v>
      </c>
      <c r="Q55" s="857">
        <f>IF(ControlPanel!$D$59&gt;'GrD-Grafikdaten'!Q$5,'MOD-Berechnungen'!Q316-'MOD-Berechnungen'!Q356,'MOD-Berechnungen'!Q306+'MOD-Berechnungen'!Q326+'MOD-Berechnungen'!Q366-'MOD-Berechnungen'!Q356)</f>
        <v>6.4954462491599987</v>
      </c>
      <c r="R55" s="857">
        <f>IF(ControlPanel!$D$59&gt;'GrD-Grafikdaten'!R$5,'MOD-Berechnungen'!R316-'MOD-Berechnungen'!R356,'MOD-Berechnungen'!R306+'MOD-Berechnungen'!R326+'MOD-Berechnungen'!R366-'MOD-Berechnungen'!R356)</f>
        <v>6.5535882417431974</v>
      </c>
      <c r="S55" s="857">
        <f>IF(ControlPanel!$D$59&gt;'GrD-Grafikdaten'!S$5,'MOD-Berechnungen'!S316-'MOD-Berechnungen'!S356,'MOD-Berechnungen'!S306+'MOD-Berechnungen'!S326+'MOD-Berechnungen'!S366-'MOD-Berechnungen'!S356)</f>
        <v>6.3759686645360967</v>
      </c>
      <c r="T55" s="857">
        <f>IF(ControlPanel!$D$59&gt;'GrD-Grafikdaten'!T$5,'MOD-Berechnungen'!T316-'MOD-Berechnungen'!T356,'MOD-Berechnungen'!T306+'MOD-Berechnungen'!T326+'MOD-Berechnungen'!T366-'MOD-Berechnungen'!T356)</f>
        <v>6.2231981056919619</v>
      </c>
      <c r="U55" s="857">
        <f>IF(ControlPanel!$D$59&gt;'GrD-Grafikdaten'!U$5,'MOD-Berechnungen'!U316-'MOD-Berechnungen'!U356,'MOD-Berechnungen'!U306+'MOD-Berechnungen'!U326+'MOD-Berechnungen'!U366-'MOD-Berechnungen'!U356)</f>
        <v>5.8886911558030466</v>
      </c>
      <c r="V55" s="857">
        <f>IF(ControlPanel!$D$59&gt;'GrD-Grafikdaten'!V$5,'MOD-Berechnungen'!V316-'MOD-Berechnungen'!V356,'MOD-Berechnungen'!V306+'MOD-Berechnungen'!V326+'MOD-Berechnungen'!V366-'MOD-Berechnungen'!V356)</f>
        <v>5.3006373909567923</v>
      </c>
      <c r="W55" s="857">
        <f>IF(ControlPanel!$D$59&gt;'GrD-Grafikdaten'!W$5,'MOD-Berechnungen'!W316-'MOD-Berechnungen'!W356,'MOD-Berechnungen'!W306+'MOD-Berechnungen'!W326+'MOD-Berechnungen'!W366-'MOD-Berechnungen'!W356)</f>
        <v>4.5972879834473472</v>
      </c>
      <c r="X55" s="857">
        <f>IF(ControlPanel!$D$59&gt;'GrD-Grafikdaten'!X$5,'MOD-Berechnungen'!X316-'MOD-Berechnungen'!X356,'MOD-Berechnungen'!X306+'MOD-Berechnungen'!X326+'MOD-Berechnungen'!X366-'MOD-Berechnungen'!X356)</f>
        <v>4.0411171051783903</v>
      </c>
      <c r="Y55" s="857">
        <f>IF(ControlPanel!$D$59&gt;'GrD-Grafikdaten'!Y$5,'MOD-Berechnungen'!Y316-'MOD-Berechnungen'!Y356,'MOD-Berechnungen'!Y306+'MOD-Berechnungen'!Y326+'MOD-Berechnungen'!Y366-'MOD-Berechnungen'!Y356)</f>
        <v>3.7538047856450962</v>
      </c>
      <c r="Z55" s="857">
        <f>IF(ControlPanel!$D$59&gt;'GrD-Grafikdaten'!Z$5,'MOD-Berechnungen'!Z316-'MOD-Berechnungen'!Z356,'MOD-Berechnungen'!Z306+'MOD-Berechnungen'!Z326+'MOD-Berechnungen'!Z366-'MOD-Berechnungen'!Z356)</f>
        <v>3.3568634995212023</v>
      </c>
      <c r="AA55" s="857">
        <f>IF(ControlPanel!$D$59&gt;'GrD-Grafikdaten'!AA$5,'MOD-Berechnungen'!AA316-'MOD-Berechnungen'!AA356,'MOD-Berechnungen'!AA306+'MOD-Berechnungen'!AA326+'MOD-Berechnungen'!AA366-'MOD-Berechnungen'!AA356)</f>
        <v>2.7052106856135492</v>
      </c>
      <c r="AB55" s="857">
        <f>IF(ControlPanel!$D$59&gt;'GrD-Grafikdaten'!AB$5,'MOD-Berechnungen'!AB316-'MOD-Berechnungen'!AB356,'MOD-Berechnungen'!AB306+'MOD-Berechnungen'!AB326+'MOD-Berechnungen'!AB366-'MOD-Berechnungen'!AB356)</f>
        <v>1.6545109416854951</v>
      </c>
      <c r="AC55" s="857">
        <f>IF(ControlPanel!$D$59&gt;'GrD-Grafikdaten'!AC$5,'MOD-Berechnungen'!AC316-'MOD-Berechnungen'!AC356,'MOD-Berechnungen'!AC306+'MOD-Berechnungen'!AC326+'MOD-Berechnungen'!AC366-'MOD-Berechnungen'!AC356)</f>
        <v>1.4504923439700139</v>
      </c>
      <c r="AD55" s="857">
        <f>IF(ControlPanel!$D$59&gt;'GrD-Grafikdaten'!AD$5,'MOD-Berechnungen'!AD316-'MOD-Berechnungen'!AD356,'MOD-Berechnungen'!AD306+'MOD-Berechnungen'!AD326+'MOD-Berechnungen'!AD366-'MOD-Berechnungen'!AD356)</f>
        <v>1.2759526119771478</v>
      </c>
      <c r="AE55" s="862">
        <f>IF(ControlPanel!$D$59&gt;'GrD-Grafikdaten'!AE$5,'MOD-Berechnungen'!AE316-'MOD-Berechnungen'!AE356,'MOD-Berechnungen'!AE306+'MOD-Berechnungen'!AE326+'MOD-Berechnungen'!AE366-'MOD-Berechnungen'!AE356)</f>
        <v>1.1510167120327033</v>
      </c>
      <c r="AF55" s="928"/>
      <c r="AG55" s="549" t="s">
        <v>223</v>
      </c>
      <c r="AH55" s="945" t="s">
        <v>747</v>
      </c>
    </row>
    <row r="56" spans="1:34" s="294" customFormat="1">
      <c r="A56" s="553">
        <v>56</v>
      </c>
      <c r="C56" s="10"/>
      <c r="D56" s="29"/>
      <c r="E56" s="194" t="s">
        <v>678</v>
      </c>
      <c r="F56" s="857">
        <f>IF(ControlPanel!$D$59&gt;'GrD-Grafikdaten'!F$5,'MOD-Berechnungen'!F317-'MOD-Berechnungen'!F357,'MOD-Berechnungen'!F307+'MOD-Berechnungen'!F327+'MOD-Berechnungen'!F367-'MOD-Berechnungen'!F357)</f>
        <v>3.4685827199999993E-3</v>
      </c>
      <c r="G56" s="857">
        <f>IF(ControlPanel!$D$59&gt;'GrD-Grafikdaten'!G$5,'MOD-Berechnungen'!G317-'MOD-Berechnungen'!G357,'MOD-Berechnungen'!G307+'MOD-Berechnungen'!G327+'MOD-Berechnungen'!G367-'MOD-Berechnungen'!G357)</f>
        <v>9.9642191869200002E-3</v>
      </c>
      <c r="H56" s="857">
        <f>IF(ControlPanel!$D$59&gt;'GrD-Grafikdaten'!H$5,'MOD-Berechnungen'!H317-'MOD-Berechnungen'!H357,'MOD-Berechnungen'!H307+'MOD-Berechnungen'!H327+'MOD-Berechnungen'!H367-'MOD-Berechnungen'!H357)</f>
        <v>1.78074919E-2</v>
      </c>
      <c r="I56" s="857">
        <f>IF(ControlPanel!$D$59&gt;'GrD-Grafikdaten'!I$5,'MOD-Berechnungen'!I317-'MOD-Berechnungen'!I357,'MOD-Berechnungen'!I307+'MOD-Berechnungen'!I327+'MOD-Berechnungen'!I367-'MOD-Berechnungen'!I357)</f>
        <v>1.4191574750000002E-2</v>
      </c>
      <c r="J56" s="857">
        <f>IF(ControlPanel!$D$59&gt;'GrD-Grafikdaten'!J$5,'MOD-Berechnungen'!J317-'MOD-Berechnungen'!J357,'MOD-Berechnungen'!J307+'MOD-Berechnungen'!J327+'MOD-Berechnungen'!J367-'MOD-Berechnungen'!J357)</f>
        <v>2.6326473849999997E-2</v>
      </c>
      <c r="K56" s="857">
        <f>IF(ControlPanel!$D$59&gt;'GrD-Grafikdaten'!K$5,'MOD-Berechnungen'!K317-'MOD-Berechnungen'!K357,'MOD-Berechnungen'!K307+'MOD-Berechnungen'!K327+'MOD-Berechnungen'!K367-'MOD-Berechnungen'!K357)</f>
        <v>3.3365317839999999E-2</v>
      </c>
      <c r="L56" s="857">
        <f>IF(ControlPanel!$D$59&gt;'GrD-Grafikdaten'!L$5,'MOD-Berechnungen'!L317-'MOD-Berechnungen'!L357,'MOD-Berechnungen'!L307+'MOD-Berechnungen'!L327+'MOD-Berechnungen'!L367-'MOD-Berechnungen'!L357)</f>
        <v>3.8348230140000002E-2</v>
      </c>
      <c r="M56" s="857">
        <f>IF(ControlPanel!$D$59&gt;'GrD-Grafikdaten'!M$5,'MOD-Berechnungen'!M317-'MOD-Berechnungen'!M357,'MOD-Berechnungen'!M307+'MOD-Berechnungen'!M327+'MOD-Berechnungen'!M367-'MOD-Berechnungen'!M357)</f>
        <v>4.1819045749999992E-2</v>
      </c>
      <c r="N56" s="857">
        <f>IF(ControlPanel!$D$59&gt;'GrD-Grafikdaten'!N$5,'MOD-Berechnungen'!N317-'MOD-Berechnungen'!N357,'MOD-Berechnungen'!N307+'MOD-Berechnungen'!N327+'MOD-Berechnungen'!N367-'MOD-Berechnungen'!N357)</f>
        <v>4.3220429720000009E-2</v>
      </c>
      <c r="O56" s="857">
        <f>IF(ControlPanel!$D$59&gt;'GrD-Grafikdaten'!O$5,'MOD-Berechnungen'!O317-'MOD-Berechnungen'!O357,'MOD-Berechnungen'!O307+'MOD-Berechnungen'!O327+'MOD-Berechnungen'!O367-'MOD-Berechnungen'!O357)</f>
        <v>4.8019032759999997E-2</v>
      </c>
      <c r="P56" s="857">
        <f>IF(ControlPanel!$D$59&gt;'GrD-Grafikdaten'!P$5,'MOD-Berechnungen'!P317-'MOD-Berechnungen'!P357,'MOD-Berechnungen'!P307+'MOD-Berechnungen'!P327+'MOD-Berechnungen'!P367-'MOD-Berechnungen'!P357)</f>
        <v>3.4556578400000003E-2</v>
      </c>
      <c r="Q56" s="857">
        <f>IF(ControlPanel!$D$59&gt;'GrD-Grafikdaten'!Q$5,'MOD-Berechnungen'!Q317-'MOD-Berechnungen'!Q357,'MOD-Berechnungen'!Q307+'MOD-Berechnungen'!Q327+'MOD-Berechnungen'!Q367-'MOD-Berechnungen'!Q357)</f>
        <v>4.5731817699999996E-2</v>
      </c>
      <c r="R56" s="857">
        <f>IF(ControlPanel!$D$59&gt;'GrD-Grafikdaten'!R$5,'MOD-Berechnungen'!R317-'MOD-Berechnungen'!R357,'MOD-Berechnungen'!R307+'MOD-Berechnungen'!R327+'MOD-Berechnungen'!R367-'MOD-Berechnungen'!R357)</f>
        <v>5.4131200413861082E-2</v>
      </c>
      <c r="S56" s="857">
        <f>IF(ControlPanel!$D$59&gt;'GrD-Grafikdaten'!S$5,'MOD-Berechnungen'!S317-'MOD-Berechnungen'!S357,'MOD-Berechnungen'!S307+'MOD-Berechnungen'!S327+'MOD-Berechnungen'!S367-'MOD-Berechnungen'!S357)</f>
        <v>5.3431623025457259E-2</v>
      </c>
      <c r="T56" s="857">
        <f>IF(ControlPanel!$D$59&gt;'GrD-Grafikdaten'!T$5,'MOD-Berechnungen'!T317-'MOD-Berechnungen'!T357,'MOD-Berechnungen'!T307+'MOD-Berechnungen'!T327+'MOD-Berechnungen'!T367-'MOD-Berechnungen'!T357)</f>
        <v>5.2889922321593702E-2</v>
      </c>
      <c r="U56" s="857">
        <f>IF(ControlPanel!$D$59&gt;'GrD-Grafikdaten'!U$5,'MOD-Berechnungen'!U317-'MOD-Berechnungen'!U357,'MOD-Berechnungen'!U307+'MOD-Berechnungen'!U327+'MOD-Berechnungen'!U367-'MOD-Berechnungen'!U357)</f>
        <v>5.2335060179503984E-2</v>
      </c>
      <c r="V56" s="857">
        <f>IF(ControlPanel!$D$59&gt;'GrD-Grafikdaten'!V$5,'MOD-Berechnungen'!V317-'MOD-Berechnungen'!V357,'MOD-Berechnungen'!V307+'MOD-Berechnungen'!V327+'MOD-Berechnungen'!V367-'MOD-Berechnungen'!V357)</f>
        <v>5.1766759298795775E-2</v>
      </c>
      <c r="W56" s="857">
        <f>IF(ControlPanel!$D$59&gt;'GrD-Grafikdaten'!W$5,'MOD-Berechnungen'!W317-'MOD-Berechnungen'!W357,'MOD-Berechnungen'!W307+'MOD-Berechnungen'!W327+'MOD-Berechnungen'!W367-'MOD-Berechnungen'!W357)</f>
        <v>5.118473708552506E-2</v>
      </c>
      <c r="X56" s="857">
        <f>IF(ControlPanel!$D$59&gt;'GrD-Grafikdaten'!X$5,'MOD-Berechnungen'!X317-'MOD-Berechnungen'!X357,'MOD-Berechnungen'!X307+'MOD-Berechnungen'!X327+'MOD-Berechnungen'!X367-'MOD-Berechnungen'!X357)</f>
        <v>5.0588705554834371E-2</v>
      </c>
      <c r="Y56" s="857">
        <f>IF(ControlPanel!$D$59&gt;'GrD-Grafikdaten'!Y$5,'MOD-Berechnungen'!Y317-'MOD-Berechnungen'!Y357,'MOD-Berechnungen'!Y307+'MOD-Berechnungen'!Y327+'MOD-Berechnungen'!Y367-'MOD-Berechnungen'!Y357)</f>
        <v>4.9978371231875228E-2</v>
      </c>
      <c r="Z56" s="857">
        <f>IF(ControlPanel!$D$59&gt;'GrD-Grafikdaten'!Z$5,'MOD-Berechnungen'!Z317-'MOD-Berechnungen'!Z357,'MOD-Berechnungen'!Z307+'MOD-Berechnungen'!Z327+'MOD-Berechnungen'!Z367-'MOD-Berechnungen'!Z357)</f>
        <v>4.7786178655584932E-2</v>
      </c>
      <c r="AA56" s="857">
        <f>IF(ControlPanel!$D$59&gt;'GrD-Grafikdaten'!AA$5,'MOD-Berechnungen'!AA317-'MOD-Berechnungen'!AA357,'MOD-Berechnungen'!AA307+'MOD-Berechnungen'!AA327+'MOD-Berechnungen'!AA367-'MOD-Berechnungen'!AA357)</f>
        <v>4.7168625637844797E-2</v>
      </c>
      <c r="AB56" s="857">
        <f>IF(ControlPanel!$D$59&gt;'GrD-Grafikdaten'!AB$5,'MOD-Berechnungen'!AB317-'MOD-Berechnungen'!AB357,'MOD-Berechnungen'!AB307+'MOD-Berechnungen'!AB327+'MOD-Berechnungen'!AB367-'MOD-Berechnungen'!AB357)</f>
        <v>4.6536391521699041E-2</v>
      </c>
      <c r="AC56" s="857">
        <f>IF(ControlPanel!$D$59&gt;'GrD-Grafikdaten'!AC$5,'MOD-Berechnungen'!AC317-'MOD-Berechnungen'!AC357,'MOD-Berechnungen'!AC307+'MOD-Berechnungen'!AC327+'MOD-Berechnungen'!AC367-'MOD-Berechnungen'!AC357)</f>
        <v>3.4951364467659521E-2</v>
      </c>
      <c r="AD56" s="857">
        <f>IF(ControlPanel!$D$59&gt;'GrD-Grafikdaten'!AD$5,'MOD-Berechnungen'!AD317-'MOD-Berechnungen'!AD357,'MOD-Berechnungen'!AD307+'MOD-Berechnungen'!AD327+'MOD-Berechnungen'!AD367-'MOD-Berechnungen'!AD357)</f>
        <v>2.3049169068171969E-2</v>
      </c>
      <c r="AE56" s="862">
        <f>IF(ControlPanel!$D$59&gt;'GrD-Grafikdaten'!AE$5,'MOD-Berechnungen'!AE317-'MOD-Berechnungen'!AE357,'MOD-Berechnungen'!AE307+'MOD-Berechnungen'!AE327+'MOD-Berechnungen'!AE367-'MOD-Berechnungen'!AE357)</f>
        <v>1.9815210826564487E-2</v>
      </c>
      <c r="AF56" s="928"/>
      <c r="AG56" s="549" t="s">
        <v>223</v>
      </c>
      <c r="AH56" s="945" t="s">
        <v>747</v>
      </c>
    </row>
    <row r="57" spans="1:34" s="294" customFormat="1">
      <c r="A57" s="553">
        <v>57</v>
      </c>
      <c r="C57" s="10"/>
      <c r="D57" s="29"/>
      <c r="E57" s="194" t="s">
        <v>680</v>
      </c>
      <c r="F57" s="857">
        <f>IF(ControlPanel!$D$59&gt;'GrD-Grafikdaten'!F$5,'MOD-Berechnungen'!F318-'MOD-Berechnungen'!F358,'MOD-Berechnungen'!F308+'MOD-Berechnungen'!F328+'MOD-Berechnungen'!F368-'MOD-Berechnungen'!F358)</f>
        <v>2.0691241629712005</v>
      </c>
      <c r="G57" s="857">
        <f>IF(ControlPanel!$D$59&gt;'GrD-Grafikdaten'!G$5,'MOD-Berechnungen'!G318-'MOD-Berechnungen'!G358,'MOD-Berechnungen'!G308+'MOD-Berechnungen'!G328+'MOD-Berechnungen'!G368-'MOD-Berechnungen'!G358)</f>
        <v>2.3808718814407634</v>
      </c>
      <c r="H57" s="857">
        <f>IF(ControlPanel!$D$59&gt;'GrD-Grafikdaten'!H$5,'MOD-Berechnungen'!H318-'MOD-Berechnungen'!H358,'MOD-Berechnungen'!H308+'MOD-Berechnungen'!H328+'MOD-Berechnungen'!H368-'MOD-Berechnungen'!H358)</f>
        <v>1.9247531760680991</v>
      </c>
      <c r="I57" s="857">
        <f>IF(ControlPanel!$D$59&gt;'GrD-Grafikdaten'!I$5,'MOD-Berechnungen'!I318-'MOD-Berechnungen'!I358,'MOD-Berechnungen'!I308+'MOD-Berechnungen'!I328+'MOD-Berechnungen'!I368-'MOD-Berechnungen'!I358)</f>
        <v>2.8611378375708987</v>
      </c>
      <c r="J57" s="857">
        <f>IF(ControlPanel!$D$59&gt;'GrD-Grafikdaten'!J$5,'MOD-Berechnungen'!J318-'MOD-Berechnungen'!J358,'MOD-Berechnungen'!J308+'MOD-Berechnungen'!J328+'MOD-Berechnungen'!J368-'MOD-Berechnungen'!J358)</f>
        <v>3.9666377987833004</v>
      </c>
      <c r="K57" s="857">
        <f>IF(ControlPanel!$D$59&gt;'GrD-Grafikdaten'!K$5,'MOD-Berechnungen'!K318-'MOD-Berechnungen'!K358,'MOD-Berechnungen'!K308+'MOD-Berechnungen'!K328+'MOD-Berechnungen'!K368-'MOD-Berechnungen'!K358)</f>
        <v>4.1260719783591906</v>
      </c>
      <c r="L57" s="857">
        <f>IF(ControlPanel!$D$59&gt;'GrD-Grafikdaten'!L$5,'MOD-Berechnungen'!L318-'MOD-Berechnungen'!L358,'MOD-Berechnungen'!L308+'MOD-Berechnungen'!L328+'MOD-Berechnungen'!L368-'MOD-Berechnungen'!L358)</f>
        <v>4.8417365215600006</v>
      </c>
      <c r="M57" s="857">
        <f>IF(ControlPanel!$D$59&gt;'GrD-Grafikdaten'!M$5,'MOD-Berechnungen'!M318-'MOD-Berechnungen'!M358,'MOD-Berechnungen'!M308+'MOD-Berechnungen'!M328+'MOD-Berechnungen'!M368-'MOD-Berechnungen'!M358)</f>
        <v>5.2807615635032494</v>
      </c>
      <c r="N57" s="857">
        <f>IF(ControlPanel!$D$59&gt;'GrD-Grafikdaten'!N$5,'MOD-Berechnungen'!N318-'MOD-Berechnungen'!N358,'MOD-Berechnungen'!N308+'MOD-Berechnungen'!N328+'MOD-Berechnungen'!N368-'MOD-Berechnungen'!N358)</f>
        <v>5.5775143741272988</v>
      </c>
      <c r="O57" s="857">
        <f>IF(ControlPanel!$D$59&gt;'GrD-Grafikdaten'!O$5,'MOD-Berechnungen'!O318-'MOD-Berechnungen'!O358,'MOD-Berechnungen'!O308+'MOD-Berechnungen'!O328+'MOD-Berechnungen'!O368-'MOD-Berechnungen'!O358)</f>
        <v>5.6413579340662405</v>
      </c>
      <c r="P57" s="857">
        <f>IF(ControlPanel!$D$59&gt;'GrD-Grafikdaten'!P$5,'MOD-Berechnungen'!P318-'MOD-Berechnungen'!P358,'MOD-Berechnungen'!P308+'MOD-Berechnungen'!P328+'MOD-Berechnungen'!P368-'MOD-Berechnungen'!P358)</f>
        <v>4.8133747401611213</v>
      </c>
      <c r="Q57" s="857">
        <f>IF(ControlPanel!$D$59&gt;'GrD-Grafikdaten'!Q$5,'MOD-Berechnungen'!Q318-'MOD-Berechnungen'!Q358,'MOD-Berechnungen'!Q308+'MOD-Berechnungen'!Q328+'MOD-Berechnungen'!Q368-'MOD-Berechnungen'!Q358)</f>
        <v>5.691108289571261</v>
      </c>
      <c r="R57" s="857">
        <f>IF(ControlPanel!$D$59&gt;'GrD-Grafikdaten'!R$5,'MOD-Berechnungen'!R318-'MOD-Berechnungen'!R358,'MOD-Berechnungen'!R308+'MOD-Berechnungen'!R328+'MOD-Berechnungen'!R368-'MOD-Berechnungen'!R358)</f>
        <v>4.5167678326393563</v>
      </c>
      <c r="S57" s="857">
        <f>IF(ControlPanel!$D$59&gt;'GrD-Grafikdaten'!S$5,'MOD-Berechnungen'!S318-'MOD-Berechnungen'!S358,'MOD-Berechnungen'!S308+'MOD-Berechnungen'!S328+'MOD-Berechnungen'!S368-'MOD-Berechnungen'!S358)</f>
        <v>4.2047404394208616</v>
      </c>
      <c r="T57" s="857">
        <f>IF(ControlPanel!$D$59&gt;'GrD-Grafikdaten'!T$5,'MOD-Berechnungen'!T318-'MOD-Berechnungen'!T358,'MOD-Berechnungen'!T308+'MOD-Berechnungen'!T328+'MOD-Berechnungen'!T368-'MOD-Berechnungen'!T358)</f>
        <v>4.0693424655670025</v>
      </c>
      <c r="U57" s="857">
        <f>IF(ControlPanel!$D$59&gt;'GrD-Grafikdaten'!U$5,'MOD-Berechnungen'!U318-'MOD-Berechnungen'!U358,'MOD-Berechnungen'!U308+'MOD-Berechnungen'!U328+'MOD-Berechnungen'!U368-'MOD-Berechnungen'!U358)</f>
        <v>3.6133380177002072</v>
      </c>
      <c r="V57" s="857">
        <f>IF(ControlPanel!$D$59&gt;'GrD-Grafikdaten'!V$5,'MOD-Berechnungen'!V318-'MOD-Berechnungen'!V358,'MOD-Berechnungen'!V308+'MOD-Berechnungen'!V328+'MOD-Berechnungen'!V368-'MOD-Berechnungen'!V358)</f>
        <v>3.4868785464239176</v>
      </c>
      <c r="W57" s="857">
        <f>IF(ControlPanel!$D$59&gt;'GrD-Grafikdaten'!W$5,'MOD-Berechnungen'!W318-'MOD-Berechnungen'!W358,'MOD-Berechnungen'!W308+'MOD-Berechnungen'!W328+'MOD-Berechnungen'!W368-'MOD-Berechnungen'!W358)</f>
        <v>3.4025432816811758</v>
      </c>
      <c r="X57" s="857">
        <f>IF(ControlPanel!$D$59&gt;'GrD-Grafikdaten'!X$5,'MOD-Berechnungen'!X318-'MOD-Berechnungen'!X358,'MOD-Berechnungen'!X308+'MOD-Berechnungen'!X328+'MOD-Berechnungen'!X368-'MOD-Berechnungen'!X358)</f>
        <v>3.1162004824488232</v>
      </c>
      <c r="Y57" s="857">
        <f>IF(ControlPanel!$D$59&gt;'GrD-Grafikdaten'!Y$5,'MOD-Berechnungen'!Y318-'MOD-Berechnungen'!Y358,'MOD-Berechnungen'!Y308+'MOD-Berechnungen'!Y328+'MOD-Berechnungen'!Y368-'MOD-Berechnungen'!Y358)</f>
        <v>2.9388015314954297</v>
      </c>
      <c r="Z57" s="857">
        <f>IF(ControlPanel!$D$59&gt;'GrD-Grafikdaten'!Z$5,'MOD-Berechnungen'!Z318-'MOD-Berechnungen'!Z358,'MOD-Berechnungen'!Z308+'MOD-Berechnungen'!Z328+'MOD-Berechnungen'!Z368-'MOD-Berechnungen'!Z358)</f>
        <v>2.7236390547376494</v>
      </c>
      <c r="AA57" s="857">
        <f>IF(ControlPanel!$D$59&gt;'GrD-Grafikdaten'!AA$5,'MOD-Berechnungen'!AA318-'MOD-Berechnungen'!AA358,'MOD-Berechnungen'!AA308+'MOD-Berechnungen'!AA328+'MOD-Berechnungen'!AA368-'MOD-Berechnungen'!AA358)</f>
        <v>2.4409283200680232</v>
      </c>
      <c r="AB57" s="857">
        <f>IF(ControlPanel!$D$59&gt;'GrD-Grafikdaten'!AB$5,'MOD-Berechnungen'!AB318-'MOD-Berechnungen'!AB358,'MOD-Berechnungen'!AB308+'MOD-Berechnungen'!AB328+'MOD-Berechnungen'!AB368-'MOD-Berechnungen'!AB358)</f>
        <v>2.0748349383320486</v>
      </c>
      <c r="AC57" s="857">
        <f>IF(ControlPanel!$D$59&gt;'GrD-Grafikdaten'!AC$5,'MOD-Berechnungen'!AC318-'MOD-Berechnungen'!AC358,'MOD-Berechnungen'!AC308+'MOD-Berechnungen'!AC328+'MOD-Berechnungen'!AC368-'MOD-Berechnungen'!AC358)</f>
        <v>1.5610241813254175</v>
      </c>
      <c r="AD57" s="857">
        <f>IF(ControlPanel!$D$59&gt;'GrD-Grafikdaten'!AD$5,'MOD-Berechnungen'!AD318-'MOD-Berechnungen'!AD358,'MOD-Berechnungen'!AD308+'MOD-Berechnungen'!AD328+'MOD-Berechnungen'!AD368-'MOD-Berechnungen'!AD358)</f>
        <v>1.5257171607441382</v>
      </c>
      <c r="AE57" s="862">
        <f>IF(ControlPanel!$D$59&gt;'GrD-Grafikdaten'!AE$5,'MOD-Berechnungen'!AE318-'MOD-Berechnungen'!AE358,'MOD-Berechnungen'!AE308+'MOD-Berechnungen'!AE328+'MOD-Berechnungen'!AE368-'MOD-Berechnungen'!AE358)</f>
        <v>2.1370540362125965</v>
      </c>
      <c r="AF57" s="928"/>
      <c r="AG57" s="549" t="s">
        <v>223</v>
      </c>
      <c r="AH57" s="945" t="s">
        <v>747</v>
      </c>
    </row>
    <row r="58" spans="1:34" s="294" customFormat="1">
      <c r="A58" s="553">
        <v>58</v>
      </c>
      <c r="C58" s="10"/>
      <c r="D58" s="29"/>
      <c r="E58" s="194" t="s">
        <v>681</v>
      </c>
      <c r="F58" s="857">
        <f>IF(ControlPanel!$D$59&gt;'GrD-Grafikdaten'!F$5,'MOD-Berechnungen'!F319-'MOD-Berechnungen'!F359,'MOD-Berechnungen'!F309+'MOD-Berechnungen'!F329+'MOD-Berechnungen'!F369-'MOD-Berechnungen'!F359)</f>
        <v>6.9065164981200008E-2</v>
      </c>
      <c r="G58" s="857">
        <f>IF(ControlPanel!$D$59&gt;'GrD-Grafikdaten'!G$5,'MOD-Berechnungen'!G319-'MOD-Berechnungen'!G359,'MOD-Berechnungen'!G309+'MOD-Berechnungen'!G329+'MOD-Berechnungen'!G369-'MOD-Berechnungen'!G359)</f>
        <v>0.12430523595664419</v>
      </c>
      <c r="H58" s="857">
        <f>IF(ControlPanel!$D$59&gt;'GrD-Grafikdaten'!H$5,'MOD-Berechnungen'!H319-'MOD-Berechnungen'!H359,'MOD-Berechnungen'!H309+'MOD-Berechnungen'!H329+'MOD-Berechnungen'!H369-'MOD-Berechnungen'!H359)</f>
        <v>0.1405379763604</v>
      </c>
      <c r="I58" s="857">
        <f>IF(ControlPanel!$D$59&gt;'GrD-Grafikdaten'!I$5,'MOD-Berechnungen'!I319-'MOD-Berechnungen'!I359,'MOD-Berechnungen'!I309+'MOD-Berechnungen'!I329+'MOD-Berechnungen'!I369-'MOD-Berechnungen'!I359)</f>
        <v>0.34442926899999993</v>
      </c>
      <c r="J58" s="857">
        <f>IF(ControlPanel!$D$59&gt;'GrD-Grafikdaten'!J$5,'MOD-Berechnungen'!J319-'MOD-Berechnungen'!J359,'MOD-Berechnungen'!J309+'MOD-Berechnungen'!J329+'MOD-Berechnungen'!J369-'MOD-Berechnungen'!J359)</f>
        <v>1.1323432339999999</v>
      </c>
      <c r="K58" s="857">
        <f>IF(ControlPanel!$D$59&gt;'GrD-Grafikdaten'!K$5,'MOD-Berechnungen'!K319-'MOD-Berechnungen'!K359,'MOD-Berechnungen'!K309+'MOD-Berechnungen'!K329+'MOD-Berechnungen'!K369-'MOD-Berechnungen'!K359)</f>
        <v>1.672005118</v>
      </c>
      <c r="L58" s="857">
        <f>IF(ControlPanel!$D$59&gt;'GrD-Grafikdaten'!L$5,'MOD-Berechnungen'!L319-'MOD-Berechnungen'!L359,'MOD-Berechnungen'!L309+'MOD-Berechnungen'!L329+'MOD-Berechnungen'!L369-'MOD-Berechnungen'!L359)</f>
        <v>2.3516706750000003</v>
      </c>
      <c r="M58" s="857">
        <f>IF(ControlPanel!$D$59&gt;'GrD-Grafikdaten'!M$5,'MOD-Berechnungen'!M319-'MOD-Berechnungen'!M359,'MOD-Berechnungen'!M309+'MOD-Berechnungen'!M329+'MOD-Berechnungen'!M369-'MOD-Berechnungen'!M359)</f>
        <v>3.1470822620000001</v>
      </c>
      <c r="N58" s="857">
        <f>IF(ControlPanel!$D$59&gt;'GrD-Grafikdaten'!N$5,'MOD-Berechnungen'!N319-'MOD-Berechnungen'!N359,'MOD-Berechnungen'!N309+'MOD-Berechnungen'!N329+'MOD-Berechnungen'!N369-'MOD-Berechnungen'!N359)</f>
        <v>3.553076645</v>
      </c>
      <c r="O58" s="857">
        <f>IF(ControlPanel!$D$59&gt;'GrD-Grafikdaten'!O$5,'MOD-Berechnungen'!O319-'MOD-Berechnungen'!O359,'MOD-Berechnungen'!O309+'MOD-Berechnungen'!O329+'MOD-Berechnungen'!O369-'MOD-Berechnungen'!O359)</f>
        <v>3.9923599769999991</v>
      </c>
      <c r="P58" s="857">
        <f>IF(ControlPanel!$D$59&gt;'GrD-Grafikdaten'!P$5,'MOD-Berechnungen'!P319-'MOD-Berechnungen'!P359,'MOD-Berechnungen'!P309+'MOD-Berechnungen'!P329+'MOD-Berechnungen'!P369-'MOD-Berechnungen'!P359)</f>
        <v>4.3621876259999999</v>
      </c>
      <c r="Q58" s="857">
        <f>IF(ControlPanel!$D$59&gt;'GrD-Grafikdaten'!Q$5,'MOD-Berechnungen'!Q319-'MOD-Berechnungen'!Q359,'MOD-Berechnungen'!Q309+'MOD-Berechnungen'!Q329+'MOD-Berechnungen'!Q369-'MOD-Berechnungen'!Q359)</f>
        <v>4.5754770980000004</v>
      </c>
      <c r="R58" s="857">
        <f>IF(ControlPanel!$D$59&gt;'GrD-Grafikdaten'!R$5,'MOD-Berechnungen'!R319-'MOD-Berechnungen'!R359,'MOD-Berechnungen'!R309+'MOD-Berechnungen'!R329+'MOD-Berechnungen'!R369-'MOD-Berechnungen'!R359)</f>
        <v>3.5334367861382505</v>
      </c>
      <c r="S58" s="857">
        <f>IF(ControlPanel!$D$59&gt;'GrD-Grafikdaten'!S$5,'MOD-Berechnungen'!S319-'MOD-Berechnungen'!S359,'MOD-Berechnungen'!S309+'MOD-Berechnungen'!S329+'MOD-Berechnungen'!S369-'MOD-Berechnungen'!S359)</f>
        <v>3.4459704409213963</v>
      </c>
      <c r="T58" s="857">
        <f>IF(ControlPanel!$D$59&gt;'GrD-Grafikdaten'!T$5,'MOD-Berechnungen'!T319-'MOD-Berechnungen'!T359,'MOD-Berechnungen'!T309+'MOD-Berechnungen'!T329+'MOD-Berechnungen'!T369-'MOD-Berechnungen'!T359)</f>
        <v>3.1845212571776784</v>
      </c>
      <c r="U58" s="857">
        <f>IF(ControlPanel!$D$59&gt;'GrD-Grafikdaten'!U$5,'MOD-Berechnungen'!U319-'MOD-Berechnungen'!U359,'MOD-Berechnungen'!U309+'MOD-Berechnungen'!U329+'MOD-Berechnungen'!U369-'MOD-Berechnungen'!U359)</f>
        <v>2.8195946186785061</v>
      </c>
      <c r="V58" s="857">
        <f>IF(ControlPanel!$D$59&gt;'GrD-Grafikdaten'!V$5,'MOD-Berechnungen'!V319-'MOD-Berechnungen'!V359,'MOD-Berechnungen'!V309+'MOD-Berechnungen'!V329+'MOD-Berechnungen'!V369-'MOD-Berechnungen'!V359)</f>
        <v>2.2476929639829208</v>
      </c>
      <c r="W58" s="857">
        <f>IF(ControlPanel!$D$59&gt;'GrD-Grafikdaten'!W$5,'MOD-Berechnungen'!W319-'MOD-Berechnungen'!W359,'MOD-Berechnungen'!W309+'MOD-Berechnungen'!W329+'MOD-Berechnungen'!W369-'MOD-Berechnungen'!W359)</f>
        <v>1.325990264571359</v>
      </c>
      <c r="X58" s="857">
        <f>IF(ControlPanel!$D$59&gt;'GrD-Grafikdaten'!X$5,'MOD-Berechnungen'!X319-'MOD-Berechnungen'!X359,'MOD-Berechnungen'!X309+'MOD-Berechnungen'!X329+'MOD-Berechnungen'!X369-'MOD-Berechnungen'!X359)</f>
        <v>1.040235513875464</v>
      </c>
      <c r="Y58" s="857">
        <f>IF(ControlPanel!$D$59&gt;'GrD-Grafikdaten'!Y$5,'MOD-Berechnungen'!Y319-'MOD-Berechnungen'!Y359,'MOD-Berechnungen'!Y309+'MOD-Berechnungen'!Y329+'MOD-Berechnungen'!Y369-'MOD-Berechnungen'!Y359)</f>
        <v>0.50076710662172852</v>
      </c>
      <c r="Z58" s="857">
        <f>IF(ControlPanel!$D$59&gt;'GrD-Grafikdaten'!Z$5,'MOD-Berechnungen'!Z319-'MOD-Berechnungen'!Z359,'MOD-Berechnungen'!Z309+'MOD-Berechnungen'!Z329+'MOD-Berechnungen'!Z369-'MOD-Berechnungen'!Z359)</f>
        <v>0.50134932140354227</v>
      </c>
      <c r="AA58" s="857">
        <f>IF(ControlPanel!$D$59&gt;'GrD-Grafikdaten'!AA$5,'MOD-Berechnungen'!AA319-'MOD-Berechnungen'!AA359,'MOD-Berechnungen'!AA309+'MOD-Berechnungen'!AA329+'MOD-Berechnungen'!AA369-'MOD-Berechnungen'!AA359)</f>
        <v>0.50867447869385396</v>
      </c>
      <c r="AB58" s="857">
        <f>IF(ControlPanel!$D$59&gt;'GrD-Grafikdaten'!AB$5,'MOD-Berechnungen'!AB319-'MOD-Berechnungen'!AB359,'MOD-Berechnungen'!AB309+'MOD-Berechnungen'!AB329+'MOD-Berechnungen'!AB369-'MOD-Berechnungen'!AB359)</f>
        <v>0.5352549452529507</v>
      </c>
      <c r="AC58" s="857">
        <f>IF(ControlPanel!$D$59&gt;'GrD-Grafikdaten'!AC$5,'MOD-Berechnungen'!AC319-'MOD-Berechnungen'!AC359,'MOD-Berechnungen'!AC309+'MOD-Berechnungen'!AC329+'MOD-Berechnungen'!AC369-'MOD-Berechnungen'!AC359)</f>
        <v>0.5564051763077611</v>
      </c>
      <c r="AD58" s="857">
        <f>IF(ControlPanel!$D$59&gt;'GrD-Grafikdaten'!AD$5,'MOD-Berechnungen'!AD319-'MOD-Berechnungen'!AD359,'MOD-Berechnungen'!AD309+'MOD-Berechnungen'!AD329+'MOD-Berechnungen'!AD369-'MOD-Berechnungen'!AD359)</f>
        <v>0.2812889535743528</v>
      </c>
      <c r="AE58" s="862">
        <f>IF(ControlPanel!$D$59&gt;'GrD-Grafikdaten'!AE$5,'MOD-Berechnungen'!AE319-'MOD-Berechnungen'!AE359,'MOD-Berechnungen'!AE309+'MOD-Berechnungen'!AE329+'MOD-Berechnungen'!AE369-'MOD-Berechnungen'!AE359)</f>
        <v>0.36588397396995997</v>
      </c>
      <c r="AF58" s="928"/>
      <c r="AG58" s="549" t="s">
        <v>223</v>
      </c>
      <c r="AH58" s="945" t="s">
        <v>747</v>
      </c>
    </row>
    <row r="59" spans="1:34" s="294" customFormat="1">
      <c r="A59" s="553">
        <v>59</v>
      </c>
      <c r="C59" s="10"/>
      <c r="D59" s="29"/>
      <c r="E59" s="194" t="s">
        <v>682</v>
      </c>
      <c r="F59" s="857">
        <f>IF(ControlPanel!$D$59&gt;'GrD-Grafikdaten'!F$5,'MOD-Berechnungen'!F320-'MOD-Berechnungen'!F360,'MOD-Berechnungen'!F310+'MOD-Berechnungen'!F330+'MOD-Berechnungen'!F370-'MOD-Berechnungen'!F360)</f>
        <v>3.3485097015039997</v>
      </c>
      <c r="G59" s="857">
        <f>IF(ControlPanel!$D$59&gt;'GrD-Grafikdaten'!G$5,'MOD-Berechnungen'!G320-'MOD-Berechnungen'!G360,'MOD-Berechnungen'!G310+'MOD-Berechnungen'!G330+'MOD-Berechnungen'!G370-'MOD-Berechnungen'!G360)</f>
        <v>6.8394584121654045</v>
      </c>
      <c r="H59" s="857">
        <f>IF(ControlPanel!$D$59&gt;'GrD-Grafikdaten'!H$5,'MOD-Berechnungen'!H320-'MOD-Berechnungen'!H360,'MOD-Berechnungen'!H310+'MOD-Berechnungen'!H330+'MOD-Berechnungen'!H370-'MOD-Berechnungen'!H360)</f>
        <v>7.4319177811085613</v>
      </c>
      <c r="I59" s="857">
        <f>IF(ControlPanel!$D$59&gt;'GrD-Grafikdaten'!I$5,'MOD-Berechnungen'!I320-'MOD-Berechnungen'!I360,'MOD-Berechnungen'!I310+'MOD-Berechnungen'!I330+'MOD-Berechnungen'!I370-'MOD-Berechnungen'!I360)</f>
        <v>8.6799413922943494</v>
      </c>
      <c r="J59" s="857">
        <f>IF(ControlPanel!$D$59&gt;'GrD-Grafikdaten'!J$5,'MOD-Berechnungen'!J320-'MOD-Berechnungen'!J360,'MOD-Berechnungen'!J310+'MOD-Berechnungen'!J330+'MOD-Berechnungen'!J370-'MOD-Berechnungen'!J360)</f>
        <v>9.3130277127160497</v>
      </c>
      <c r="K59" s="857">
        <f>IF(ControlPanel!$D$59&gt;'GrD-Grafikdaten'!K$5,'MOD-Berechnungen'!K320-'MOD-Berechnungen'!K360,'MOD-Berechnungen'!K310+'MOD-Berechnungen'!K330+'MOD-Berechnungen'!K370-'MOD-Berechnungen'!K360)</f>
        <v>9.8702883858915076</v>
      </c>
      <c r="L59" s="857">
        <f>IF(ControlPanel!$D$59&gt;'GrD-Grafikdaten'!L$5,'MOD-Berechnungen'!L320-'MOD-Berechnungen'!L360,'MOD-Berechnungen'!L310+'MOD-Berechnungen'!L330+'MOD-Berechnungen'!L370-'MOD-Berechnungen'!L360)</f>
        <v>9.6774694935297809</v>
      </c>
      <c r="M59" s="857">
        <f>IF(ControlPanel!$D$59&gt;'GrD-Grafikdaten'!M$5,'MOD-Berechnungen'!M320-'MOD-Berechnungen'!M360,'MOD-Berechnungen'!M310+'MOD-Berechnungen'!M330+'MOD-Berechnungen'!M370-'MOD-Berechnungen'!M360)</f>
        <v>9.4003909541750232</v>
      </c>
      <c r="N59" s="857">
        <f>IF(ControlPanel!$D$59&gt;'GrD-Grafikdaten'!N$5,'MOD-Berechnungen'!N320-'MOD-Berechnungen'!N360,'MOD-Berechnungen'!N310+'MOD-Berechnungen'!N330+'MOD-Berechnungen'!N370-'MOD-Berechnungen'!N360)</f>
        <v>9.6147312771624893</v>
      </c>
      <c r="O59" s="857">
        <f>IF(ControlPanel!$D$59&gt;'GrD-Grafikdaten'!O$5,'MOD-Berechnungen'!O320-'MOD-Berechnungen'!O360,'MOD-Berechnungen'!O310+'MOD-Berechnungen'!O330+'MOD-Berechnungen'!O370-'MOD-Berechnungen'!O360)</f>
        <v>8.9495815133635066</v>
      </c>
      <c r="P59" s="857">
        <f>IF(ControlPanel!$D$59&gt;'GrD-Grafikdaten'!P$5,'MOD-Berechnungen'!P320-'MOD-Berechnungen'!P360,'MOD-Berechnungen'!P310+'MOD-Berechnungen'!P330+'MOD-Berechnungen'!P370-'MOD-Berechnungen'!P360)</f>
        <v>8.970899724422809</v>
      </c>
      <c r="Q59" s="857">
        <f>IF(ControlPanel!$D$59&gt;'GrD-Grafikdaten'!Q$5,'MOD-Berechnungen'!Q320-'MOD-Berechnungen'!Q360,'MOD-Berechnungen'!Q310+'MOD-Berechnungen'!Q330+'MOD-Berechnungen'!Q370-'MOD-Berechnungen'!Q360)</f>
        <v>9.5745799636013302</v>
      </c>
      <c r="R59" s="857">
        <f>IF(ControlPanel!$D$59&gt;'GrD-Grafikdaten'!R$5,'MOD-Berechnungen'!R320-'MOD-Berechnungen'!R360,'MOD-Berechnungen'!R310+'MOD-Berechnungen'!R330+'MOD-Berechnungen'!R370-'MOD-Berechnungen'!R360)</f>
        <v>9.7116613632239943</v>
      </c>
      <c r="S59" s="857">
        <f>IF(ControlPanel!$D$59&gt;'GrD-Grafikdaten'!S$5,'MOD-Berechnungen'!S320-'MOD-Berechnungen'!S360,'MOD-Berechnungen'!S310+'MOD-Berechnungen'!S330+'MOD-Berechnungen'!S370-'MOD-Berechnungen'!S360)</f>
        <v>9.6744183192521049</v>
      </c>
      <c r="T59" s="857">
        <f>IF(ControlPanel!$D$59&gt;'GrD-Grafikdaten'!T$5,'MOD-Berechnungen'!T320-'MOD-Berechnungen'!T360,'MOD-Berechnungen'!T310+'MOD-Berechnungen'!T330+'MOD-Berechnungen'!T370-'MOD-Berechnungen'!T360)</f>
        <v>9.6302883553410776</v>
      </c>
      <c r="U59" s="857">
        <f>IF(ControlPanel!$D$59&gt;'GrD-Grafikdaten'!U$5,'MOD-Berechnungen'!U320-'MOD-Berechnungen'!U360,'MOD-Berechnungen'!U310+'MOD-Berechnungen'!U330+'MOD-Berechnungen'!U370-'MOD-Berechnungen'!U360)</f>
        <v>9.0493399682921254</v>
      </c>
      <c r="V59" s="857">
        <f>IF(ControlPanel!$D$59&gt;'GrD-Grafikdaten'!V$5,'MOD-Berechnungen'!V320-'MOD-Berechnungen'!V360,'MOD-Berechnungen'!V310+'MOD-Berechnungen'!V330+'MOD-Berechnungen'!V370-'MOD-Berechnungen'!V360)</f>
        <v>8.6646323628606225</v>
      </c>
      <c r="W59" s="857">
        <f>IF(ControlPanel!$D$59&gt;'GrD-Grafikdaten'!W$5,'MOD-Berechnungen'!W320-'MOD-Berechnungen'!W360,'MOD-Berechnungen'!W310+'MOD-Berechnungen'!W330+'MOD-Berechnungen'!W370-'MOD-Berechnungen'!W360)</f>
        <v>8.3173238900473727</v>
      </c>
      <c r="X59" s="857">
        <f>IF(ControlPanel!$D$59&gt;'GrD-Grafikdaten'!X$5,'MOD-Berechnungen'!X320-'MOD-Berechnungen'!X360,'MOD-Berechnungen'!X310+'MOD-Berechnungen'!X330+'MOD-Berechnungen'!X370-'MOD-Berechnungen'!X360)</f>
        <v>7.8302643702108048</v>
      </c>
      <c r="Y59" s="857">
        <f>IF(ControlPanel!$D$59&gt;'GrD-Grafikdaten'!Y$5,'MOD-Berechnungen'!Y320-'MOD-Berechnungen'!Y360,'MOD-Berechnungen'!Y310+'MOD-Berechnungen'!Y330+'MOD-Berechnungen'!Y370-'MOD-Berechnungen'!Y360)</f>
        <v>7.1014611359460105</v>
      </c>
      <c r="Z59" s="857">
        <f>IF(ControlPanel!$D$59&gt;'GrD-Grafikdaten'!Z$5,'MOD-Berechnungen'!Z320-'MOD-Berechnungen'!Z360,'MOD-Berechnungen'!Z310+'MOD-Berechnungen'!Z330+'MOD-Berechnungen'!Z370-'MOD-Berechnungen'!Z360)</f>
        <v>5.6532991280487508</v>
      </c>
      <c r="AA59" s="857">
        <f>IF(ControlPanel!$D$59&gt;'GrD-Grafikdaten'!AA$5,'MOD-Berechnungen'!AA320-'MOD-Berechnungen'!AA360,'MOD-Berechnungen'!AA310+'MOD-Berechnungen'!AA330+'MOD-Berechnungen'!AA370-'MOD-Berechnungen'!AA360)</f>
        <v>3.6302481928452366</v>
      </c>
      <c r="AB59" s="857">
        <f>IF(ControlPanel!$D$59&gt;'GrD-Grafikdaten'!AB$5,'MOD-Berechnungen'!AB320-'MOD-Berechnungen'!AB360,'MOD-Berechnungen'!AB310+'MOD-Berechnungen'!AB330+'MOD-Berechnungen'!AB370-'MOD-Berechnungen'!AB360)</f>
        <v>2.1357245885357941</v>
      </c>
      <c r="AC59" s="857">
        <f>IF(ControlPanel!$D$59&gt;'GrD-Grafikdaten'!AC$5,'MOD-Berechnungen'!AC320-'MOD-Berechnungen'!AC360,'MOD-Berechnungen'!AC310+'MOD-Berechnungen'!AC330+'MOD-Berechnungen'!AC370-'MOD-Berechnungen'!AC360)</f>
        <v>1.3316624785676141</v>
      </c>
      <c r="AD59" s="857">
        <f>IF(ControlPanel!$D$59&gt;'GrD-Grafikdaten'!AD$5,'MOD-Berechnungen'!AD320-'MOD-Berechnungen'!AD360,'MOD-Berechnungen'!AD310+'MOD-Berechnungen'!AD330+'MOD-Berechnungen'!AD370-'MOD-Berechnungen'!AD360)</f>
        <v>1.1550764667779005</v>
      </c>
      <c r="AE59" s="862">
        <f>IF(ControlPanel!$D$59&gt;'GrD-Grafikdaten'!AE$5,'MOD-Berechnungen'!AE320-'MOD-Berechnungen'!AE360,'MOD-Berechnungen'!AE310+'MOD-Berechnungen'!AE330+'MOD-Berechnungen'!AE370-'MOD-Berechnungen'!AE360)</f>
        <v>1.5873977247417472</v>
      </c>
      <c r="AF59" s="928"/>
      <c r="AG59" s="549" t="s">
        <v>223</v>
      </c>
      <c r="AH59" s="945" t="s">
        <v>747</v>
      </c>
    </row>
    <row r="60" spans="1:34" s="294" customFormat="1">
      <c r="A60" s="553">
        <v>60</v>
      </c>
      <c r="C60" s="10"/>
      <c r="D60" s="29"/>
      <c r="E60" s="194" t="s">
        <v>683</v>
      </c>
      <c r="F60" s="857">
        <f>'MOD-Berechnungen'!F185*'MOD-Berechnungen'!F399/100</f>
        <v>8.200179649999999</v>
      </c>
      <c r="G60" s="857">
        <f>'MOD-Berechnungen'!G185*'MOD-Berechnungen'!G399/100</f>
        <v>13.525185549484002</v>
      </c>
      <c r="H60" s="857">
        <f>'MOD-Berechnungen'!H185*'MOD-Berechnungen'!H399/100</f>
        <v>13.883379644640002</v>
      </c>
      <c r="I60" s="857">
        <f>'MOD-Berechnungen'!I185*'MOD-Berechnungen'!I399/100</f>
        <v>20.224554263969999</v>
      </c>
      <c r="J60" s="857">
        <f>'MOD-Berechnungen'!J185*'MOD-Berechnungen'!J399/100</f>
        <v>23.104251892799997</v>
      </c>
      <c r="K60" s="857">
        <f>'MOD-Berechnungen'!K185*'MOD-Berechnungen'!K399/100</f>
        <v>21.638921885261176</v>
      </c>
      <c r="L60" s="857">
        <f>'MOD-Berechnungen'!L185*'MOD-Berechnungen'!L399/100</f>
        <v>22.557176836808882</v>
      </c>
      <c r="M60" s="857">
        <f>'MOD-Berechnungen'!M185*'MOD-Berechnungen'!M399/100</f>
        <v>23.518853825944579</v>
      </c>
      <c r="N60" s="857">
        <f>'MOD-Berechnungen'!N185*'MOD-Berechnungen'!N399/100</f>
        <v>23.287413752796041</v>
      </c>
      <c r="O60" s="857">
        <f>'MOD-Berechnungen'!O185*'MOD-Berechnungen'!O399/100</f>
        <v>22.055278978333259</v>
      </c>
      <c r="P60" s="857">
        <f>'MOD-Berechnungen'!P185*'MOD-Berechnungen'!P399/100</f>
        <v>23.251783267739494</v>
      </c>
      <c r="Q60" s="857">
        <f>'MOD-Berechnungen'!Q185*'MOD-Berechnungen'!Q399/100</f>
        <v>21.567257675944433</v>
      </c>
      <c r="R60" s="857">
        <f>'MOD-Berechnungen'!R185*'MOD-Berechnungen'!R399/100</f>
        <v>20.927984076357223</v>
      </c>
      <c r="S60" s="857">
        <f>'MOD-Berechnungen'!S185*'MOD-Berechnungen'!S399/100</f>
        <v>18.889466801868355</v>
      </c>
      <c r="T60" s="857">
        <f>'MOD-Berechnungen'!T185*'MOD-Berechnungen'!T399/100</f>
        <v>18.367894776967084</v>
      </c>
      <c r="U60" s="857">
        <f>'MOD-Berechnungen'!U185*'MOD-Berechnungen'!U399/100</f>
        <v>16.678590885582558</v>
      </c>
      <c r="V60" s="857">
        <f>'MOD-Berechnungen'!V185*'MOD-Berechnungen'!V399/100</f>
        <v>15.195090219826472</v>
      </c>
      <c r="W60" s="857">
        <f>'MOD-Berechnungen'!W185*'MOD-Berechnungen'!W399/100</f>
        <v>13.254856945074209</v>
      </c>
      <c r="X60" s="857">
        <f>'MOD-Berechnungen'!X185*'MOD-Berechnungen'!X399/100</f>
        <v>11.769497741161704</v>
      </c>
      <c r="Y60" s="857">
        <f>'MOD-Berechnungen'!Y185*'MOD-Berechnungen'!Y399/100</f>
        <v>10.134260219767748</v>
      </c>
      <c r="Z60" s="857">
        <f>'MOD-Berechnungen'!Z185*'MOD-Berechnungen'!Z399/100</f>
        <v>8.1767061668038306</v>
      </c>
      <c r="AA60" s="857">
        <f>'MOD-Berechnungen'!AA185*'MOD-Berechnungen'!AA399/100</f>
        <v>5.3274497148362752</v>
      </c>
      <c r="AB60" s="857">
        <f>'MOD-Berechnungen'!AB185*'MOD-Berechnungen'!AB399/100</f>
        <v>2.6017307685927253</v>
      </c>
      <c r="AC60" s="857">
        <f>'MOD-Berechnungen'!AC185*'MOD-Berechnungen'!AC399/100</f>
        <v>1.1972144693921996</v>
      </c>
      <c r="AD60" s="857">
        <f>'MOD-Berechnungen'!AD185*'MOD-Berechnungen'!AD399/100</f>
        <v>0.61242194045711817</v>
      </c>
      <c r="AE60" s="862">
        <f>'MOD-Berechnungen'!AE185*'MOD-Berechnungen'!AE399/100</f>
        <v>1.6801218382709644</v>
      </c>
      <c r="AF60" s="928"/>
      <c r="AG60" s="928"/>
      <c r="AH60" s="1244" t="s">
        <v>748</v>
      </c>
    </row>
    <row r="61" spans="1:34" s="294" customFormat="1">
      <c r="A61" s="553">
        <v>61</v>
      </c>
      <c r="C61" s="10"/>
      <c r="D61" s="29"/>
      <c r="E61" s="194" t="s">
        <v>684</v>
      </c>
      <c r="F61" s="857">
        <f>'MOD-Berechnungen'!F12*'MOD-Berechnungen'!F17*(1-'MOD-Berechnungen'!F18)*'MOD-Berechnungen'!F399/100</f>
        <v>3.393607614718952E-2</v>
      </c>
      <c r="G61" s="857">
        <f>'MOD-Berechnungen'!G12*'MOD-Berechnungen'!G17*(1-'MOD-Berechnungen'!G18)*'MOD-Berechnungen'!G399/100</f>
        <v>3.735757423773732E-2</v>
      </c>
      <c r="H61" s="857">
        <f>'MOD-Berechnungen'!H12*'MOD-Berechnungen'!H17*(1-'MOD-Berechnungen'!H18)*'MOD-Berechnungen'!H399/100</f>
        <v>4.2365070647105346E-2</v>
      </c>
      <c r="I61" s="857">
        <f>'MOD-Berechnungen'!I12*'MOD-Berechnungen'!I17*(1-'MOD-Berechnungen'!I18)*'MOD-Berechnungen'!I399/100</f>
        <v>3.2711856918474516E-2</v>
      </c>
      <c r="J61" s="857">
        <f>'MOD-Berechnungen'!J12*'MOD-Berechnungen'!J17*(1-'MOD-Berechnungen'!J18)*'MOD-Berechnungen'!J399/100</f>
        <v>0.13849324742799995</v>
      </c>
      <c r="K61" s="857">
        <f>'MOD-Berechnungen'!K12*'MOD-Berechnungen'!K17*(1-'MOD-Berechnungen'!K18)*'MOD-Berechnungen'!K399/100</f>
        <v>0.47547656901000002</v>
      </c>
      <c r="L61" s="857">
        <f>'MOD-Berechnungen'!L12*'MOD-Berechnungen'!L17*(1-'MOD-Berechnungen'!L18)*'MOD-Berechnungen'!L399/100</f>
        <v>0.49202892511571256</v>
      </c>
      <c r="M61" s="857">
        <f>'MOD-Berechnungen'!M12*'MOD-Berechnungen'!M17*(1-'MOD-Berechnungen'!M18)*'MOD-Berechnungen'!M399/100</f>
        <v>0.44702878609243896</v>
      </c>
      <c r="N61" s="857">
        <f>'MOD-Berechnungen'!N12*'MOD-Berechnungen'!N17*(1-'MOD-Berechnungen'!N18)*'MOD-Berechnungen'!N399/100</f>
        <v>0.46681481386608825</v>
      </c>
      <c r="O61" s="857">
        <f>'MOD-Berechnungen'!O12*'MOD-Berechnungen'!O17*(1-'MOD-Berechnungen'!O18)*'MOD-Berechnungen'!O399/100</f>
        <v>0.41821369137279235</v>
      </c>
      <c r="P61" s="857">
        <f>'MOD-Berechnungen'!P12*'MOD-Berechnungen'!P17*(1-'MOD-Berechnungen'!P18)*'MOD-Berechnungen'!P399/100</f>
        <v>0.44460305294704661</v>
      </c>
      <c r="Q61" s="857">
        <f>'MOD-Berechnungen'!Q12*'MOD-Berechnungen'!Q17*(1-'MOD-Berechnungen'!Q18)*'MOD-Berechnungen'!Q399/100</f>
        <v>0.41969364885136318</v>
      </c>
      <c r="R61" s="857">
        <f>'MOD-Berechnungen'!R12*'MOD-Berechnungen'!R17*(1-'MOD-Berechnungen'!R18)*'MOD-Berechnungen'!R399/100</f>
        <v>0.40577286279313335</v>
      </c>
      <c r="S61" s="857">
        <f>'MOD-Berechnungen'!S12*'MOD-Berechnungen'!S17*(1-'MOD-Berechnungen'!S18)*'MOD-Berechnungen'!S399/100</f>
        <v>0.36306237977965244</v>
      </c>
      <c r="T61" s="857">
        <f>'MOD-Berechnungen'!T12*'MOD-Berechnungen'!T17*(1-'MOD-Berechnungen'!T18)*'MOD-Berechnungen'!T399/100</f>
        <v>0.35007472778683607</v>
      </c>
      <c r="U61" s="857">
        <f>'MOD-Berechnungen'!U12*'MOD-Berechnungen'!U17*(1-'MOD-Berechnungen'!U18)*'MOD-Berechnungen'!U399/100</f>
        <v>0.31457800470350678</v>
      </c>
      <c r="V61" s="857">
        <f>'MOD-Berechnungen'!V12*'MOD-Berechnungen'!V17*(1-'MOD-Berechnungen'!V18)*'MOD-Berechnungen'!V399/100</f>
        <v>0.28670647841272445</v>
      </c>
      <c r="W61" s="857">
        <f>'MOD-Berechnungen'!W12*'MOD-Berechnungen'!W17*(1-'MOD-Berechnungen'!W18)*'MOD-Berechnungen'!W399/100</f>
        <v>0.25016063346785378</v>
      </c>
      <c r="X61" s="857">
        <f>'MOD-Berechnungen'!X12*'MOD-Berechnungen'!X17*(1-'MOD-Berechnungen'!X18)*'MOD-Berechnungen'!X399/100</f>
        <v>0.22215851218869806</v>
      </c>
      <c r="Y61" s="857">
        <f>'MOD-Berechnungen'!Y12*'MOD-Berechnungen'!Y17*(1-'MOD-Berechnungen'!Y18)*'MOD-Berechnungen'!Y399/100</f>
        <v>0.19123921044481837</v>
      </c>
      <c r="Z61" s="857">
        <f>'MOD-Berechnungen'!Z12*'MOD-Berechnungen'!Z17*(1-'MOD-Berechnungen'!Z18)*'MOD-Berechnungen'!Z399/100</f>
        <v>0.1541807855776775</v>
      </c>
      <c r="AA61" s="857">
        <f>'MOD-Berechnungen'!AA12*'MOD-Berechnungen'!AA17*(1-'MOD-Berechnungen'!AA18)*'MOD-Berechnungen'!AA399/100</f>
        <v>0.10037639625865674</v>
      </c>
      <c r="AB61" s="857">
        <f>'MOD-Berechnungen'!AB12*'MOD-Berechnungen'!AB17*(1-'MOD-Berechnungen'!AB18)*'MOD-Berechnungen'!AB399/100</f>
        <v>4.8980985436431264E-2</v>
      </c>
      <c r="AC61" s="857">
        <f>'MOD-Berechnungen'!AC12*'MOD-Berechnungen'!AC17*(1-'MOD-Berechnungen'!AC18)*'MOD-Berechnungen'!AC399/100</f>
        <v>2.2537421123194578E-2</v>
      </c>
      <c r="AD61" s="857">
        <f>'MOD-Berechnungen'!AD12*'MOD-Berechnungen'!AD17*(1-'MOD-Berechnungen'!AD18)*'MOD-Berechnungen'!AD399/100</f>
        <v>1.153061501927098E-2</v>
      </c>
      <c r="AE61" s="862">
        <f>'MOD-Berechnungen'!AE12*'MOD-Berechnungen'!AE17*(1-'MOD-Berechnungen'!AE18)*'MOD-Berechnungen'!AE399/100</f>
        <v>3.1648488191039235E-2</v>
      </c>
      <c r="AF61" s="928"/>
      <c r="AG61" s="928" t="s">
        <v>180</v>
      </c>
      <c r="AH61" s="1244" t="s">
        <v>749</v>
      </c>
    </row>
    <row r="62" spans="1:34" s="294" customFormat="1">
      <c r="A62" s="553">
        <v>62</v>
      </c>
      <c r="C62" s="10"/>
      <c r="D62" s="29"/>
      <c r="E62" s="194" t="s">
        <v>685</v>
      </c>
      <c r="F62" s="857">
        <f>('MOD-Berechnungen'!F13+'MOD-Berechnungen'!F254)*'MOD-Berechnungen'!F19/100+('MOD-Berechnungen'!F14+'MOD-Berechnungen'!F264)*'MOD-Berechnungen'!F20/100+'MOD-Berechnungen'!F15*'MOD-Berechnungen'!F21/100</f>
        <v>0</v>
      </c>
      <c r="G62" s="857">
        <f>('MOD-Berechnungen'!G13+'MOD-Berechnungen'!G254)*'MOD-Berechnungen'!G19/100+('MOD-Berechnungen'!G14+'MOD-Berechnungen'!G264)*'MOD-Berechnungen'!G20/100+'MOD-Berechnungen'!G15*'MOD-Berechnungen'!G21/100</f>
        <v>0</v>
      </c>
      <c r="H62" s="857">
        <f>('MOD-Berechnungen'!H13+'MOD-Berechnungen'!H254)*'MOD-Berechnungen'!H19/100+('MOD-Berechnungen'!H14+'MOD-Berechnungen'!H264)*'MOD-Berechnungen'!H20/100+'MOD-Berechnungen'!H15*'MOD-Berechnungen'!H21/100</f>
        <v>0</v>
      </c>
      <c r="I62" s="857">
        <f>('MOD-Berechnungen'!I13+'MOD-Berechnungen'!I254)*'MOD-Berechnungen'!I19/100+('MOD-Berechnungen'!I14+'MOD-Berechnungen'!I264)*'MOD-Berechnungen'!I20/100+'MOD-Berechnungen'!I15*'MOD-Berechnungen'!I21/100</f>
        <v>0</v>
      </c>
      <c r="J62" s="857">
        <f>('MOD-Berechnungen'!J13+'MOD-Berechnungen'!J254)*'MOD-Berechnungen'!J19/100+('MOD-Berechnungen'!J14+'MOD-Berechnungen'!J264)*'MOD-Berechnungen'!J20/100+'MOD-Berechnungen'!J15*'MOD-Berechnungen'!J21/100</f>
        <v>0</v>
      </c>
      <c r="K62" s="857">
        <f>('MOD-Berechnungen'!K13+'MOD-Berechnungen'!K254)*'MOD-Berechnungen'!K19/100+('MOD-Berechnungen'!K14+'MOD-Berechnungen'!K264)*'MOD-Berechnungen'!K20/100+'MOD-Berechnungen'!K15*'MOD-Berechnungen'!K21/100</f>
        <v>1.0234140067499999E-3</v>
      </c>
      <c r="L62" s="857">
        <f>('MOD-Berechnungen'!L13+'MOD-Berechnungen'!L254)*'MOD-Berechnungen'!L19/100+('MOD-Berechnungen'!L14+'MOD-Berechnungen'!L264)*'MOD-Berechnungen'!L20/100+'MOD-Berechnungen'!L15*'MOD-Berechnungen'!L21/100</f>
        <v>3.7802762549999998E-3</v>
      </c>
      <c r="M62" s="857">
        <f>('MOD-Berechnungen'!M13+'MOD-Berechnungen'!M254)*'MOD-Berechnungen'!M19/100+('MOD-Berechnungen'!M14+'MOD-Berechnungen'!M264)*'MOD-Berechnungen'!M20/100+'MOD-Berechnungen'!M15*'MOD-Berechnungen'!M21/100</f>
        <v>1.6841460720919903E-2</v>
      </c>
      <c r="N62" s="857">
        <f>('MOD-Berechnungen'!N13+'MOD-Berechnungen'!N254)*'MOD-Berechnungen'!N19/100+('MOD-Berechnungen'!N14+'MOD-Berechnungen'!N264)*'MOD-Berechnungen'!N20/100+'MOD-Berechnungen'!N15*'MOD-Berechnungen'!N21/100</f>
        <v>2.2158757081126169E-2</v>
      </c>
      <c r="O62" s="857">
        <f>('MOD-Berechnungen'!O13+'MOD-Berechnungen'!O254)*'MOD-Berechnungen'!O19/100+('MOD-Berechnungen'!O14+'MOD-Berechnungen'!O264)*'MOD-Berechnungen'!O20/100+'MOD-Berechnungen'!O15*'MOD-Berechnungen'!O21/100</f>
        <v>3.8612388326398787E-2</v>
      </c>
      <c r="P62" s="857">
        <f>('MOD-Berechnungen'!P13+'MOD-Berechnungen'!P254)*'MOD-Berechnungen'!P19/100+('MOD-Berechnungen'!P14+'MOD-Berechnungen'!P264)*'MOD-Berechnungen'!P20/100+'MOD-Berechnungen'!P15*'MOD-Berechnungen'!P21/100</f>
        <v>5.1520462007032315E-2</v>
      </c>
      <c r="Q62" s="857">
        <f>('MOD-Berechnungen'!Q13+'MOD-Berechnungen'!Q254)*'MOD-Berechnungen'!Q19/100+('MOD-Berechnungen'!Q14+'MOD-Berechnungen'!Q264)*'MOD-Berechnungen'!Q20/100+'MOD-Berechnungen'!Q15*'MOD-Berechnungen'!Q21/100</f>
        <v>6.2394977054711795E-2</v>
      </c>
      <c r="R62" s="857">
        <f>('MOD-Berechnungen'!R13+'MOD-Berechnungen'!R254)*'MOD-Berechnungen'!R19/100+('MOD-Berechnungen'!R14+'MOD-Berechnungen'!R264)*'MOD-Berechnungen'!R20/100+'MOD-Berechnungen'!R15*'MOD-Berechnungen'!R21/100</f>
        <v>6.4511325061528763E-2</v>
      </c>
      <c r="S62" s="857">
        <f>('MOD-Berechnungen'!S13+'MOD-Berechnungen'!S254)*'MOD-Berechnungen'!S19/100+('MOD-Berechnungen'!S14+'MOD-Berechnungen'!S264)*'MOD-Berechnungen'!S20/100+'MOD-Berechnungen'!S15*'MOD-Berechnungen'!S21/100</f>
        <v>6.6293793377722898E-2</v>
      </c>
      <c r="T62" s="857">
        <f>('MOD-Berechnungen'!T13+'MOD-Berechnungen'!T254)*'MOD-Berechnungen'!T19/100+('MOD-Berechnungen'!T14+'MOD-Berechnungen'!T264)*'MOD-Berechnungen'!T20/100+'MOD-Berechnungen'!T15*'MOD-Berechnungen'!T21/100</f>
        <v>6.7828935752848513E-2</v>
      </c>
      <c r="U62" s="857">
        <f>('MOD-Berechnungen'!U13+'MOD-Berechnungen'!U254)*'MOD-Berechnungen'!U19/100+('MOD-Berechnungen'!U14+'MOD-Berechnungen'!U264)*'MOD-Berechnungen'!U20/100+'MOD-Berechnungen'!U15*'MOD-Berechnungen'!U21/100</f>
        <v>6.9324135649551921E-2</v>
      </c>
      <c r="V62" s="857">
        <f>('MOD-Berechnungen'!V13+'MOD-Berechnungen'!V254)*'MOD-Berechnungen'!V19/100+('MOD-Berechnungen'!V14+'MOD-Berechnungen'!V264)*'MOD-Berechnungen'!V20/100+'MOD-Berechnungen'!V15*'MOD-Berechnungen'!V21/100</f>
        <v>6.9969126378901764E-2</v>
      </c>
      <c r="W62" s="857">
        <f>('MOD-Berechnungen'!W13+'MOD-Berechnungen'!W254)*'MOD-Berechnungen'!W19/100+('MOD-Berechnungen'!W14+'MOD-Berechnungen'!W264)*'MOD-Berechnungen'!W20/100+'MOD-Berechnungen'!W15*'MOD-Berechnungen'!W21/100</f>
        <v>7.0544892855285313E-2</v>
      </c>
      <c r="X62" s="857">
        <f>('MOD-Berechnungen'!X13+'MOD-Berechnungen'!X254)*'MOD-Berechnungen'!X19/100+('MOD-Berechnungen'!X14+'MOD-Berechnungen'!X264)*'MOD-Berechnungen'!X20/100+'MOD-Berechnungen'!X15*'MOD-Berechnungen'!X21/100</f>
        <v>7.1123357379757307E-2</v>
      </c>
      <c r="Y62" s="857">
        <f>('MOD-Berechnungen'!Y13+'MOD-Berechnungen'!Y254)*'MOD-Berechnungen'!Y19/100+('MOD-Berechnungen'!Y14+'MOD-Berechnungen'!Y264)*'MOD-Berechnungen'!Y20/100+'MOD-Berechnungen'!Y15*'MOD-Berechnungen'!Y21/100</f>
        <v>7.1704519952317733E-2</v>
      </c>
      <c r="Z62" s="857">
        <f>('MOD-Berechnungen'!Z13+'MOD-Berechnungen'!Z254)*'MOD-Berechnungen'!Z19/100+('MOD-Berechnungen'!Z14+'MOD-Berechnungen'!Z264)*'MOD-Berechnungen'!Z20/100+'MOD-Berechnungen'!Z15*'MOD-Berechnungen'!Z21/100</f>
        <v>7.2288380572966618E-2</v>
      </c>
      <c r="AA62" s="857">
        <f>('MOD-Berechnungen'!AA13+'MOD-Berechnungen'!AA254)*'MOD-Berechnungen'!AA19/100+('MOD-Berechnungen'!AA14+'MOD-Berechnungen'!AA264)*'MOD-Berechnungen'!AA20/100+'MOD-Berechnungen'!AA15*'MOD-Berechnungen'!AA21/100</f>
        <v>7.2874939241703948E-2</v>
      </c>
      <c r="AB62" s="857">
        <f>('MOD-Berechnungen'!AB13+'MOD-Berechnungen'!AB254)*'MOD-Berechnungen'!AB19/100+('MOD-Berechnungen'!AB14+'MOD-Berechnungen'!AB264)*'MOD-Berechnungen'!AB20/100+'MOD-Berechnungen'!AB15*'MOD-Berechnungen'!AB21/100</f>
        <v>7.3464195958529724E-2</v>
      </c>
      <c r="AC62" s="857">
        <f>('MOD-Berechnungen'!AC13+'MOD-Berechnungen'!AC254)*'MOD-Berechnungen'!AC19/100+('MOD-Berechnungen'!AC14+'MOD-Berechnungen'!AC264)*'MOD-Berechnungen'!AC20/100+'MOD-Berechnungen'!AC15*'MOD-Berechnungen'!AC21/100</f>
        <v>7.4056150723443931E-2</v>
      </c>
      <c r="AD62" s="857">
        <f>('MOD-Berechnungen'!AD13+'MOD-Berechnungen'!AD254)*'MOD-Berechnungen'!AD19/100+('MOD-Berechnungen'!AD14+'MOD-Berechnungen'!AD264)*'MOD-Berechnungen'!AD20/100+'MOD-Berechnungen'!AD15*'MOD-Berechnungen'!AD21/100</f>
        <v>7.4650803536446597E-2</v>
      </c>
      <c r="AE62" s="862">
        <f>('MOD-Berechnungen'!AE13+'MOD-Berechnungen'!AE254)*'MOD-Berechnungen'!AE19/100+('MOD-Berechnungen'!AE14+'MOD-Berechnungen'!AE264)*'MOD-Berechnungen'!AE20/100+'MOD-Berechnungen'!AE15*'MOD-Berechnungen'!AE21/100</f>
        <v>7.5250539594990312E-2</v>
      </c>
      <c r="AF62" s="928"/>
      <c r="AG62" s="928" t="s">
        <v>148</v>
      </c>
      <c r="AH62" s="559"/>
    </row>
    <row r="63" spans="1:34" s="294" customFormat="1">
      <c r="A63" s="553">
        <v>63</v>
      </c>
      <c r="C63" s="10"/>
      <c r="D63" s="29"/>
      <c r="E63" s="194" t="s">
        <v>686</v>
      </c>
      <c r="F63" s="857">
        <f>'MOD-Berechnungen'!F181/10</f>
        <v>5.3650479999999998</v>
      </c>
      <c r="G63" s="857">
        <f>'MOD-Berechnungen'!G181/10</f>
        <v>5.0739089999999996</v>
      </c>
      <c r="H63" s="857">
        <f>'MOD-Berechnungen'!H181/10</f>
        <v>5.5220000000000002</v>
      </c>
      <c r="I63" s="857">
        <f>'MOD-Berechnungen'!I181/10</f>
        <v>5.1150000000000002</v>
      </c>
      <c r="J63" s="857">
        <f>'MOD-Berechnungen'!J181/10</f>
        <v>4.1450000000000005</v>
      </c>
      <c r="K63" s="857">
        <f>'MOD-Berechnungen'!K181/10</f>
        <v>3.5670000000000002</v>
      </c>
      <c r="L63" s="857">
        <f>'MOD-Berechnungen'!L181/10</f>
        <v>3.1260000000000003</v>
      </c>
      <c r="M63" s="857">
        <f>'MOD-Berechnungen'!M181/10</f>
        <v>2.6749999999999998</v>
      </c>
      <c r="N63" s="857">
        <f>'MOD-Berechnungen'!N181/10</f>
        <v>3.222</v>
      </c>
      <c r="O63" s="857">
        <f>'MOD-Berechnungen'!O181/10</f>
        <v>4.6280000000000001</v>
      </c>
      <c r="P63" s="857">
        <f>'MOD-Berechnungen'!P181/10</f>
        <v>4.9340000000000002</v>
      </c>
      <c r="Q63" s="857">
        <f>'MOD-Berechnungen'!Q181/10</f>
        <v>4.0739999999999998</v>
      </c>
      <c r="R63" s="857">
        <f>'MOD-Berechnungen'!R181/10</f>
        <v>4.4938414499999988</v>
      </c>
      <c r="S63" s="857">
        <f>'MOD-Berechnungen'!S181/10</f>
        <v>4.752608214374999</v>
      </c>
      <c r="T63" s="857">
        <f>'MOD-Berechnungen'!T181/10</f>
        <v>4.9525876681039041</v>
      </c>
      <c r="U63" s="857">
        <f>'MOD-Berechnungen'!U181/10</f>
        <v>5.1574971685964419</v>
      </c>
      <c r="V63" s="857">
        <f>'MOD-Berechnungen'!V181/10</f>
        <v>5.3674396218784333</v>
      </c>
      <c r="W63" s="857">
        <f>'MOD-Berechnungen'!W181/10</f>
        <v>5.5825199118959494</v>
      </c>
      <c r="X63" s="857">
        <f>'MOD-Berechnungen'!X181/10</f>
        <v>5.8028449366990689</v>
      </c>
      <c r="Y63" s="857">
        <f>'MOD-Berechnungen'!Y181/10</f>
        <v>6.0285236452661053</v>
      </c>
      <c r="Z63" s="857">
        <f>'MOD-Berechnungen'!Z181/10</f>
        <v>6.2596670749793955</v>
      </c>
      <c r="AA63" s="857">
        <f>'MOD-Berechnungen'!AA181/10</f>
        <v>6.496388389763899</v>
      </c>
      <c r="AB63" s="857">
        <f>'MOD-Berechnungen'!AB181/10</f>
        <v>6.7388029189000687</v>
      </c>
      <c r="AC63" s="857">
        <f>'MOD-Berechnungen'!AC181/10</f>
        <v>6.9870281965226253</v>
      </c>
      <c r="AD63" s="857">
        <f>'MOD-Berechnungen'!AD181/10</f>
        <v>7.2411840018171061</v>
      </c>
      <c r="AE63" s="862">
        <f>'MOD-Berechnungen'!AE181/10</f>
        <v>7.5013923999262051</v>
      </c>
      <c r="AF63" s="928"/>
      <c r="AG63" s="928" t="s">
        <v>154</v>
      </c>
      <c r="AH63" s="559"/>
    </row>
    <row r="64" spans="1:34" s="294" customFormat="1">
      <c r="A64" s="553">
        <v>64</v>
      </c>
      <c r="C64" s="10"/>
      <c r="D64" s="29"/>
      <c r="E64" s="195" t="s">
        <v>687</v>
      </c>
      <c r="F64" s="858">
        <f t="shared" ref="F64:M64" si="0">F63+F52</f>
        <v>7.4120479999999995</v>
      </c>
      <c r="G64" s="858">
        <f t="shared" si="0"/>
        <v>8.6039089999999998</v>
      </c>
      <c r="H64" s="858">
        <f t="shared" si="0"/>
        <v>9.1140000000000008</v>
      </c>
      <c r="I64" s="858">
        <f t="shared" si="0"/>
        <v>10.391999999999999</v>
      </c>
      <c r="J64" s="858">
        <f t="shared" si="0"/>
        <v>10.385</v>
      </c>
      <c r="K64" s="858">
        <f t="shared" si="0"/>
        <v>9.7370000000000001</v>
      </c>
      <c r="L64" s="858">
        <f t="shared" si="0"/>
        <v>9.4654923951914505</v>
      </c>
      <c r="M64" s="858">
        <f t="shared" si="0"/>
        <v>9.5378707449913627</v>
      </c>
      <c r="N64" s="858">
        <f>N63+N52</f>
        <v>10.002743858374661</v>
      </c>
      <c r="O64" s="858">
        <f t="shared" ref="O64:AE64" si="1">O63+O52</f>
        <v>11.033925003395339</v>
      </c>
      <c r="P64" s="858">
        <f t="shared" si="1"/>
        <v>11.690073188597182</v>
      </c>
      <c r="Q64" s="858">
        <f t="shared" si="1"/>
        <v>10.574363499587536</v>
      </c>
      <c r="R64" s="858">
        <f t="shared" si="1"/>
        <v>10.839387854951315</v>
      </c>
      <c r="S64" s="858">
        <f t="shared" si="1"/>
        <v>10.490367669479205</v>
      </c>
      <c r="T64" s="858">
        <f t="shared" si="1"/>
        <v>10.550455580996974</v>
      </c>
      <c r="U64" s="858">
        <f t="shared" si="1"/>
        <v>10.246950890112354</v>
      </c>
      <c r="V64" s="858">
        <f t="shared" si="1"/>
        <v>10.005969117656926</v>
      </c>
      <c r="W64" s="858">
        <f t="shared" si="1"/>
        <v>9.6297862431187369</v>
      </c>
      <c r="X64" s="858">
        <f t="shared" si="1"/>
        <v>9.3970741889663145</v>
      </c>
      <c r="Y64" s="858">
        <f t="shared" si="1"/>
        <v>9.1225197185627565</v>
      </c>
      <c r="Z64" s="858">
        <f t="shared" si="1"/>
        <v>8.7541071223188212</v>
      </c>
      <c r="AA64" s="858">
        <f t="shared" si="1"/>
        <v>8.1203449787583146</v>
      </c>
      <c r="AB64" s="858">
        <f t="shared" si="1"/>
        <v>7.5312501176414965</v>
      </c>
      <c r="AC64" s="858">
        <f t="shared" si="1"/>
        <v>7.3516536951073812</v>
      </c>
      <c r="AD64" s="858">
        <f t="shared" si="1"/>
        <v>7.4277340168968529</v>
      </c>
      <c r="AE64" s="864">
        <f t="shared" si="1"/>
        <v>8.0134228457803278</v>
      </c>
      <c r="AF64" s="928"/>
      <c r="AG64" s="928"/>
      <c r="AH64" s="559"/>
    </row>
    <row r="65" spans="1:34" s="294" customFormat="1">
      <c r="A65" s="553">
        <v>65</v>
      </c>
      <c r="C65" s="10"/>
      <c r="D65" s="29"/>
      <c r="E65" s="194" t="s">
        <v>688</v>
      </c>
      <c r="F65" s="857">
        <f t="shared" ref="F65:AE65" si="2">IF(F89&gt;0,F61/F89*100,0)</f>
        <v>4.9989800764796158E-2</v>
      </c>
      <c r="G65" s="857">
        <f t="shared" si="2"/>
        <v>4.9990085901745564E-2</v>
      </c>
      <c r="H65" s="857">
        <f t="shared" si="2"/>
        <v>5.0001590567365077E-2</v>
      </c>
      <c r="I65" s="857">
        <f t="shared" si="2"/>
        <v>3.3995000948890464E-2</v>
      </c>
      <c r="J65" s="857">
        <f t="shared" si="2"/>
        <v>0.13001254107481827</v>
      </c>
      <c r="K65" s="857">
        <f t="shared" si="2"/>
        <v>0.43128300000000003</v>
      </c>
      <c r="L65" s="857">
        <f t="shared" si="2"/>
        <v>0.47356008192080123</v>
      </c>
      <c r="M65" s="857">
        <f t="shared" si="2"/>
        <v>0.391630336904225</v>
      </c>
      <c r="N65" s="857">
        <f t="shared" si="2"/>
        <v>0.40702305752216272</v>
      </c>
      <c r="O65" s="857">
        <f t="shared" si="2"/>
        <v>0.36709018643005964</v>
      </c>
      <c r="P65" s="857">
        <f t="shared" si="2"/>
        <v>0.38271212945690902</v>
      </c>
      <c r="Q65" s="857">
        <f t="shared" si="2"/>
        <v>0.37229987479052884</v>
      </c>
      <c r="R65" s="857">
        <f t="shared" si="2"/>
        <v>0.36343292681874906</v>
      </c>
      <c r="S65" s="857">
        <f t="shared" si="2"/>
        <v>0.32862271884472521</v>
      </c>
      <c r="T65" s="857">
        <f t="shared" si="2"/>
        <v>0.32061061249824718</v>
      </c>
      <c r="U65" s="857">
        <f t="shared" si="2"/>
        <v>0.29149185017003965</v>
      </c>
      <c r="V65" s="857">
        <f t="shared" si="2"/>
        <v>0.26566575093840294</v>
      </c>
      <c r="W65" s="857">
        <f t="shared" si="2"/>
        <v>0.23180192130082816</v>
      </c>
      <c r="X65" s="857">
        <f t="shared" si="2"/>
        <v>0.20585481114593962</v>
      </c>
      <c r="Y65" s="857">
        <f t="shared" si="2"/>
        <v>0.17720460567533206</v>
      </c>
      <c r="Z65" s="857">
        <f t="shared" si="2"/>
        <v>0.14286581317427494</v>
      </c>
      <c r="AA65" s="857">
        <f t="shared" si="2"/>
        <v>9.3010003946123743E-2</v>
      </c>
      <c r="AB65" s="857">
        <f t="shared" si="2"/>
        <v>4.5386383836574555E-2</v>
      </c>
      <c r="AC65" s="857">
        <f t="shared" si="2"/>
        <v>2.0883451744991271E-2</v>
      </c>
      <c r="AD65" s="857">
        <f t="shared" si="2"/>
        <v>1.068440976581818E-2</v>
      </c>
      <c r="AE65" s="862">
        <f t="shared" si="2"/>
        <v>2.9325878605484836E-2</v>
      </c>
      <c r="AF65" s="928"/>
      <c r="AG65" s="928"/>
      <c r="AH65" s="559"/>
    </row>
    <row r="66" spans="1:34" s="294" customFormat="1">
      <c r="A66" s="553">
        <v>66</v>
      </c>
      <c r="C66" s="10"/>
      <c r="D66" s="29"/>
      <c r="E66" s="195" t="s">
        <v>689</v>
      </c>
      <c r="F66" s="858">
        <f t="shared" ref="F66:AE66" si="3">F62*F90/100</f>
        <v>0</v>
      </c>
      <c r="G66" s="858">
        <f t="shared" si="3"/>
        <v>0</v>
      </c>
      <c r="H66" s="858">
        <f t="shared" si="3"/>
        <v>0</v>
      </c>
      <c r="I66" s="858">
        <f t="shared" si="3"/>
        <v>0</v>
      </c>
      <c r="J66" s="858">
        <f t="shared" si="3"/>
        <v>0</v>
      </c>
      <c r="K66" s="858">
        <f t="shared" si="3"/>
        <v>6.103757601001236E-4</v>
      </c>
      <c r="L66" s="858">
        <f t="shared" si="3"/>
        <v>1.9612103048660479E-3</v>
      </c>
      <c r="M66" s="858">
        <f t="shared" si="3"/>
        <v>1.095739499405661E-2</v>
      </c>
      <c r="N66" s="858">
        <f t="shared" si="3"/>
        <v>1.4739004343403701E-2</v>
      </c>
      <c r="O66" s="858">
        <f t="shared" si="3"/>
        <v>3.0123371733991294E-2</v>
      </c>
      <c r="P66" s="858">
        <f t="shared" si="3"/>
        <v>4.0281218869180284E-2</v>
      </c>
      <c r="Q66" s="858">
        <f t="shared" si="3"/>
        <v>4.6179408648313103E-2</v>
      </c>
      <c r="R66" s="858">
        <f t="shared" si="3"/>
        <v>4.812811739608884E-2</v>
      </c>
      <c r="S66" s="858">
        <f t="shared" si="3"/>
        <v>4.9048595182011996E-2</v>
      </c>
      <c r="T66" s="858">
        <f t="shared" si="3"/>
        <v>5.043552970672735E-2</v>
      </c>
      <c r="U66" s="858">
        <f t="shared" si="3"/>
        <v>5.1785918064717586E-2</v>
      </c>
      <c r="V66" s="858">
        <f t="shared" si="3"/>
        <v>5.2354951335854841E-2</v>
      </c>
      <c r="W66" s="858">
        <f t="shared" si="3"/>
        <v>5.2844138471670146E-2</v>
      </c>
      <c r="X66" s="858">
        <f t="shared" si="3"/>
        <v>5.331022869875629E-2</v>
      </c>
      <c r="Y66" s="858">
        <f t="shared" si="3"/>
        <v>5.3680875489762754E-2</v>
      </c>
      <c r="Z66" s="858">
        <f t="shared" si="3"/>
        <v>5.3936340308719244E-2</v>
      </c>
      <c r="AA66" s="858">
        <f t="shared" si="3"/>
        <v>5.4187106731079106E-2</v>
      </c>
      <c r="AB66" s="858">
        <f t="shared" si="3"/>
        <v>5.4432577709279062E-2</v>
      </c>
      <c r="AC66" s="858">
        <f t="shared" si="3"/>
        <v>5.4852759734234466E-2</v>
      </c>
      <c r="AD66" s="858">
        <f t="shared" si="3"/>
        <v>5.5332417712934366E-2</v>
      </c>
      <c r="AE66" s="864">
        <f t="shared" si="3"/>
        <v>5.5896639248217417E-2</v>
      </c>
      <c r="AF66" s="928"/>
      <c r="AG66" s="928"/>
      <c r="AH66" s="559"/>
    </row>
    <row r="67" spans="1:34" s="294" customFormat="1">
      <c r="A67" s="553">
        <v>67</v>
      </c>
      <c r="C67" s="10"/>
      <c r="D67" s="29"/>
      <c r="E67" s="195" t="s">
        <v>690</v>
      </c>
      <c r="F67" s="858">
        <f>'MOD-Berechnungen'!F391</f>
        <v>0</v>
      </c>
      <c r="G67" s="858">
        <f>'MOD-Berechnungen'!G391</f>
        <v>-1.11629894236</v>
      </c>
      <c r="H67" s="858">
        <f>'MOD-Berechnungen'!H391</f>
        <v>-0.71124112144000007</v>
      </c>
      <c r="I67" s="858">
        <f>'MOD-Berechnungen'!I391</f>
        <v>-2.5889139132900003</v>
      </c>
      <c r="J67" s="858">
        <f>'MOD-Berechnungen'!J391</f>
        <v>-2.1969250054800002</v>
      </c>
      <c r="K67" s="858">
        <f>'MOD-Berechnungen'!K391</f>
        <v>1.38074493721</v>
      </c>
      <c r="L67" s="858">
        <f>'MOD-Berechnungen'!L391</f>
        <v>2.5211899999999998</v>
      </c>
      <c r="M67" s="858">
        <f>'MOD-Berechnungen'!M391</f>
        <v>1.9478101488699999</v>
      </c>
      <c r="N67" s="858">
        <f>'MOD-Berechnungen'!N391</f>
        <v>3.3292301430700002</v>
      </c>
      <c r="O67" s="858">
        <f>'MOD-Berechnungen'!O391</f>
        <v>3.6518353547200002</v>
      </c>
      <c r="P67" s="858">
        <f>'MOD-Berechnungen'!P391</f>
        <v>2.19040541733</v>
      </c>
      <c r="Q67" s="858">
        <f>'MOD-Berechnungen'!Q391</f>
        <v>-4.0803942770500008</v>
      </c>
      <c r="R67" s="858">
        <f>'MOD-Berechnungen'!R391</f>
        <v>0</v>
      </c>
      <c r="S67" s="858">
        <f>'MOD-Berechnungen'!S391</f>
        <v>0.54074480976367045</v>
      </c>
      <c r="T67" s="858">
        <f>'MOD-Berechnungen'!T391</f>
        <v>0.42803441180090207</v>
      </c>
      <c r="U67" s="858">
        <f>'MOD-Berechnungen'!U391</f>
        <v>0.3374844847159375</v>
      </c>
      <c r="V67" s="858">
        <f>'MOD-Berechnungen'!V391</f>
        <v>0.11179886808030037</v>
      </c>
      <c r="W67" s="858">
        <f>'MOD-Berechnungen'!W391</f>
        <v>-3.9119916757321072E-2</v>
      </c>
      <c r="X67" s="858">
        <f>'MOD-Berechnungen'!X391</f>
        <v>-0.20393486952318707</v>
      </c>
      <c r="Y67" s="858">
        <f>'MOD-Berechnungen'!Y391</f>
        <v>-0.35128610526035953</v>
      </c>
      <c r="Z67" s="858">
        <f>'MOD-Berechnungen'!Z391</f>
        <v>-0.52138351476887568</v>
      </c>
      <c r="AA67" s="858">
        <f>'MOD-Berechnungen'!AA391</f>
        <v>-0.67577150261859043</v>
      </c>
      <c r="AB67" s="858">
        <f>'MOD-Berechnungen'!AB391</f>
        <v>-0.86653253698286914</v>
      </c>
      <c r="AC67" s="858">
        <f>'MOD-Berechnungen'!AC391</f>
        <v>-1.024758264270301</v>
      </c>
      <c r="AD67" s="858">
        <f>'MOD-Berechnungen'!AD391</f>
        <v>-1.1393241961963145</v>
      </c>
      <c r="AE67" s="864">
        <f>'MOD-Berechnungen'!AE391</f>
        <v>-1.2070325729068694</v>
      </c>
      <c r="AF67" s="928"/>
      <c r="AG67" s="928"/>
      <c r="AH67" s="559"/>
    </row>
    <row r="68" spans="1:34" s="294" customFormat="1">
      <c r="A68" s="553">
        <v>68</v>
      </c>
      <c r="C68" s="10"/>
      <c r="D68" s="29"/>
      <c r="AF68" s="928" t="s">
        <v>153</v>
      </c>
      <c r="AG68" s="928" t="s">
        <v>153</v>
      </c>
      <c r="AH68" s="559"/>
    </row>
    <row r="69" spans="1:34" s="294" customFormat="1">
      <c r="A69" s="553">
        <v>69</v>
      </c>
      <c r="C69" s="10"/>
      <c r="D69" s="29"/>
      <c r="E69" s="582" t="s">
        <v>1029</v>
      </c>
      <c r="AF69" s="928" t="s">
        <v>153</v>
      </c>
      <c r="AG69" s="928" t="s">
        <v>153</v>
      </c>
      <c r="AH69" s="1244" t="s">
        <v>750</v>
      </c>
    </row>
    <row r="70" spans="1:34" s="294" customFormat="1">
      <c r="A70" s="553">
        <v>70</v>
      </c>
      <c r="C70" s="10"/>
      <c r="D70" s="29"/>
      <c r="E70" s="193" t="s">
        <v>427</v>
      </c>
      <c r="F70" s="856">
        <f>F52/'MOD-Berechnungen'!F$26</f>
        <v>2.3590226418993994</v>
      </c>
      <c r="G70" s="856">
        <f>G52/'MOD-Berechnungen'!G$26</f>
        <v>3.9844027383447282</v>
      </c>
      <c r="H70" s="856">
        <f>H52/'MOD-Berechnungen'!H$26</f>
        <v>3.974886029032457</v>
      </c>
      <c r="I70" s="856">
        <f>I52/'MOD-Berechnungen'!I$26</f>
        <v>5.7531991111074063</v>
      </c>
      <c r="J70" s="856">
        <f>J52/'MOD-Berechnungen'!J$26</f>
        <v>6.742418940791211</v>
      </c>
      <c r="K70" s="856">
        <f>K52/'MOD-Berechnungen'!K$26</f>
        <v>6.6468423039665909</v>
      </c>
      <c r="L70" s="856">
        <f>L52/'MOD-Berechnungen'!L$26</f>
        <v>6.7285061577205809</v>
      </c>
      <c r="M70" s="856">
        <f>M52/'MOD-Berechnungen'!M$26</f>
        <v>7.1763555284576048</v>
      </c>
      <c r="N70" s="856">
        <f>N52/'MOD-Berechnungen'!N$26</f>
        <v>6.9856918414940328</v>
      </c>
      <c r="O70" s="856">
        <f>O52/'MOD-Berechnungen'!O$26</f>
        <v>6.5020138784462684</v>
      </c>
      <c r="P70" s="856">
        <f>P52/'MOD-Berechnungen'!P$26</f>
        <v>6.7560731885971812</v>
      </c>
      <c r="Q70" s="856">
        <f>Q52/'MOD-Berechnungen'!Q$26</f>
        <v>6.4042990143719569</v>
      </c>
      <c r="R70" s="856">
        <f>R52/'MOD-Berechnungen'!R$26</f>
        <v>6.1593791695516193</v>
      </c>
      <c r="S70" s="856">
        <f>S52/'MOD-Berechnungen'!S$26</f>
        <v>5.487116872914398</v>
      </c>
      <c r="T70" s="856">
        <f>T52/'MOD-Berechnungen'!T$26</f>
        <v>5.2742228707559109</v>
      </c>
      <c r="U70" s="856">
        <f>U52/'MOD-Berechnungen'!U$26</f>
        <v>4.724337967671306</v>
      </c>
      <c r="V70" s="856">
        <f>V52/'MOD-Berechnungen'!V$26</f>
        <v>4.2421309351280829</v>
      </c>
      <c r="W70" s="856">
        <f>W52/'MOD-Berechnungen'!W$26</f>
        <v>3.6466953933598543</v>
      </c>
      <c r="X70" s="856">
        <f>X52/'MOD-Berechnungen'!X$26</f>
        <v>3.1906372887285395</v>
      </c>
      <c r="Y70" s="856">
        <f>Y52/'MOD-Berechnungen'!Y$26</f>
        <v>2.7059849569083867</v>
      </c>
      <c r="Z70" s="856">
        <f>Z52/'MOD-Berechnungen'!Z$26</f>
        <v>2.1493772502879183</v>
      </c>
      <c r="AA70" s="856">
        <f>AA52/'MOD-Berechnungen'!AA$26</f>
        <v>1.378630717710168</v>
      </c>
      <c r="AB70" s="856">
        <f>AB52/'MOD-Berechnungen'!AB$26</f>
        <v>0.66279286954357186</v>
      </c>
      <c r="AC70" s="856">
        <f>AC52/'MOD-Berechnungen'!AC$26</f>
        <v>0.30046126179175153</v>
      </c>
      <c r="AD70" s="856">
        <f>AD52/'MOD-Berechnungen'!AD$26</f>
        <v>0.15145049495702106</v>
      </c>
      <c r="AE70" s="860">
        <f>AE52/'MOD-Berechnungen'!AE$26</f>
        <v>0.40954832267606228</v>
      </c>
      <c r="AF70" s="928" t="s">
        <v>153</v>
      </c>
      <c r="AG70" s="928" t="s">
        <v>153</v>
      </c>
      <c r="AH70" s="559"/>
    </row>
    <row r="71" spans="1:34" s="294" customFormat="1">
      <c r="A71" s="553">
        <v>71</v>
      </c>
      <c r="C71" s="10"/>
      <c r="D71" s="29"/>
      <c r="E71" s="194" t="s">
        <v>676</v>
      </c>
      <c r="F71" s="857">
        <f>F53/'MOD-Berechnungen'!F$26</f>
        <v>0.14046792470842034</v>
      </c>
      <c r="G71" s="857">
        <f>G53/'MOD-Berechnungen'!G$26</f>
        <v>6.5040641945848868E-2</v>
      </c>
      <c r="H71" s="857">
        <f>H53/'MOD-Berechnungen'!H$26</f>
        <v>0.16163850327175172</v>
      </c>
      <c r="I71" s="857">
        <f>I53/'MOD-Berechnungen'!I$26</f>
        <v>0.21250497507100818</v>
      </c>
      <c r="J71" s="857">
        <f>J53/'MOD-Berechnungen'!J$26</f>
        <v>0.30758988942291515</v>
      </c>
      <c r="K71" s="857">
        <f>K53/'MOD-Berechnungen'!K$26</f>
        <v>0.36498099802116313</v>
      </c>
      <c r="L71" s="857">
        <f>L53/'MOD-Berechnungen'!L$26</f>
        <v>0.41085116892924328</v>
      </c>
      <c r="M71" s="857">
        <f>M53/'MOD-Berechnungen'!M$26</f>
        <v>0.44341611309359791</v>
      </c>
      <c r="N71" s="857">
        <f>N53/'MOD-Berechnungen'!N$26</f>
        <v>0.34634070567687492</v>
      </c>
      <c r="O71" s="857">
        <f>O53/'MOD-Berechnungen'!O$26</f>
        <v>0.31062429153139998</v>
      </c>
      <c r="P71" s="857">
        <f>P53/'MOD-Berechnungen'!P$26</f>
        <v>0.26585502989999993</v>
      </c>
      <c r="Q71" s="857">
        <f>Q53/'MOD-Berechnungen'!Q$26</f>
        <v>0.3271854103251231</v>
      </c>
      <c r="R71" s="857">
        <f>R53/'MOD-Berechnungen'!R$26</f>
        <v>0.30960140812361042</v>
      </c>
      <c r="S71" s="857">
        <f>S53/'MOD-Berechnungen'!S$26</f>
        <v>0.28906413757242244</v>
      </c>
      <c r="T71" s="857">
        <f>T53/'MOD-Berechnungen'!T$26</f>
        <v>0.27262164098010566</v>
      </c>
      <c r="U71" s="857">
        <f>U53/'MOD-Berechnungen'!U$26</f>
        <v>0.25630950932445629</v>
      </c>
      <c r="V71" s="857">
        <f>V53/'MOD-Berechnungen'!V$26</f>
        <v>0.24012574698462616</v>
      </c>
      <c r="W71" s="857">
        <f>W53/'MOD-Berechnungen'!W$26</f>
        <v>0.22406838985737323</v>
      </c>
      <c r="X71" s="857">
        <f>X53/'MOD-Berechnungen'!X$26</f>
        <v>0.20813550483185406</v>
      </c>
      <c r="Y71" s="857">
        <f>Y53/'MOD-Berechnungen'!Y$26</f>
        <v>0.19232518927392225</v>
      </c>
      <c r="Z71" s="857">
        <f>Z53/'MOD-Berechnungen'!Z$26</f>
        <v>0.15922738629438188</v>
      </c>
      <c r="AA71" s="857">
        <f>AA53/'MOD-Berechnungen'!AA$26</f>
        <v>0.13959650979318586</v>
      </c>
      <c r="AB71" s="857">
        <f>AB53/'MOD-Berechnungen'!AB$26</f>
        <v>0.11722471962282728</v>
      </c>
      <c r="AC71" s="857">
        <f>AC53/'MOD-Berechnungen'!AC$26</f>
        <v>9.7860631091841302E-2</v>
      </c>
      <c r="AD71" s="857">
        <f>AD53/'MOD-Berechnungen'!AD$26</f>
        <v>8.3344096656194827E-2</v>
      </c>
      <c r="AE71" s="862">
        <f>AE53/'MOD-Berechnungen'!AE$26</f>
        <v>7.1288381014470423E-2</v>
      </c>
      <c r="AF71" s="928" t="s">
        <v>153</v>
      </c>
      <c r="AG71" s="928" t="s">
        <v>153</v>
      </c>
      <c r="AH71" s="559"/>
    </row>
    <row r="72" spans="1:34" s="294" customFormat="1">
      <c r="A72" s="553">
        <v>72</v>
      </c>
      <c r="C72" s="10"/>
      <c r="D72" s="29"/>
      <c r="E72" s="194" t="s">
        <v>679</v>
      </c>
      <c r="F72" s="857">
        <f>F54/'MOD-Berechnungen'!F$26</f>
        <v>3.5822132434800022E-2</v>
      </c>
      <c r="G72" s="857">
        <f>G54/'MOD-Berechnungen'!G$26</f>
        <v>4.4731914594020863E-3</v>
      </c>
      <c r="H72" s="857">
        <f>H54/'MOD-Berechnungen'!H$26</f>
        <v>1.3719074903886306E-2</v>
      </c>
      <c r="I72" s="857">
        <f>I54/'MOD-Berechnungen'!I$26</f>
        <v>3.751758760487385E-2</v>
      </c>
      <c r="J72" s="857">
        <f>J54/'MOD-Berechnungen'!J$26</f>
        <v>3.3374588444962286E-2</v>
      </c>
      <c r="K72" s="857">
        <f>K54/'MOD-Berechnungen'!K$26</f>
        <v>6.2354899930368551E-2</v>
      </c>
      <c r="L72" s="857">
        <f>L54/'MOD-Berechnungen'!L$26</f>
        <v>6.6614993334053033E-2</v>
      </c>
      <c r="M72" s="857">
        <f>M54/'MOD-Berechnungen'!M$26</f>
        <v>6.1738590484557189E-2</v>
      </c>
      <c r="N72" s="857">
        <f>N54/'MOD-Berechnungen'!N$26</f>
        <v>5.1189773378061486E-2</v>
      </c>
      <c r="O72" s="857">
        <f>O54/'MOD-Berechnungen'!O$26</f>
        <v>3.7498013555799986E-2</v>
      </c>
      <c r="P72" s="857">
        <f>P54/'MOD-Berechnungen'!P$26</f>
        <v>2.3317509879999997E-2</v>
      </c>
      <c r="Q72" s="857">
        <f>Q54/'MOD-Berechnungen'!Q$26</f>
        <v>2.9817128334975372E-2</v>
      </c>
      <c r="R72" s="857">
        <f>R54/'MOD-Berechnungen'!R$26</f>
        <v>3.2355619650306054E-2</v>
      </c>
      <c r="S72" s="857">
        <f>S54/'MOD-Berechnungen'!S$26</f>
        <v>2.3056465505470622E-2</v>
      </c>
      <c r="T72" s="857">
        <f>T54/'MOD-Berechnungen'!T$26</f>
        <v>1.4801208715314053E-2</v>
      </c>
      <c r="U72" s="857">
        <f>U54/'MOD-Berechnungen'!U$26</f>
        <v>8.3375226544370913E-3</v>
      </c>
      <c r="V72" s="857">
        <f>V54/'MOD-Berechnungen'!V$26</f>
        <v>6.9619720284274369E-3</v>
      </c>
      <c r="W72" s="857">
        <f>W54/'MOD-Berechnungen'!W$26</f>
        <v>5.8415561409529918E-3</v>
      </c>
      <c r="X72" s="857">
        <f>X54/'MOD-Berechnungen'!X$26</f>
        <v>5.1174356751571507E-3</v>
      </c>
      <c r="Y72" s="857">
        <f>Y54/'MOD-Berechnungen'!Y$26</f>
        <v>4.4240912026649029E-3</v>
      </c>
      <c r="Z72" s="857">
        <f>Z54/'MOD-Berechnungen'!Z$26</f>
        <v>3.3564709677700142E-3</v>
      </c>
      <c r="AA72" s="857">
        <f>AA54/'MOD-Berechnungen'!AA$26</f>
        <v>2.6201664694787356E-3</v>
      </c>
      <c r="AB72" s="857">
        <f>AB54/'MOD-Berechnungen'!AB$26</f>
        <v>2.193416145917706E-3</v>
      </c>
      <c r="AC72" s="857">
        <f>AC54/'MOD-Berechnungen'!AC$26</f>
        <v>1.6972706334849718E-3</v>
      </c>
      <c r="AD72" s="857">
        <f>AD54/'MOD-Berechnungen'!AD$26</f>
        <v>1.2497521519217922E-3</v>
      </c>
      <c r="AE72" s="862">
        <f>AE54/'MOD-Berechnungen'!AE$26</f>
        <v>8.4400851284013878E-4</v>
      </c>
      <c r="AF72" s="928" t="s">
        <v>153</v>
      </c>
      <c r="AG72" s="928" t="s">
        <v>153</v>
      </c>
      <c r="AH72" s="559"/>
    </row>
    <row r="73" spans="1:34" s="294" customFormat="1">
      <c r="A73" s="553">
        <v>73</v>
      </c>
      <c r="C73" s="10"/>
      <c r="D73" s="29"/>
      <c r="E73" s="194" t="s">
        <v>677</v>
      </c>
      <c r="F73" s="857">
        <f>F55/'MOD-Berechnungen'!F$26</f>
        <v>2.9293441670580025</v>
      </c>
      <c r="G73" s="857">
        <f>G55/'MOD-Berechnungen'!G$26</f>
        <v>3.4043204269619611</v>
      </c>
      <c r="H73" s="857">
        <f>H55/'MOD-Berechnungen'!H$26</f>
        <v>3.8208927214021786</v>
      </c>
      <c r="I73" s="857">
        <f>I55/'MOD-Berechnungen'!I$26</f>
        <v>4.746886101960123</v>
      </c>
      <c r="J73" s="857">
        <f>J55/'MOD-Berechnungen'!J$26</f>
        <v>5.3938185281265261</v>
      </c>
      <c r="K73" s="857">
        <f>K55/'MOD-Berechnungen'!K$26</f>
        <v>6.2291096751907675</v>
      </c>
      <c r="L73" s="857">
        <f>L55/'MOD-Berechnungen'!L$26</f>
        <v>6.652823244146715</v>
      </c>
      <c r="M73" s="857">
        <f>M55/'MOD-Berechnungen'!M$26</f>
        <v>6.8934342233232613</v>
      </c>
      <c r="N73" s="857">
        <f>N55/'MOD-Berechnungen'!N$26</f>
        <v>6.8295263076755512</v>
      </c>
      <c r="O73" s="857">
        <f>O55/'MOD-Berechnungen'!O$26</f>
        <v>6.4770133498307993</v>
      </c>
      <c r="P73" s="857">
        <f>P55/'MOD-Berechnungen'!P$26</f>
        <v>6.1288223976400005</v>
      </c>
      <c r="Q73" s="857">
        <f>Q55/'MOD-Berechnungen'!Q$26</f>
        <v>6.3994544326699501</v>
      </c>
      <c r="R73" s="857">
        <f>R55/'MOD-Berechnungen'!R$26</f>
        <v>6.3613174226437907</v>
      </c>
      <c r="S73" s="857">
        <f>S55/'MOD-Berechnungen'!S$26</f>
        <v>6.0974471854561392</v>
      </c>
      <c r="T73" s="857">
        <f>T55/'MOD-Berechnungen'!T$26</f>
        <v>5.8633991171331825</v>
      </c>
      <c r="U73" s="857">
        <f>U55/'MOD-Berechnungen'!U$26</f>
        <v>5.4662383684990505</v>
      </c>
      <c r="V73" s="857">
        <f>V55/'MOD-Berechnungen'!V$26</f>
        <v>4.8476565412678383</v>
      </c>
      <c r="W73" s="857">
        <f>W55/'MOD-Berechnungen'!W$26</f>
        <v>4.1422796374561619</v>
      </c>
      <c r="X73" s="857">
        <f>X55/'MOD-Berechnungen'!X$26</f>
        <v>3.5873446068493022</v>
      </c>
      <c r="Y73" s="857">
        <f>Y55/'MOD-Berechnungen'!Y$26</f>
        <v>3.283048536743383</v>
      </c>
      <c r="Z73" s="857">
        <f>Z55/'MOD-Berechnungen'!Z$26</f>
        <v>2.8924992789016795</v>
      </c>
      <c r="AA73" s="857">
        <f>AA55/'MOD-Berechnungen'!AA$26</f>
        <v>2.2965432538895567</v>
      </c>
      <c r="AB73" s="857">
        <f>AB55/'MOD-Berechnungen'!AB$26</f>
        <v>1.3838121410140558</v>
      </c>
      <c r="AC73" s="857">
        <f>AC55/'MOD-Berechnungen'!AC$26</f>
        <v>1.1952448788690546</v>
      </c>
      <c r="AD73" s="857">
        <f>AD55/'MOD-Berechnungen'!AD$26</f>
        <v>1.0358812061367797</v>
      </c>
      <c r="AE73" s="862">
        <f>AE55/'MOD-Berechnungen'!AE$26</f>
        <v>0.92064244929570127</v>
      </c>
      <c r="AF73" s="928" t="s">
        <v>153</v>
      </c>
      <c r="AG73" s="928" t="s">
        <v>153</v>
      </c>
      <c r="AH73" s="559"/>
    </row>
    <row r="74" spans="1:34" s="294" customFormat="1">
      <c r="A74" s="553">
        <v>74</v>
      </c>
      <c r="C74" s="10"/>
      <c r="D74" s="29"/>
      <c r="E74" s="194" t="s">
        <v>678</v>
      </c>
      <c r="F74" s="857">
        <f>F56/'MOD-Berechnungen'!F$26</f>
        <v>3.9972961269081602E-3</v>
      </c>
      <c r="G74" s="857">
        <f>G56/'MOD-Berechnungen'!G$26</f>
        <v>1.1246873148394086E-2</v>
      </c>
      <c r="H74" s="857">
        <f>H56/'MOD-Berechnungen'!H$26</f>
        <v>1.9705665580573115E-2</v>
      </c>
      <c r="I74" s="857">
        <f>I56/'MOD-Berechnungen'!I$26</f>
        <v>1.5472229531346283E-2</v>
      </c>
      <c r="J74" s="857">
        <f>J56/'MOD-Berechnungen'!J$26</f>
        <v>2.8446172424757134E-2</v>
      </c>
      <c r="K74" s="857">
        <f>K56/'MOD-Berechnungen'!K$26</f>
        <v>3.594392319354995E-2</v>
      </c>
      <c r="L74" s="857">
        <f>L56/'MOD-Berechnungen'!L$26</f>
        <v>4.0701413701575026E-2</v>
      </c>
      <c r="M74" s="857">
        <f>M56/'MOD-Berechnungen'!M$26</f>
        <v>4.3729271803910633E-2</v>
      </c>
      <c r="N74" s="857">
        <f>N56/'MOD-Berechnungen'!N$26</f>
        <v>4.4526767208287001E-2</v>
      </c>
      <c r="O74" s="857">
        <f>O56/'MOD-Berechnungen'!O$26</f>
        <v>4.8739318251399988E-2</v>
      </c>
      <c r="P74" s="857">
        <f>P56/'MOD-Berechnungen'!P$26</f>
        <v>3.4556578400000003E-2</v>
      </c>
      <c r="Q74" s="857">
        <f>Q56/'MOD-Berechnungen'!Q$26</f>
        <v>4.5055978029556652E-2</v>
      </c>
      <c r="R74" s="857">
        <f>R56/'MOD-Berechnungen'!R$26</f>
        <v>5.254308565008721E-2</v>
      </c>
      <c r="S74" s="857">
        <f>S56/'MOD-Berechnungen'!S$26</f>
        <v>5.1097569102409028E-2</v>
      </c>
      <c r="T74" s="857">
        <f>T56/'MOD-Berechnungen'!T$26</f>
        <v>4.9832050752495409E-2</v>
      </c>
      <c r="U74" s="857">
        <f>U56/'MOD-Berechnungen'!U$26</f>
        <v>4.8580559992350121E-2</v>
      </c>
      <c r="V74" s="857">
        <f>V56/'MOD-Berechnungen'!V$26</f>
        <v>4.7342885548665628E-2</v>
      </c>
      <c r="W74" s="857">
        <f>W56/'MOD-Berechnungen'!W$26</f>
        <v>4.611881938684427E-2</v>
      </c>
      <c r="X74" s="857">
        <f>X56/'MOD-Berechnungen'!X$26</f>
        <v>4.4908156659719277E-2</v>
      </c>
      <c r="Y74" s="857">
        <f>Y56/'MOD-Berechnungen'!Y$26</f>
        <v>4.3710695657133897E-2</v>
      </c>
      <c r="Z74" s="857">
        <f>Z56/'MOD-Berechnungen'!Z$26</f>
        <v>4.1175784276739617E-2</v>
      </c>
      <c r="AA74" s="857">
        <f>AA56/'MOD-Berechnungen'!AA$26</f>
        <v>4.0043013869459895E-2</v>
      </c>
      <c r="AB74" s="857">
        <f>AB56/'MOD-Berechnungen'!AB$26</f>
        <v>3.8922452529148645E-2</v>
      </c>
      <c r="AC74" s="857">
        <f>AC56/'MOD-Berechnungen'!AC$26</f>
        <v>2.8800868589982376E-2</v>
      </c>
      <c r="AD74" s="857">
        <f>AD56/'MOD-Berechnungen'!AD$26</f>
        <v>1.8712451254589504E-2</v>
      </c>
      <c r="AE74" s="862">
        <f>AE56/'MOD-Berechnungen'!AE$26</f>
        <v>1.5849226199732804E-2</v>
      </c>
      <c r="AF74" s="928" t="s">
        <v>153</v>
      </c>
      <c r="AG74" s="928" t="s">
        <v>153</v>
      </c>
      <c r="AH74" s="559"/>
    </row>
    <row r="75" spans="1:34" s="294" customFormat="1">
      <c r="A75" s="553">
        <v>75</v>
      </c>
      <c r="C75" s="10"/>
      <c r="D75" s="29"/>
      <c r="E75" s="194" t="s">
        <v>680</v>
      </c>
      <c r="F75" s="857">
        <f>F57/'MOD-Berechnungen'!F$26</f>
        <v>2.3845191740841258</v>
      </c>
      <c r="G75" s="857">
        <f>G57/'MOD-Berechnungen'!G$26</f>
        <v>2.6873519671559607</v>
      </c>
      <c r="H75" s="857">
        <f>H57/'MOD-Berechnungen'!H$26</f>
        <v>2.1299205202920195</v>
      </c>
      <c r="I75" s="857">
        <f>I57/'MOD-Berechnungen'!I$26</f>
        <v>3.1193283425940237</v>
      </c>
      <c r="J75" s="857">
        <f>J57/'MOD-Berechnungen'!J$26</f>
        <v>4.2860150361818725</v>
      </c>
      <c r="K75" s="857">
        <f>K57/'MOD-Berechnungen'!K$26</f>
        <v>4.4449513411619117</v>
      </c>
      <c r="L75" s="857">
        <f>L57/'MOD-Berechnungen'!L$26</f>
        <v>5.138842665713657</v>
      </c>
      <c r="M75" s="857">
        <f>M57/'MOD-Berechnungen'!M$26</f>
        <v>5.5219781704865358</v>
      </c>
      <c r="N75" s="857">
        <f>N57/'MOD-Berechnungen'!N$26</f>
        <v>5.7460947460852951</v>
      </c>
      <c r="O75" s="857">
        <f>O57/'MOD-Berechnungen'!O$26</f>
        <v>5.7259783030772331</v>
      </c>
      <c r="P75" s="857">
        <f>P57/'MOD-Berechnungen'!P$26</f>
        <v>4.8133747401611213</v>
      </c>
      <c r="Q75" s="857">
        <f>Q57/'MOD-Berechnungen'!Q$26</f>
        <v>5.6070032409569084</v>
      </c>
      <c r="R75" s="857">
        <f>R57/'MOD-Berechnungen'!R$26</f>
        <v>4.3842537626628726</v>
      </c>
      <c r="S75" s="857">
        <f>S57/'MOD-Berechnungen'!S$26</f>
        <v>4.0210647364882757</v>
      </c>
      <c r="T75" s="857">
        <f>T57/'MOD-Berechnungen'!T$26</f>
        <v>3.8340702986933279</v>
      </c>
      <c r="U75" s="857">
        <f>U57/'MOD-Berechnungen'!U$26</f>
        <v>3.3541183241109644</v>
      </c>
      <c r="V75" s="857">
        <f>V57/'MOD-Berechnungen'!V$26</f>
        <v>3.1888975508900606</v>
      </c>
      <c r="W75" s="857">
        <f>W57/'MOD-Berechnungen'!W$26</f>
        <v>3.0657826531681365</v>
      </c>
      <c r="X75" s="857">
        <f>X57/'MOD-Berechnungen'!X$26</f>
        <v>2.766285832263824</v>
      </c>
      <c r="Y75" s="857">
        <f>Y57/'MOD-Berechnungen'!Y$26</f>
        <v>2.5702530149279519</v>
      </c>
      <c r="Z75" s="857">
        <f>Z57/'MOD-Berechnungen'!Z$26</f>
        <v>2.346870524506218</v>
      </c>
      <c r="AA75" s="857">
        <f>AA57/'MOD-Berechnungen'!AA$26</f>
        <v>2.0721851708229519</v>
      </c>
      <c r="AB75" s="857">
        <f>AB57/'MOD-Berechnungen'!AB$26</f>
        <v>1.735365844930036</v>
      </c>
      <c r="AC75" s="857">
        <f>AC57/'MOD-Berechnungen'!AC$26</f>
        <v>1.286326099049397</v>
      </c>
      <c r="AD75" s="857">
        <f>AD57/'MOD-Berechnungen'!AD$26</f>
        <v>1.238652374594243</v>
      </c>
      <c r="AE75" s="862">
        <f>AE57/'MOD-Berechnungen'!AE$26</f>
        <v>1.7093258869382331</v>
      </c>
      <c r="AF75" s="928" t="s">
        <v>153</v>
      </c>
      <c r="AG75" s="928" t="s">
        <v>153</v>
      </c>
      <c r="AH75" s="559"/>
    </row>
    <row r="76" spans="1:34" s="294" customFormat="1">
      <c r="A76" s="553">
        <v>76</v>
      </c>
      <c r="C76" s="10"/>
      <c r="D76" s="29"/>
      <c r="E76" s="194" t="s">
        <v>681</v>
      </c>
      <c r="F76" s="857">
        <f>F58/'MOD-Berechnungen'!F$26</f>
        <v>7.9592715172041209E-2</v>
      </c>
      <c r="G76" s="857">
        <f>G58/'MOD-Berechnungen'!G$26</f>
        <v>0.14030655029355257</v>
      </c>
      <c r="H76" s="857">
        <f>H58/'MOD-Berechnungen'!H$26</f>
        <v>0.15551849632055889</v>
      </c>
      <c r="I76" s="857">
        <f>I58/'MOD-Berechnungen'!I$26</f>
        <v>0.37551073796668061</v>
      </c>
      <c r="J76" s="857">
        <f>J58/'MOD-Berechnungen'!J$26</f>
        <v>1.2235148186535858</v>
      </c>
      <c r="K76" s="857">
        <f>K58/'MOD-Berechnungen'!K$26</f>
        <v>1.8012243680342062</v>
      </c>
      <c r="L76" s="857">
        <f>L58/'MOD-Berechnungen'!L$26</f>
        <v>2.4959775375186899</v>
      </c>
      <c r="M76" s="857">
        <f>M58/'MOD-Berechnungen'!M$26</f>
        <v>3.2908358657194836</v>
      </c>
      <c r="N76" s="857">
        <f>N58/'MOD-Berechnungen'!N$26</f>
        <v>3.6604683865951242</v>
      </c>
      <c r="O76" s="857">
        <f>O58/'MOD-Berechnungen'!O$26</f>
        <v>4.0522453766549988</v>
      </c>
      <c r="P76" s="857">
        <f>P58/'MOD-Berechnungen'!P$26</f>
        <v>4.3621876259999999</v>
      </c>
      <c r="Q76" s="857">
        <f>Q58/'MOD-Berechnungen'!Q$26</f>
        <v>4.5078592098522172</v>
      </c>
      <c r="R76" s="857">
        <f>R58/'MOD-Berechnungen'!R$26</f>
        <v>3.4297719295670861</v>
      </c>
      <c r="S76" s="857">
        <f>S58/'MOD-Berechnungen'!S$26</f>
        <v>3.2954400925823846</v>
      </c>
      <c r="T76" s="857">
        <f>T58/'MOD-Berechnungen'!T$26</f>
        <v>3.0004057095256629</v>
      </c>
      <c r="U76" s="857">
        <f>U58/'MOD-Berechnungen'!U$26</f>
        <v>2.6173178182465016</v>
      </c>
      <c r="V76" s="857">
        <f>V58/'MOD-Berechnungen'!V$26</f>
        <v>2.055610051387935</v>
      </c>
      <c r="W76" s="857">
        <f>W58/'MOD-Berechnungen'!W$26</f>
        <v>1.1947527525304869</v>
      </c>
      <c r="X76" s="857">
        <f>X58/'MOD-Berechnungen'!X$26</f>
        <v>0.92342863704008582</v>
      </c>
      <c r="Y76" s="857">
        <f>Y58/'MOD-Berechnungen'!Y$26</f>
        <v>0.43796702559777695</v>
      </c>
      <c r="Z76" s="857">
        <f>Z58/'MOD-Berechnungen'!Z$26</f>
        <v>0.43199628189958605</v>
      </c>
      <c r="AA76" s="857">
        <f>AA58/'MOD-Berechnungen'!AA$26</f>
        <v>0.43183066985601831</v>
      </c>
      <c r="AB76" s="857">
        <f>AB58/'MOD-Berechnungen'!AB$26</f>
        <v>0.44768050371687695</v>
      </c>
      <c r="AC76" s="857">
        <f>AC58/'MOD-Berechnungen'!AC$26</f>
        <v>0.45849289747911509</v>
      </c>
      <c r="AD76" s="857">
        <f>AD58/'MOD-Berechnungen'!AD$26</f>
        <v>0.22836423372341655</v>
      </c>
      <c r="AE76" s="862">
        <f>AE58/'MOD-Berechnungen'!AE$26</f>
        <v>0.29265284720225493</v>
      </c>
      <c r="AF76" s="928" t="s">
        <v>153</v>
      </c>
      <c r="AG76" s="928" t="s">
        <v>153</v>
      </c>
      <c r="AH76" s="559"/>
    </row>
    <row r="77" spans="1:34" s="294" customFormat="1">
      <c r="A77" s="553">
        <v>77</v>
      </c>
      <c r="C77" s="10"/>
      <c r="D77" s="29"/>
      <c r="E77" s="194" t="s">
        <v>682</v>
      </c>
      <c r="F77" s="857">
        <f>F59/'MOD-Berechnungen'!F$26</f>
        <v>3.8589204701845317</v>
      </c>
      <c r="G77" s="857">
        <f>G59/'MOD-Berechnungen'!G$26</f>
        <v>7.719874455021734</v>
      </c>
      <c r="H77" s="857">
        <f>H59/'MOD-Berechnungen'!H$26</f>
        <v>8.2241164134316023</v>
      </c>
      <c r="I77" s="857">
        <f>I59/'MOD-Berechnungen'!I$26</f>
        <v>9.4632236313458868</v>
      </c>
      <c r="J77" s="857">
        <f>J59/'MOD-Berechnungen'!J$26</f>
        <v>10.062874109988806</v>
      </c>
      <c r="K77" s="857">
        <f>K59/'MOD-Berechnungen'!K$26</f>
        <v>10.633103791846644</v>
      </c>
      <c r="L77" s="857">
        <f>L59/'MOD-Berechnungen'!L$26</f>
        <v>10.271313382717885</v>
      </c>
      <c r="M77" s="857">
        <f>M59/'MOD-Berechnungen'!M$26</f>
        <v>9.8297855373264351</v>
      </c>
      <c r="N77" s="857">
        <f>N59/'MOD-Berechnungen'!N$26</f>
        <v>9.9053365300147238</v>
      </c>
      <c r="O77" s="857">
        <f>O59/'MOD-Berechnungen'!O$26</f>
        <v>9.0838252360639586</v>
      </c>
      <c r="P77" s="857">
        <f>P59/'MOD-Berechnungen'!P$26</f>
        <v>8.970899724422809</v>
      </c>
      <c r="Q77" s="857">
        <f>Q59/'MOD-Berechnungen'!Q$26</f>
        <v>9.4330837079816074</v>
      </c>
      <c r="R77" s="857">
        <f>R59/'MOD-Berechnungen'!R$26</f>
        <v>9.4267382010958745</v>
      </c>
      <c r="S77" s="857">
        <f>S59/'MOD-Berechnungen'!S$26</f>
        <v>9.2518106432602742</v>
      </c>
      <c r="T77" s="857">
        <f>T59/'MOD-Berechnungen'!T$26</f>
        <v>9.073505821516239</v>
      </c>
      <c r="U77" s="857">
        <f>U59/'MOD-Berechnungen'!U$26</f>
        <v>8.4001432636731117</v>
      </c>
      <c r="V77" s="857">
        <f>V59/'MOD-Berechnungen'!V$26</f>
        <v>7.9241718784918644</v>
      </c>
      <c r="W77" s="857">
        <f>W59/'MOD-Berechnungen'!W$26</f>
        <v>7.4941316515125145</v>
      </c>
      <c r="X77" s="857">
        <f>X59/'MOD-Berechnungen'!X$26</f>
        <v>6.9510127837386646</v>
      </c>
      <c r="Y77" s="857">
        <f>Y59/'MOD-Berechnungen'!Y$26</f>
        <v>6.2108828035661778</v>
      </c>
      <c r="Z77" s="857">
        <f>Z59/'MOD-Berechnungen'!Z$26</f>
        <v>4.8712626097632077</v>
      </c>
      <c r="AA77" s="857">
        <f>AA59/'MOD-Berechnungen'!AA$26</f>
        <v>3.0818383357570629</v>
      </c>
      <c r="AB77" s="857">
        <f>AB59/'MOD-Berechnungen'!AB$26</f>
        <v>1.7862931824840591</v>
      </c>
      <c r="AC77" s="857">
        <f>AC59/'MOD-Berechnungen'!AC$26</f>
        <v>1.0973258593931039</v>
      </c>
      <c r="AD77" s="857">
        <f>AD59/'MOD-Berechnungen'!AD$26</f>
        <v>0.93774799499178518</v>
      </c>
      <c r="AE77" s="862">
        <f>AE59/'MOD-Berechnungen'!AE$26</f>
        <v>1.2696824590250979</v>
      </c>
      <c r="AF77" s="928" t="s">
        <v>153</v>
      </c>
      <c r="AG77" s="928" t="s">
        <v>153</v>
      </c>
      <c r="AH77" s="559"/>
    </row>
    <row r="78" spans="1:34" s="294" customFormat="1">
      <c r="A78" s="553">
        <v>78</v>
      </c>
      <c r="C78" s="10"/>
      <c r="D78" s="29"/>
      <c r="E78" s="194" t="s">
        <v>683</v>
      </c>
      <c r="F78" s="857">
        <f>F60/'MOD-Berechnungen'!F$26</f>
        <v>9.4501267523168995</v>
      </c>
      <c r="G78" s="857">
        <f>G60/'MOD-Berechnungen'!G$26</f>
        <v>15.266228424924815</v>
      </c>
      <c r="H78" s="857">
        <f>H60/'MOD-Berechnungen'!H$26</f>
        <v>15.363266087202987</v>
      </c>
      <c r="I78" s="857">
        <f>I60/'MOD-Berechnungen'!I$26</f>
        <v>22.04962812469504</v>
      </c>
      <c r="J78" s="857">
        <f>J60/'MOD-Berechnungen'!J$26</f>
        <v>24.964510508786205</v>
      </c>
      <c r="K78" s="857">
        <f>K60/'MOD-Berechnungen'!K$26</f>
        <v>23.311264408295379</v>
      </c>
      <c r="L78" s="857">
        <f>L60/'MOD-Berechnungen'!L$26</f>
        <v>23.941365299591475</v>
      </c>
      <c r="M78" s="857">
        <f>M60/'MOD-Berechnungen'!M$26</f>
        <v>24.593156850576253</v>
      </c>
      <c r="N78" s="857">
        <f>N60/'MOD-Berechnungen'!N$26</f>
        <v>23.991275833474297</v>
      </c>
      <c r="O78" s="857">
        <f>O60/'MOD-Berechnungen'!O$26</f>
        <v>22.386108163008256</v>
      </c>
      <c r="P78" s="857">
        <f>P60/'MOD-Berechnungen'!P$26</f>
        <v>23.251783267739494</v>
      </c>
      <c r="Q78" s="857">
        <f>Q60/'MOD-Berechnungen'!Q$26</f>
        <v>21.248529729994516</v>
      </c>
      <c r="R78" s="857">
        <f>R60/'MOD-Berechnungen'!R$26</f>
        <v>20.313993619216411</v>
      </c>
      <c r="S78" s="857">
        <f>S60/'MOD-Berechnungen'!S$26</f>
        <v>18.064318105333644</v>
      </c>
      <c r="T78" s="857">
        <f>T60/'MOD-Berechnungen'!T$26</f>
        <v>17.305940802424278</v>
      </c>
      <c r="U78" s="857">
        <f>U60/'MOD-Berechnungen'!U$26</f>
        <v>15.482074202758406</v>
      </c>
      <c r="V78" s="857">
        <f>V60/'MOD-Berechnungen'!V$26</f>
        <v>13.896551125146976</v>
      </c>
      <c r="W78" s="857">
        <f>W60/'MOD-Berechnungen'!W$26</f>
        <v>11.942981213851146</v>
      </c>
      <c r="X78" s="857">
        <f>X60/'MOD-Berechnungen'!X$26</f>
        <v>10.447914066379839</v>
      </c>
      <c r="Y78" s="857">
        <f>Y60/'MOD-Berechnungen'!Y$26</f>
        <v>8.8633453483563258</v>
      </c>
      <c r="Z78" s="857">
        <f>Z60/'MOD-Berechnungen'!Z$26</f>
        <v>7.0455997673555721</v>
      </c>
      <c r="AA78" s="857">
        <f>AA60/'MOD-Berechnungen'!AA$26</f>
        <v>4.5226491112533163</v>
      </c>
      <c r="AB78" s="857">
        <f>AB60/'MOD-Berechnungen'!AB$26</f>
        <v>2.1760548900091976</v>
      </c>
      <c r="AC78" s="857">
        <f>AC60/'MOD-Berechnungen'!AC$26</f>
        <v>0.98653706749833181</v>
      </c>
      <c r="AD78" s="857">
        <f>AD60/'MOD-Berechnungen'!AD$26</f>
        <v>0.4971943098751293</v>
      </c>
      <c r="AE78" s="862">
        <f>AE60/'MOD-Berechnungen'!AE$26</f>
        <v>1.3438479807728705</v>
      </c>
      <c r="AF78" s="928" t="s">
        <v>153</v>
      </c>
      <c r="AG78" s="928" t="s">
        <v>153</v>
      </c>
      <c r="AH78" s="559"/>
    </row>
    <row r="79" spans="1:34" s="294" customFormat="1">
      <c r="A79" s="553">
        <v>79</v>
      </c>
      <c r="C79" s="10"/>
      <c r="D79" s="29"/>
      <c r="E79" s="194" t="s">
        <v>684</v>
      </c>
      <c r="F79" s="857">
        <f>F61/'MOD-Berechnungen'!F$26</f>
        <v>3.9108926237636649E-2</v>
      </c>
      <c r="G79" s="857">
        <f>G61/'MOD-Berechnungen'!G$26</f>
        <v>4.2166464898231455E-2</v>
      </c>
      <c r="H79" s="857">
        <f>H61/'MOD-Berechnungen'!H$26</f>
        <v>4.6880937481668161E-2</v>
      </c>
      <c r="I79" s="857">
        <f>I61/'MOD-Berechnungen'!I$26</f>
        <v>3.5663791196899809E-2</v>
      </c>
      <c r="J79" s="857">
        <f>J61/'MOD-Berechnungen'!J$26</f>
        <v>0.14964414978048568</v>
      </c>
      <c r="K79" s="857">
        <f>K61/'MOD-Berechnungen'!K$26</f>
        <v>0.51222330201629795</v>
      </c>
      <c r="L79" s="857">
        <f>L61/'MOD-Berechnungen'!L$26</f>
        <v>0.52222156697101474</v>
      </c>
      <c r="M79" s="857">
        <f>M61/'MOD-Berechnungen'!M$26</f>
        <v>0.46744833461936403</v>
      </c>
      <c r="N79" s="857">
        <f>N61/'MOD-Berechnungen'!N$26</f>
        <v>0.48092429161519068</v>
      </c>
      <c r="O79" s="857">
        <f>O61/'MOD-Berechnungen'!O$26</f>
        <v>0.42448689674338419</v>
      </c>
      <c r="P79" s="857">
        <f>P61/'MOD-Berechnungen'!P$26</f>
        <v>0.44460305294704661</v>
      </c>
      <c r="Q79" s="857">
        <f>Q61/'MOD-Berechnungen'!Q$26</f>
        <v>0.4134912796565155</v>
      </c>
      <c r="R79" s="857">
        <f>R61/'MOD-Berechnungen'!R$26</f>
        <v>0.39386819655233901</v>
      </c>
      <c r="S79" s="857">
        <f>S61/'MOD-Berechnungen'!S$26</f>
        <v>0.34720272357133958</v>
      </c>
      <c r="T79" s="857">
        <f>T61/'MOD-Berechnungen'!T$26</f>
        <v>0.32983488794267474</v>
      </c>
      <c r="U79" s="857">
        <f>U61/'MOD-Berechnungen'!U$26</f>
        <v>0.29201028101153415</v>
      </c>
      <c r="V79" s="857">
        <f>V61/'MOD-Berechnungen'!V$26</f>
        <v>0.262205171376651</v>
      </c>
      <c r="W79" s="857">
        <f>W61/'MOD-Berechnungen'!W$26</f>
        <v>0.22540143272251309</v>
      </c>
      <c r="X79" s="857">
        <f>X61/'MOD-Berechnungen'!X$26</f>
        <v>0.19721258251698451</v>
      </c>
      <c r="Y79" s="857">
        <f>Y61/'MOD-Berechnungen'!Y$26</f>
        <v>0.16725632947663377</v>
      </c>
      <c r="Z79" s="857">
        <f>Z61/'MOD-Berechnungen'!Z$26</f>
        <v>0.13285253069346911</v>
      </c>
      <c r="AA79" s="857">
        <f>AA61/'MOD-Berechnungen'!AA$26</f>
        <v>8.5212858615217546E-2</v>
      </c>
      <c r="AB79" s="857">
        <f>AB61/'MOD-Berechnungen'!AB$26</f>
        <v>4.0967080131072704E-2</v>
      </c>
      <c r="AC79" s="857">
        <f>AC61/'MOD-Berechnungen'!AC$26</f>
        <v>1.8571443891034052E-2</v>
      </c>
      <c r="AD79" s="857">
        <f>AD61/'MOD-Berechnungen'!AD$26</f>
        <v>9.3611214723350652E-3</v>
      </c>
      <c r="AE79" s="862">
        <f>AE61/'MOD-Berechnungen'!AE$26</f>
        <v>2.5314090907723144E-2</v>
      </c>
      <c r="AF79" s="928" t="s">
        <v>153</v>
      </c>
      <c r="AG79" s="928" t="s">
        <v>153</v>
      </c>
      <c r="AH79" s="559"/>
    </row>
    <row r="80" spans="1:34" s="294" customFormat="1">
      <c r="A80" s="553">
        <v>80</v>
      </c>
      <c r="C80" s="10"/>
      <c r="D80" s="29"/>
      <c r="E80" s="194" t="s">
        <v>685</v>
      </c>
      <c r="F80" s="857">
        <f>F62/'MOD-Berechnungen'!F$26</f>
        <v>0</v>
      </c>
      <c r="G80" s="857">
        <f>G62/'MOD-Berechnungen'!G$26</f>
        <v>0</v>
      </c>
      <c r="H80" s="857">
        <f>H62/'MOD-Berechnungen'!H$26</f>
        <v>0</v>
      </c>
      <c r="I80" s="857">
        <f>I62/'MOD-Berechnungen'!I$26</f>
        <v>0</v>
      </c>
      <c r="J80" s="857">
        <f>J62/'MOD-Berechnungen'!J$26</f>
        <v>0</v>
      </c>
      <c r="K80" s="857">
        <f>K62/'MOD-Berechnungen'!K$26</f>
        <v>1.1025075388229903E-3</v>
      </c>
      <c r="L80" s="857">
        <f>L62/'MOD-Berechnungen'!L$26</f>
        <v>4.0122474283501765E-3</v>
      </c>
      <c r="M80" s="857">
        <f>M62/'MOD-Berechnungen'!M$26</f>
        <v>1.7610751279277848E-2</v>
      </c>
      <c r="N80" s="857">
        <f>N62/'MOD-Berechnungen'!N$26</f>
        <v>2.2828505513903204E-2</v>
      </c>
      <c r="O80" s="857">
        <f>O62/'MOD-Berechnungen'!O$26</f>
        <v>3.9191574151294761E-2</v>
      </c>
      <c r="P80" s="857">
        <f>P62/'MOD-Berechnungen'!P$26</f>
        <v>5.1520462007032315E-2</v>
      </c>
      <c r="Q80" s="857">
        <f>Q62/'MOD-Berechnungen'!Q$26</f>
        <v>6.1472883797745619E-2</v>
      </c>
      <c r="R80" s="857">
        <f>R62/'MOD-Berechnungen'!R$26</f>
        <v>6.2618675591767606E-2</v>
      </c>
      <c r="S80" s="857">
        <f>S62/'MOD-Berechnungen'!S$26</f>
        <v>6.3397881186672639E-2</v>
      </c>
      <c r="T80" s="857">
        <f>T62/'MOD-Berechnungen'!T$26</f>
        <v>6.3907353623465266E-2</v>
      </c>
      <c r="U80" s="857">
        <f>U62/'MOD-Berechnungen'!U$26</f>
        <v>6.4350844716517794E-2</v>
      </c>
      <c r="V80" s="857">
        <f>V62/'MOD-Berechnungen'!V$26</f>
        <v>6.3989718247120894E-2</v>
      </c>
      <c r="W80" s="857">
        <f>W62/'MOD-Berechnungen'!W$26</f>
        <v>6.3562838406710356E-2</v>
      </c>
      <c r="X80" s="857">
        <f>X62/'MOD-Berechnungen'!X$26</f>
        <v>6.3136995508083618E-2</v>
      </c>
      <c r="Y80" s="857">
        <f>Y62/'MOD-Berechnungen'!Y$26</f>
        <v>6.2712216737421E-2</v>
      </c>
      <c r="Z80" s="857">
        <f>Z62/'MOD-Berechnungen'!Z$26</f>
        <v>6.2288528773987897E-2</v>
      </c>
      <c r="AA80" s="857">
        <f>AA62/'MOD-Berechnungen'!AA$26</f>
        <v>6.1865957791449704E-2</v>
      </c>
      <c r="AB80" s="857">
        <f>AB62/'MOD-Berechnungen'!AB$26</f>
        <v>6.1444529459372878E-2</v>
      </c>
      <c r="AC80" s="857">
        <f>AC62/'MOD-Berechnungen'!AC$26</f>
        <v>6.1024268944904599E-2</v>
      </c>
      <c r="AD80" s="857">
        <f>AD62/'MOD-Berechnungen'!AD$26</f>
        <v>6.0605200914623812E-2</v>
      </c>
      <c r="AE80" s="862">
        <f>AE62/'MOD-Berechnungen'!AE$26</f>
        <v>6.0189257340328386E-2</v>
      </c>
      <c r="AF80" s="928" t="s">
        <v>153</v>
      </c>
      <c r="AG80" s="928" t="s">
        <v>153</v>
      </c>
      <c r="AH80" s="559"/>
    </row>
    <row r="81" spans="1:34" s="294" customFormat="1">
      <c r="A81" s="553">
        <v>81</v>
      </c>
      <c r="C81" s="10"/>
      <c r="D81" s="29"/>
      <c r="E81" s="194" t="s">
        <v>686</v>
      </c>
      <c r="F81" s="857">
        <f>F63/'MOD-Berechnungen'!F$26</f>
        <v>6.1828381567548067</v>
      </c>
      <c r="G81" s="857">
        <f>G63/'MOD-Berechnungen'!G$26</f>
        <v>5.7270529500600444</v>
      </c>
      <c r="H81" s="857">
        <f>H63/'MOD-Berechnungen'!H$26</f>
        <v>6.1106126537631473</v>
      </c>
      <c r="I81" s="857">
        <f>I63/'MOD-Berechnungen'!I$26</f>
        <v>5.5765801503343546</v>
      </c>
      <c r="J81" s="857">
        <f>J63/'MOD-Berechnungen'!J$26</f>
        <v>4.4787382226890351</v>
      </c>
      <c r="K81" s="857">
        <f>K63/'MOD-Berechnungen'!K$26</f>
        <v>3.8426720418555642</v>
      </c>
      <c r="L81" s="857">
        <f>L63/'MOD-Berechnungen'!L$26</f>
        <v>3.3178224592537493</v>
      </c>
      <c r="M81" s="857">
        <f>M63/'MOD-Berechnungen'!M$26</f>
        <v>2.7971896531249989</v>
      </c>
      <c r="N81" s="857">
        <f>N63/'MOD-Berechnungen'!N$26</f>
        <v>3.3193849499999994</v>
      </c>
      <c r="O81" s="857">
        <f>O63/'MOD-Berechnungen'!O$26</f>
        <v>4.6974199999999993</v>
      </c>
      <c r="P81" s="857">
        <f>P63/'MOD-Berechnungen'!P$26</f>
        <v>4.9340000000000002</v>
      </c>
      <c r="Q81" s="857">
        <f>Q63/'MOD-Berechnungen'!Q$26</f>
        <v>4.0137931034482763</v>
      </c>
      <c r="R81" s="857">
        <f>R63/'MOD-Berechnungen'!R$26</f>
        <v>4.3620000000000001</v>
      </c>
      <c r="S81" s="857">
        <f>S63/'MOD-Berechnungen'!S$26</f>
        <v>4.5450000000000008</v>
      </c>
      <c r="T81" s="857">
        <f>T63/'MOD-Berechnungen'!T$26</f>
        <v>4.6662500000000007</v>
      </c>
      <c r="U81" s="857">
        <f>U63/'MOD-Berechnungen'!U$26</f>
        <v>4.7874999999999996</v>
      </c>
      <c r="V81" s="857">
        <f>V63/'MOD-Berechnungen'!V$26</f>
        <v>4.9087500000000004</v>
      </c>
      <c r="W81" s="857">
        <f>W63/'MOD-Berechnungen'!W$26</f>
        <v>5.03</v>
      </c>
      <c r="X81" s="857">
        <f>X63/'MOD-Berechnungen'!X$26</f>
        <v>5.1512500000000001</v>
      </c>
      <c r="Y81" s="857">
        <f>Y63/'MOD-Berechnungen'!Y$26</f>
        <v>5.2725000000000009</v>
      </c>
      <c r="Z81" s="857">
        <f>Z63/'MOD-Berechnungen'!Z$26</f>
        <v>5.3937500000000007</v>
      </c>
      <c r="AA81" s="857">
        <f>AA63/'MOD-Berechnungen'!AA$26</f>
        <v>5.5149999999999997</v>
      </c>
      <c r="AB81" s="857">
        <f>AB63/'MOD-Berechnungen'!AB$26</f>
        <v>5.6362500000000004</v>
      </c>
      <c r="AC81" s="857">
        <f>AC63/'MOD-Berechnungen'!AC$26</f>
        <v>5.7575000000000003</v>
      </c>
      <c r="AD81" s="857">
        <f>AD63/'MOD-Berechnungen'!AD$26</f>
        <v>5.8787499999999993</v>
      </c>
      <c r="AE81" s="862">
        <f>AE63/'MOD-Berechnungen'!AE$26</f>
        <v>6.0000000000000009</v>
      </c>
      <c r="AF81" s="928" t="s">
        <v>153</v>
      </c>
      <c r="AG81" s="928" t="s">
        <v>153</v>
      </c>
      <c r="AH81" s="559"/>
    </row>
    <row r="82" spans="1:34" s="294" customFormat="1">
      <c r="A82" s="553">
        <v>82</v>
      </c>
      <c r="C82" s="10"/>
      <c r="D82" s="29"/>
      <c r="E82" s="195" t="s">
        <v>687</v>
      </c>
      <c r="F82" s="858">
        <f>F64/'MOD-Berechnungen'!F$26</f>
        <v>8.5418607986542074</v>
      </c>
      <c r="G82" s="858">
        <f>G64/'MOD-Berechnungen'!G$26</f>
        <v>9.7114556884047722</v>
      </c>
      <c r="H82" s="858">
        <f>H64/'MOD-Berechnungen'!H$26</f>
        <v>10.085498682795604</v>
      </c>
      <c r="I82" s="858">
        <f>I64/'MOD-Berechnungen'!I$26</f>
        <v>11.329779261441761</v>
      </c>
      <c r="J82" s="858">
        <f>J64/'MOD-Berechnungen'!J$26</f>
        <v>11.221157163480246</v>
      </c>
      <c r="K82" s="858">
        <f>K64/'MOD-Berechnungen'!K$26</f>
        <v>10.489514345822155</v>
      </c>
      <c r="L82" s="858">
        <f>L64/'MOD-Berechnungen'!L$26</f>
        <v>10.04632861697433</v>
      </c>
      <c r="M82" s="858">
        <f>M64/'MOD-Berechnungen'!M$26</f>
        <v>9.9735451815826046</v>
      </c>
      <c r="N82" s="858">
        <f>N64/'MOD-Berechnungen'!N$26</f>
        <v>10.305076791494033</v>
      </c>
      <c r="O82" s="858">
        <f>O64/'MOD-Berechnungen'!O$26</f>
        <v>11.199433878446268</v>
      </c>
      <c r="P82" s="858">
        <f>P64/'MOD-Berechnungen'!P$26</f>
        <v>11.690073188597182</v>
      </c>
      <c r="Q82" s="858">
        <f>Q64/'MOD-Berechnungen'!Q$26</f>
        <v>10.418092117820233</v>
      </c>
      <c r="R82" s="858">
        <f>R64/'MOD-Berechnungen'!R$26</f>
        <v>10.52137916955162</v>
      </c>
      <c r="S82" s="858">
        <f>S64/'MOD-Berechnungen'!S$26</f>
        <v>10.032116872914399</v>
      </c>
      <c r="T82" s="858">
        <f>T64/'MOD-Berechnungen'!T$26</f>
        <v>9.9404728707559116</v>
      </c>
      <c r="U82" s="858">
        <f>U64/'MOD-Berechnungen'!U$26</f>
        <v>9.5118379676713047</v>
      </c>
      <c r="V82" s="858">
        <f>V64/'MOD-Berechnungen'!V$26</f>
        <v>9.1508809351280842</v>
      </c>
      <c r="W82" s="858">
        <f>W64/'MOD-Berechnungen'!W$26</f>
        <v>8.6766953933598554</v>
      </c>
      <c r="X82" s="858">
        <f>X64/'MOD-Berechnungen'!X$26</f>
        <v>8.3418872887285396</v>
      </c>
      <c r="Y82" s="858">
        <f>Y64/'MOD-Berechnungen'!Y$26</f>
        <v>7.9784849569083871</v>
      </c>
      <c r="Z82" s="858">
        <f>Z64/'MOD-Berechnungen'!Z$26</f>
        <v>7.5431272502879185</v>
      </c>
      <c r="AA82" s="858">
        <f>AA64/'MOD-Berechnungen'!AA$26</f>
        <v>6.8936307177101677</v>
      </c>
      <c r="AB82" s="858">
        <f>AB64/'MOD-Berechnungen'!AB$26</f>
        <v>6.2990428695435723</v>
      </c>
      <c r="AC82" s="858">
        <f>AC64/'MOD-Berechnungen'!AC$26</f>
        <v>6.0579612617917515</v>
      </c>
      <c r="AD82" s="858">
        <f>AD64/'MOD-Berechnungen'!AD$26</f>
        <v>6.03020049495702</v>
      </c>
      <c r="AE82" s="864">
        <f>AE64/'MOD-Berechnungen'!AE$26</f>
        <v>6.4095483226760628</v>
      </c>
      <c r="AF82" s="928" t="s">
        <v>153</v>
      </c>
      <c r="AG82" s="928" t="s">
        <v>153</v>
      </c>
      <c r="AH82" s="559"/>
    </row>
    <row r="83" spans="1:34" s="294" customFormat="1">
      <c r="A83" s="553">
        <v>83</v>
      </c>
      <c r="C83" s="10"/>
      <c r="D83" s="29"/>
      <c r="E83" s="194" t="s">
        <v>688</v>
      </c>
      <c r="F83" s="857">
        <f>F65/'MOD-Berechnungen'!F$26</f>
        <v>5.7609707800778731E-2</v>
      </c>
      <c r="G83" s="857">
        <f>G65/'MOD-Berechnungen'!G$26</f>
        <v>5.642510910963263E-2</v>
      </c>
      <c r="H83" s="857">
        <f>H65/'MOD-Berechnungen'!H$26</f>
        <v>5.5331465416375417E-2</v>
      </c>
      <c r="I83" s="857">
        <f>I65/'MOD-Berechnungen'!I$26</f>
        <v>3.7062726784394935E-2</v>
      </c>
      <c r="J83" s="857">
        <f>J65/'MOD-Berechnungen'!J$26</f>
        <v>0.1404806120966747</v>
      </c>
      <c r="K83" s="857">
        <f>K65/'MOD-Berechnungen'!K$26</f>
        <v>0.46461427704726477</v>
      </c>
      <c r="L83" s="857">
        <f>L65/'MOD-Berechnungen'!L$26</f>
        <v>0.50261940998172727</v>
      </c>
      <c r="M83" s="857">
        <f>M65/'MOD-Berechnungen'!M$26</f>
        <v>0.40951937429471241</v>
      </c>
      <c r="N83" s="857">
        <f>N65/'MOD-Berechnungen'!N$26</f>
        <v>0.41932532943577</v>
      </c>
      <c r="O83" s="857">
        <f>O65/'MOD-Berechnungen'!O$26</f>
        <v>0.37259653922651048</v>
      </c>
      <c r="P83" s="857">
        <f>P65/'MOD-Berechnungen'!P$26</f>
        <v>0.38271212945690902</v>
      </c>
      <c r="Q83" s="857">
        <f>Q65/'MOD-Berechnungen'!Q$26</f>
        <v>0.36679790619756542</v>
      </c>
      <c r="R83" s="857">
        <f>R65/'MOD-Berechnungen'!R$26</f>
        <v>0.35277044026183518</v>
      </c>
      <c r="S83" s="857">
        <f>S65/'MOD-Berechnungen'!S$26</f>
        <v>0.31426749056058978</v>
      </c>
      <c r="T83" s="857">
        <f>T65/'MOD-Berechnungen'!T$26</f>
        <v>0.30207426315841629</v>
      </c>
      <c r="U83" s="857">
        <f>U65/'MOD-Berechnungen'!U$26</f>
        <v>0.27058031969193308</v>
      </c>
      <c r="V83" s="857">
        <f>V65/'MOD-Berechnungen'!V$26</f>
        <v>0.24296253834011397</v>
      </c>
      <c r="W83" s="857">
        <f>W65/'MOD-Berechnungen'!W$26</f>
        <v>0.20885974121804399</v>
      </c>
      <c r="X83" s="857">
        <f>X65/'MOD-Berechnungen'!X$26</f>
        <v>0.1827396057422021</v>
      </c>
      <c r="Y83" s="857">
        <f>Y65/'MOD-Berechnungen'!Y$26</f>
        <v>0.15498177305099495</v>
      </c>
      <c r="Z83" s="857">
        <f>Z65/'MOD-Berechnungen'!Z$26</f>
        <v>0.1231027897456163</v>
      </c>
      <c r="AA83" s="857">
        <f>AA65/'MOD-Berechnungen'!AA$26</f>
        <v>7.8959283372143765E-2</v>
      </c>
      <c r="AB83" s="857">
        <f>AB65/'MOD-Berechnungen'!AB$26</f>
        <v>3.7960600566227486E-2</v>
      </c>
      <c r="AC83" s="857">
        <f>AC65/'MOD-Berechnungen'!AC$26</f>
        <v>1.7208528438689821E-2</v>
      </c>
      <c r="AD83" s="857">
        <f>AD65/'MOD-Berechnungen'!AD$26</f>
        <v>8.6741303487167035E-3</v>
      </c>
      <c r="AE83" s="862">
        <f>AE65/'MOD-Berechnungen'!AE$26</f>
        <v>2.3456348135399503E-2</v>
      </c>
      <c r="AF83" s="928" t="s">
        <v>153</v>
      </c>
      <c r="AG83" s="928" t="s">
        <v>153</v>
      </c>
      <c r="AH83" s="559"/>
    </row>
    <row r="84" spans="1:34" s="294" customFormat="1">
      <c r="A84" s="553">
        <v>84</v>
      </c>
      <c r="C84" s="10"/>
      <c r="D84" s="29"/>
      <c r="E84" s="195" t="s">
        <v>689</v>
      </c>
      <c r="F84" s="858">
        <f>F66/'MOD-Berechnungen'!F$26</f>
        <v>0</v>
      </c>
      <c r="G84" s="858">
        <f>G66/'MOD-Berechnungen'!G$26</f>
        <v>0</v>
      </c>
      <c r="H84" s="858">
        <f>H66/'MOD-Berechnungen'!H$26</f>
        <v>0</v>
      </c>
      <c r="I84" s="858">
        <f>I66/'MOD-Berechnungen'!I$26</f>
        <v>0</v>
      </c>
      <c r="J84" s="858">
        <f>J66/'MOD-Berechnungen'!J$26</f>
        <v>0</v>
      </c>
      <c r="K84" s="858">
        <f>K66/'MOD-Berechnungen'!K$26</f>
        <v>6.5754804271462967E-4</v>
      </c>
      <c r="L84" s="858">
        <f>L66/'MOD-Berechnungen'!L$26</f>
        <v>2.0815571326949665E-3</v>
      </c>
      <c r="M84" s="858">
        <f>M66/'MOD-Berechnungen'!M$26</f>
        <v>1.1457910991618248E-2</v>
      </c>
      <c r="N84" s="858">
        <f>N66/'MOD-Berechnungen'!N$26</f>
        <v>1.5184490749683074E-2</v>
      </c>
      <c r="O84" s="858">
        <f>O66/'MOD-Berechnungen'!O$26</f>
        <v>3.0575222310001159E-2</v>
      </c>
      <c r="P84" s="858">
        <f>P66/'MOD-Berechnungen'!P$26</f>
        <v>4.0281218869180284E-2</v>
      </c>
      <c r="Q84" s="858">
        <f>Q66/'MOD-Berechnungen'!Q$26</f>
        <v>4.5496954333313404E-2</v>
      </c>
      <c r="R84" s="858">
        <f>R66/'MOD-Berechnungen'!R$26</f>
        <v>4.6716122590782456E-2</v>
      </c>
      <c r="S84" s="858">
        <f>S66/'MOD-Berechnungen'!S$26</f>
        <v>4.6906005091682246E-2</v>
      </c>
      <c r="T84" s="858">
        <f>T66/'MOD-Berechnungen'!T$26</f>
        <v>4.7519560735836137E-2</v>
      </c>
      <c r="U84" s="858">
        <f>U66/'MOD-Berechnungen'!U$26</f>
        <v>4.8070813154184558E-2</v>
      </c>
      <c r="V84" s="858">
        <f>V66/'MOD-Berechnungen'!V$26</f>
        <v>4.7880811983859184E-2</v>
      </c>
      <c r="W84" s="858">
        <f>W66/'MOD-Berechnungen'!W$26</f>
        <v>4.7613984492216016E-2</v>
      </c>
      <c r="X84" s="858">
        <f>X66/'MOD-Berechnungen'!X$26</f>
        <v>4.7324083028260598E-2</v>
      </c>
      <c r="Y84" s="858">
        <f>Y66/'MOD-Berechnungen'!Y$26</f>
        <v>4.694887715038245E-2</v>
      </c>
      <c r="Z84" s="858">
        <f>Z66/'MOD-Berechnungen'!Z$26</f>
        <v>4.6475177043039793E-2</v>
      </c>
      <c r="AA84" s="858">
        <f>AA66/'MOD-Berechnungen'!AA$26</f>
        <v>4.6001235716259602E-2</v>
      </c>
      <c r="AB84" s="858">
        <f>AB66/'MOD-Berechnungen'!AB$26</f>
        <v>4.5526723337384736E-2</v>
      </c>
      <c r="AC84" s="858">
        <f>AC66/'MOD-Berechnungen'!AC$26</f>
        <v>4.5200155958585196E-2</v>
      </c>
      <c r="AD84" s="858">
        <f>AD66/'MOD-Berechnungen'!AD$26</f>
        <v>4.4921583341658709E-2</v>
      </c>
      <c r="AE84" s="864">
        <f>AE66/'MOD-Berechnungen'!AE$26</f>
        <v>4.4709011022087561E-2</v>
      </c>
      <c r="AF84" s="928" t="s">
        <v>153</v>
      </c>
      <c r="AG84" s="928" t="s">
        <v>153</v>
      </c>
      <c r="AH84" s="559"/>
    </row>
    <row r="85" spans="1:34" s="294" customFormat="1">
      <c r="A85" s="553">
        <v>85</v>
      </c>
      <c r="C85" s="10"/>
      <c r="D85" s="29"/>
      <c r="E85" s="195" t="s">
        <v>690</v>
      </c>
      <c r="F85" s="858">
        <f>F67/'MOD-Berechnungen'!F$26</f>
        <v>0</v>
      </c>
      <c r="G85" s="858">
        <f>G67/'MOD-Berechnungen'!G$26</f>
        <v>-1.2599956268415036</v>
      </c>
      <c r="H85" s="858">
        <f>H67/'MOD-Berechnungen'!H$26</f>
        <v>-0.78705523298586666</v>
      </c>
      <c r="I85" s="858">
        <f>I67/'MOD-Berechnungen'!I$26</f>
        <v>-2.8225387956554155</v>
      </c>
      <c r="J85" s="858">
        <f>J67/'MOD-Berechnungen'!J$26</f>
        <v>-2.3738123026356077</v>
      </c>
      <c r="K85" s="858">
        <f>K67/'MOD-Berechnungen'!K$26</f>
        <v>1.4874544343006681</v>
      </c>
      <c r="L85" s="858">
        <f>L67/'MOD-Berechnungen'!L$26</f>
        <v>2.6758991702002426</v>
      </c>
      <c r="M85" s="858">
        <f>M67/'MOD-Berechnungen'!M$26</f>
        <v>2.0367829512788891</v>
      </c>
      <c r="N85" s="858">
        <f>N67/'MOD-Berechnungen'!N$26</f>
        <v>3.4298561241442904</v>
      </c>
      <c r="O85" s="858">
        <f>O67/'MOD-Berechnungen'!O$26</f>
        <v>3.7066128850407996</v>
      </c>
      <c r="P85" s="858">
        <f>P67/'MOD-Berechnungen'!P$26</f>
        <v>2.19040541733</v>
      </c>
      <c r="Q85" s="858">
        <f>Q67/'MOD-Berechnungen'!Q$26</f>
        <v>-4.0200928837931045</v>
      </c>
      <c r="R85" s="858">
        <f>R67/'MOD-Berechnungen'!R$26</f>
        <v>0</v>
      </c>
      <c r="S85" s="858">
        <f>S67/'MOD-Berechnungen'!S$26</f>
        <v>0.51712345085425593</v>
      </c>
      <c r="T85" s="858">
        <f>T67/'MOD-Berechnungen'!T$26</f>
        <v>0.40328727281886378</v>
      </c>
      <c r="U85" s="858">
        <f>U67/'MOD-Berechnungen'!U$26</f>
        <v>0.31327345760177089</v>
      </c>
      <c r="V85" s="858">
        <f>V67/'MOD-Berechnungen'!V$26</f>
        <v>0.10224478193517425</v>
      </c>
      <c r="W85" s="858">
        <f>W67/'MOD-Berechnungen'!W$26</f>
        <v>-3.5248093046657207E-2</v>
      </c>
      <c r="X85" s="858">
        <f>X67/'MOD-Berechnungen'!X$26</f>
        <v>-0.18103525220663613</v>
      </c>
      <c r="Y85" s="858">
        <f>Y67/'MOD-Berechnungen'!Y$26</f>
        <v>-0.30723210175009436</v>
      </c>
      <c r="Z85" s="858">
        <f>Z67/'MOD-Berechnungen'!Z$26</f>
        <v>-0.44925908983647989</v>
      </c>
      <c r="AA85" s="858">
        <f>AA67/'MOD-Berechnungen'!AA$26</f>
        <v>-0.57368488663852402</v>
      </c>
      <c r="AB85" s="858">
        <f>AB67/'MOD-Berechnungen'!AB$26</f>
        <v>-0.72475691459557912</v>
      </c>
      <c r="AC85" s="858">
        <f>AC67/'MOD-Berechnungen'!AC$26</f>
        <v>-0.84442849528969299</v>
      </c>
      <c r="AD85" s="858">
        <f>AD67/'MOD-Berechnungen'!AD$26</f>
        <v>-0.92495952550140059</v>
      </c>
      <c r="AE85" s="864">
        <f>AE67/'MOD-Berechnungen'!AE$26</f>
        <v>-0.9654468199147217</v>
      </c>
      <c r="AF85" s="928" t="s">
        <v>153</v>
      </c>
      <c r="AG85" s="928" t="s">
        <v>153</v>
      </c>
      <c r="AH85" s="559"/>
    </row>
    <row r="86" spans="1:34" s="294" customFormat="1">
      <c r="A86" s="553">
        <v>86</v>
      </c>
      <c r="C86" s="10"/>
      <c r="D86" s="29"/>
      <c r="AF86" s="928" t="s">
        <v>153</v>
      </c>
      <c r="AG86" s="928" t="s">
        <v>153</v>
      </c>
      <c r="AH86" s="559"/>
    </row>
    <row r="87" spans="1:34" s="294" customFormat="1">
      <c r="A87" s="553">
        <v>87</v>
      </c>
      <c r="C87" s="10"/>
      <c r="D87" s="29"/>
      <c r="E87" s="582" t="s">
        <v>692</v>
      </c>
      <c r="AF87" s="928" t="s">
        <v>153</v>
      </c>
      <c r="AG87" s="928" t="s">
        <v>153</v>
      </c>
      <c r="AH87" s="559"/>
    </row>
    <row r="88" spans="1:34" s="294" customFormat="1">
      <c r="A88" s="553">
        <v>88</v>
      </c>
      <c r="C88" s="10"/>
      <c r="D88" s="29"/>
      <c r="E88" s="193" t="s">
        <v>693</v>
      </c>
      <c r="F88" s="859">
        <f>'MOD-Berechnungen'!F185</f>
        <v>400.59500000000003</v>
      </c>
      <c r="G88" s="856">
        <f>'MOD-Berechnungen'!G185</f>
        <v>383.14973227999997</v>
      </c>
      <c r="H88" s="856">
        <f>'MOD-Berechnungen'!H185</f>
        <v>386.50834199999997</v>
      </c>
      <c r="I88" s="856">
        <f>'MOD-Berechnungen'!I185</f>
        <v>383.25856100000004</v>
      </c>
      <c r="J88" s="856">
        <f>'MOD-Berechnungen'!J185</f>
        <v>370.260447</v>
      </c>
      <c r="K88" s="856">
        <f>'MOD-Berechnungen'!K185</f>
        <v>350.71186199775002</v>
      </c>
      <c r="L88" s="856">
        <f>'MOD-Berechnungen'!L185</f>
        <v>355.81992107000013</v>
      </c>
      <c r="M88" s="856">
        <f>'MOD-Berechnungen'!M185</f>
        <v>342.69702431899992</v>
      </c>
      <c r="N88" s="856">
        <f>'MOD-Berechnungen'!N185</f>
        <v>343.43449980099996</v>
      </c>
      <c r="O88" s="856">
        <f>'MOD-Berechnungen'!O185</f>
        <v>344.29499200573338</v>
      </c>
      <c r="P88" s="856">
        <f>'MOD-Berechnungen'!P185</f>
        <v>344.16121049404217</v>
      </c>
      <c r="Q88" s="856">
        <f>'MOD-Berechnungen'!Q185</f>
        <v>331.78540980535826</v>
      </c>
      <c r="R88" s="856">
        <f>'MOD-Berechnungen'!R185</f>
        <v>329.80586289665291</v>
      </c>
      <c r="S88" s="856">
        <f>'MOD-Berechnungen'!S185</f>
        <v>329.21329222096659</v>
      </c>
      <c r="T88" s="856">
        <f>'MOD-Berechnungen'!T185</f>
        <v>328.12304725272179</v>
      </c>
      <c r="U88" s="856">
        <f>'MOD-Berechnungen'!U185</f>
        <v>327.70886225122763</v>
      </c>
      <c r="V88" s="856">
        <f>'MOD-Berechnungen'!V185</f>
        <v>327.584210333371</v>
      </c>
      <c r="W88" s="856">
        <f>'MOD-Berechnungen'!W185</f>
        <v>327.50147532469316</v>
      </c>
      <c r="X88" s="856">
        <f>'MOD-Berechnungen'!X185</f>
        <v>327.45539906052142</v>
      </c>
      <c r="Y88" s="856">
        <f>'MOD-Berechnungen'!Y185</f>
        <v>327.54599487806399</v>
      </c>
      <c r="Z88" s="856">
        <f>'MOD-Berechnungen'!Z185</f>
        <v>327.79726157480195</v>
      </c>
      <c r="AA88" s="856">
        <f>'MOD-Berechnungen'!AA185</f>
        <v>328.05370235513061</v>
      </c>
      <c r="AB88" s="856">
        <f>'MOD-Berechnungen'!AB185</f>
        <v>328.31597773641175</v>
      </c>
      <c r="AC88" s="856">
        <f>'MOD-Berechnungen'!AC185</f>
        <v>328.34085220014043</v>
      </c>
      <c r="AD88" s="856">
        <f>'MOD-Berechnungen'!AD185</f>
        <v>328.28833607722714</v>
      </c>
      <c r="AE88" s="860">
        <f>'MOD-Berechnungen'!AE185</f>
        <v>328.12928447415595</v>
      </c>
      <c r="AF88" s="928"/>
      <c r="AG88" s="928"/>
      <c r="AH88" s="559"/>
    </row>
    <row r="89" spans="1:34" s="294" customFormat="1">
      <c r="A89" s="553">
        <v>89</v>
      </c>
      <c r="C89" s="10"/>
      <c r="D89" s="29"/>
      <c r="E89" s="194" t="s">
        <v>694</v>
      </c>
      <c r="F89" s="861">
        <f>'MOD-Berechnungen'!F12</f>
        <v>67.885999999999996</v>
      </c>
      <c r="G89" s="857">
        <f>'MOD-Berechnungen'!G12</f>
        <v>74.729966079999997</v>
      </c>
      <c r="H89" s="857">
        <f>'MOD-Berechnungen'!H12</f>
        <v>84.727446</v>
      </c>
      <c r="I89" s="857">
        <f>'MOD-Berechnungen'!I12</f>
        <v>96.225492000000003</v>
      </c>
      <c r="J89" s="857">
        <f>'MOD-Berechnungen'!J12</f>
        <v>106.52299099999999</v>
      </c>
      <c r="K89" s="857">
        <f>'MOD-Berechnungen'!K12</f>
        <v>110.247</v>
      </c>
      <c r="L89" s="857">
        <f>'MOD-Berechnungen'!L12</f>
        <v>103.9</v>
      </c>
      <c r="M89" s="857">
        <f>'MOD-Berechnungen'!M12</f>
        <v>114.145597</v>
      </c>
      <c r="N89" s="857">
        <f>'MOD-Berechnungen'!N12</f>
        <v>114.690017</v>
      </c>
      <c r="O89" s="857">
        <f>'MOD-Berechnungen'!O12</f>
        <v>113.926688</v>
      </c>
      <c r="P89" s="857">
        <f>'MOD-Berechnungen'!P12</f>
        <v>116.17166499999999</v>
      </c>
      <c r="Q89" s="857">
        <f>'MOD-Berechnungen'!Q12</f>
        <v>112.73</v>
      </c>
      <c r="R89" s="857">
        <f>'MOD-Berechnungen'!R12</f>
        <v>111.65</v>
      </c>
      <c r="S89" s="857">
        <f>'MOD-Berechnungen'!S12</f>
        <v>110.48</v>
      </c>
      <c r="T89" s="857">
        <f>'MOD-Berechnungen'!T12</f>
        <v>109.19</v>
      </c>
      <c r="U89" s="857">
        <f>'MOD-Berechnungen'!U12</f>
        <v>107.92</v>
      </c>
      <c r="V89" s="857">
        <f>'MOD-Berechnungen'!V12</f>
        <v>107.92</v>
      </c>
      <c r="W89" s="857">
        <f>'MOD-Berechnungen'!W12</f>
        <v>107.92</v>
      </c>
      <c r="X89" s="857">
        <f>'MOD-Berechnungen'!X12</f>
        <v>107.92</v>
      </c>
      <c r="Y89" s="857">
        <f>'MOD-Berechnungen'!Y12</f>
        <v>107.92</v>
      </c>
      <c r="Z89" s="857">
        <f>'MOD-Berechnungen'!Z12</f>
        <v>107.92</v>
      </c>
      <c r="AA89" s="857">
        <f>'MOD-Berechnungen'!AA12</f>
        <v>107.92</v>
      </c>
      <c r="AB89" s="857">
        <f>'MOD-Berechnungen'!AB12</f>
        <v>107.92</v>
      </c>
      <c r="AC89" s="857">
        <f>'MOD-Berechnungen'!AC12</f>
        <v>107.92</v>
      </c>
      <c r="AD89" s="857">
        <f>'MOD-Berechnungen'!AD12</f>
        <v>107.92</v>
      </c>
      <c r="AE89" s="862">
        <f>'MOD-Berechnungen'!AE12</f>
        <v>107.92</v>
      </c>
      <c r="AF89" s="928"/>
      <c r="AG89" s="928"/>
      <c r="AH89" s="559"/>
    </row>
    <row r="90" spans="1:34" s="294" customFormat="1">
      <c r="A90" s="553">
        <v>90</v>
      </c>
      <c r="C90" s="10"/>
      <c r="D90" s="29"/>
      <c r="E90" s="195" t="s">
        <v>695</v>
      </c>
      <c r="F90" s="863">
        <f>'MOD-Berechnungen'!F13+'MOD-Berechnungen'!F14+'MOD-Berechnungen'!F15+'MOD-Berechnungen'!F254+'MOD-Berechnungen'!F264</f>
        <v>66.919000000000011</v>
      </c>
      <c r="G90" s="858">
        <f>'MOD-Berechnungen'!G13+'MOD-Berechnungen'!G14+'MOD-Berechnungen'!G15+'MOD-Berechnungen'!G254+'MOD-Berechnungen'!G264</f>
        <v>54.256241999999979</v>
      </c>
      <c r="H90" s="858">
        <f>'MOD-Berechnungen'!H13+'MOD-Berechnungen'!H14+'MOD-Berechnungen'!H15+'MOD-Berechnungen'!H254+'MOD-Berechnungen'!H264</f>
        <v>62.745360999999974</v>
      </c>
      <c r="I90" s="858">
        <f>'MOD-Berechnungen'!I13+'MOD-Berechnungen'!I14+'MOD-Berechnungen'!I15+'MOD-Berechnungen'!I254+'MOD-Berechnungen'!I264</f>
        <v>55.017604000000063</v>
      </c>
      <c r="J90" s="858">
        <f>'MOD-Berechnungen'!J13+'MOD-Berechnungen'!J14+'MOD-Berechnungen'!J15+'MOD-Berechnungen'!J254+'MOD-Berechnungen'!J264</f>
        <v>47.117968535482987</v>
      </c>
      <c r="K90" s="858">
        <f>'MOD-Berechnungen'!K13+'MOD-Berechnungen'!K14+'MOD-Berechnungen'!K15+'MOD-Berechnungen'!K254+'MOD-Berechnungen'!K264</f>
        <v>59.641138002250003</v>
      </c>
      <c r="L90" s="858">
        <f>'MOD-Berechnungen'!L13+'MOD-Berechnungen'!L14+'MOD-Berechnungen'!L15+'MOD-Berechnungen'!L254+'MOD-Berechnungen'!L264</f>
        <v>51.880078929999996</v>
      </c>
      <c r="M90" s="858">
        <f>'MOD-Berechnungen'!M13+'MOD-Berechnungen'!M14+'MOD-Berechnungen'!M15+'MOD-Berechnungen'!M254+'MOD-Berechnungen'!M264</f>
        <v>65.062022680999988</v>
      </c>
      <c r="N90" s="858">
        <f>'MOD-Berechnungen'!N13+'MOD-Berechnungen'!N14+'MOD-Berechnungen'!N15+'MOD-Berechnungen'!N254+'MOD-Berechnungen'!N264</f>
        <v>66.515483199000002</v>
      </c>
      <c r="O90" s="858">
        <f>'MOD-Berechnungen'!O13+'MOD-Berechnungen'!O14+'MOD-Berechnungen'!O15+'MOD-Berechnungen'!O254+'MOD-Berechnungen'!O264</f>
        <v>78.014784994266563</v>
      </c>
      <c r="P90" s="858">
        <f>'MOD-Berechnungen'!P13+'MOD-Berechnungen'!P14+'MOD-Berechnungen'!P15+'MOD-Berechnungen'!P254+'MOD-Berechnungen'!P264</f>
        <v>78.1848945059578</v>
      </c>
      <c r="Q90" s="858">
        <f>'MOD-Berechnungen'!Q13+'MOD-Berechnungen'!Q14+'MOD-Berechnungen'!Q15+'MOD-Berechnungen'!Q254+'MOD-Berechnungen'!Q264</f>
        <v>74.011420194641829</v>
      </c>
      <c r="R90" s="858">
        <f>'MOD-Berechnungen'!R13+'MOD-Berechnungen'!R14+'MOD-Berechnungen'!R15+'MOD-Berechnungen'!R254+'MOD-Berechnungen'!R264</f>
        <v>74.604137103347114</v>
      </c>
      <c r="S90" s="858">
        <f>'MOD-Berechnungen'!S13+'MOD-Berechnungen'!S14+'MOD-Berechnungen'!S15+'MOD-Berechnungen'!S254+'MOD-Berechnungen'!S264</f>
        <v>73.986707779033338</v>
      </c>
      <c r="T90" s="858">
        <f>'MOD-Berechnungen'!T13+'MOD-Berechnungen'!T14+'MOD-Berechnungen'!T15+'MOD-Berechnungen'!T254+'MOD-Berechnungen'!T264</f>
        <v>74.356952747278342</v>
      </c>
      <c r="U90" s="858">
        <f>'MOD-Berechnungen'!U13+'MOD-Berechnungen'!U14+'MOD-Berechnungen'!U15+'MOD-Berechnungen'!U254+'MOD-Berechnungen'!U264</f>
        <v>74.701137748772354</v>
      </c>
      <c r="V90" s="858">
        <f>'MOD-Berechnungen'!V13+'MOD-Berechnungen'!V14+'MOD-Berechnungen'!V15+'MOD-Berechnungen'!V254+'MOD-Berechnungen'!V264</f>
        <v>74.825789666628978</v>
      </c>
      <c r="W90" s="858">
        <f>'MOD-Berechnungen'!W13+'MOD-Berechnungen'!W14+'MOD-Berechnungen'!W15+'MOD-Berechnungen'!W254+'MOD-Berechnungen'!W264</f>
        <v>74.908524675306808</v>
      </c>
      <c r="X90" s="858">
        <f>'MOD-Berechnungen'!X13+'MOD-Berechnungen'!X14+'MOD-Berechnungen'!X15+'MOD-Berechnungen'!X254+'MOD-Berechnungen'!X264</f>
        <v>74.954600939478595</v>
      </c>
      <c r="Y90" s="858">
        <f>'MOD-Berechnungen'!Y13+'MOD-Berechnungen'!Y14+'MOD-Berechnungen'!Y15+'MOD-Berechnungen'!Y254+'MOD-Berechnungen'!Y264</f>
        <v>74.864005121935975</v>
      </c>
      <c r="Z90" s="858">
        <f>'MOD-Berechnungen'!Z13+'MOD-Berechnungen'!Z14+'MOD-Berechnungen'!Z15+'MOD-Berechnungen'!Z254+'MOD-Berechnungen'!Z264</f>
        <v>74.612738425198017</v>
      </c>
      <c r="AA90" s="858">
        <f>'MOD-Berechnungen'!AA13+'MOD-Berechnungen'!AA14+'MOD-Berechnungen'!AA15+'MOD-Berechnungen'!AA254+'MOD-Berechnungen'!AA264</f>
        <v>74.356297644869386</v>
      </c>
      <c r="AB90" s="858">
        <f>'MOD-Berechnungen'!AB13+'MOD-Berechnungen'!AB14+'MOD-Berechnungen'!AB15+'MOD-Berechnungen'!AB254+'MOD-Berechnungen'!AB264</f>
        <v>74.094022263588187</v>
      </c>
      <c r="AC90" s="858">
        <f>'MOD-Berechnungen'!AC13+'MOD-Berechnungen'!AC14+'MOD-Berechnungen'!AC15+'MOD-Berechnungen'!AC254+'MOD-Berechnungen'!AC264</f>
        <v>74.069147799859579</v>
      </c>
      <c r="AD90" s="858">
        <f>'MOD-Berechnungen'!AD13+'MOD-Berechnungen'!AD14+'MOD-Berechnungen'!AD15+'MOD-Berechnungen'!AD254+'MOD-Berechnungen'!AD264</f>
        <v>74.121663922772839</v>
      </c>
      <c r="AE90" s="864">
        <f>'MOD-Berechnungen'!AE13+'MOD-Berechnungen'!AE14+'MOD-Berechnungen'!AE15+'MOD-Berechnungen'!AE254+'MOD-Berechnungen'!AE264</f>
        <v>74.280715525844087</v>
      </c>
      <c r="AF90" s="928"/>
      <c r="AG90" s="928"/>
      <c r="AH90" s="559"/>
    </row>
    <row r="91" spans="1:34" s="294" customFormat="1">
      <c r="A91" s="553">
        <v>91</v>
      </c>
      <c r="AF91" s="928"/>
      <c r="AG91" s="928"/>
      <c r="AH91" s="559"/>
    </row>
    <row r="92" spans="1:34" s="294" customFormat="1">
      <c r="A92" s="553">
        <v>92</v>
      </c>
      <c r="E92" s="611" t="s">
        <v>429</v>
      </c>
      <c r="F92" s="865">
        <f>F225</f>
        <v>0.17956606533398342</v>
      </c>
      <c r="G92" s="866">
        <f t="shared" ref="G92:AE92" si="4">G225</f>
        <v>0.20889978081740276</v>
      </c>
      <c r="H92" s="866">
        <f t="shared" si="4"/>
        <v>0.22202076099489373</v>
      </c>
      <c r="I92" s="866">
        <f t="shared" si="4"/>
        <v>0.25922769498261294</v>
      </c>
      <c r="J92" s="866">
        <f t="shared" si="4"/>
        <v>0.28309799017205339</v>
      </c>
      <c r="K92" s="866">
        <f t="shared" ca="1" si="4"/>
        <v>0.30059636757838554</v>
      </c>
      <c r="L92" s="866">
        <f t="shared" ca="1" si="4"/>
        <v>0.3286545774843071</v>
      </c>
      <c r="M92" s="866">
        <f t="shared" ca="1" si="4"/>
        <v>0.34699981369395438</v>
      </c>
      <c r="N92" s="866">
        <f t="shared" ca="1" si="4"/>
        <v>0.37850965504665413</v>
      </c>
      <c r="O92" s="866">
        <f t="shared" ca="1" si="4"/>
        <v>0.3996767110480044</v>
      </c>
      <c r="P92" s="866">
        <f t="shared" ca="1" si="4"/>
        <v>0.41402554600735214</v>
      </c>
      <c r="Q92" s="866">
        <f t="shared" ca="1" si="4"/>
        <v>0.43632172207942227</v>
      </c>
      <c r="R92" s="866">
        <f t="shared" ca="1" si="4"/>
        <v>0.4449440650405847</v>
      </c>
      <c r="S92" s="866">
        <f t="shared" ca="1" si="4"/>
        <v>0.46379187319789272</v>
      </c>
      <c r="T92" s="866">
        <f t="shared" ca="1" si="4"/>
        <v>0.48349327165366585</v>
      </c>
      <c r="U92" s="866">
        <f t="shared" ca="1" si="4"/>
        <v>0.49948287002937763</v>
      </c>
      <c r="V92" s="866">
        <f t="shared" ca="1" si="4"/>
        <v>0.51149304187099764</v>
      </c>
      <c r="W92" s="866">
        <f t="shared" ca="1" si="4"/>
        <v>0.51967641297585054</v>
      </c>
      <c r="X92" s="866">
        <f t="shared" ca="1" si="4"/>
        <v>0.52893755809774912</v>
      </c>
      <c r="Y92" s="866">
        <f t="shared" ca="1" si="4"/>
        <v>0.54170945257125769</v>
      </c>
      <c r="Z92" s="866">
        <f t="shared" ca="1" si="4"/>
        <v>0.55271324285047563</v>
      </c>
      <c r="AA92" s="866">
        <f t="shared" ca="1" si="4"/>
        <v>0.56170667350565606</v>
      </c>
      <c r="AB92" s="866">
        <f t="shared" ca="1" si="4"/>
        <v>0.5641560631793463</v>
      </c>
      <c r="AC92" s="866">
        <f t="shared" ca="1" si="4"/>
        <v>0.57761116282786173</v>
      </c>
      <c r="AD92" s="866">
        <f t="shared" ca="1" si="4"/>
        <v>0.59128800521050096</v>
      </c>
      <c r="AE92" s="867">
        <f t="shared" ca="1" si="4"/>
        <v>0.5950199016879234</v>
      </c>
      <c r="AF92" s="928" t="s">
        <v>161</v>
      </c>
      <c r="AG92" s="928"/>
      <c r="AH92" s="559"/>
    </row>
    <row r="93" spans="1:34" s="294" customFormat="1">
      <c r="A93" s="553">
        <v>93</v>
      </c>
      <c r="AF93" s="928"/>
      <c r="AG93" s="928"/>
      <c r="AH93" s="559"/>
    </row>
    <row r="94" spans="1:34" s="294" customFormat="1">
      <c r="A94" s="553">
        <v>94</v>
      </c>
      <c r="C94" s="10"/>
      <c r="D94" s="29"/>
      <c r="E94" s="36"/>
      <c r="F94" s="73"/>
      <c r="G94" s="73"/>
      <c r="H94" s="73"/>
      <c r="I94" s="73"/>
      <c r="J94" s="73"/>
      <c r="K94" s="73"/>
      <c r="L94" s="73"/>
      <c r="M94" s="73"/>
      <c r="N94" s="73"/>
      <c r="O94" s="73"/>
      <c r="P94" s="73"/>
      <c r="Q94" s="73"/>
      <c r="R94" s="73"/>
      <c r="S94" s="73"/>
      <c r="T94" s="73"/>
      <c r="U94" s="73"/>
      <c r="V94" s="73"/>
      <c r="W94" s="73"/>
      <c r="X94" s="73"/>
      <c r="Y94" s="73"/>
      <c r="Z94" s="73"/>
      <c r="AA94" s="73"/>
      <c r="AB94" s="73"/>
      <c r="AC94" s="73"/>
      <c r="AD94" s="73"/>
      <c r="AE94" s="73"/>
      <c r="AF94" s="928"/>
      <c r="AG94" s="928"/>
      <c r="AH94" s="559"/>
    </row>
    <row r="95" spans="1:34" s="294" customFormat="1">
      <c r="A95" s="553">
        <v>95</v>
      </c>
      <c r="C95" s="10"/>
      <c r="D95" s="29"/>
      <c r="E95" s="192" t="s">
        <v>696</v>
      </c>
      <c r="G95" s="324"/>
      <c r="H95" s="324"/>
      <c r="I95" s="324"/>
      <c r="J95" s="324"/>
      <c r="K95" s="324"/>
      <c r="L95" s="516"/>
      <c r="M95" s="324"/>
      <c r="N95" s="324"/>
      <c r="O95" s="324"/>
      <c r="P95" s="324"/>
      <c r="Q95" s="324"/>
      <c r="R95" s="324"/>
      <c r="S95" s="324"/>
      <c r="T95" s="324"/>
      <c r="U95" s="324"/>
      <c r="V95" s="324"/>
      <c r="W95" s="324"/>
      <c r="X95" s="324"/>
      <c r="Y95" s="324"/>
      <c r="Z95" s="324"/>
      <c r="AA95" s="324"/>
      <c r="AB95" s="324"/>
      <c r="AC95" s="324"/>
      <c r="AD95" s="324"/>
      <c r="AE95" s="324"/>
      <c r="AF95" s="928"/>
      <c r="AG95" s="928"/>
      <c r="AH95" s="559"/>
    </row>
    <row r="96" spans="1:34" s="294" customFormat="1" ht="39.6">
      <c r="A96" s="553">
        <v>96</v>
      </c>
      <c r="C96" s="10"/>
      <c r="D96" s="29"/>
      <c r="E96" s="513" t="s">
        <v>697</v>
      </c>
      <c r="F96" s="98">
        <f>'MOD-Berechnungen'!F374/'MOD-Berechnungen'!F$186*100</f>
        <v>0</v>
      </c>
      <c r="G96" s="98">
        <f>'MOD-Berechnungen'!G374/'MOD-Berechnungen'!G$186*100</f>
        <v>0</v>
      </c>
      <c r="H96" s="98">
        <f>'MOD-Berechnungen'!H374/'MOD-Berechnungen'!H$186*100</f>
        <v>0</v>
      </c>
      <c r="I96" s="98">
        <f>'MOD-Berechnungen'!I374/'MOD-Berechnungen'!I$186*100</f>
        <v>0</v>
      </c>
      <c r="J96" s="98">
        <f>'MOD-Berechnungen'!J374/'MOD-Berechnungen'!J$186*100</f>
        <v>0</v>
      </c>
      <c r="K96" s="98">
        <f>'MOD-Berechnungen'!K374/'MOD-Berechnungen'!K$186*100</f>
        <v>0.27526511402651638</v>
      </c>
      <c r="L96" s="98">
        <f>'MOD-Berechnungen'!L374/'MOD-Berechnungen'!L$186*100</f>
        <v>0.73692083848655465</v>
      </c>
      <c r="M96" s="98">
        <f>'MOD-Berechnungen'!M374/'MOD-Berechnungen'!M$186*100</f>
        <v>1.261606914201997</v>
      </c>
      <c r="N96" s="98">
        <f>'MOD-Berechnungen'!N374/'MOD-Berechnungen'!N$186*100</f>
        <v>1.7408809002236225</v>
      </c>
      <c r="O96" s="98">
        <f>'MOD-Berechnungen'!O374/'MOD-Berechnungen'!O$186*100</f>
        <v>2.118535365484663</v>
      </c>
      <c r="P96" s="98">
        <f>'MOD-Berechnungen'!P374/'MOD-Berechnungen'!P$186*100</f>
        <v>2.3841528184769496</v>
      </c>
      <c r="Q96" s="98">
        <f>'MOD-Berechnungen'!Q374/'MOD-Berechnungen'!Q$186*100</f>
        <v>2.6435447597049153</v>
      </c>
      <c r="R96" s="98">
        <f>'MOD-Berechnungen'!R374/'MOD-Berechnungen'!R$186*100</f>
        <v>2.8521121267879193</v>
      </c>
      <c r="S96" s="98">
        <f>'MOD-Berechnungen'!S374/'MOD-Berechnungen'!S$186*100</f>
        <v>3.0768520290350003</v>
      </c>
      <c r="T96" s="98">
        <f>'MOD-Berechnungen'!T374/'MOD-Berechnungen'!T$186*100</f>
        <v>3.243023913711963</v>
      </c>
      <c r="U96" s="98">
        <f>'MOD-Berechnungen'!U374/'MOD-Berechnungen'!U$186*100</f>
        <v>3.4379072424233019</v>
      </c>
      <c r="V96" s="98">
        <f>'MOD-Berechnungen'!V374/'MOD-Berechnungen'!V$186*100</f>
        <v>3.5856190471659146</v>
      </c>
      <c r="W96" s="98">
        <f>'MOD-Berechnungen'!W374/'MOD-Berechnungen'!W$186*100</f>
        <v>3.5901440818513777</v>
      </c>
      <c r="X96" s="98">
        <f>'MOD-Berechnungen'!X374/'MOD-Berechnungen'!X$186*100</f>
        <v>3.7648969858728556</v>
      </c>
      <c r="Y96" s="98">
        <f>'MOD-Berechnungen'!Y374/'MOD-Berechnungen'!Y$186*100</f>
        <v>3.8632796300172036</v>
      </c>
      <c r="Z96" s="98">
        <f>'MOD-Berechnungen'!Z374/'MOD-Berechnungen'!Z$186*100</f>
        <v>4.1164683538944296</v>
      </c>
      <c r="AA96" s="98">
        <f>'MOD-Berechnungen'!AA374/'MOD-Berechnungen'!AA$186*100</f>
        <v>4.3698502799917378</v>
      </c>
      <c r="AB96" s="98">
        <f>'MOD-Berechnungen'!AB374/'MOD-Berechnungen'!AB$186*100</f>
        <v>4.6253781744495504</v>
      </c>
      <c r="AC96" s="98">
        <f>'MOD-Berechnungen'!AC374/'MOD-Berechnungen'!AC$186*100</f>
        <v>4.8813343973593168</v>
      </c>
      <c r="AD96" s="98">
        <f>'MOD-Berechnungen'!AD374/'MOD-Berechnungen'!AD$186*100</f>
        <v>5.0460223532652364</v>
      </c>
      <c r="AE96" s="583">
        <f>'MOD-Berechnungen'!AE374/'MOD-Berechnungen'!AE$186*100</f>
        <v>5.1966021808733842</v>
      </c>
      <c r="AF96" s="928"/>
      <c r="AG96" s="928"/>
      <c r="AH96" s="559"/>
    </row>
    <row r="97" spans="1:34" s="294" customFormat="1" ht="39.6">
      <c r="A97" s="553">
        <v>97</v>
      </c>
      <c r="C97" s="10"/>
      <c r="D97" s="29"/>
      <c r="E97" s="487" t="s">
        <v>698</v>
      </c>
      <c r="F97" s="99">
        <f>-'MOD-Berechnungen'!F375/'MOD-Berechnungen'!F$186*100</f>
        <v>-1.1143275278744671</v>
      </c>
      <c r="G97" s="99">
        <f>-'MOD-Berechnungen'!G375/'MOD-Berechnungen'!G$186*100</f>
        <v>-1.1481771217342542</v>
      </c>
      <c r="H97" s="99">
        <f>-'MOD-Berechnungen'!H375/'MOD-Berechnungen'!H$186*100</f>
        <v>-1.4749351709875336</v>
      </c>
      <c r="I97" s="99">
        <f>-'MOD-Berechnungen'!I375/'MOD-Berechnungen'!I$186*100</f>
        <v>-1.6337029152159672</v>
      </c>
      <c r="J97" s="99">
        <f>-'MOD-Berechnungen'!J375/'MOD-Berechnungen'!J$186*100</f>
        <v>-1.4657694443600116</v>
      </c>
      <c r="K97" s="99">
        <f>-'MOD-Berechnungen'!K375/'MOD-Berechnungen'!K$186*100</f>
        <v>-1.4328005764190632</v>
      </c>
      <c r="L97" s="99">
        <f>-'MOD-Berechnungen'!L375/'MOD-Berechnungen'!L$186*100</f>
        <v>-1.4095609981357589</v>
      </c>
      <c r="M97" s="99">
        <f>-'MOD-Berechnungen'!M375/'MOD-Berechnungen'!M$186*100</f>
        <v>-1.3270921153532014</v>
      </c>
      <c r="N97" s="99">
        <f>-'MOD-Berechnungen'!N375/'MOD-Berechnungen'!N$186*100</f>
        <v>-1.6104835267042028</v>
      </c>
      <c r="O97" s="99">
        <f>-'MOD-Berechnungen'!O375/'MOD-Berechnungen'!O$186*100</f>
        <v>-2.2002230961690588</v>
      </c>
      <c r="P97" s="99">
        <f>-'MOD-Berechnungen'!P375/'MOD-Berechnungen'!P$186*100</f>
        <v>-2.539085556155213</v>
      </c>
      <c r="Q97" s="99">
        <f>-'MOD-Berechnungen'!Q375/'MOD-Berechnungen'!Q$186*100</f>
        <v>-2.0917764931417389</v>
      </c>
      <c r="R97" s="99">
        <f>-'MOD-Berechnungen'!R375/'MOD-Berechnungen'!R$186*100</f>
        <v>-2.6923972599236521</v>
      </c>
      <c r="S97" s="99">
        <f>-'MOD-Berechnungen'!S375/'MOD-Berechnungen'!S$186*100</f>
        <v>-2.9134304294121263</v>
      </c>
      <c r="T97" s="99">
        <f>-'MOD-Berechnungen'!T375/'MOD-Berechnungen'!T$186*100</f>
        <v>-3.0799736772373834</v>
      </c>
      <c r="U97" s="99">
        <f>-'MOD-Berechnungen'!U375/'MOD-Berechnungen'!U$186*100</f>
        <v>-3.4392455967984956</v>
      </c>
      <c r="V97" s="99">
        <f>-'MOD-Berechnungen'!V375/'MOD-Berechnungen'!V$186*100</f>
        <v>-3.5895016133866502</v>
      </c>
      <c r="W97" s="99">
        <f>-'MOD-Berechnungen'!W375/'MOD-Berechnungen'!W$186*100</f>
        <v>-3.7135260971578719</v>
      </c>
      <c r="X97" s="99">
        <f>-'MOD-Berechnungen'!X375/'MOD-Berechnungen'!X$186*100</f>
        <v>-3.8620962197488562</v>
      </c>
      <c r="Y97" s="99">
        <f>-'MOD-Berechnungen'!Y375/'MOD-Berechnungen'!Y$186*100</f>
        <v>-4.0526508588623447</v>
      </c>
      <c r="Z97" s="99">
        <f>-'MOD-Berechnungen'!Z375/'MOD-Berechnungen'!Z$186*100</f>
        <v>-4.1354490158368584</v>
      </c>
      <c r="AA97" s="99">
        <f>-'MOD-Berechnungen'!AA375/'MOD-Berechnungen'!AA$186*100</f>
        <v>-4.1731827434415418</v>
      </c>
      <c r="AB97" s="99">
        <f>-'MOD-Berechnungen'!AB375/'MOD-Berechnungen'!AB$186*100</f>
        <v>-4.1307329166680207</v>
      </c>
      <c r="AC97" s="99">
        <f>-'MOD-Berechnungen'!AC375/'MOD-Berechnungen'!AC$186*100</f>
        <v>-4.1965303400763467</v>
      </c>
      <c r="AD97" s="99">
        <f>-'MOD-Berechnungen'!AD375/'MOD-Berechnungen'!AD$186*100</f>
        <v>-4.2747022707286435</v>
      </c>
      <c r="AE97" s="584">
        <f>-'MOD-Berechnungen'!AE375/'MOD-Berechnungen'!AE$186*100</f>
        <v>-3.8757352807791459</v>
      </c>
      <c r="AF97" s="928"/>
      <c r="AG97" s="928"/>
      <c r="AH97" s="559"/>
    </row>
    <row r="98" spans="1:34" s="294" customFormat="1">
      <c r="A98" s="553">
        <v>98</v>
      </c>
      <c r="C98" s="10"/>
      <c r="D98" s="29"/>
      <c r="E98" s="16" t="s">
        <v>699</v>
      </c>
      <c r="F98" s="99">
        <f>'MOD-Berechnungen'!F390/'MOD-Berechnungen'!F$186*100</f>
        <v>0</v>
      </c>
      <c r="G98" s="99">
        <f>'MOD-Berechnungen'!G390/'MOD-Berechnungen'!G$186*100</f>
        <v>0</v>
      </c>
      <c r="H98" s="99">
        <f>'MOD-Berechnungen'!H390/'MOD-Berechnungen'!H$186*100</f>
        <v>9.9363640268897269E-2</v>
      </c>
      <c r="I98" s="99">
        <f>'MOD-Berechnungen'!I390/'MOD-Berechnungen'!I$186*100</f>
        <v>0.41882948767683209</v>
      </c>
      <c r="J98" s="99">
        <f>'MOD-Berechnungen'!J390/'MOD-Berechnungen'!J$186*100</f>
        <v>0.51450044762037139</v>
      </c>
      <c r="K98" s="99">
        <f>'MOD-Berechnungen'!K390/'MOD-Berechnungen'!K$186*100</f>
        <v>0.59592027659530522</v>
      </c>
      <c r="L98" s="99">
        <f>'MOD-Berechnungen'!L390/'MOD-Berechnungen'!L$186*100</f>
        <v>0.6392913186789364</v>
      </c>
      <c r="M98" s="99">
        <f>'MOD-Berechnungen'!M390/'MOD-Berechnungen'!M$186*100</f>
        <v>0.41988501655095822</v>
      </c>
      <c r="N98" s="99">
        <f>'MOD-Berechnungen'!N390/'MOD-Berechnungen'!N$186*100</f>
        <v>0.4372705524825396</v>
      </c>
      <c r="O98" s="99">
        <f>'MOD-Berechnungen'!O390/'MOD-Berechnungen'!O$186*100</f>
        <v>0.42087878819618457</v>
      </c>
      <c r="P98" s="99">
        <f>'MOD-Berechnungen'!P390/'MOD-Berechnungen'!P$186*100</f>
        <v>0.54603990988413686</v>
      </c>
      <c r="Q98" s="99">
        <f>'MOD-Berechnungen'!Q390/'MOD-Berechnungen'!Q$186*100</f>
        <v>0.76827342258007802</v>
      </c>
      <c r="R98" s="99">
        <f>'MOD-Berechnungen'!R390/'MOD-Berechnungen'!R$186*100</f>
        <v>0.42705156848223186</v>
      </c>
      <c r="S98" s="99">
        <f>'MOD-Berechnungen'!S390/'MOD-Berechnungen'!S$186*100</f>
        <v>0.41643702371245611</v>
      </c>
      <c r="T98" s="99">
        <f>'MOD-Berechnungen'!T390/'MOD-Berechnungen'!T$186*100</f>
        <v>0.40692010918926608</v>
      </c>
      <c r="U98" s="99">
        <f>'MOD-Berechnungen'!U390/'MOD-Berechnungen'!U$186*100</f>
        <v>0.37672724990734097</v>
      </c>
      <c r="V98" s="99">
        <f>'MOD-Berechnungen'!V390/'MOD-Berechnungen'!V$186*100</f>
        <v>0.34747003585854214</v>
      </c>
      <c r="W98" s="99">
        <f>'MOD-Berechnungen'!W390/'MOD-Berechnungen'!W$186*100</f>
        <v>0.31150149170074976</v>
      </c>
      <c r="X98" s="99">
        <f>'MOD-Berechnungen'!X390/'MOD-Berechnungen'!X$186*100</f>
        <v>0.2831171986519056</v>
      </c>
      <c r="Y98" s="99">
        <f>'MOD-Berechnungen'!Y390/'MOD-Berechnungen'!Y$186*100</f>
        <v>0.25232068765046278</v>
      </c>
      <c r="Z98" s="99">
        <f>'MOD-Berechnungen'!Z390/'MOD-Berechnungen'!Z$186*100</f>
        <v>0.21549171121523691</v>
      </c>
      <c r="AA98" s="99">
        <f>'MOD-Berechnungen'!AA390/'MOD-Berechnungen'!AA$186*100</f>
        <v>0.1635916929538925</v>
      </c>
      <c r="AB98" s="99">
        <f>'MOD-Berechnungen'!AB390/'MOD-Berechnungen'!AB$186*100</f>
        <v>0.11329908546148226</v>
      </c>
      <c r="AC98" s="99">
        <f>'MOD-Berechnungen'!AC390/'MOD-Berechnungen'!AC$186*100</f>
        <v>8.6446614747409001E-2</v>
      </c>
      <c r="AD98" s="99">
        <f>'MOD-Berechnungen'!AD390/'MOD-Berechnungen'!AD$186*100</f>
        <v>7.4469010093960925E-2</v>
      </c>
      <c r="AE98" s="584">
        <f>'MOD-Berechnungen'!AE390/'MOD-Berechnungen'!AE$186*100</f>
        <v>9.1789785915857874E-2</v>
      </c>
      <c r="AF98" s="928"/>
      <c r="AG98" s="928"/>
      <c r="AH98" s="559"/>
    </row>
    <row r="99" spans="1:34" s="294" customFormat="1">
      <c r="A99" s="553">
        <v>99</v>
      </c>
      <c r="C99" s="10"/>
      <c r="D99" s="29"/>
      <c r="E99" s="16" t="s">
        <v>700</v>
      </c>
      <c r="F99" s="99">
        <f>-'MOD-Berechnungen'!F391/'MOD-Berechnungen'!F$186*100</f>
        <v>0</v>
      </c>
      <c r="G99" s="99">
        <f>-'MOD-Berechnungen'!G391/'MOD-Berechnungen'!G$186*100</f>
        <v>0.27301911687690317</v>
      </c>
      <c r="H99" s="99">
        <f>-'MOD-Berechnungen'!H391/'MOD-Berechnungen'!H$186*100</f>
        <v>0.18051501743452761</v>
      </c>
      <c r="I99" s="99">
        <f>-'MOD-Berechnungen'!I391/'MOD-Berechnungen'!I$186*100</f>
        <v>0.66987563555484619</v>
      </c>
      <c r="J99" s="99">
        <f>-'MOD-Berechnungen'!J391/'MOD-Berechnungen'!J$186*100</f>
        <v>0.580495076175914</v>
      </c>
      <c r="K99" s="99">
        <f>-'MOD-Berechnungen'!K391/'MOD-Berechnungen'!K$186*100</f>
        <v>-0.38512304254835578</v>
      </c>
      <c r="L99" s="99">
        <f>-'MOD-Berechnungen'!L391/'MOD-Berechnungen'!L$186*100</f>
        <v>-0.69271211027684976</v>
      </c>
      <c r="M99" s="99">
        <f>-'MOD-Berechnungen'!M391/'MOD-Berechnungen'!M$186*100</f>
        <v>-0.55509788074223432</v>
      </c>
      <c r="N99" s="99">
        <f>-'MOD-Berechnungen'!N391/'MOD-Berechnungen'!N$186*100</f>
        <v>-0.94436923548353968</v>
      </c>
      <c r="O99" s="99">
        <f>-'MOD-Berechnungen'!O391/'MOD-Berechnungen'!O$186*100</f>
        <v>-1.0296002547372551</v>
      </c>
      <c r="P99" s="99">
        <f>-'MOD-Berechnungen'!P391/'MOD-Berechnungen'!P$186*100</f>
        <v>-0.61546559483866781</v>
      </c>
      <c r="Q99" s="99">
        <f>-'MOD-Berechnungen'!Q391/'MOD-Berechnungen'!Q$186*100</f>
        <v>1.1845036077210573</v>
      </c>
      <c r="R99" s="99">
        <f>-'MOD-Berechnungen'!R391/'MOD-Berechnungen'!R$186*100</f>
        <v>0</v>
      </c>
      <c r="S99" s="99">
        <f>-'MOD-Berechnungen'!S391/'MOD-Berechnungen'!S$186*100</f>
        <v>-0.15803383786392977</v>
      </c>
      <c r="T99" s="99">
        <f>-'MOD-Berechnungen'!T391/'MOD-Berechnungen'!T$186*100</f>
        <v>-0.12546454540738267</v>
      </c>
      <c r="U99" s="99">
        <f>-'MOD-Berechnungen'!U391/'MOD-Berechnungen'!U$186*100</f>
        <v>-9.9020671665210114E-2</v>
      </c>
      <c r="V99" s="99">
        <f>-'MOD-Berechnungen'!V391/'MOD-Berechnungen'!V$186*100</f>
        <v>-3.2808480704583497E-2</v>
      </c>
      <c r="W99" s="99">
        <f>-'MOD-Berechnungen'!W391/'MOD-Berechnungen'!W$186*100</f>
        <v>1.1480973116834488E-2</v>
      </c>
      <c r="X99" s="99">
        <f>-'MOD-Berechnungen'!X391/'MOD-Berechnungen'!X$186*100</f>
        <v>5.9849050629596133E-2</v>
      </c>
      <c r="Y99" s="99">
        <f>-'MOD-Berechnungen'!Y391/'MOD-Berechnungen'!Y$186*100</f>
        <v>0.10304745059200858</v>
      </c>
      <c r="Z99" s="99">
        <f>-'MOD-Berechnungen'!Z391/'MOD-Berechnungen'!Z$186*100</f>
        <v>0.15280559790603168</v>
      </c>
      <c r="AA99" s="99">
        <f>-'MOD-Berechnungen'!AA391/'MOD-Berechnungen'!AA$186*100</f>
        <v>0.19787046168788544</v>
      </c>
      <c r="AB99" s="99">
        <f>-'MOD-Berechnungen'!AB391/'MOD-Berechnungen'!AB$186*100</f>
        <v>0.25348817617010533</v>
      </c>
      <c r="AC99" s="99">
        <f>-'MOD-Berechnungen'!AC391/'MOD-Berechnungen'!AC$186*100</f>
        <v>0.29970050051144126</v>
      </c>
      <c r="AD99" s="99">
        <f>-'MOD-Berechnungen'!AD391/'MOD-Berechnungen'!AD$186*100</f>
        <v>0.33319964748112973</v>
      </c>
      <c r="AE99" s="584">
        <f>-'MOD-Berechnungen'!AE391/'MOD-Berechnungen'!AE$186*100</f>
        <v>0.35310353131546357</v>
      </c>
      <c r="AF99" s="928"/>
      <c r="AG99" s="928"/>
      <c r="AH99" s="559"/>
    </row>
    <row r="100" spans="1:34" s="294" customFormat="1">
      <c r="A100" s="553">
        <v>99</v>
      </c>
      <c r="C100" s="10"/>
      <c r="D100" s="29"/>
      <c r="E100" s="16" t="s">
        <v>426</v>
      </c>
      <c r="F100" s="99">
        <f>-'MOD-Berechnungen'!F392/'MOD-Berechnungen'!F$186*100</f>
        <v>0</v>
      </c>
      <c r="G100" s="99">
        <f>-'MOD-Berechnungen'!G392/'MOD-Berechnungen'!G$186*100</f>
        <v>0</v>
      </c>
      <c r="H100" s="99">
        <f>-'MOD-Berechnungen'!H392/'MOD-Berechnungen'!H$186*100</f>
        <v>0</v>
      </c>
      <c r="I100" s="99">
        <f>-'MOD-Berechnungen'!I392/'MOD-Berechnungen'!I$186*100</f>
        <v>0</v>
      </c>
      <c r="J100" s="99">
        <f>-'MOD-Berechnungen'!J392/'MOD-Berechnungen'!J$186*100</f>
        <v>0</v>
      </c>
      <c r="K100" s="99">
        <f>-'MOD-Berechnungen'!K392/'MOD-Berechnungen'!K$186*100</f>
        <v>0</v>
      </c>
      <c r="L100" s="99">
        <f>-'MOD-Berechnungen'!L392/'MOD-Berechnungen'!L$186*100</f>
        <v>0</v>
      </c>
      <c r="M100" s="99">
        <f>-'MOD-Berechnungen'!M392/'MOD-Berechnungen'!M$186*100</f>
        <v>0</v>
      </c>
      <c r="N100" s="99">
        <f>-'MOD-Berechnungen'!N392/'MOD-Berechnungen'!N$186*100</f>
        <v>0</v>
      </c>
      <c r="O100" s="99">
        <f>-'MOD-Berechnungen'!O392/'MOD-Berechnungen'!O$186*100</f>
        <v>0</v>
      </c>
      <c r="P100" s="99">
        <f>-'MOD-Berechnungen'!P392/'MOD-Berechnungen'!P$186*100</f>
        <v>0</v>
      </c>
      <c r="Q100" s="99">
        <f>-'MOD-Berechnungen'!Q392/'MOD-Berechnungen'!Q$186*100</f>
        <v>-3.135147756514379</v>
      </c>
      <c r="R100" s="99">
        <f>-'MOD-Berechnungen'!R392/'MOD-Berechnungen'!R$186*100</f>
        <v>-1.1990313049014476</v>
      </c>
      <c r="S100" s="99">
        <f>-'MOD-Berechnungen'!S392/'MOD-Berechnungen'!S$186*100</f>
        <v>-1.4612607926185883</v>
      </c>
      <c r="T100" s="99">
        <f>-'MOD-Berechnungen'!T392/'MOD-Berechnungen'!T$186*100</f>
        <v>-1.4655894707099137</v>
      </c>
      <c r="U100" s="99">
        <f>-'MOD-Berechnungen'!U392/'MOD-Berechnungen'!U$186*100</f>
        <v>-1.4670403551819031</v>
      </c>
      <c r="V100" s="99">
        <f>-'MOD-Berechnungen'!V392/'MOD-Berechnungen'!V$186*100</f>
        <v>-1.4672993236845011</v>
      </c>
      <c r="W100" s="99">
        <f>-'MOD-Berechnungen'!W392/'MOD-Berechnungen'!W$186*100</f>
        <v>-1.4674076619406262</v>
      </c>
      <c r="X100" s="99">
        <f>-'MOD-Berechnungen'!X392/'MOD-Berechnungen'!X$186*100</f>
        <v>-1.467356974546018</v>
      </c>
      <c r="Y100" s="99">
        <f>-'MOD-Berechnungen'!Y392/'MOD-Berechnungen'!Y$186*100</f>
        <v>-1.4667168591202011</v>
      </c>
      <c r="Z100" s="99">
        <f>-'MOD-Berechnungen'!Z392/'MOD-Berechnungen'!Z$186*100</f>
        <v>-1.4653857820357914</v>
      </c>
      <c r="AA100" s="99">
        <f>-'MOD-Berechnungen'!AA392/'MOD-Berechnungen'!AA$186*100</f>
        <v>-1.4640337815455702</v>
      </c>
      <c r="AB100" s="99">
        <f>-'MOD-Berechnungen'!AB392/'MOD-Berechnungen'!AB$186*100</f>
        <v>-1.4626581539148638</v>
      </c>
      <c r="AC100" s="99">
        <f>-'MOD-Berechnungen'!AC392/'MOD-Berechnungen'!AC$186*100</f>
        <v>-1.4622985291309107</v>
      </c>
      <c r="AD100" s="99">
        <f>-'MOD-Berechnungen'!AD392/'MOD-Berechnungen'!AD$186*100</f>
        <v>-1.4622688107280257</v>
      </c>
      <c r="AE100" s="584">
        <f>-'MOD-Berechnungen'!AE392/'MOD-Berechnungen'!AE$186*100</f>
        <v>-1.4626926366414963</v>
      </c>
      <c r="AF100" s="928"/>
      <c r="AG100" s="928"/>
      <c r="AH100" s="559"/>
    </row>
    <row r="101" spans="1:34" s="294" customFormat="1" ht="26.4">
      <c r="A101" s="553">
        <v>100</v>
      </c>
      <c r="C101" s="10"/>
      <c r="D101" s="29"/>
      <c r="E101" s="487" t="s">
        <v>701</v>
      </c>
      <c r="F101" s="99">
        <f>('MOD-Berechnungen'!F378+'MOD-Berechnungen'!F376-'MOD-Berechnungen'!F377)/'MOD-Berechnungen'!F$186*100</f>
        <v>1.2621203479080452E-2</v>
      </c>
      <c r="G101" s="99">
        <f>('MOD-Berechnungen'!G378+'MOD-Berechnungen'!G376-'MOD-Berechnungen'!G377)/'MOD-Berechnungen'!G$186*100</f>
        <v>0.21705777646400023</v>
      </c>
      <c r="H101" s="99">
        <f>('MOD-Berechnungen'!H378+'MOD-Berechnungen'!H376-'MOD-Berechnungen'!H377)/'MOD-Berechnungen'!H$186*100</f>
        <v>-2.030389836889188E-2</v>
      </c>
      <c r="I101" s="99">
        <f>('MOD-Berechnungen'!I378+'MOD-Berechnungen'!I376-'MOD-Berechnungen'!I377)/'MOD-Berechnungen'!I$186*100</f>
        <v>-7.6196695631972927E-2</v>
      </c>
      <c r="J101" s="99">
        <f>('MOD-Berechnungen'!J378+'MOD-Berechnungen'!J376-'MOD-Berechnungen'!J377)/'MOD-Berechnungen'!J$186*100</f>
        <v>-7.2646252065796002E-2</v>
      </c>
      <c r="K101" s="99">
        <f>('MOD-Berechnungen'!K378+'MOD-Berechnungen'!K376-'MOD-Berechnungen'!K377)/'MOD-Berechnungen'!K$186*100</f>
        <v>-0.15408666759749157</v>
      </c>
      <c r="L101" s="99">
        <f>('MOD-Berechnungen'!L378+'MOD-Berechnungen'!L376-'MOD-Berechnungen'!L377)/'MOD-Berechnungen'!L$186*100</f>
        <v>-0.19539192604954267</v>
      </c>
      <c r="M101" s="99">
        <f>('MOD-Berechnungen'!M378+'MOD-Berechnungen'!M376-'MOD-Berechnungen'!M377)/'MOD-Berechnungen'!M$186*100</f>
        <v>-0.23263388338516494</v>
      </c>
      <c r="N101" s="99">
        <f>('MOD-Berechnungen'!N378+'MOD-Berechnungen'!N376-'MOD-Berechnungen'!N377)/'MOD-Berechnungen'!N$186*100</f>
        <v>-0.17237399192742237</v>
      </c>
      <c r="O101" s="99">
        <f>('MOD-Berechnungen'!O378+'MOD-Berechnungen'!O376-'MOD-Berechnungen'!O377)/'MOD-Berechnungen'!O$186*100</f>
        <v>-0.1341210474154646</v>
      </c>
      <c r="P101" s="99">
        <f>('MOD-Berechnungen'!P378+'MOD-Berechnungen'!P376-'MOD-Berechnungen'!P377)/'MOD-Berechnungen'!P$186*100</f>
        <v>-8.0430990471640276E-2</v>
      </c>
      <c r="Q101" s="99">
        <f>('MOD-Berechnungen'!Q378+'MOD-Berechnungen'!Q376-'MOD-Berechnungen'!Q377)/'MOD-Berechnungen'!Q$186*100</f>
        <v>-8.2765793546279165E-2</v>
      </c>
      <c r="R101" s="99">
        <f>('MOD-Berechnungen'!R378+'MOD-Berechnungen'!R376-'MOD-Berechnungen'!R377)/'MOD-Berechnungen'!R$186*100</f>
        <v>-9.7346868626052616E-2</v>
      </c>
      <c r="S101" s="99">
        <f>('MOD-Berechnungen'!S378+'MOD-Berechnungen'!S376-'MOD-Berechnungen'!S377)/'MOD-Berechnungen'!S$186*100</f>
        <v>-9.7080061786660399E-2</v>
      </c>
      <c r="T101" s="99">
        <f>('MOD-Berechnungen'!T378+'MOD-Berechnungen'!T376-'MOD-Berechnungen'!T377)/'MOD-Berechnungen'!T$186*100</f>
        <v>-9.6097572635502587E-2</v>
      </c>
      <c r="U101" s="99">
        <f>('MOD-Berechnungen'!U378+'MOD-Berechnungen'!U376-'MOD-Berechnungen'!U377)/'MOD-Berechnungen'!U$186*100</f>
        <v>-9.0631928974791109E-2</v>
      </c>
      <c r="V101" s="99">
        <f>('MOD-Berechnungen'!V378+'MOD-Berechnungen'!V376-'MOD-Berechnungen'!V377)/'MOD-Berechnungen'!V$186*100</f>
        <v>-8.4422884983941709E-2</v>
      </c>
      <c r="W101" s="99">
        <f>('MOD-Berechnungen'!W378+'MOD-Berechnungen'!W376-'MOD-Berechnungen'!W377)/'MOD-Berechnungen'!W$186*100</f>
        <v>-7.6153635087647095E-2</v>
      </c>
      <c r="X101" s="99">
        <f>('MOD-Berechnungen'!X378+'MOD-Berechnungen'!X376-'MOD-Berechnungen'!X377)/'MOD-Berechnungen'!X$186*100</f>
        <v>-7.0432315385937416E-2</v>
      </c>
      <c r="Y101" s="99">
        <f>('MOD-Berechnungen'!Y378+'MOD-Berechnungen'!Y376-'MOD-Berechnungen'!Y377)/'MOD-Berechnungen'!Y$186*100</f>
        <v>-6.8601862898958088E-2</v>
      </c>
      <c r="Z101" s="99">
        <f>('MOD-Berechnungen'!Z378+'MOD-Berechnungen'!Z376-'MOD-Berechnungen'!Z377)/'MOD-Berechnungen'!Z$186*100</f>
        <v>-6.3619104480194602E-2</v>
      </c>
      <c r="AA101" s="99">
        <f>('MOD-Berechnungen'!AA378+'MOD-Berechnungen'!AA376-'MOD-Berechnungen'!AA377)/'MOD-Berechnungen'!AA$186*100</f>
        <v>-5.5064022185168385E-2</v>
      </c>
      <c r="AB101" s="99">
        <f>('MOD-Berechnungen'!AB378+'MOD-Berechnungen'!AB376-'MOD-Berechnungen'!AB377)/'MOD-Berechnungen'!AB$186*100</f>
        <v>-3.9360131755578946E-2</v>
      </c>
      <c r="AC101" s="99">
        <f>('MOD-Berechnungen'!AC378+'MOD-Berechnungen'!AC376-'MOD-Berechnungen'!AC377)/'MOD-Berechnungen'!AC$186*100</f>
        <v>-3.7710513002152932E-2</v>
      </c>
      <c r="AD101" s="99">
        <f>('MOD-Berechnungen'!AD378+'MOD-Berechnungen'!AD376-'MOD-Berechnungen'!AD377)/'MOD-Berechnungen'!AD$186*100</f>
        <v>-3.5493361589093185E-2</v>
      </c>
      <c r="AE101" s="584">
        <f>('MOD-Berechnungen'!AE378+'MOD-Berechnungen'!AE376-'MOD-Berechnungen'!AE377)/'MOD-Berechnungen'!AE$186*100</f>
        <v>-3.5646249082427896E-2</v>
      </c>
      <c r="AF101" s="928"/>
      <c r="AG101" s="928" t="s">
        <v>153</v>
      </c>
      <c r="AH101" s="1244" t="s">
        <v>751</v>
      </c>
    </row>
    <row r="102" spans="1:34" s="294" customFormat="1">
      <c r="A102" s="553">
        <v>101</v>
      </c>
      <c r="C102" s="10"/>
      <c r="D102" s="29"/>
      <c r="E102" s="298" t="s">
        <v>702</v>
      </c>
      <c r="F102" s="100">
        <f>'MOD-Berechnungen'!F379/'MOD-Berechnungen'!F$186*100</f>
        <v>3.149123966277187</v>
      </c>
      <c r="G102" s="100">
        <f>'MOD-Berechnungen'!G379/'MOD-Berechnungen'!G$186*100</f>
        <v>4.1888003025421927</v>
      </c>
      <c r="H102" s="100">
        <f>'MOD-Berechnungen'!H379/'MOD-Berechnungen'!H$186*100</f>
        <v>4.8064331813660583</v>
      </c>
      <c r="I102" s="100">
        <f>'MOD-Berechnungen'!I379/'MOD-Berechnungen'!I$186*100</f>
        <v>5.8986442334188212</v>
      </c>
      <c r="J102" s="100">
        <f>'MOD-Berechnungen'!J379/'MOD-Berechnungen'!J$186*100</f>
        <v>6.6832122779814043</v>
      </c>
      <c r="K102" s="100">
        <f>'MOD-Berechnungen'!K379/'MOD-Berechnungen'!K$186*100</f>
        <v>7.2605747709420232</v>
      </c>
      <c r="L102" s="100">
        <f>'MOD-Berechnungen'!L379/'MOD-Berechnungen'!L$186*100</f>
        <v>7.2651634727558241</v>
      </c>
      <c r="M102" s="100">
        <f>'MOD-Berechnungen'!M379/'MOD-Berechnungen'!M$186*100</f>
        <v>7.2945220235633075</v>
      </c>
      <c r="N102" s="100">
        <f>'MOD-Berechnungen'!N379/'MOD-Berechnungen'!N$186*100</f>
        <v>7.3262240696841623</v>
      </c>
      <c r="O102" s="100">
        <f>'MOD-Berechnungen'!O379/'MOD-Berechnungen'!O$186*100</f>
        <v>7.2304552480362698</v>
      </c>
      <c r="P102" s="100">
        <f>'MOD-Berechnungen'!P379/'MOD-Berechnungen'!P$186*100</f>
        <v>7.0668251307150873</v>
      </c>
      <c r="Q102" s="100">
        <f>'MOD-Berechnungen'!Q379/'MOD-Berechnungen'!Q$186*100</f>
        <v>7.2119900040302625</v>
      </c>
      <c r="R102" s="100">
        <f>'MOD-Berechnungen'!R379/'MOD-Berechnungen'!R$186*100</f>
        <v>7.0551581431323172</v>
      </c>
      <c r="S102" s="100">
        <f>'MOD-Berechnungen'!S379/'MOD-Berechnungen'!S$186*100</f>
        <v>6.8742755240380555</v>
      </c>
      <c r="T102" s="100">
        <f>'MOD-Berechnungen'!T379/'MOD-Berechnungen'!T$186*100</f>
        <v>6.7150491559820242</v>
      </c>
      <c r="U102" s="100">
        <f>'MOD-Berechnungen'!U379/'MOD-Berechnungen'!U$186*100</f>
        <v>6.3707577818056675</v>
      </c>
      <c r="V102" s="100">
        <f>'MOD-Berechnungen'!V379/'MOD-Berechnungen'!V$186*100</f>
        <v>5.8794727155137121</v>
      </c>
      <c r="W102" s="100">
        <f>'MOD-Berechnungen'!W379/'MOD-Berechnungen'!W$186*100</f>
        <v>5.3912271787399693</v>
      </c>
      <c r="X102" s="100">
        <f>'MOD-Berechnungen'!X379/'MOD-Berechnungen'!X$186*100</f>
        <v>4.886251526793699</v>
      </c>
      <c r="Y102" s="100">
        <f>'MOD-Berechnungen'!Y379/'MOD-Berechnungen'!Y$186*100</f>
        <v>4.463317885918479</v>
      </c>
      <c r="Z102" s="100">
        <f>'MOD-Berechnungen'!Z379/'MOD-Berechnungen'!Z$186*100</f>
        <v>3.6741282866765723</v>
      </c>
      <c r="AA102" s="100">
        <f>'MOD-Berechnungen'!AA379/'MOD-Berechnungen'!AA$186*100</f>
        <v>2.5849247015331804</v>
      </c>
      <c r="AB102" s="100">
        <f>'MOD-Berechnungen'!AB379/'MOD-Berechnungen'!AB$186*100</f>
        <v>1.433032964998753</v>
      </c>
      <c r="AC102" s="100">
        <f>'MOD-Berechnungen'!AC379/'MOD-Berechnungen'!AC$186*100</f>
        <v>0.79368336817599949</v>
      </c>
      <c r="AD102" s="100">
        <f>'MOD-Berechnungen'!AD379/'MOD-Berechnungen'!AD$186*100</f>
        <v>0.50532344728518275</v>
      </c>
      <c r="AE102" s="585">
        <f>'MOD-Berechnungen'!AE379/'MOD-Berechnungen'!AE$186*100</f>
        <v>0.24460911425248719</v>
      </c>
      <c r="AF102" s="928"/>
      <c r="AG102" s="928" t="s">
        <v>149</v>
      </c>
      <c r="AH102" s="559"/>
    </row>
    <row r="103" spans="1:34" s="294" customFormat="1">
      <c r="A103" s="553">
        <v>102</v>
      </c>
      <c r="C103" s="10"/>
      <c r="D103" s="29"/>
      <c r="E103" s="196" t="s">
        <v>703</v>
      </c>
      <c r="F103" s="101">
        <f t="shared" ref="F103:AE103" si="5">F8</f>
        <v>2.0469999999999997</v>
      </c>
      <c r="G103" s="101">
        <f t="shared" si="5"/>
        <v>3.5300000000000007</v>
      </c>
      <c r="H103" s="101">
        <f t="shared" si="5"/>
        <v>3.5920000000000005</v>
      </c>
      <c r="I103" s="101">
        <f t="shared" si="5"/>
        <v>5.2769999999999992</v>
      </c>
      <c r="J103" s="101">
        <f t="shared" si="5"/>
        <v>6.2399999999999993</v>
      </c>
      <c r="K103" s="101">
        <f t="shared" si="5"/>
        <v>6.17</v>
      </c>
      <c r="L103" s="101">
        <f t="shared" si="5"/>
        <v>6.3394923951914501</v>
      </c>
      <c r="M103" s="101">
        <f t="shared" si="5"/>
        <v>6.862870744991362</v>
      </c>
      <c r="N103" s="101">
        <f t="shared" si="5"/>
        <v>6.7807438583746604</v>
      </c>
      <c r="O103" s="101">
        <f t="shared" si="5"/>
        <v>6.405925003395339</v>
      </c>
      <c r="P103" s="101">
        <f t="shared" si="5"/>
        <v>6.7560731885971812</v>
      </c>
      <c r="Q103" s="101">
        <f t="shared" si="5"/>
        <v>6.5003634995875341</v>
      </c>
      <c r="R103" s="101">
        <f t="shared" si="5"/>
        <v>5.999829931707656</v>
      </c>
      <c r="S103" s="101">
        <f t="shared" si="5"/>
        <v>5.7540581975897345</v>
      </c>
      <c r="T103" s="101">
        <f t="shared" si="5"/>
        <v>5.6173863183219579</v>
      </c>
      <c r="U103" s="101">
        <f t="shared" si="5"/>
        <v>5.1106041596116398</v>
      </c>
      <c r="V103" s="101">
        <f t="shared" si="5"/>
        <v>4.6618439243304826</v>
      </c>
      <c r="W103" s="101">
        <f t="shared" si="5"/>
        <v>4.0727911568283961</v>
      </c>
      <c r="X103" s="101">
        <f t="shared" si="5"/>
        <v>3.6215750816789316</v>
      </c>
      <c r="Y103" s="101">
        <f t="shared" si="5"/>
        <v>3.1227738888994274</v>
      </c>
      <c r="Z103" s="101">
        <f t="shared" si="5"/>
        <v>2.5242573906001367</v>
      </c>
      <c r="AA103" s="101">
        <f t="shared" si="5"/>
        <v>1.6544335601121409</v>
      </c>
      <c r="AB103" s="101">
        <f t="shared" si="5"/>
        <v>0.82320329708978601</v>
      </c>
      <c r="AC103" s="101">
        <f t="shared" si="5"/>
        <v>0.39530094707806102</v>
      </c>
      <c r="AD103" s="101">
        <f t="shared" si="5"/>
        <v>0.21676830628474378</v>
      </c>
      <c r="AE103" s="1022">
        <f t="shared" si="5"/>
        <v>0.54192582780461751</v>
      </c>
      <c r="AF103" s="928"/>
      <c r="AG103" s="928"/>
      <c r="AH103" s="559"/>
    </row>
    <row r="104" spans="1:34" s="294" customFormat="1">
      <c r="A104" s="553">
        <v>103</v>
      </c>
      <c r="C104" s="10"/>
      <c r="D104" s="29"/>
      <c r="E104" s="196" t="s">
        <v>704</v>
      </c>
      <c r="F104" s="101">
        <f>'MOD-Berechnungen'!F399</f>
        <v>2.0469999999999997</v>
      </c>
      <c r="G104" s="101">
        <f>'MOD-Berechnungen'!G399</f>
        <v>3.5300000000000007</v>
      </c>
      <c r="H104" s="101">
        <f>'MOD-Berechnungen'!H399</f>
        <v>3.5920000000000005</v>
      </c>
      <c r="I104" s="101">
        <f>'MOD-Berechnungen'!I399</f>
        <v>5.2769999999999992</v>
      </c>
      <c r="J104" s="101">
        <f>'MOD-Berechnungen'!J399</f>
        <v>6.2399999999999993</v>
      </c>
      <c r="K104" s="101">
        <f>'MOD-Berechnungen'!K399</f>
        <v>6.17</v>
      </c>
      <c r="L104" s="101">
        <f>'MOD-Berechnungen'!L399</f>
        <v>6.3394923951914501</v>
      </c>
      <c r="M104" s="101">
        <f>'MOD-Berechnungen'!M399</f>
        <v>6.862870744991362</v>
      </c>
      <c r="N104" s="101">
        <f>'MOD-Berechnungen'!N399</f>
        <v>6.7807438583746604</v>
      </c>
      <c r="O104" s="101">
        <f>'MOD-Berechnungen'!O399</f>
        <v>6.405925003395339</v>
      </c>
      <c r="P104" s="101">
        <f>'MOD-Berechnungen'!P399</f>
        <v>6.7560731885971812</v>
      </c>
      <c r="Q104" s="101">
        <f>'MOD-Berechnungen'!Q399</f>
        <v>6.5003634995875359</v>
      </c>
      <c r="R104" s="101">
        <f>'MOD-Berechnungen'!R399</f>
        <v>6.3455464049513157</v>
      </c>
      <c r="S104" s="101">
        <f>'MOD-Berechnungen'!S399</f>
        <v>5.7377594551042073</v>
      </c>
      <c r="T104" s="101">
        <f>'MOD-Berechnungen'!T399</f>
        <v>5.5978679128930713</v>
      </c>
      <c r="U104" s="101">
        <f>'MOD-Berechnungen'!U399</f>
        <v>5.0894537215159117</v>
      </c>
      <c r="V104" s="101">
        <f>'MOD-Berechnungen'!V399</f>
        <v>4.6385294957784931</v>
      </c>
      <c r="W104" s="101">
        <f>'MOD-Berechnungen'!W399</f>
        <v>4.0472663312227866</v>
      </c>
      <c r="X104" s="101">
        <f>'MOD-Berechnungen'!X399</f>
        <v>3.5942292522672457</v>
      </c>
      <c r="Y104" s="101">
        <f>'MOD-Berechnungen'!Y399</f>
        <v>3.0939960732966507</v>
      </c>
      <c r="Z104" s="101">
        <f>'MOD-Berechnungen'!Z399</f>
        <v>2.4944400473394257</v>
      </c>
      <c r="AA104" s="101">
        <f>'MOD-Berechnungen'!AA399</f>
        <v>1.6239565889944165</v>
      </c>
      <c r="AB104" s="101">
        <f>'MOD-Berechnungen'!AB399</f>
        <v>0.7924471987414281</v>
      </c>
      <c r="AC104" s="101">
        <f>'MOD-Berechnungen'!AC399</f>
        <v>0.36462549858475624</v>
      </c>
      <c r="AD104" s="101">
        <f>'MOD-Berechnungen'!AD399</f>
        <v>0.18655001507974711</v>
      </c>
      <c r="AE104" s="1022">
        <f>'MOD-Berechnungen'!AE399</f>
        <v>0.51203044585412305</v>
      </c>
      <c r="AF104" s="928"/>
      <c r="AG104" s="928"/>
      <c r="AH104" s="559"/>
    </row>
    <row r="105" spans="1:34" s="294" customFormat="1">
      <c r="A105" s="553">
        <v>104</v>
      </c>
      <c r="C105" s="10"/>
      <c r="D105" s="29"/>
      <c r="E105" s="192"/>
      <c r="G105" s="324"/>
      <c r="H105" s="324"/>
      <c r="I105" s="324"/>
      <c r="J105" s="324"/>
      <c r="K105" s="324"/>
      <c r="L105" s="516"/>
      <c r="M105" s="324"/>
      <c r="N105" s="324"/>
      <c r="O105" s="324"/>
      <c r="P105" s="324"/>
      <c r="Q105" s="324"/>
      <c r="R105" s="324"/>
      <c r="S105" s="324"/>
      <c r="T105" s="324"/>
      <c r="U105" s="324"/>
      <c r="V105" s="324"/>
      <c r="W105" s="324"/>
      <c r="X105" s="324"/>
      <c r="Y105" s="324"/>
      <c r="Z105" s="324"/>
      <c r="AA105" s="324"/>
      <c r="AB105" s="324"/>
      <c r="AC105" s="324"/>
      <c r="AD105" s="324"/>
      <c r="AE105" s="324"/>
      <c r="AF105" s="928" t="s">
        <v>153</v>
      </c>
      <c r="AG105" s="928"/>
      <c r="AH105" s="559"/>
    </row>
    <row r="106" spans="1:34" s="294" customFormat="1">
      <c r="A106" s="553">
        <v>105</v>
      </c>
      <c r="C106" s="10"/>
      <c r="D106" s="29"/>
      <c r="E106" s="192" t="s">
        <v>705</v>
      </c>
      <c r="G106" s="324"/>
      <c r="H106" s="324"/>
      <c r="I106" s="324"/>
      <c r="J106" s="324"/>
      <c r="K106" s="324"/>
      <c r="L106" s="516"/>
      <c r="M106" s="324"/>
      <c r="N106" s="324"/>
      <c r="O106" s="324"/>
      <c r="P106" s="324"/>
      <c r="Q106" s="324"/>
      <c r="R106" s="324"/>
      <c r="S106" s="324"/>
      <c r="T106" s="324"/>
      <c r="U106" s="324"/>
      <c r="V106" s="324"/>
      <c r="W106" s="324"/>
      <c r="X106" s="324"/>
      <c r="Y106" s="324"/>
      <c r="Z106" s="324"/>
      <c r="AA106" s="324"/>
      <c r="AB106" s="324"/>
      <c r="AC106" s="324"/>
      <c r="AD106" s="324"/>
      <c r="AE106" s="324"/>
      <c r="AF106" s="928" t="s">
        <v>153</v>
      </c>
      <c r="AG106" s="928"/>
      <c r="AH106" s="559"/>
    </row>
    <row r="107" spans="1:34" s="294" customFormat="1" ht="39.6">
      <c r="A107" s="553">
        <v>106</v>
      </c>
      <c r="C107" s="10"/>
      <c r="D107" s="29"/>
      <c r="E107" s="513" t="s">
        <v>697</v>
      </c>
      <c r="F107" s="98">
        <f>F96/'MOD-Berechnungen'!F$26</f>
        <v>0</v>
      </c>
      <c r="G107" s="98">
        <f>G96/'MOD-Berechnungen'!G$26</f>
        <v>0</v>
      </c>
      <c r="H107" s="98">
        <f>H96/'MOD-Berechnungen'!H$26</f>
        <v>0</v>
      </c>
      <c r="I107" s="98">
        <f>I96/'MOD-Berechnungen'!I$26</f>
        <v>0</v>
      </c>
      <c r="J107" s="98">
        <f>J96/'MOD-Berechnungen'!J$26</f>
        <v>0</v>
      </c>
      <c r="K107" s="98">
        <f>K96/'MOD-Berechnungen'!K$26</f>
        <v>0.29653870416817446</v>
      </c>
      <c r="L107" s="98">
        <f>L96/'MOD-Berechnungen'!L$26</f>
        <v>0.78214091766564153</v>
      </c>
      <c r="M107" s="98">
        <f>M96/'MOD-Berechnungen'!M$26</f>
        <v>1.3192350679315084</v>
      </c>
      <c r="N107" s="98">
        <f>N96/'MOD-Berechnungen'!N$26</f>
        <v>1.7934990254328811</v>
      </c>
      <c r="O107" s="98">
        <f>O96/'MOD-Berechnungen'!O$26</f>
        <v>2.1503133959669327</v>
      </c>
      <c r="P107" s="98">
        <f>P96/'MOD-Berechnungen'!P$26</f>
        <v>2.3841528184769496</v>
      </c>
      <c r="Q107" s="98">
        <f>Q96/'MOD-Berechnungen'!Q$26</f>
        <v>2.6044775957683899</v>
      </c>
      <c r="R107" s="98">
        <f>R96/'MOD-Berechnungen'!R$26</f>
        <v>2.7684361443256766</v>
      </c>
      <c r="S107" s="98">
        <f>S96/'MOD-Berechnungen'!S$26</f>
        <v>2.9424458825927249</v>
      </c>
      <c r="T107" s="98">
        <f>T96/'MOD-Berechnungen'!T$26</f>
        <v>3.0555259899421467</v>
      </c>
      <c r="U107" s="98">
        <f>U96/'MOD-Berechnungen'!U$26</f>
        <v>3.1912728955662608</v>
      </c>
      <c r="V107" s="98">
        <f>V96/'MOD-Berechnungen'!V$26</f>
        <v>3.2791999049289591</v>
      </c>
      <c r="W107" s="98">
        <f>W96/'MOD-Berechnungen'!W$26</f>
        <v>3.2348160000703667</v>
      </c>
      <c r="X107" s="98">
        <f>X96/'MOD-Berechnungen'!X$26</f>
        <v>3.3421409343241431</v>
      </c>
      <c r="Y107" s="98">
        <f>Y96/'MOD-Berechnungen'!Y$26</f>
        <v>3.3787943861281136</v>
      </c>
      <c r="Z107" s="98">
        <f>Z96/'MOD-Berechnungen'!Z$26</f>
        <v>3.5470258909721912</v>
      </c>
      <c r="AA107" s="98">
        <f>AA96/'MOD-Berechnungen'!AA$26</f>
        <v>3.709711126897433</v>
      </c>
      <c r="AB107" s="98">
        <f>AB96/'MOD-Berechnungen'!AB$26</f>
        <v>3.8686081266190944</v>
      </c>
      <c r="AC107" s="98">
        <f>AC96/'MOD-Berechnungen'!AC$26</f>
        <v>4.0223514207060864</v>
      </c>
      <c r="AD107" s="98">
        <f>AD96/'MOD-Berechnungen'!AD$26</f>
        <v>4.0966096016637659</v>
      </c>
      <c r="AE107" s="583">
        <f>AE96/'MOD-Berechnungen'!AE$26</f>
        <v>4.1565100747891872</v>
      </c>
      <c r="AF107" s="928" t="s">
        <v>153</v>
      </c>
      <c r="AG107" s="928" t="s">
        <v>153</v>
      </c>
      <c r="AH107" s="945" t="s">
        <v>752</v>
      </c>
    </row>
    <row r="108" spans="1:34" s="294" customFormat="1" ht="39.6">
      <c r="A108" s="553">
        <v>107</v>
      </c>
      <c r="C108" s="10"/>
      <c r="D108" s="29"/>
      <c r="E108" s="487" t="s">
        <v>698</v>
      </c>
      <c r="F108" s="99">
        <f>F97/'MOD-Berechnungen'!F$26</f>
        <v>-1.2841836193198106</v>
      </c>
      <c r="G108" s="99">
        <f>G97/'MOD-Berechnungen'!G$26</f>
        <v>-1.2959773563577139</v>
      </c>
      <c r="H108" s="99">
        <f>H97/'MOD-Berechnungen'!H$26</f>
        <v>-1.632154567062067</v>
      </c>
      <c r="I108" s="99">
        <f>I97/'MOD-Berechnungen'!I$26</f>
        <v>-1.7811290808478459</v>
      </c>
      <c r="J108" s="99">
        <f>J97/'MOD-Berechnungen'!J$26</f>
        <v>-1.5837871257189027</v>
      </c>
      <c r="K108" s="99">
        <f>K97/'MOD-Berechnungen'!K$26</f>
        <v>-1.5435331417325682</v>
      </c>
      <c r="L108" s="99">
        <f>L97/'MOD-Berechnungen'!L$26</f>
        <v>-1.4960566658038876</v>
      </c>
      <c r="M108" s="99">
        <f>M97/'MOD-Berechnungen'!M$26</f>
        <v>-1.3877115266578477</v>
      </c>
      <c r="N108" s="99">
        <f>N97/'MOD-Berechnungen'!N$26</f>
        <v>-1.6591603912988371</v>
      </c>
      <c r="O108" s="99">
        <f>O97/'MOD-Berechnungen'!O$26</f>
        <v>-2.2332264426115942</v>
      </c>
      <c r="P108" s="99">
        <f>P97/'MOD-Berechnungen'!P$26</f>
        <v>-2.539085556155213</v>
      </c>
      <c r="Q108" s="99">
        <f>Q97/'MOD-Berechnungen'!Q$26</f>
        <v>-2.0608635400411224</v>
      </c>
      <c r="R108" s="99">
        <f>R97/'MOD-Berechnungen'!R$26</f>
        <v>-2.6134070323702616</v>
      </c>
      <c r="S108" s="99">
        <f>S97/'MOD-Berechnungen'!S$26</f>
        <v>-2.7861630297290287</v>
      </c>
      <c r="T108" s="99">
        <f>T97/'MOD-Berechnungen'!T$26</f>
        <v>-2.9019026283912766</v>
      </c>
      <c r="U108" s="99">
        <f>U97/'MOD-Berechnungen'!U$26</f>
        <v>-3.1925152368340859</v>
      </c>
      <c r="V108" s="99">
        <f>V97/'MOD-Berechnungen'!V$26</f>
        <v>-3.2827506755530664</v>
      </c>
      <c r="W108" s="99">
        <f>W97/'MOD-Berechnungen'!W$26</f>
        <v>-3.3459865013468937</v>
      </c>
      <c r="X108" s="99">
        <f>X97/'MOD-Berechnungen'!X$26</f>
        <v>-3.4284257754608025</v>
      </c>
      <c r="Y108" s="99">
        <f>Y97/'MOD-Berechnungen'!Y$26</f>
        <v>-3.5444169933928369</v>
      </c>
      <c r="Z108" s="99">
        <f>Z97/'MOD-Berechnungen'!Z$26</f>
        <v>-3.5633809054043786</v>
      </c>
      <c r="AA108" s="99">
        <f>AA97/'MOD-Berechnungen'!AA$26</f>
        <v>-3.5427535192237101</v>
      </c>
      <c r="AB108" s="99">
        <f>AB97/'MOD-Berechnungen'!AB$26</f>
        <v>-3.4548930547104173</v>
      </c>
      <c r="AC108" s="99">
        <f>AC97/'MOD-Berechnungen'!AC$26</f>
        <v>-3.4580543763963223</v>
      </c>
      <c r="AD108" s="99">
        <f>AD97/'MOD-Berechnungen'!AD$26</f>
        <v>-3.4704139499479507</v>
      </c>
      <c r="AE108" s="584">
        <f>AE97/'MOD-Berechnungen'!AE$26</f>
        <v>-3.100012696963252</v>
      </c>
      <c r="AF108" s="928" t="s">
        <v>153</v>
      </c>
      <c r="AG108" s="928" t="s">
        <v>153</v>
      </c>
      <c r="AH108" s="559"/>
    </row>
    <row r="109" spans="1:34" s="294" customFormat="1">
      <c r="A109" s="553">
        <v>108</v>
      </c>
      <c r="C109" s="10"/>
      <c r="D109" s="29"/>
      <c r="E109" s="16" t="s">
        <v>699</v>
      </c>
      <c r="F109" s="99">
        <f>F98/'MOD-Berechnungen'!F$26</f>
        <v>0</v>
      </c>
      <c r="G109" s="99">
        <f>G98/'MOD-Berechnungen'!G$26</f>
        <v>0</v>
      </c>
      <c r="H109" s="99">
        <f>H98/'MOD-Berechnungen'!H$26</f>
        <v>0.10995521868002409</v>
      </c>
      <c r="I109" s="99">
        <f>I98/'MOD-Berechnungen'!I$26</f>
        <v>0.45662486947279157</v>
      </c>
      <c r="J109" s="99">
        <f>J98/'MOD-Berechnungen'!J$26</f>
        <v>0.55592589151941485</v>
      </c>
      <c r="K109" s="99">
        <f>K98/'MOD-Berechnungen'!K$26</f>
        <v>0.64197538156647438</v>
      </c>
      <c r="L109" s="99">
        <f>L98/'MOD-Berechnungen'!L$26</f>
        <v>0.67852050387681406</v>
      </c>
      <c r="M109" s="99">
        <f>M98/'MOD-Berechnungen'!M$26</f>
        <v>0.43906468179385399</v>
      </c>
      <c r="N109" s="99">
        <f>N98/'MOD-Berechnungen'!N$26</f>
        <v>0.45048705493132424</v>
      </c>
      <c r="O109" s="99">
        <f>O98/'MOD-Berechnungen'!O$26</f>
        <v>0.42719197001912729</v>
      </c>
      <c r="P109" s="99">
        <f>P98/'MOD-Berechnungen'!P$26</f>
        <v>0.54603990988413686</v>
      </c>
      <c r="Q109" s="99">
        <f>Q98/'MOD-Berechnungen'!Q$26</f>
        <v>0.75691962815771241</v>
      </c>
      <c r="R109" s="99">
        <f>R98/'MOD-Berechnungen'!R$26</f>
        <v>0.41452262222546721</v>
      </c>
      <c r="S109" s="99">
        <f>S98/'MOD-Berechnungen'!S$26</f>
        <v>0.39824580259915604</v>
      </c>
      <c r="T109" s="99">
        <f>T98/'MOD-Berechnungen'!T$26</f>
        <v>0.38339370986467852</v>
      </c>
      <c r="U109" s="99">
        <f>U98/'MOD-Berechnungen'!U$26</f>
        <v>0.34970095958816017</v>
      </c>
      <c r="V109" s="99">
        <f>V98/'MOD-Berechnungen'!V$26</f>
        <v>0.31777600842833476</v>
      </c>
      <c r="W109" s="99">
        <f>W98/'MOD-Berechnungen'!W$26</f>
        <v>0.28067118935230684</v>
      </c>
      <c r="X109" s="99">
        <f>X98/'MOD-Berechnungen'!X$26</f>
        <v>0.25132628658267053</v>
      </c>
      <c r="Y109" s="99">
        <f>Y98/'MOD-Berechnungen'!Y$26</f>
        <v>0.22067771546052245</v>
      </c>
      <c r="Z109" s="99">
        <f>Z98/'MOD-Berechnungen'!Z$26</f>
        <v>0.18568214626190963</v>
      </c>
      <c r="AA109" s="99">
        <f>AA98/'MOD-Berechnungen'!AA$26</f>
        <v>0.13887842482790758</v>
      </c>
      <c r="AB109" s="99">
        <f>AB98/'MOD-Berechnungen'!AB$26</f>
        <v>9.4761929992235344E-2</v>
      </c>
      <c r="AC109" s="99">
        <f>AC98/'MOD-Berechnungen'!AC$26</f>
        <v>7.1234346049428549E-2</v>
      </c>
      <c r="AD109" s="99">
        <f>AD98/'MOD-Berechnungen'!AD$26</f>
        <v>6.0457612039690592E-2</v>
      </c>
      <c r="AE109" s="584">
        <f>AE98/'MOD-Berechnungen'!AE$26</f>
        <v>7.3418198400148377E-2</v>
      </c>
      <c r="AF109" s="928" t="s">
        <v>153</v>
      </c>
      <c r="AG109" s="928" t="s">
        <v>153</v>
      </c>
      <c r="AH109" s="559"/>
    </row>
    <row r="110" spans="1:34" s="294" customFormat="1">
      <c r="A110" s="553">
        <v>109</v>
      </c>
      <c r="C110" s="10"/>
      <c r="D110" s="29"/>
      <c r="E110" s="16" t="s">
        <v>700</v>
      </c>
      <c r="F110" s="99">
        <f>F99/'MOD-Berechnungen'!F$26</f>
        <v>0</v>
      </c>
      <c r="G110" s="99">
        <f>G99/'MOD-Berechnungen'!G$26</f>
        <v>0.3081637724942754</v>
      </c>
      <c r="H110" s="99">
        <f>H99/'MOD-Berechnungen'!H$26</f>
        <v>0.19975685435162974</v>
      </c>
      <c r="I110" s="99">
        <f>I99/'MOD-Berechnungen'!I$26</f>
        <v>0.73032554690669904</v>
      </c>
      <c r="J110" s="99">
        <f>J99/'MOD-Berechnungen'!J$26</f>
        <v>0.6272341340776475</v>
      </c>
      <c r="K110" s="99">
        <f>K99/'MOD-Berechnungen'!K$26</f>
        <v>-0.41488689326462508</v>
      </c>
      <c r="L110" s="99">
        <f>L99/'MOD-Berechnungen'!L$26</f>
        <v>-0.73521938492437355</v>
      </c>
      <c r="M110" s="99">
        <f>M99/'MOD-Berechnungen'!M$26</f>
        <v>-0.58045384990048321</v>
      </c>
      <c r="N110" s="99">
        <f>N99/'MOD-Berechnungen'!N$26</f>
        <v>-0.9729127956260295</v>
      </c>
      <c r="O110" s="99">
        <f>O99/'MOD-Berechnungen'!O$26</f>
        <v>-1.0450442585583137</v>
      </c>
      <c r="P110" s="99">
        <f>P99/'MOD-Berechnungen'!P$26</f>
        <v>-0.61546559483866781</v>
      </c>
      <c r="Q110" s="99">
        <f>Q99/'MOD-Berechnungen'!Q$26</f>
        <v>1.1669986282966083</v>
      </c>
      <c r="R110" s="99">
        <f>R99/'MOD-Berechnungen'!R$26</f>
        <v>0</v>
      </c>
      <c r="S110" s="99">
        <f>S99/'MOD-Berechnungen'!S$26</f>
        <v>-0.15113044473538992</v>
      </c>
      <c r="T110" s="99">
        <f>T99/'MOD-Berechnungen'!T$26</f>
        <v>-0.11821071614292863</v>
      </c>
      <c r="U110" s="99">
        <f>U99/'MOD-Berechnungen'!U$26</f>
        <v>-9.1916960901832975E-2</v>
      </c>
      <c r="V110" s="99">
        <f>V99/'MOD-Berechnungen'!V$26</f>
        <v>-3.0004739876750092E-2</v>
      </c>
      <c r="W110" s="99">
        <f>W99/'MOD-Berechnungen'!W$26</f>
        <v>1.034466436109218E-2</v>
      </c>
      <c r="X110" s="99">
        <f>X99/'MOD-Berechnungen'!X$26</f>
        <v>5.3128667992820976E-2</v>
      </c>
      <c r="Y110" s="99">
        <f>Y99/'MOD-Berechnungen'!Y$26</f>
        <v>9.0124500659959292E-2</v>
      </c>
      <c r="Z110" s="99">
        <f>Z99/'MOD-Berechnungen'!Z$26</f>
        <v>0.13166757653934358</v>
      </c>
      <c r="AA110" s="99">
        <f>AA99/'MOD-Berechnungen'!AA$26</f>
        <v>0.16797881080018803</v>
      </c>
      <c r="AB110" s="99">
        <f>AB99/'MOD-Berechnungen'!AB$26</f>
        <v>0.21201432214788046</v>
      </c>
      <c r="AC110" s="99">
        <f>AC99/'MOD-Berechnungen'!AC$26</f>
        <v>0.24696130932366925</v>
      </c>
      <c r="AD110" s="99">
        <f>AD99/'MOD-Berechnungen'!AD$26</f>
        <v>0.27050789306529843</v>
      </c>
      <c r="AE110" s="584">
        <f>AE99/'MOD-Berechnungen'!AE$26</f>
        <v>0.2824303909116424</v>
      </c>
      <c r="AF110" s="928" t="s">
        <v>153</v>
      </c>
      <c r="AG110" s="928" t="s">
        <v>153</v>
      </c>
      <c r="AH110" s="559"/>
    </row>
    <row r="111" spans="1:34" s="294" customFormat="1">
      <c r="A111" s="553">
        <v>109</v>
      </c>
      <c r="C111" s="10"/>
      <c r="D111" s="29"/>
      <c r="E111" s="16" t="s">
        <v>426</v>
      </c>
      <c r="F111" s="99">
        <f>F100/'MOD-Berechnungen'!F$26</f>
        <v>0</v>
      </c>
      <c r="G111" s="99">
        <f>G100/'MOD-Berechnungen'!G$26</f>
        <v>0</v>
      </c>
      <c r="H111" s="99">
        <f>H100/'MOD-Berechnungen'!H$26</f>
        <v>0</v>
      </c>
      <c r="I111" s="99">
        <f>I100/'MOD-Berechnungen'!I$26</f>
        <v>0</v>
      </c>
      <c r="J111" s="99">
        <f>J100/'MOD-Berechnungen'!J$26</f>
        <v>0</v>
      </c>
      <c r="K111" s="99">
        <f>K100/'MOD-Berechnungen'!K$26</f>
        <v>0</v>
      </c>
      <c r="L111" s="99">
        <f>L100/'MOD-Berechnungen'!L$26</f>
        <v>0</v>
      </c>
      <c r="M111" s="99">
        <f>M100/'MOD-Berechnungen'!M$26</f>
        <v>0</v>
      </c>
      <c r="N111" s="99">
        <f>N100/'MOD-Berechnungen'!N$26</f>
        <v>0</v>
      </c>
      <c r="O111" s="99">
        <f>O100/'MOD-Berechnungen'!O$26</f>
        <v>0</v>
      </c>
      <c r="P111" s="99">
        <f>P100/'MOD-Berechnungen'!P$26</f>
        <v>0</v>
      </c>
      <c r="Q111" s="99">
        <f>Q100/'MOD-Berechnungen'!Q$26</f>
        <v>-3.0888155236594872</v>
      </c>
      <c r="R111" s="99">
        <f>R100/'MOD-Berechnungen'!R$26</f>
        <v>-1.1638538230983018</v>
      </c>
      <c r="S111" s="99">
        <f>S100/'MOD-Berechnungen'!S$26</f>
        <v>-1.3974285282686361</v>
      </c>
      <c r="T111" s="99">
        <f>T100/'MOD-Berechnungen'!T$26</f>
        <v>-1.380855287377148</v>
      </c>
      <c r="U111" s="99">
        <f>U100/'MOD-Berechnungen'!U$26</f>
        <v>-1.3617953574843591</v>
      </c>
      <c r="V111" s="99">
        <f>V100/'MOD-Berechnungen'!V$26</f>
        <v>-1.3419071405624146</v>
      </c>
      <c r="W111" s="99">
        <f>W100/'MOD-Berechnungen'!W$26</f>
        <v>-1.322173616225325</v>
      </c>
      <c r="X111" s="99">
        <f>X100/'MOD-Berechnungen'!X$26</f>
        <v>-1.3025891088914625</v>
      </c>
      <c r="Y111" s="99">
        <f>Y100/'MOD-Berechnungen'!Y$26</f>
        <v>-1.2827791835541364</v>
      </c>
      <c r="Z111" s="99">
        <f>Z100/'MOD-Berechnungen'!Z$26</f>
        <v>-1.2626749102118291</v>
      </c>
      <c r="AA111" s="99">
        <f>AA100/'MOD-Berechnungen'!AA$26</f>
        <v>-1.2428669317163874</v>
      </c>
      <c r="AB111" s="99">
        <f>AB100/'MOD-Berechnungen'!AB$26</f>
        <v>-1.2233488824671328</v>
      </c>
      <c r="AC111" s="99">
        <f>AC100/'MOD-Berechnungen'!AC$26</f>
        <v>-1.2049734944051553</v>
      </c>
      <c r="AD111" s="99">
        <f>AD100/'MOD-Berechnungen'!AD$26</f>
        <v>-1.1871418774761444</v>
      </c>
      <c r="AE111" s="584">
        <f>AE100/'MOD-Berechnungen'!AE$26</f>
        <v>-1.1699369066382015</v>
      </c>
      <c r="AF111" s="928" t="s">
        <v>153</v>
      </c>
      <c r="AG111" s="928" t="s">
        <v>153</v>
      </c>
      <c r="AH111" s="559"/>
    </row>
    <row r="112" spans="1:34" s="294" customFormat="1" ht="26.4">
      <c r="A112" s="553">
        <v>110</v>
      </c>
      <c r="C112" s="10"/>
      <c r="D112" s="29"/>
      <c r="E112" s="487" t="s">
        <v>701</v>
      </c>
      <c r="F112" s="99">
        <f>F101/'MOD-Berechnungen'!F$26</f>
        <v>1.454504385694688E-2</v>
      </c>
      <c r="G112" s="99">
        <f>G101/'MOD-Berechnungen'!G$26</f>
        <v>0.24499875323574513</v>
      </c>
      <c r="H112" s="99">
        <f>H101/'MOD-Berechnungen'!H$26</f>
        <v>-2.2468174265424055E-2</v>
      </c>
      <c r="I112" s="99">
        <f>I101/'MOD-Berechnungen'!I$26</f>
        <v>-8.3072723437405405E-2</v>
      </c>
      <c r="J112" s="99">
        <f>J101/'MOD-Berechnungen'!J$26</f>
        <v>-7.8495427228512132E-2</v>
      </c>
      <c r="K112" s="99">
        <f>K101/'MOD-Berechnungen'!K$26</f>
        <v>-0.16599510221462643</v>
      </c>
      <c r="L112" s="99">
        <f>L101/'MOD-Berechnungen'!L$26</f>
        <v>-0.20738186839539996</v>
      </c>
      <c r="M112" s="99">
        <f>M101/'MOD-Berechnungen'!M$26</f>
        <v>-0.24326022114813869</v>
      </c>
      <c r="N112" s="99">
        <f>N101/'MOD-Berechnungen'!N$26</f>
        <v>-0.17758399583342868</v>
      </c>
      <c r="O112" s="99">
        <f>O101/'MOD-Berechnungen'!O$26</f>
        <v>-0.13613286312669656</v>
      </c>
      <c r="P112" s="99">
        <f>P101/'MOD-Berechnungen'!P$26</f>
        <v>-8.0430990471640276E-2</v>
      </c>
      <c r="Q112" s="99">
        <f>Q101/'MOD-Berechnungen'!Q$26</f>
        <v>-8.1542653740176524E-2</v>
      </c>
      <c r="R112" s="99">
        <f>R101/'MOD-Berechnungen'!R$26</f>
        <v>-9.4490881725887682E-2</v>
      </c>
      <c r="S112" s="99">
        <f>S101/'MOD-Berechnungen'!S$26</f>
        <v>-9.2839312840012053E-2</v>
      </c>
      <c r="T112" s="99">
        <f>T101/'MOD-Berechnungen'!T$26</f>
        <v>-9.0541617506003605E-2</v>
      </c>
      <c r="U112" s="99">
        <f>U101/'MOD-Berechnungen'!U$26</f>
        <v>-8.4130023882280441E-2</v>
      </c>
      <c r="V112" s="99">
        <f>V101/'MOD-Berechnungen'!V$26</f>
        <v>-7.7208290331898188E-2</v>
      </c>
      <c r="W112" s="99">
        <f>W101/'MOD-Berechnungen'!W$26</f>
        <v>-6.8616465419963288E-2</v>
      </c>
      <c r="X112" s="99">
        <f>X101/'MOD-Berechnungen'!X$26</f>
        <v>-6.2523549843156084E-2</v>
      </c>
      <c r="Y112" s="99">
        <f>Y101/'MOD-Berechnungen'!Y$26</f>
        <v>-5.9998656954557007E-2</v>
      </c>
      <c r="Z112" s="99">
        <f>Z101/'MOD-Berechnungen'!Z$26</f>
        <v>-5.4818497642093719E-2</v>
      </c>
      <c r="AA112" s="99">
        <f>AA101/'MOD-Berechnungen'!AA$26</f>
        <v>-4.6745678387963556E-2</v>
      </c>
      <c r="AB112" s="99">
        <f>AB101/'MOD-Berechnungen'!AB$26</f>
        <v>-3.29203191245118E-2</v>
      </c>
      <c r="AC112" s="99">
        <f>AC101/'MOD-Berechnungen'!AC$26</f>
        <v>-3.1074481525343367E-2</v>
      </c>
      <c r="AD112" s="99">
        <f>AD101/'MOD-Berechnungen'!AD$26</f>
        <v>-2.8815259961564456E-2</v>
      </c>
      <c r="AE112" s="584">
        <f>AE101/'MOD-Berechnungen'!AE$26</f>
        <v>-2.8511705972969953E-2</v>
      </c>
      <c r="AF112" s="928" t="s">
        <v>153</v>
      </c>
      <c r="AG112" s="928" t="s">
        <v>153</v>
      </c>
      <c r="AH112" s="559"/>
    </row>
    <row r="113" spans="1:34" s="294" customFormat="1">
      <c r="A113" s="553">
        <v>111</v>
      </c>
      <c r="C113" s="10"/>
      <c r="D113" s="29"/>
      <c r="E113" s="298" t="s">
        <v>702</v>
      </c>
      <c r="F113" s="100">
        <f>F102/'MOD-Berechnungen'!F$26</f>
        <v>3.6291425200761731</v>
      </c>
      <c r="G113" s="100">
        <f>G102/'MOD-Berechnungen'!G$26</f>
        <v>4.7280077608578859</v>
      </c>
      <c r="H113" s="100">
        <f>H102/'MOD-Berechnungen'!H$26</f>
        <v>5.3187706297577861</v>
      </c>
      <c r="I113" s="100">
        <f>I102/'MOD-Berechnungen'!I$26</f>
        <v>6.4309408301011928</v>
      </c>
      <c r="J113" s="100">
        <f>J102/'MOD-Berechnungen'!J$26</f>
        <v>7.2213168346779169</v>
      </c>
      <c r="K113" s="100">
        <f>K102/'MOD-Berechnungen'!K$26</f>
        <v>7.8217010597422982</v>
      </c>
      <c r="L113" s="100">
        <f>L102/'MOD-Berechnungen'!L$26</f>
        <v>7.7109796993151747</v>
      </c>
      <c r="M113" s="100">
        <f>M102/'MOD-Berechnungen'!M$26</f>
        <v>7.6277239360013889</v>
      </c>
      <c r="N113" s="100">
        <f>N102/'MOD-Berechnungen'!N$26</f>
        <v>7.5476591921903644</v>
      </c>
      <c r="O113" s="100">
        <f>O102/'MOD-Berechnungen'!O$26</f>
        <v>7.338912076756813</v>
      </c>
      <c r="P113" s="100">
        <f>P102/'MOD-Berechnungen'!P$26</f>
        <v>7.0668251307150873</v>
      </c>
      <c r="Q113" s="100">
        <f>Q102/'MOD-Berechnungen'!Q$26</f>
        <v>7.1054088709657766</v>
      </c>
      <c r="R113" s="100">
        <f>R102/'MOD-Berechnungen'!R$26</f>
        <v>6.8481721401949276</v>
      </c>
      <c r="S113" s="100">
        <f>S102/'MOD-Berechnungen'!S$26</f>
        <v>6.5739865032955835</v>
      </c>
      <c r="T113" s="100">
        <f>T102/'MOD-Berechnungen'!T$26</f>
        <v>6.3268134203664426</v>
      </c>
      <c r="U113" s="100">
        <f>U102/'MOD-Berechnungen'!U$26</f>
        <v>5.9137216916194424</v>
      </c>
      <c r="V113" s="100">
        <f>V102/'MOD-Berechnungen'!V$26</f>
        <v>5.3770258680949174</v>
      </c>
      <c r="W113" s="100">
        <f>W102/'MOD-Berechnungen'!W$26</f>
        <v>4.8576401225682702</v>
      </c>
      <c r="X113" s="100">
        <f>X102/'MOD-Berechnungen'!X$26</f>
        <v>4.337579834024325</v>
      </c>
      <c r="Y113" s="100">
        <f>Y102/'MOD-Berechnungen'!Y$26</f>
        <v>3.903583188561321</v>
      </c>
      <c r="Z113" s="100">
        <f>Z102/'MOD-Berechnungen'!Z$26</f>
        <v>3.1658759497727753</v>
      </c>
      <c r="AA113" s="100">
        <f>AA102/'MOD-Berechnungen'!AA$26</f>
        <v>2.1944284845126996</v>
      </c>
      <c r="AB113" s="100">
        <f>AB102/'MOD-Berechnungen'!AB$26</f>
        <v>1.1985707470864229</v>
      </c>
      <c r="AC113" s="100">
        <f>AC102/'MOD-Berechnungen'!AC$26</f>
        <v>0.6540165380393882</v>
      </c>
      <c r="AD113" s="100">
        <f>AD102/'MOD-Berechnungen'!AD$26</f>
        <v>0.41024647557392641</v>
      </c>
      <c r="AE113" s="585">
        <f>AE102/'MOD-Berechnungen'!AE$26</f>
        <v>0.195650968149508</v>
      </c>
      <c r="AF113" s="928" t="s">
        <v>153</v>
      </c>
      <c r="AG113" s="928" t="s">
        <v>153</v>
      </c>
      <c r="AH113" s="559"/>
    </row>
    <row r="114" spans="1:34" s="294" customFormat="1">
      <c r="A114" s="553">
        <v>112</v>
      </c>
      <c r="C114" s="10"/>
      <c r="D114" s="29"/>
      <c r="E114" s="196" t="s">
        <v>703</v>
      </c>
      <c r="F114" s="101">
        <f>F103/'MOD-Berechnungen'!F$26</f>
        <v>2.3590226418993994</v>
      </c>
      <c r="G114" s="101">
        <f>G103/'MOD-Berechnungen'!G$26</f>
        <v>3.9844027383447282</v>
      </c>
      <c r="H114" s="101">
        <f>H103/'MOD-Berechnungen'!H$26</f>
        <v>3.974886029032457</v>
      </c>
      <c r="I114" s="101">
        <f>I103/'MOD-Berechnungen'!I$26</f>
        <v>5.7531991111074063</v>
      </c>
      <c r="J114" s="101">
        <f>J103/'MOD-Berechnungen'!J$26</f>
        <v>6.742418940791211</v>
      </c>
      <c r="K114" s="101">
        <f>K103/'MOD-Berechnungen'!K$26</f>
        <v>6.6468423039665909</v>
      </c>
      <c r="L114" s="101">
        <f>L103/'MOD-Berechnungen'!L$26</f>
        <v>6.7285061577205809</v>
      </c>
      <c r="M114" s="101">
        <f>M103/'MOD-Berechnungen'!M$26</f>
        <v>7.1763555284576048</v>
      </c>
      <c r="N114" s="101">
        <f>N103/'MOD-Berechnungen'!N$26</f>
        <v>6.9856918414940328</v>
      </c>
      <c r="O114" s="101">
        <f>O103/'MOD-Berechnungen'!O$26</f>
        <v>6.5020138784462684</v>
      </c>
      <c r="P114" s="101">
        <f>P103/'MOD-Berechnungen'!P$26</f>
        <v>6.7560731885971812</v>
      </c>
      <c r="Q114" s="101">
        <f>Q103/'MOD-Berechnungen'!Q$26</f>
        <v>6.4042990143719551</v>
      </c>
      <c r="R114" s="101">
        <f>R103/'MOD-Berechnungen'!R$26</f>
        <v>5.8238054130968067</v>
      </c>
      <c r="S114" s="101">
        <f>S103/'MOD-Berechnungen'!S$26</f>
        <v>5.5027036373299163</v>
      </c>
      <c r="T114" s="101">
        <f>T103/'MOD-Berechnungen'!T$26</f>
        <v>5.292612804551351</v>
      </c>
      <c r="U114" s="101">
        <f>U103/'MOD-Berechnungen'!U$26</f>
        <v>4.7439710802205184</v>
      </c>
      <c r="V114" s="101">
        <f>V103/'MOD-Berechnungen'!V$26</f>
        <v>4.2634529637333207</v>
      </c>
      <c r="W114" s="101">
        <f>W103/'MOD-Berechnungen'!W$26</f>
        <v>3.6696939450573818</v>
      </c>
      <c r="X114" s="101">
        <f>X103/'MOD-Berechnungen'!X$26</f>
        <v>3.2149124856868574</v>
      </c>
      <c r="Y114" s="101">
        <f>Y103/'MOD-Berechnungen'!Y$26</f>
        <v>2.7311538111244245</v>
      </c>
      <c r="Z114" s="101">
        <f>Z103/'MOD-Berechnungen'!Z$26</f>
        <v>2.1750698779126849</v>
      </c>
      <c r="AA114" s="101">
        <f>AA103/'MOD-Berechnungen'!AA$26</f>
        <v>1.404503631340007</v>
      </c>
      <c r="AB114" s="101">
        <f>AB103/'MOD-Berechnungen'!AB$26</f>
        <v>0.68851688334871619</v>
      </c>
      <c r="AC114" s="101">
        <f>AC103/'MOD-Berechnungen'!AC$26</f>
        <v>0.3257386600979586</v>
      </c>
      <c r="AD114" s="101">
        <f>AD103/'MOD-Berechnungen'!AD$26</f>
        <v>0.17598319283858238</v>
      </c>
      <c r="AE114" s="1022">
        <f>AE103/'MOD-Berechnungen'!AE$26</f>
        <v>0.43346018891901889</v>
      </c>
      <c r="AF114" s="928" t="s">
        <v>153</v>
      </c>
      <c r="AG114" s="928" t="s">
        <v>153</v>
      </c>
      <c r="AH114" s="559"/>
    </row>
    <row r="115" spans="1:34" s="294" customFormat="1">
      <c r="A115" s="553">
        <v>113</v>
      </c>
      <c r="C115" s="10"/>
      <c r="D115" s="29"/>
      <c r="E115" s="196" t="s">
        <v>704</v>
      </c>
      <c r="F115" s="101">
        <f>F104/'MOD-Berechnungen'!F$26</f>
        <v>2.3590226418993994</v>
      </c>
      <c r="G115" s="101">
        <f>G104/'MOD-Berechnungen'!G$26</f>
        <v>3.9844027383447282</v>
      </c>
      <c r="H115" s="101">
        <f>H104/'MOD-Berechnungen'!H$26</f>
        <v>3.974886029032457</v>
      </c>
      <c r="I115" s="101">
        <f>I104/'MOD-Berechnungen'!I$26</f>
        <v>5.7531991111074063</v>
      </c>
      <c r="J115" s="101">
        <f>J104/'MOD-Berechnungen'!J$26</f>
        <v>6.742418940791211</v>
      </c>
      <c r="K115" s="101">
        <f>K104/'MOD-Berechnungen'!K$26</f>
        <v>6.6468423039665909</v>
      </c>
      <c r="L115" s="101">
        <f>L104/'MOD-Berechnungen'!L$26</f>
        <v>6.7285061577205809</v>
      </c>
      <c r="M115" s="101">
        <f>M104/'MOD-Berechnungen'!M$26</f>
        <v>7.1763555284576048</v>
      </c>
      <c r="N115" s="101">
        <f>N104/'MOD-Berechnungen'!N$26</f>
        <v>6.9856918414940328</v>
      </c>
      <c r="O115" s="101">
        <f>O104/'MOD-Berechnungen'!O$26</f>
        <v>6.5020138784462684</v>
      </c>
      <c r="P115" s="101">
        <f>P104/'MOD-Berechnungen'!P$26</f>
        <v>6.7560731885971812</v>
      </c>
      <c r="Q115" s="101">
        <f>Q104/'MOD-Berechnungen'!Q$26</f>
        <v>6.4042990143719569</v>
      </c>
      <c r="R115" s="101">
        <f>R104/'MOD-Berechnungen'!R$26</f>
        <v>6.1593791695516193</v>
      </c>
      <c r="S115" s="101">
        <f>S104/'MOD-Berechnungen'!S$26</f>
        <v>5.487116872914398</v>
      </c>
      <c r="T115" s="101">
        <f>T104/'MOD-Berechnungen'!T$26</f>
        <v>5.2742228707559109</v>
      </c>
      <c r="U115" s="101">
        <f>U104/'MOD-Berechnungen'!U$26</f>
        <v>4.724337967671306</v>
      </c>
      <c r="V115" s="101">
        <f>V104/'MOD-Berechnungen'!V$26</f>
        <v>4.2421309351280829</v>
      </c>
      <c r="W115" s="101">
        <f>W104/'MOD-Berechnungen'!W$26</f>
        <v>3.6466953933598543</v>
      </c>
      <c r="X115" s="101">
        <f>X104/'MOD-Berechnungen'!X$26</f>
        <v>3.1906372887285395</v>
      </c>
      <c r="Y115" s="101">
        <f>Y104/'MOD-Berechnungen'!Y$26</f>
        <v>2.7059849569083867</v>
      </c>
      <c r="Z115" s="101">
        <f>Z104/'MOD-Berechnungen'!Z$26</f>
        <v>2.1493772502879183</v>
      </c>
      <c r="AA115" s="101">
        <f>AA104/'MOD-Berechnungen'!AA$26</f>
        <v>1.378630717710168</v>
      </c>
      <c r="AB115" s="101">
        <f>AB104/'MOD-Berechnungen'!AB$26</f>
        <v>0.66279286954357186</v>
      </c>
      <c r="AC115" s="101">
        <f>AC104/'MOD-Berechnungen'!AC$26</f>
        <v>0.30046126179175153</v>
      </c>
      <c r="AD115" s="101">
        <f>AD104/'MOD-Berechnungen'!AD$26</f>
        <v>0.15145049495702106</v>
      </c>
      <c r="AE115" s="1022">
        <f>AE104/'MOD-Berechnungen'!AE$26</f>
        <v>0.40954832267606228</v>
      </c>
      <c r="AF115" s="928" t="s">
        <v>153</v>
      </c>
      <c r="AG115" s="928" t="s">
        <v>153</v>
      </c>
      <c r="AH115" s="559"/>
    </row>
    <row r="116" spans="1:34" s="294" customFormat="1">
      <c r="A116" s="553">
        <v>114</v>
      </c>
      <c r="C116" s="10"/>
      <c r="D116" s="29"/>
      <c r="E116" s="192"/>
      <c r="G116" s="324"/>
      <c r="H116" s="324"/>
      <c r="I116" s="324"/>
      <c r="J116" s="324"/>
      <c r="K116" s="324"/>
      <c r="L116" s="516"/>
      <c r="M116" s="324"/>
      <c r="N116" s="324"/>
      <c r="O116" s="324"/>
      <c r="P116" s="324"/>
      <c r="Q116" s="324"/>
      <c r="R116" s="324"/>
      <c r="S116" s="324"/>
      <c r="T116" s="324"/>
      <c r="U116" s="324"/>
      <c r="V116" s="324"/>
      <c r="W116" s="324"/>
      <c r="X116" s="324"/>
      <c r="Y116" s="324"/>
      <c r="Z116" s="324"/>
      <c r="AA116" s="324"/>
      <c r="AB116" s="324"/>
      <c r="AC116" s="324"/>
      <c r="AD116" s="324"/>
      <c r="AE116" s="324"/>
      <c r="AF116" s="928" t="s">
        <v>153</v>
      </c>
      <c r="AG116" s="928" t="s">
        <v>153</v>
      </c>
      <c r="AH116" s="559"/>
    </row>
    <row r="117" spans="1:34" s="294" customFormat="1">
      <c r="A117" s="553">
        <v>115</v>
      </c>
      <c r="C117" s="10"/>
      <c r="D117" s="29"/>
      <c r="E117" s="192" t="s">
        <v>706</v>
      </c>
      <c r="G117" s="324"/>
      <c r="H117" s="324"/>
      <c r="I117" s="324"/>
      <c r="J117" s="324"/>
      <c r="K117" s="324"/>
      <c r="L117" s="516"/>
      <c r="M117" s="324"/>
      <c r="N117" s="324"/>
      <c r="O117" s="324"/>
      <c r="P117" s="324"/>
      <c r="Q117" s="324"/>
      <c r="R117" s="324"/>
      <c r="S117" s="324"/>
      <c r="T117" s="324"/>
      <c r="U117" s="324"/>
      <c r="V117" s="324"/>
      <c r="W117" s="324"/>
      <c r="X117" s="324"/>
      <c r="Y117" s="324"/>
      <c r="Z117" s="324"/>
      <c r="AA117" s="324"/>
      <c r="AB117" s="324"/>
      <c r="AC117" s="324"/>
      <c r="AD117" s="324"/>
      <c r="AE117" s="324"/>
      <c r="AF117" s="928" t="s">
        <v>153</v>
      </c>
      <c r="AG117" s="928" t="s">
        <v>153</v>
      </c>
      <c r="AH117" s="559"/>
    </row>
    <row r="118" spans="1:34" s="294" customFormat="1" ht="26.4">
      <c r="A118" s="553">
        <v>116</v>
      </c>
      <c r="C118" s="10"/>
      <c r="D118" s="29"/>
      <c r="E118" s="513" t="s">
        <v>707</v>
      </c>
      <c r="F118" s="98">
        <f>IF(ControlPanel!$T$5="nominal",'GrD-Grafikdaten'!F96,'GrD-Grafikdaten'!F107)</f>
        <v>0</v>
      </c>
      <c r="G118" s="98">
        <f>IF(ControlPanel!$T$5="nominal",'GrD-Grafikdaten'!G96,'GrD-Grafikdaten'!G107)</f>
        <v>0</v>
      </c>
      <c r="H118" s="98">
        <f>IF(ControlPanel!$T$5="nominal",'GrD-Grafikdaten'!H96,'GrD-Grafikdaten'!H107)</f>
        <v>0</v>
      </c>
      <c r="I118" s="98">
        <f>IF(ControlPanel!$T$5="nominal",'GrD-Grafikdaten'!I96,'GrD-Grafikdaten'!I107)</f>
        <v>0</v>
      </c>
      <c r="J118" s="98">
        <f>IF(ControlPanel!$T$5="nominal",'GrD-Grafikdaten'!J96,'GrD-Grafikdaten'!J107)</f>
        <v>0</v>
      </c>
      <c r="K118" s="98">
        <f>IF(ControlPanel!$T$5="nominal",'GrD-Grafikdaten'!K96,'GrD-Grafikdaten'!K107)</f>
        <v>0.27526511402651638</v>
      </c>
      <c r="L118" s="98">
        <f>IF(ControlPanel!$T$5="nominal",'GrD-Grafikdaten'!L96,'GrD-Grafikdaten'!L107)</f>
        <v>0.73692083848655465</v>
      </c>
      <c r="M118" s="98">
        <f>IF(ControlPanel!$T$5="nominal",'GrD-Grafikdaten'!M96,'GrD-Grafikdaten'!M107)</f>
        <v>1.261606914201997</v>
      </c>
      <c r="N118" s="98">
        <f>IF(ControlPanel!$T$5="nominal",'GrD-Grafikdaten'!N96,'GrD-Grafikdaten'!N107)</f>
        <v>1.7408809002236225</v>
      </c>
      <c r="O118" s="98">
        <f>IF(ControlPanel!$T$5="nominal",'GrD-Grafikdaten'!O96,'GrD-Grafikdaten'!O107)</f>
        <v>2.118535365484663</v>
      </c>
      <c r="P118" s="98">
        <f>IF(ControlPanel!$T$5="nominal",'GrD-Grafikdaten'!P96,'GrD-Grafikdaten'!P107)</f>
        <v>2.3841528184769496</v>
      </c>
      <c r="Q118" s="98">
        <f>IF(ControlPanel!$T$5="nominal",'GrD-Grafikdaten'!Q96,'GrD-Grafikdaten'!Q107)</f>
        <v>2.6435447597049153</v>
      </c>
      <c r="R118" s="98">
        <f>IF(ControlPanel!$T$5="nominal",'GrD-Grafikdaten'!R96,'GrD-Grafikdaten'!R107)</f>
        <v>2.8521121267879193</v>
      </c>
      <c r="S118" s="98">
        <f>IF(ControlPanel!$T$5="nominal",'GrD-Grafikdaten'!S96,'GrD-Grafikdaten'!S107)</f>
        <v>3.0768520290350003</v>
      </c>
      <c r="T118" s="98">
        <f>IF(ControlPanel!$T$5="nominal",'GrD-Grafikdaten'!T96,'GrD-Grafikdaten'!T107)</f>
        <v>3.243023913711963</v>
      </c>
      <c r="U118" s="98">
        <f>IF(ControlPanel!$T$5="nominal",'GrD-Grafikdaten'!U96,'GrD-Grafikdaten'!U107)</f>
        <v>3.4379072424233019</v>
      </c>
      <c r="V118" s="98">
        <f>IF(ControlPanel!$T$5="nominal",'GrD-Grafikdaten'!V96,'GrD-Grafikdaten'!V107)</f>
        <v>3.5856190471659146</v>
      </c>
      <c r="W118" s="98">
        <f>IF(ControlPanel!$T$5="nominal",'GrD-Grafikdaten'!W96,'GrD-Grafikdaten'!W107)</f>
        <v>3.5901440818513777</v>
      </c>
      <c r="X118" s="98">
        <f>IF(ControlPanel!$T$5="nominal",'GrD-Grafikdaten'!X96,'GrD-Grafikdaten'!X107)</f>
        <v>3.7648969858728556</v>
      </c>
      <c r="Y118" s="98">
        <f>IF(ControlPanel!$T$5="nominal",'GrD-Grafikdaten'!Y96,'GrD-Grafikdaten'!Y107)</f>
        <v>3.8632796300172036</v>
      </c>
      <c r="Z118" s="98">
        <f>IF(ControlPanel!$T$5="nominal",'GrD-Grafikdaten'!Z96,'GrD-Grafikdaten'!Z107)</f>
        <v>4.1164683538944296</v>
      </c>
      <c r="AA118" s="98">
        <f>IF(ControlPanel!$T$5="nominal",'GrD-Grafikdaten'!AA96,'GrD-Grafikdaten'!AA107)</f>
        <v>4.3698502799917378</v>
      </c>
      <c r="AB118" s="98">
        <f>IF(ControlPanel!$T$5="nominal",'GrD-Grafikdaten'!AB96,'GrD-Grafikdaten'!AB107)</f>
        <v>4.6253781744495504</v>
      </c>
      <c r="AC118" s="98">
        <f>IF(ControlPanel!$T$5="nominal",'GrD-Grafikdaten'!AC96,'GrD-Grafikdaten'!AC107)</f>
        <v>4.8813343973593168</v>
      </c>
      <c r="AD118" s="98">
        <f>IF(ControlPanel!$T$5="nominal",'GrD-Grafikdaten'!AD96,'GrD-Grafikdaten'!AD107)</f>
        <v>5.0460223532652364</v>
      </c>
      <c r="AE118" s="583">
        <f>IF(ControlPanel!$T$5="nominal",'GrD-Grafikdaten'!AE96,'GrD-Grafikdaten'!AE107)</f>
        <v>5.1966021808733842</v>
      </c>
      <c r="AF118" s="928" t="s">
        <v>153</v>
      </c>
      <c r="AG118" s="928" t="s">
        <v>209</v>
      </c>
      <c r="AH118" s="559"/>
    </row>
    <row r="119" spans="1:34" s="294" customFormat="1">
      <c r="A119" s="553">
        <v>117</v>
      </c>
      <c r="C119" s="10"/>
      <c r="D119" s="29"/>
      <c r="E119" s="487" t="s">
        <v>708</v>
      </c>
      <c r="F119" s="99">
        <f>IF(ControlPanel!$T$5="nominal",'GrD-Grafikdaten'!F97,'GrD-Grafikdaten'!F108)</f>
        <v>-1.1143275278744671</v>
      </c>
      <c r="G119" s="99">
        <f>IF(ControlPanel!$T$5="nominal",'GrD-Grafikdaten'!G97,'GrD-Grafikdaten'!G108)</f>
        <v>-1.1481771217342542</v>
      </c>
      <c r="H119" s="99">
        <f>IF(ControlPanel!$T$5="nominal",'GrD-Grafikdaten'!H97,'GrD-Grafikdaten'!H108)</f>
        <v>-1.4749351709875336</v>
      </c>
      <c r="I119" s="99">
        <f>IF(ControlPanel!$T$5="nominal",'GrD-Grafikdaten'!I97,'GrD-Grafikdaten'!I108)</f>
        <v>-1.6337029152159672</v>
      </c>
      <c r="J119" s="99">
        <f>IF(ControlPanel!$T$5="nominal",'GrD-Grafikdaten'!J97,'GrD-Grafikdaten'!J108)</f>
        <v>-1.4657694443600116</v>
      </c>
      <c r="K119" s="99">
        <f>IF(ControlPanel!$T$5="nominal",'GrD-Grafikdaten'!K97,'GrD-Grafikdaten'!K108)</f>
        <v>-1.4328005764190632</v>
      </c>
      <c r="L119" s="99">
        <f>IF(ControlPanel!$T$5="nominal",'GrD-Grafikdaten'!L97,'GrD-Grafikdaten'!L108)</f>
        <v>-1.4095609981357589</v>
      </c>
      <c r="M119" s="99">
        <f>IF(ControlPanel!$T$5="nominal",'GrD-Grafikdaten'!M97,'GrD-Grafikdaten'!M108)</f>
        <v>-1.3270921153532014</v>
      </c>
      <c r="N119" s="99">
        <f>IF(ControlPanel!$T$5="nominal",'GrD-Grafikdaten'!N97,'GrD-Grafikdaten'!N108)</f>
        <v>-1.6104835267042028</v>
      </c>
      <c r="O119" s="99">
        <f>IF(ControlPanel!$T$5="nominal",'GrD-Grafikdaten'!O97,'GrD-Grafikdaten'!O108)</f>
        <v>-2.2002230961690588</v>
      </c>
      <c r="P119" s="99">
        <f>IF(ControlPanel!$T$5="nominal",'GrD-Grafikdaten'!P97,'GrD-Grafikdaten'!P108)</f>
        <v>-2.539085556155213</v>
      </c>
      <c r="Q119" s="99">
        <f>IF(ControlPanel!$T$5="nominal",'GrD-Grafikdaten'!Q97,'GrD-Grafikdaten'!Q108)</f>
        <v>-2.0917764931417389</v>
      </c>
      <c r="R119" s="99">
        <f>IF(ControlPanel!$T$5="nominal",'GrD-Grafikdaten'!R97,'GrD-Grafikdaten'!R108)</f>
        <v>-2.6923972599236521</v>
      </c>
      <c r="S119" s="99">
        <f>IF(ControlPanel!$T$5="nominal",'GrD-Grafikdaten'!S97,'GrD-Grafikdaten'!S108)</f>
        <v>-2.9134304294121263</v>
      </c>
      <c r="T119" s="99">
        <f>IF(ControlPanel!$T$5="nominal",'GrD-Grafikdaten'!T97,'GrD-Grafikdaten'!T108)</f>
        <v>-3.0799736772373834</v>
      </c>
      <c r="U119" s="99">
        <f>IF(ControlPanel!$T$5="nominal",'GrD-Grafikdaten'!U97,'GrD-Grafikdaten'!U108)</f>
        <v>-3.4392455967984956</v>
      </c>
      <c r="V119" s="99">
        <f>IF(ControlPanel!$T$5="nominal",'GrD-Grafikdaten'!V97,'GrD-Grafikdaten'!V108)</f>
        <v>-3.5895016133866502</v>
      </c>
      <c r="W119" s="99">
        <f>IF(ControlPanel!$T$5="nominal",'GrD-Grafikdaten'!W97,'GrD-Grafikdaten'!W108)</f>
        <v>-3.7135260971578719</v>
      </c>
      <c r="X119" s="99">
        <f>IF(ControlPanel!$T$5="nominal",'GrD-Grafikdaten'!X97,'GrD-Grafikdaten'!X108)</f>
        <v>-3.8620962197488562</v>
      </c>
      <c r="Y119" s="99">
        <f>IF(ControlPanel!$T$5="nominal",'GrD-Grafikdaten'!Y97,'GrD-Grafikdaten'!Y108)</f>
        <v>-4.0526508588623447</v>
      </c>
      <c r="Z119" s="99">
        <f>IF(ControlPanel!$T$5="nominal",'GrD-Grafikdaten'!Z97,'GrD-Grafikdaten'!Z108)</f>
        <v>-4.1354490158368584</v>
      </c>
      <c r="AA119" s="99">
        <f>IF(ControlPanel!$T$5="nominal",'GrD-Grafikdaten'!AA97,'GrD-Grafikdaten'!AA108)</f>
        <v>-4.1731827434415418</v>
      </c>
      <c r="AB119" s="99">
        <f>IF(ControlPanel!$T$5="nominal",'GrD-Grafikdaten'!AB97,'GrD-Grafikdaten'!AB108)</f>
        <v>-4.1307329166680207</v>
      </c>
      <c r="AC119" s="99">
        <f>IF(ControlPanel!$T$5="nominal",'GrD-Grafikdaten'!AC97,'GrD-Grafikdaten'!AC108)</f>
        <v>-4.1965303400763467</v>
      </c>
      <c r="AD119" s="99">
        <f>IF(ControlPanel!$T$5="nominal",'GrD-Grafikdaten'!AD97,'GrD-Grafikdaten'!AD108)</f>
        <v>-4.2747022707286435</v>
      </c>
      <c r="AE119" s="584">
        <f>IF(ControlPanel!$T$5="nominal",'GrD-Grafikdaten'!AE97,'GrD-Grafikdaten'!AE108)</f>
        <v>-3.8757352807791459</v>
      </c>
      <c r="AF119" s="928" t="s">
        <v>153</v>
      </c>
      <c r="AG119" s="928" t="s">
        <v>209</v>
      </c>
      <c r="AH119" s="559"/>
    </row>
    <row r="120" spans="1:34" s="294" customFormat="1">
      <c r="A120" s="553">
        <v>118</v>
      </c>
      <c r="C120" s="10"/>
      <c r="D120" s="29"/>
      <c r="E120" s="16" t="s">
        <v>699</v>
      </c>
      <c r="F120" s="99">
        <f>IF(ControlPanel!$T$5="nominal",'GrD-Grafikdaten'!F98,'GrD-Grafikdaten'!F109)</f>
        <v>0</v>
      </c>
      <c r="G120" s="99">
        <f>IF(ControlPanel!$T$5="nominal",'GrD-Grafikdaten'!G98,'GrD-Grafikdaten'!G109)</f>
        <v>0</v>
      </c>
      <c r="H120" s="99">
        <f>IF(ControlPanel!$T$5="nominal",'GrD-Grafikdaten'!H98,'GrD-Grafikdaten'!H109)</f>
        <v>9.9363640268897269E-2</v>
      </c>
      <c r="I120" s="99">
        <f>IF(ControlPanel!$T$5="nominal",'GrD-Grafikdaten'!I98,'GrD-Grafikdaten'!I109)</f>
        <v>0.41882948767683209</v>
      </c>
      <c r="J120" s="99">
        <f>IF(ControlPanel!$T$5="nominal",'GrD-Grafikdaten'!J98,'GrD-Grafikdaten'!J109)</f>
        <v>0.51450044762037139</v>
      </c>
      <c r="K120" s="99">
        <f>IF(ControlPanel!$T$5="nominal",'GrD-Grafikdaten'!K98,'GrD-Grafikdaten'!K109)</f>
        <v>0.59592027659530522</v>
      </c>
      <c r="L120" s="99">
        <f>IF(ControlPanel!$T$5="nominal",'GrD-Grafikdaten'!L98,'GrD-Grafikdaten'!L109)</f>
        <v>0.6392913186789364</v>
      </c>
      <c r="M120" s="99">
        <f>IF(ControlPanel!$T$5="nominal",'GrD-Grafikdaten'!M98,'GrD-Grafikdaten'!M109)</f>
        <v>0.41988501655095822</v>
      </c>
      <c r="N120" s="99">
        <f>IF(ControlPanel!$T$5="nominal",'GrD-Grafikdaten'!N98,'GrD-Grafikdaten'!N109)</f>
        <v>0.4372705524825396</v>
      </c>
      <c r="O120" s="99">
        <f>IF(ControlPanel!$T$5="nominal",'GrD-Grafikdaten'!O98,'GrD-Grafikdaten'!O109)</f>
        <v>0.42087878819618457</v>
      </c>
      <c r="P120" s="99">
        <f>IF(ControlPanel!$T$5="nominal",'GrD-Grafikdaten'!P98,'GrD-Grafikdaten'!P109)</f>
        <v>0.54603990988413686</v>
      </c>
      <c r="Q120" s="99">
        <f>IF(ControlPanel!$T$5="nominal",'GrD-Grafikdaten'!Q98,'GrD-Grafikdaten'!Q109)</f>
        <v>0.76827342258007802</v>
      </c>
      <c r="R120" s="99">
        <f>IF(ControlPanel!$T$5="nominal",'GrD-Grafikdaten'!R98,'GrD-Grafikdaten'!R109)</f>
        <v>0.42705156848223186</v>
      </c>
      <c r="S120" s="99">
        <f>IF(ControlPanel!$T$5="nominal",'GrD-Grafikdaten'!S98,'GrD-Grafikdaten'!S109)</f>
        <v>0.41643702371245611</v>
      </c>
      <c r="T120" s="99">
        <f>IF(ControlPanel!$T$5="nominal",'GrD-Grafikdaten'!T98,'GrD-Grafikdaten'!T109)</f>
        <v>0.40692010918926608</v>
      </c>
      <c r="U120" s="99">
        <f>IF(ControlPanel!$T$5="nominal",'GrD-Grafikdaten'!U98,'GrD-Grafikdaten'!U109)</f>
        <v>0.37672724990734097</v>
      </c>
      <c r="V120" s="99">
        <f>IF(ControlPanel!$T$5="nominal",'GrD-Grafikdaten'!V98,'GrD-Grafikdaten'!V109)</f>
        <v>0.34747003585854214</v>
      </c>
      <c r="W120" s="99">
        <f>IF(ControlPanel!$T$5="nominal",'GrD-Grafikdaten'!W98,'GrD-Grafikdaten'!W109)</f>
        <v>0.31150149170074976</v>
      </c>
      <c r="X120" s="99">
        <f>IF(ControlPanel!$T$5="nominal",'GrD-Grafikdaten'!X98,'GrD-Grafikdaten'!X109)</f>
        <v>0.2831171986519056</v>
      </c>
      <c r="Y120" s="99">
        <f>IF(ControlPanel!$T$5="nominal",'GrD-Grafikdaten'!Y98,'GrD-Grafikdaten'!Y109)</f>
        <v>0.25232068765046278</v>
      </c>
      <c r="Z120" s="99">
        <f>IF(ControlPanel!$T$5="nominal",'GrD-Grafikdaten'!Z98,'GrD-Grafikdaten'!Z109)</f>
        <v>0.21549171121523691</v>
      </c>
      <c r="AA120" s="99">
        <f>IF(ControlPanel!$T$5="nominal",'GrD-Grafikdaten'!AA98,'GrD-Grafikdaten'!AA109)</f>
        <v>0.1635916929538925</v>
      </c>
      <c r="AB120" s="99">
        <f>IF(ControlPanel!$T$5="nominal",'GrD-Grafikdaten'!AB98,'GrD-Grafikdaten'!AB109)</f>
        <v>0.11329908546148226</v>
      </c>
      <c r="AC120" s="99">
        <f>IF(ControlPanel!$T$5="nominal",'GrD-Grafikdaten'!AC98,'GrD-Grafikdaten'!AC109)</f>
        <v>8.6446614747409001E-2</v>
      </c>
      <c r="AD120" s="99">
        <f>IF(ControlPanel!$T$5="nominal",'GrD-Grafikdaten'!AD98,'GrD-Grafikdaten'!AD109)</f>
        <v>7.4469010093960925E-2</v>
      </c>
      <c r="AE120" s="584">
        <f>IF(ControlPanel!$T$5="nominal",'GrD-Grafikdaten'!AE98,'GrD-Grafikdaten'!AE109)</f>
        <v>9.1789785915857874E-2</v>
      </c>
      <c r="AF120" s="928" t="s">
        <v>153</v>
      </c>
      <c r="AG120" s="928" t="s">
        <v>209</v>
      </c>
      <c r="AH120" s="559"/>
    </row>
    <row r="121" spans="1:34" s="294" customFormat="1">
      <c r="A121" s="553">
        <v>119</v>
      </c>
      <c r="C121" s="10"/>
      <c r="D121" s="29"/>
      <c r="E121" s="16" t="s">
        <v>700</v>
      </c>
      <c r="F121" s="99">
        <f>IF(ControlPanel!$T$5="nominal",'GrD-Grafikdaten'!F99,'GrD-Grafikdaten'!F110)</f>
        <v>0</v>
      </c>
      <c r="G121" s="99">
        <f>IF(ControlPanel!$T$5="nominal",'GrD-Grafikdaten'!G99,'GrD-Grafikdaten'!G110)</f>
        <v>0.27301911687690317</v>
      </c>
      <c r="H121" s="99">
        <f>IF(ControlPanel!$T$5="nominal",'GrD-Grafikdaten'!H99,'GrD-Grafikdaten'!H110)</f>
        <v>0.18051501743452761</v>
      </c>
      <c r="I121" s="99">
        <f>IF(ControlPanel!$T$5="nominal",'GrD-Grafikdaten'!I99,'GrD-Grafikdaten'!I110)</f>
        <v>0.66987563555484619</v>
      </c>
      <c r="J121" s="99">
        <f>IF(ControlPanel!$T$5="nominal",'GrD-Grafikdaten'!J99,'GrD-Grafikdaten'!J110)</f>
        <v>0.580495076175914</v>
      </c>
      <c r="K121" s="99">
        <f>IF(ControlPanel!$T$5="nominal",'GrD-Grafikdaten'!K99,'GrD-Grafikdaten'!K110)</f>
        <v>-0.38512304254835578</v>
      </c>
      <c r="L121" s="99">
        <f>IF(ControlPanel!$T$5="nominal",'GrD-Grafikdaten'!L99,'GrD-Grafikdaten'!L110)</f>
        <v>-0.69271211027684976</v>
      </c>
      <c r="M121" s="99">
        <f>IF(ControlPanel!$T$5="nominal",'GrD-Grafikdaten'!M99,'GrD-Grafikdaten'!M110)</f>
        <v>-0.55509788074223432</v>
      </c>
      <c r="N121" s="99">
        <f>IF(ControlPanel!$T$5="nominal",'GrD-Grafikdaten'!N99,'GrD-Grafikdaten'!N110)</f>
        <v>-0.94436923548353968</v>
      </c>
      <c r="O121" s="99">
        <f>IF(ControlPanel!$T$5="nominal",'GrD-Grafikdaten'!O99,'GrD-Grafikdaten'!O110)</f>
        <v>-1.0296002547372551</v>
      </c>
      <c r="P121" s="99">
        <f>IF(ControlPanel!$T$5="nominal",'GrD-Grafikdaten'!P99,'GrD-Grafikdaten'!P110)</f>
        <v>-0.61546559483866781</v>
      </c>
      <c r="Q121" s="99">
        <f>IF(ControlPanel!$T$5="nominal",'GrD-Grafikdaten'!Q99,'GrD-Grafikdaten'!Q110)</f>
        <v>1.1845036077210573</v>
      </c>
      <c r="R121" s="99">
        <f>IF(ControlPanel!$T$5="nominal",'GrD-Grafikdaten'!R99,'GrD-Grafikdaten'!R110)</f>
        <v>0</v>
      </c>
      <c r="S121" s="99">
        <f>IF(ControlPanel!$T$5="nominal",'GrD-Grafikdaten'!S99,'GrD-Grafikdaten'!S110)</f>
        <v>-0.15803383786392977</v>
      </c>
      <c r="T121" s="99">
        <f>IF(ControlPanel!$T$5="nominal",'GrD-Grafikdaten'!T99,'GrD-Grafikdaten'!T110)</f>
        <v>-0.12546454540738267</v>
      </c>
      <c r="U121" s="99">
        <f>IF(ControlPanel!$T$5="nominal",'GrD-Grafikdaten'!U99,'GrD-Grafikdaten'!U110)</f>
        <v>-9.9020671665210114E-2</v>
      </c>
      <c r="V121" s="99">
        <f>IF(ControlPanel!$T$5="nominal",'GrD-Grafikdaten'!V99,'GrD-Grafikdaten'!V110)</f>
        <v>-3.2808480704583497E-2</v>
      </c>
      <c r="W121" s="99">
        <f>IF(ControlPanel!$T$5="nominal",'GrD-Grafikdaten'!W99,'GrD-Grafikdaten'!W110)</f>
        <v>1.1480973116834488E-2</v>
      </c>
      <c r="X121" s="99">
        <f>IF(ControlPanel!$T$5="nominal",'GrD-Grafikdaten'!X99,'GrD-Grafikdaten'!X110)</f>
        <v>5.9849050629596133E-2</v>
      </c>
      <c r="Y121" s="99">
        <f>IF(ControlPanel!$T$5="nominal",'GrD-Grafikdaten'!Y99,'GrD-Grafikdaten'!Y110)</f>
        <v>0.10304745059200858</v>
      </c>
      <c r="Z121" s="99">
        <f>IF(ControlPanel!$T$5="nominal",'GrD-Grafikdaten'!Z99,'GrD-Grafikdaten'!Z110)</f>
        <v>0.15280559790603168</v>
      </c>
      <c r="AA121" s="99">
        <f>IF(ControlPanel!$T$5="nominal",'GrD-Grafikdaten'!AA99,'GrD-Grafikdaten'!AA110)</f>
        <v>0.19787046168788544</v>
      </c>
      <c r="AB121" s="99">
        <f>IF(ControlPanel!$T$5="nominal",'GrD-Grafikdaten'!AB99,'GrD-Grafikdaten'!AB110)</f>
        <v>0.25348817617010533</v>
      </c>
      <c r="AC121" s="99">
        <f>IF(ControlPanel!$T$5="nominal",'GrD-Grafikdaten'!AC99,'GrD-Grafikdaten'!AC110)</f>
        <v>0.29970050051144126</v>
      </c>
      <c r="AD121" s="99">
        <f>IF(ControlPanel!$T$5="nominal",'GrD-Grafikdaten'!AD99,'GrD-Grafikdaten'!AD110)</f>
        <v>0.33319964748112973</v>
      </c>
      <c r="AE121" s="584">
        <f>IF(ControlPanel!$T$5="nominal",'GrD-Grafikdaten'!AE99,'GrD-Grafikdaten'!AE110)</f>
        <v>0.35310353131546357</v>
      </c>
      <c r="AF121" s="928" t="s">
        <v>153</v>
      </c>
      <c r="AG121" s="928" t="s">
        <v>209</v>
      </c>
      <c r="AH121" s="559"/>
    </row>
    <row r="122" spans="1:34" s="294" customFormat="1">
      <c r="A122" s="553">
        <v>119</v>
      </c>
      <c r="C122" s="10"/>
      <c r="D122" s="29"/>
      <c r="E122" s="16" t="s">
        <v>426</v>
      </c>
      <c r="F122" s="99">
        <f>IF(ControlPanel!$T$5="nominal",'GrD-Grafikdaten'!F100,'GrD-Grafikdaten'!F111)</f>
        <v>0</v>
      </c>
      <c r="G122" s="99">
        <f>IF(ControlPanel!$T$5="nominal",'GrD-Grafikdaten'!G100,'GrD-Grafikdaten'!G111)</f>
        <v>0</v>
      </c>
      <c r="H122" s="99">
        <f>IF(ControlPanel!$T$5="nominal",'GrD-Grafikdaten'!H100,'GrD-Grafikdaten'!H111)</f>
        <v>0</v>
      </c>
      <c r="I122" s="99">
        <f>IF(ControlPanel!$T$5="nominal",'GrD-Grafikdaten'!I100,'GrD-Grafikdaten'!I111)</f>
        <v>0</v>
      </c>
      <c r="J122" s="99">
        <f>IF(ControlPanel!$T$5="nominal",'GrD-Grafikdaten'!J100,'GrD-Grafikdaten'!J111)</f>
        <v>0</v>
      </c>
      <c r="K122" s="99">
        <f>IF(ControlPanel!$T$5="nominal",'GrD-Grafikdaten'!K100,'GrD-Grafikdaten'!K111)</f>
        <v>0</v>
      </c>
      <c r="L122" s="99">
        <f>IF(ControlPanel!$T$5="nominal",'GrD-Grafikdaten'!L100,'GrD-Grafikdaten'!L111)</f>
        <v>0</v>
      </c>
      <c r="M122" s="99">
        <f>IF(ControlPanel!$T$5="nominal",'GrD-Grafikdaten'!M100,'GrD-Grafikdaten'!M111)</f>
        <v>0</v>
      </c>
      <c r="N122" s="99">
        <f>IF(ControlPanel!$T$5="nominal",'GrD-Grafikdaten'!N100,'GrD-Grafikdaten'!N111)</f>
        <v>0</v>
      </c>
      <c r="O122" s="99">
        <f>IF(ControlPanel!$T$5="nominal",'GrD-Grafikdaten'!O100,'GrD-Grafikdaten'!O111)</f>
        <v>0</v>
      </c>
      <c r="P122" s="99">
        <f>IF(ControlPanel!$T$5="nominal",'GrD-Grafikdaten'!P100,'GrD-Grafikdaten'!P111)</f>
        <v>0</v>
      </c>
      <c r="Q122" s="99">
        <f>IF(ControlPanel!$T$5="nominal",'GrD-Grafikdaten'!Q100,'GrD-Grafikdaten'!Q111)</f>
        <v>-3.135147756514379</v>
      </c>
      <c r="R122" s="99">
        <f>IF(ControlPanel!$T$5="nominal",'GrD-Grafikdaten'!R100,'GrD-Grafikdaten'!R111)</f>
        <v>-1.1990313049014476</v>
      </c>
      <c r="S122" s="99">
        <f>IF(ControlPanel!$T$5="nominal",'GrD-Grafikdaten'!S100,'GrD-Grafikdaten'!S111)</f>
        <v>-1.4612607926185883</v>
      </c>
      <c r="T122" s="99">
        <f>IF(ControlPanel!$T$5="nominal",'GrD-Grafikdaten'!T100,'GrD-Grafikdaten'!T111)</f>
        <v>-1.4655894707099137</v>
      </c>
      <c r="U122" s="99">
        <f>IF(ControlPanel!$T$5="nominal",'GrD-Grafikdaten'!U100,'GrD-Grafikdaten'!U111)</f>
        <v>-1.4670403551819031</v>
      </c>
      <c r="V122" s="99">
        <f>IF(ControlPanel!$T$5="nominal",'GrD-Grafikdaten'!V100,'GrD-Grafikdaten'!V111)</f>
        <v>-1.4672993236845011</v>
      </c>
      <c r="W122" s="99">
        <f>IF(ControlPanel!$T$5="nominal",'GrD-Grafikdaten'!W100,'GrD-Grafikdaten'!W111)</f>
        <v>-1.4674076619406262</v>
      </c>
      <c r="X122" s="99">
        <f>IF(ControlPanel!$T$5="nominal",'GrD-Grafikdaten'!X100,'GrD-Grafikdaten'!X111)</f>
        <v>-1.467356974546018</v>
      </c>
      <c r="Y122" s="99">
        <f>IF(ControlPanel!$T$5="nominal",'GrD-Grafikdaten'!Y100,'GrD-Grafikdaten'!Y111)</f>
        <v>-1.4667168591202011</v>
      </c>
      <c r="Z122" s="99">
        <f>IF(ControlPanel!$T$5="nominal",'GrD-Grafikdaten'!Z100,'GrD-Grafikdaten'!Z111)</f>
        <v>-1.4653857820357914</v>
      </c>
      <c r="AA122" s="99">
        <f>IF(ControlPanel!$T$5="nominal",'GrD-Grafikdaten'!AA100,'GrD-Grafikdaten'!AA111)</f>
        <v>-1.4640337815455702</v>
      </c>
      <c r="AB122" s="99">
        <f>IF(ControlPanel!$T$5="nominal",'GrD-Grafikdaten'!AB100,'GrD-Grafikdaten'!AB111)</f>
        <v>-1.4626581539148638</v>
      </c>
      <c r="AC122" s="99">
        <f>IF(ControlPanel!$T$5="nominal",'GrD-Grafikdaten'!AC100,'GrD-Grafikdaten'!AC111)</f>
        <v>-1.4622985291309107</v>
      </c>
      <c r="AD122" s="99">
        <f>IF(ControlPanel!$T$5="nominal",'GrD-Grafikdaten'!AD100,'GrD-Grafikdaten'!AD111)</f>
        <v>-1.4622688107280257</v>
      </c>
      <c r="AE122" s="584">
        <f>IF(ControlPanel!$T$5="nominal",'GrD-Grafikdaten'!AE100,'GrD-Grafikdaten'!AE111)</f>
        <v>-1.4626926366414963</v>
      </c>
      <c r="AF122" s="928" t="s">
        <v>153</v>
      </c>
      <c r="AG122" s="928" t="s">
        <v>209</v>
      </c>
      <c r="AH122" s="559"/>
    </row>
    <row r="123" spans="1:34" s="294" customFormat="1" ht="26.4">
      <c r="A123" s="553">
        <v>120</v>
      </c>
      <c r="C123" s="10"/>
      <c r="D123" s="29"/>
      <c r="E123" s="487" t="s">
        <v>701</v>
      </c>
      <c r="F123" s="99">
        <f>IF(ControlPanel!$T$5="nominal",'GrD-Grafikdaten'!F101,'GrD-Grafikdaten'!F112)</f>
        <v>1.2621203479080452E-2</v>
      </c>
      <c r="G123" s="99">
        <f>IF(ControlPanel!$T$5="nominal",'GrD-Grafikdaten'!G101,'GrD-Grafikdaten'!G112)</f>
        <v>0.21705777646400023</v>
      </c>
      <c r="H123" s="99">
        <f>IF(ControlPanel!$T$5="nominal",'GrD-Grafikdaten'!H101,'GrD-Grafikdaten'!H112)</f>
        <v>-2.030389836889188E-2</v>
      </c>
      <c r="I123" s="99">
        <f>IF(ControlPanel!$T$5="nominal",'GrD-Grafikdaten'!I101,'GrD-Grafikdaten'!I112)</f>
        <v>-7.6196695631972927E-2</v>
      </c>
      <c r="J123" s="99">
        <f>IF(ControlPanel!$T$5="nominal",'GrD-Grafikdaten'!J101,'GrD-Grafikdaten'!J112)</f>
        <v>-7.2646252065796002E-2</v>
      </c>
      <c r="K123" s="99">
        <f>IF(ControlPanel!$T$5="nominal",'GrD-Grafikdaten'!K101,'GrD-Grafikdaten'!K112)</f>
        <v>-0.15408666759749157</v>
      </c>
      <c r="L123" s="99">
        <f>IF(ControlPanel!$T$5="nominal",'GrD-Grafikdaten'!L101,'GrD-Grafikdaten'!L112)</f>
        <v>-0.19539192604954267</v>
      </c>
      <c r="M123" s="99">
        <f>IF(ControlPanel!$T$5="nominal",'GrD-Grafikdaten'!M101,'GrD-Grafikdaten'!M112)</f>
        <v>-0.23263388338516494</v>
      </c>
      <c r="N123" s="99">
        <f>IF(ControlPanel!$T$5="nominal",'GrD-Grafikdaten'!N101,'GrD-Grafikdaten'!N112)</f>
        <v>-0.17237399192742237</v>
      </c>
      <c r="O123" s="99">
        <f>IF(ControlPanel!$T$5="nominal",'GrD-Grafikdaten'!O101,'GrD-Grafikdaten'!O112)</f>
        <v>-0.1341210474154646</v>
      </c>
      <c r="P123" s="99">
        <f>IF(ControlPanel!$T$5="nominal",'GrD-Grafikdaten'!P101,'GrD-Grafikdaten'!P112)</f>
        <v>-8.0430990471640276E-2</v>
      </c>
      <c r="Q123" s="99">
        <f>IF(ControlPanel!$T$5="nominal",'GrD-Grafikdaten'!Q101,'GrD-Grafikdaten'!Q112)</f>
        <v>-8.2765793546279165E-2</v>
      </c>
      <c r="R123" s="99">
        <f>IF(ControlPanel!$T$5="nominal",'GrD-Grafikdaten'!R101,'GrD-Grafikdaten'!R112)</f>
        <v>-9.7346868626052616E-2</v>
      </c>
      <c r="S123" s="99">
        <f>IF(ControlPanel!$T$5="nominal",'GrD-Grafikdaten'!S101,'GrD-Grafikdaten'!S112)</f>
        <v>-9.7080061786660399E-2</v>
      </c>
      <c r="T123" s="99">
        <f>IF(ControlPanel!$T$5="nominal",'GrD-Grafikdaten'!T101,'GrD-Grafikdaten'!T112)</f>
        <v>-9.6097572635502587E-2</v>
      </c>
      <c r="U123" s="99">
        <f>IF(ControlPanel!$T$5="nominal",'GrD-Grafikdaten'!U101,'GrD-Grafikdaten'!U112)</f>
        <v>-9.0631928974791109E-2</v>
      </c>
      <c r="V123" s="99">
        <f>IF(ControlPanel!$T$5="nominal",'GrD-Grafikdaten'!V101,'GrD-Grafikdaten'!V112)</f>
        <v>-8.4422884983941709E-2</v>
      </c>
      <c r="W123" s="99">
        <f>IF(ControlPanel!$T$5="nominal",'GrD-Grafikdaten'!W101,'GrD-Grafikdaten'!W112)</f>
        <v>-7.6153635087647095E-2</v>
      </c>
      <c r="X123" s="99">
        <f>IF(ControlPanel!$T$5="nominal",'GrD-Grafikdaten'!X101,'GrD-Grafikdaten'!X112)</f>
        <v>-7.0432315385937416E-2</v>
      </c>
      <c r="Y123" s="99">
        <f>IF(ControlPanel!$T$5="nominal",'GrD-Grafikdaten'!Y101,'GrD-Grafikdaten'!Y112)</f>
        <v>-6.8601862898958088E-2</v>
      </c>
      <c r="Z123" s="99">
        <f>IF(ControlPanel!$T$5="nominal",'GrD-Grafikdaten'!Z101,'GrD-Grafikdaten'!Z112)</f>
        <v>-6.3619104480194602E-2</v>
      </c>
      <c r="AA123" s="99">
        <f>IF(ControlPanel!$T$5="nominal",'GrD-Grafikdaten'!AA101,'GrD-Grafikdaten'!AA112)</f>
        <v>-5.5064022185168385E-2</v>
      </c>
      <c r="AB123" s="99">
        <f>IF(ControlPanel!$T$5="nominal",'GrD-Grafikdaten'!AB101,'GrD-Grafikdaten'!AB112)</f>
        <v>-3.9360131755578946E-2</v>
      </c>
      <c r="AC123" s="99">
        <f>IF(ControlPanel!$T$5="nominal",'GrD-Grafikdaten'!AC101,'GrD-Grafikdaten'!AC112)</f>
        <v>-3.7710513002152932E-2</v>
      </c>
      <c r="AD123" s="99">
        <f>IF(ControlPanel!$T$5="nominal",'GrD-Grafikdaten'!AD101,'GrD-Grafikdaten'!AD112)</f>
        <v>-3.5493361589093185E-2</v>
      </c>
      <c r="AE123" s="584">
        <f>IF(ControlPanel!$T$5="nominal",'GrD-Grafikdaten'!AE101,'GrD-Grafikdaten'!AE112)</f>
        <v>-3.5646249082427896E-2</v>
      </c>
      <c r="AF123" s="928" t="s">
        <v>153</v>
      </c>
      <c r="AG123" s="928" t="s">
        <v>209</v>
      </c>
      <c r="AH123" s="559"/>
    </row>
    <row r="124" spans="1:34" s="294" customFormat="1">
      <c r="A124" s="553">
        <v>121</v>
      </c>
      <c r="C124" s="10"/>
      <c r="D124" s="29"/>
      <c r="E124" s="298" t="s">
        <v>709</v>
      </c>
      <c r="F124" s="100">
        <f>IF(ControlPanel!$T$5="nominal",'GrD-Grafikdaten'!F102,'GrD-Grafikdaten'!F113)</f>
        <v>3.149123966277187</v>
      </c>
      <c r="G124" s="100">
        <f>IF(ControlPanel!$T$5="nominal",'GrD-Grafikdaten'!G102,'GrD-Grafikdaten'!G113)</f>
        <v>4.1888003025421927</v>
      </c>
      <c r="H124" s="100">
        <f>IF(ControlPanel!$T$5="nominal",'GrD-Grafikdaten'!H102,'GrD-Grafikdaten'!H113)</f>
        <v>4.8064331813660583</v>
      </c>
      <c r="I124" s="100">
        <f>IF(ControlPanel!$T$5="nominal",'GrD-Grafikdaten'!I102,'GrD-Grafikdaten'!I113)</f>
        <v>5.8986442334188212</v>
      </c>
      <c r="J124" s="100">
        <f>IF(ControlPanel!$T$5="nominal",'GrD-Grafikdaten'!J102,'GrD-Grafikdaten'!J113)</f>
        <v>6.6832122779814043</v>
      </c>
      <c r="K124" s="100">
        <f>IF(ControlPanel!$T$5="nominal",'GrD-Grafikdaten'!K102,'GrD-Grafikdaten'!K113)</f>
        <v>7.2605747709420232</v>
      </c>
      <c r="L124" s="100">
        <f>IF(ControlPanel!$T$5="nominal",'GrD-Grafikdaten'!L102,'GrD-Grafikdaten'!L113)</f>
        <v>7.2651634727558241</v>
      </c>
      <c r="M124" s="100">
        <f>IF(ControlPanel!$T$5="nominal",'GrD-Grafikdaten'!M102,'GrD-Grafikdaten'!M113)</f>
        <v>7.2945220235633075</v>
      </c>
      <c r="N124" s="100">
        <f>IF(ControlPanel!$T$5="nominal",'GrD-Grafikdaten'!N102,'GrD-Grafikdaten'!N113)</f>
        <v>7.3262240696841623</v>
      </c>
      <c r="O124" s="100">
        <f>IF(ControlPanel!$T$5="nominal",'GrD-Grafikdaten'!O102,'GrD-Grafikdaten'!O113)</f>
        <v>7.2304552480362698</v>
      </c>
      <c r="P124" s="100">
        <f>IF(ControlPanel!$T$5="nominal",'GrD-Grafikdaten'!P102,'GrD-Grafikdaten'!P113)</f>
        <v>7.0668251307150873</v>
      </c>
      <c r="Q124" s="100">
        <f>IF(ControlPanel!$T$5="nominal",'GrD-Grafikdaten'!Q102,'GrD-Grafikdaten'!Q113)</f>
        <v>7.2119900040302625</v>
      </c>
      <c r="R124" s="100">
        <f>IF(ControlPanel!$T$5="nominal",'GrD-Grafikdaten'!R102,'GrD-Grafikdaten'!R113)</f>
        <v>7.0551581431323172</v>
      </c>
      <c r="S124" s="100">
        <f>IF(ControlPanel!$T$5="nominal",'GrD-Grafikdaten'!S102,'GrD-Grafikdaten'!S113)</f>
        <v>6.8742755240380555</v>
      </c>
      <c r="T124" s="100">
        <f>IF(ControlPanel!$T$5="nominal",'GrD-Grafikdaten'!T102,'GrD-Grafikdaten'!T113)</f>
        <v>6.7150491559820242</v>
      </c>
      <c r="U124" s="100">
        <f>IF(ControlPanel!$T$5="nominal",'GrD-Grafikdaten'!U102,'GrD-Grafikdaten'!U113)</f>
        <v>6.3707577818056675</v>
      </c>
      <c r="V124" s="100">
        <f>IF(ControlPanel!$T$5="nominal",'GrD-Grafikdaten'!V102,'GrD-Grafikdaten'!V113)</f>
        <v>5.8794727155137121</v>
      </c>
      <c r="W124" s="100">
        <f>IF(ControlPanel!$T$5="nominal",'GrD-Grafikdaten'!W102,'GrD-Grafikdaten'!W113)</f>
        <v>5.3912271787399693</v>
      </c>
      <c r="X124" s="100">
        <f>IF(ControlPanel!$T$5="nominal",'GrD-Grafikdaten'!X102,'GrD-Grafikdaten'!X113)</f>
        <v>4.886251526793699</v>
      </c>
      <c r="Y124" s="100">
        <f>IF(ControlPanel!$T$5="nominal",'GrD-Grafikdaten'!Y102,'GrD-Grafikdaten'!Y113)</f>
        <v>4.463317885918479</v>
      </c>
      <c r="Z124" s="100">
        <f>IF(ControlPanel!$T$5="nominal",'GrD-Grafikdaten'!Z102,'GrD-Grafikdaten'!Z113)</f>
        <v>3.6741282866765723</v>
      </c>
      <c r="AA124" s="100">
        <f>IF(ControlPanel!$T$5="nominal",'GrD-Grafikdaten'!AA102,'GrD-Grafikdaten'!AA113)</f>
        <v>2.5849247015331804</v>
      </c>
      <c r="AB124" s="100">
        <f>IF(ControlPanel!$T$5="nominal",'GrD-Grafikdaten'!AB102,'GrD-Grafikdaten'!AB113)</f>
        <v>1.433032964998753</v>
      </c>
      <c r="AC124" s="100">
        <f>IF(ControlPanel!$T$5="nominal",'GrD-Grafikdaten'!AC102,'GrD-Grafikdaten'!AC113)</f>
        <v>0.79368336817599949</v>
      </c>
      <c r="AD124" s="100">
        <f>IF(ControlPanel!$T$5="nominal",'GrD-Grafikdaten'!AD102,'GrD-Grafikdaten'!AD113)</f>
        <v>0.50532344728518275</v>
      </c>
      <c r="AE124" s="585">
        <f>IF(ControlPanel!$T$5="nominal",'GrD-Grafikdaten'!AE102,'GrD-Grafikdaten'!AE113)</f>
        <v>0.24460911425248719</v>
      </c>
      <c r="AF124" s="928" t="s">
        <v>153</v>
      </c>
      <c r="AG124" s="928" t="s">
        <v>209</v>
      </c>
      <c r="AH124" s="559"/>
    </row>
    <row r="125" spans="1:34" s="294" customFormat="1">
      <c r="A125" s="553">
        <v>122</v>
      </c>
      <c r="C125" s="10"/>
      <c r="D125" s="29"/>
      <c r="E125" s="196" t="s">
        <v>703</v>
      </c>
      <c r="F125" s="101">
        <f>IF(ControlPanel!$T$5="nominal",'GrD-Grafikdaten'!F103,'GrD-Grafikdaten'!F114)</f>
        <v>2.0469999999999997</v>
      </c>
      <c r="G125" s="101">
        <f>IF(ControlPanel!$T$5="nominal",'GrD-Grafikdaten'!G103,'GrD-Grafikdaten'!G114)</f>
        <v>3.5300000000000007</v>
      </c>
      <c r="H125" s="101">
        <f>IF(ControlPanel!$T$5="nominal",'GrD-Grafikdaten'!H103,'GrD-Grafikdaten'!H114)</f>
        <v>3.5920000000000005</v>
      </c>
      <c r="I125" s="101">
        <f>IF(ControlPanel!$T$5="nominal",'GrD-Grafikdaten'!I103,'GrD-Grafikdaten'!I114)</f>
        <v>5.2769999999999992</v>
      </c>
      <c r="J125" s="101">
        <f>IF(ControlPanel!$T$5="nominal",'GrD-Grafikdaten'!J103,'GrD-Grafikdaten'!J114)</f>
        <v>6.2399999999999993</v>
      </c>
      <c r="K125" s="101">
        <f>IF(ControlPanel!$T$5="nominal",'GrD-Grafikdaten'!K103,'GrD-Grafikdaten'!K114)</f>
        <v>6.17</v>
      </c>
      <c r="L125" s="101">
        <f>IF(ControlPanel!$T$5="nominal",'GrD-Grafikdaten'!L103,'GrD-Grafikdaten'!L114)</f>
        <v>6.3394923951914501</v>
      </c>
      <c r="M125" s="101">
        <f>IF(ControlPanel!$T$5="nominal",'GrD-Grafikdaten'!M103,'GrD-Grafikdaten'!M114)</f>
        <v>6.862870744991362</v>
      </c>
      <c r="N125" s="101">
        <f>IF(ControlPanel!$T$5="nominal",'GrD-Grafikdaten'!N103,'GrD-Grafikdaten'!N114)</f>
        <v>6.7807438583746604</v>
      </c>
      <c r="O125" s="101">
        <f>IF(ControlPanel!$T$5="nominal",'GrD-Grafikdaten'!O103,'GrD-Grafikdaten'!O114)</f>
        <v>6.405925003395339</v>
      </c>
      <c r="P125" s="101">
        <f>IF(ControlPanel!$T$5="nominal",'GrD-Grafikdaten'!P103,'GrD-Grafikdaten'!P114)</f>
        <v>6.7560731885971812</v>
      </c>
      <c r="Q125" s="101">
        <f>IF(ControlPanel!$T$5="nominal",'GrD-Grafikdaten'!Q103,'GrD-Grafikdaten'!Q114)</f>
        <v>6.5003634995875341</v>
      </c>
      <c r="R125" s="101">
        <f>IF(ControlPanel!$T$5="nominal",'GrD-Grafikdaten'!R103,'GrD-Grafikdaten'!R114)</f>
        <v>5.999829931707656</v>
      </c>
      <c r="S125" s="101">
        <f>IF(ControlPanel!$T$5="nominal",'GrD-Grafikdaten'!S103,'GrD-Grafikdaten'!S114)</f>
        <v>5.7540581975897345</v>
      </c>
      <c r="T125" s="101">
        <f>IF(ControlPanel!$T$5="nominal",'GrD-Grafikdaten'!T103,'GrD-Grafikdaten'!T114)</f>
        <v>5.6173863183219579</v>
      </c>
      <c r="U125" s="101">
        <f>IF(ControlPanel!$T$5="nominal",'GrD-Grafikdaten'!U103,'GrD-Grafikdaten'!U114)</f>
        <v>5.1106041596116398</v>
      </c>
      <c r="V125" s="101">
        <f>IF(ControlPanel!$T$5="nominal",'GrD-Grafikdaten'!V103,'GrD-Grafikdaten'!V114)</f>
        <v>4.6618439243304826</v>
      </c>
      <c r="W125" s="101">
        <f>IF(ControlPanel!$T$5="nominal",'GrD-Grafikdaten'!W103,'GrD-Grafikdaten'!W114)</f>
        <v>4.0727911568283961</v>
      </c>
      <c r="X125" s="101">
        <f>IF(ControlPanel!$T$5="nominal",'GrD-Grafikdaten'!X103,'GrD-Grafikdaten'!X114)</f>
        <v>3.6215750816789316</v>
      </c>
      <c r="Y125" s="101">
        <f>IF(ControlPanel!$T$5="nominal",'GrD-Grafikdaten'!Y103,'GrD-Grafikdaten'!Y114)</f>
        <v>3.1227738888994274</v>
      </c>
      <c r="Z125" s="101">
        <f>IF(ControlPanel!$T$5="nominal",'GrD-Grafikdaten'!Z103,'GrD-Grafikdaten'!Z114)</f>
        <v>2.5242573906001367</v>
      </c>
      <c r="AA125" s="101">
        <f>IF(ControlPanel!$T$5="nominal",'GrD-Grafikdaten'!AA103,'GrD-Grafikdaten'!AA114)</f>
        <v>1.6544335601121409</v>
      </c>
      <c r="AB125" s="101">
        <f>IF(ControlPanel!$T$5="nominal",'GrD-Grafikdaten'!AB103,'GrD-Grafikdaten'!AB114)</f>
        <v>0.82320329708978601</v>
      </c>
      <c r="AC125" s="101">
        <f>IF(ControlPanel!$T$5="nominal",'GrD-Grafikdaten'!AC103,'GrD-Grafikdaten'!AC114)</f>
        <v>0.39530094707806102</v>
      </c>
      <c r="AD125" s="101">
        <f>IF(ControlPanel!$T$5="nominal",'GrD-Grafikdaten'!AD103,'GrD-Grafikdaten'!AD114)</f>
        <v>0.21676830628474378</v>
      </c>
      <c r="AE125" s="1022">
        <f>IF(ControlPanel!$T$5="nominal",'GrD-Grafikdaten'!AE103,'GrD-Grafikdaten'!AE114)</f>
        <v>0.54192582780461751</v>
      </c>
      <c r="AF125" s="928" t="s">
        <v>153</v>
      </c>
      <c r="AG125" s="928" t="s">
        <v>209</v>
      </c>
      <c r="AH125" s="559"/>
    </row>
    <row r="126" spans="1:34" s="294" customFormat="1">
      <c r="A126" s="553">
        <v>123</v>
      </c>
      <c r="C126" s="10"/>
      <c r="D126" s="29"/>
      <c r="E126" s="196" t="s">
        <v>704</v>
      </c>
      <c r="F126" s="101">
        <f>IF(ControlPanel!$T$5="nominal",'GrD-Grafikdaten'!F104,'GrD-Grafikdaten'!F115)</f>
        <v>2.0469999999999997</v>
      </c>
      <c r="G126" s="101">
        <f>IF(ControlPanel!$T$5="nominal",'GrD-Grafikdaten'!G104,'GrD-Grafikdaten'!G115)</f>
        <v>3.5300000000000007</v>
      </c>
      <c r="H126" s="101">
        <f>IF(ControlPanel!$T$5="nominal",'GrD-Grafikdaten'!H104,'GrD-Grafikdaten'!H115)</f>
        <v>3.5920000000000005</v>
      </c>
      <c r="I126" s="101">
        <f>IF(ControlPanel!$T$5="nominal",'GrD-Grafikdaten'!I104,'GrD-Grafikdaten'!I115)</f>
        <v>5.2769999999999992</v>
      </c>
      <c r="J126" s="101">
        <f>IF(ControlPanel!$T$5="nominal",'GrD-Grafikdaten'!J104,'GrD-Grafikdaten'!J115)</f>
        <v>6.2399999999999993</v>
      </c>
      <c r="K126" s="101">
        <f>IF(ControlPanel!$T$5="nominal",'GrD-Grafikdaten'!K104,'GrD-Grafikdaten'!K115)</f>
        <v>6.17</v>
      </c>
      <c r="L126" s="101">
        <f>IF(ControlPanel!$T$5="nominal",'GrD-Grafikdaten'!L104,'GrD-Grafikdaten'!L115)</f>
        <v>6.3394923951914501</v>
      </c>
      <c r="M126" s="101">
        <f>IF(ControlPanel!$T$5="nominal",'GrD-Grafikdaten'!M104,'GrD-Grafikdaten'!M115)</f>
        <v>6.862870744991362</v>
      </c>
      <c r="N126" s="101">
        <f>IF(ControlPanel!$T$5="nominal",'GrD-Grafikdaten'!N104,'GrD-Grafikdaten'!N115)</f>
        <v>6.7807438583746604</v>
      </c>
      <c r="O126" s="101">
        <f>IF(ControlPanel!$T$5="nominal",'GrD-Grafikdaten'!O104,'GrD-Grafikdaten'!O115)</f>
        <v>6.405925003395339</v>
      </c>
      <c r="P126" s="101">
        <f>IF(ControlPanel!$T$5="nominal",'GrD-Grafikdaten'!P104,'GrD-Grafikdaten'!P115)</f>
        <v>6.7560731885971812</v>
      </c>
      <c r="Q126" s="101">
        <f>IF(ControlPanel!$T$5="nominal",'GrD-Grafikdaten'!Q104,'GrD-Grafikdaten'!Q115)</f>
        <v>6.5003634995875359</v>
      </c>
      <c r="R126" s="101">
        <f>IF(ControlPanel!$T$5="nominal",'GrD-Grafikdaten'!R104,'GrD-Grafikdaten'!R115)</f>
        <v>6.3455464049513157</v>
      </c>
      <c r="S126" s="101">
        <f>IF(ControlPanel!$T$5="nominal",'GrD-Grafikdaten'!S104,'GrD-Grafikdaten'!S115)</f>
        <v>5.7377594551042073</v>
      </c>
      <c r="T126" s="101">
        <f>IF(ControlPanel!$T$5="nominal",'GrD-Grafikdaten'!T104,'GrD-Grafikdaten'!T115)</f>
        <v>5.5978679128930713</v>
      </c>
      <c r="U126" s="101">
        <f>IF(ControlPanel!$T$5="nominal",'GrD-Grafikdaten'!U104,'GrD-Grafikdaten'!U115)</f>
        <v>5.0894537215159117</v>
      </c>
      <c r="V126" s="101">
        <f>IF(ControlPanel!$T$5="nominal",'GrD-Grafikdaten'!V104,'GrD-Grafikdaten'!V115)</f>
        <v>4.6385294957784931</v>
      </c>
      <c r="W126" s="101">
        <f>IF(ControlPanel!$T$5="nominal",'GrD-Grafikdaten'!W104,'GrD-Grafikdaten'!W115)</f>
        <v>4.0472663312227866</v>
      </c>
      <c r="X126" s="101">
        <f>IF(ControlPanel!$T$5="nominal",'GrD-Grafikdaten'!X104,'GrD-Grafikdaten'!X115)</f>
        <v>3.5942292522672457</v>
      </c>
      <c r="Y126" s="101">
        <f>IF(ControlPanel!$T$5="nominal",'GrD-Grafikdaten'!Y104,'GrD-Grafikdaten'!Y115)</f>
        <v>3.0939960732966507</v>
      </c>
      <c r="Z126" s="101">
        <f>IF(ControlPanel!$T$5="nominal",'GrD-Grafikdaten'!Z104,'GrD-Grafikdaten'!Z115)</f>
        <v>2.4944400473394257</v>
      </c>
      <c r="AA126" s="101">
        <f>IF(ControlPanel!$T$5="nominal",'GrD-Grafikdaten'!AA104,'GrD-Grafikdaten'!AA115)</f>
        <v>1.6239565889944165</v>
      </c>
      <c r="AB126" s="101">
        <f>IF(ControlPanel!$T$5="nominal",'GrD-Grafikdaten'!AB104,'GrD-Grafikdaten'!AB115)</f>
        <v>0.7924471987414281</v>
      </c>
      <c r="AC126" s="101">
        <f>IF(ControlPanel!$T$5="nominal",'GrD-Grafikdaten'!AC104,'GrD-Grafikdaten'!AC115)</f>
        <v>0.36462549858475624</v>
      </c>
      <c r="AD126" s="101">
        <f>IF(ControlPanel!$T$5="nominal",'GrD-Grafikdaten'!AD104,'GrD-Grafikdaten'!AD115)</f>
        <v>0.18655001507974711</v>
      </c>
      <c r="AE126" s="1022">
        <f>IF(ControlPanel!$T$5="nominal",'GrD-Grafikdaten'!AE104,'GrD-Grafikdaten'!AE115)</f>
        <v>0.51203044585412305</v>
      </c>
      <c r="AF126" s="928" t="s">
        <v>153</v>
      </c>
      <c r="AG126" s="928" t="s">
        <v>209</v>
      </c>
      <c r="AH126" s="559"/>
    </row>
    <row r="127" spans="1:34" s="294" customFormat="1">
      <c r="A127" s="553">
        <v>124</v>
      </c>
      <c r="C127" s="10"/>
      <c r="D127" s="29"/>
      <c r="E127" s="1214" t="s">
        <v>309</v>
      </c>
      <c r="F127" s="1215">
        <f>SUM(F118:F124)-F126</f>
        <v>4.1764188180071216E-4</v>
      </c>
      <c r="G127" s="1215">
        <f t="shared" ref="G127:AE127" si="6">SUM(G118:G124)-G126</f>
        <v>7.0007414884143415E-4</v>
      </c>
      <c r="H127" s="1215">
        <f t="shared" si="6"/>
        <v>-9.2723028694274845E-4</v>
      </c>
      <c r="I127" s="1215">
        <f t="shared" si="6"/>
        <v>4.497458025598533E-4</v>
      </c>
      <c r="J127" s="1215">
        <f t="shared" si="6"/>
        <v>-2.0789464811699077E-4</v>
      </c>
      <c r="K127" s="1215">
        <f t="shared" si="6"/>
        <v>-1.0250125001065591E-2</v>
      </c>
      <c r="L127" s="1215">
        <f t="shared" si="6"/>
        <v>4.2182002677133568E-3</v>
      </c>
      <c r="M127" s="1215">
        <f t="shared" si="6"/>
        <v>-1.6806701557001702E-3</v>
      </c>
      <c r="N127" s="1215">
        <f t="shared" si="6"/>
        <v>-3.595090099500986E-3</v>
      </c>
      <c r="O127" s="1215">
        <f t="shared" si="6"/>
        <v>0</v>
      </c>
      <c r="P127" s="1215">
        <f t="shared" si="6"/>
        <v>5.9625290134714959E-3</v>
      </c>
      <c r="Q127" s="1215">
        <f t="shared" si="6"/>
        <v>-1.7417487536199872E-3</v>
      </c>
      <c r="R127" s="1215">
        <f t="shared" si="6"/>
        <v>0</v>
      </c>
      <c r="S127" s="1215">
        <f t="shared" si="6"/>
        <v>0</v>
      </c>
      <c r="T127" s="1215">
        <f t="shared" si="6"/>
        <v>0</v>
      </c>
      <c r="U127" s="1215">
        <f t="shared" si="6"/>
        <v>0</v>
      </c>
      <c r="V127" s="1215">
        <f t="shared" si="6"/>
        <v>0</v>
      </c>
      <c r="W127" s="1215">
        <f t="shared" si="6"/>
        <v>0</v>
      </c>
      <c r="X127" s="1215">
        <f t="shared" si="6"/>
        <v>0</v>
      </c>
      <c r="Y127" s="1215">
        <f t="shared" si="6"/>
        <v>0</v>
      </c>
      <c r="Z127" s="1215">
        <f t="shared" si="6"/>
        <v>0</v>
      </c>
      <c r="AA127" s="1215">
        <f t="shared" si="6"/>
        <v>0</v>
      </c>
      <c r="AB127" s="1215">
        <f t="shared" si="6"/>
        <v>0</v>
      </c>
      <c r="AC127" s="1215">
        <f t="shared" si="6"/>
        <v>0</v>
      </c>
      <c r="AD127" s="1215">
        <f t="shared" si="6"/>
        <v>0</v>
      </c>
      <c r="AE127" s="1215">
        <f t="shared" si="6"/>
        <v>0</v>
      </c>
      <c r="AF127" s="928"/>
      <c r="AG127" s="928"/>
      <c r="AH127" s="559"/>
    </row>
    <row r="128" spans="1:34" s="294" customFormat="1">
      <c r="A128" s="553">
        <v>125</v>
      </c>
      <c r="C128" s="10"/>
      <c r="D128" s="29"/>
      <c r="E128" s="36"/>
      <c r="F128" s="324"/>
      <c r="G128" s="324"/>
      <c r="H128" s="324"/>
      <c r="I128" s="324"/>
      <c r="J128" s="324"/>
      <c r="K128" s="324"/>
      <c r="L128" s="324"/>
      <c r="M128" s="324"/>
      <c r="N128" s="324"/>
      <c r="O128" s="324"/>
      <c r="P128" s="324"/>
      <c r="Q128" s="324"/>
      <c r="R128" s="324"/>
      <c r="S128" s="324"/>
      <c r="T128" s="324"/>
      <c r="U128" s="324"/>
      <c r="V128" s="324"/>
      <c r="W128" s="324"/>
      <c r="X128" s="324"/>
      <c r="Y128" s="324"/>
      <c r="Z128" s="324"/>
      <c r="AA128" s="324"/>
      <c r="AB128" s="324"/>
      <c r="AC128" s="324"/>
      <c r="AD128" s="324"/>
      <c r="AE128" s="324"/>
      <c r="AF128" s="928"/>
      <c r="AG128" s="928"/>
      <c r="AH128" s="559"/>
    </row>
    <row r="129" spans="1:34" s="294" customFormat="1">
      <c r="A129" s="553">
        <v>126</v>
      </c>
      <c r="C129" s="10"/>
      <c r="D129" s="29"/>
      <c r="E129" s="36"/>
      <c r="AF129" s="928"/>
      <c r="AG129" s="928"/>
      <c r="AH129" s="559"/>
    </row>
    <row r="130" spans="1:34" s="294" customFormat="1">
      <c r="A130" s="553">
        <v>127</v>
      </c>
      <c r="C130" s="10"/>
      <c r="D130" s="29"/>
      <c r="E130" s="36"/>
      <c r="AF130" s="928"/>
      <c r="AG130" s="928"/>
      <c r="AH130" s="559"/>
    </row>
    <row r="131" spans="1:34" s="294" customFormat="1">
      <c r="A131" s="553">
        <v>128</v>
      </c>
      <c r="C131" s="10"/>
      <c r="D131" s="29"/>
      <c r="E131" s="192" t="s">
        <v>710</v>
      </c>
      <c r="F131" s="324"/>
      <c r="G131" s="324"/>
      <c r="H131" s="324"/>
      <c r="I131" s="324"/>
      <c r="J131" s="324"/>
      <c r="K131" s="324"/>
      <c r="L131" s="324"/>
      <c r="M131" s="324"/>
      <c r="N131" s="324"/>
      <c r="O131" s="324"/>
      <c r="P131" s="324"/>
      <c r="Q131" s="324"/>
      <c r="R131" s="324"/>
      <c r="S131" s="324"/>
      <c r="T131" s="324"/>
      <c r="U131" s="324"/>
      <c r="V131" s="324"/>
      <c r="W131" s="324"/>
      <c r="X131" s="324"/>
      <c r="Y131" s="324"/>
      <c r="Z131" s="324"/>
      <c r="AA131" s="324"/>
      <c r="AB131" s="324"/>
      <c r="AC131" s="324"/>
      <c r="AD131" s="324"/>
      <c r="AE131" s="324"/>
      <c r="AF131" s="928"/>
      <c r="AG131" s="928"/>
      <c r="AH131" s="559"/>
    </row>
    <row r="132" spans="1:34" s="294" customFormat="1">
      <c r="A132" s="553">
        <v>129</v>
      </c>
      <c r="C132" s="10"/>
      <c r="D132" s="29"/>
      <c r="E132" s="314" t="s">
        <v>427</v>
      </c>
      <c r="F132" s="98">
        <f>IF(ControlPanel!$T$5="nominal",F52-F8,F70-F26)</f>
        <v>0</v>
      </c>
      <c r="G132" s="98">
        <f>IF(ControlPanel!$T$5="nominal",G52-G8,G70-G26)</f>
        <v>0</v>
      </c>
      <c r="H132" s="98">
        <f>IF(ControlPanel!$T$5="nominal",H52-H8,H70-H26)</f>
        <v>0</v>
      </c>
      <c r="I132" s="98">
        <f>IF(ControlPanel!$T$5="nominal",I52-I8,I70-I26)</f>
        <v>0</v>
      </c>
      <c r="J132" s="98">
        <f>IF(ControlPanel!$T$5="nominal",J52-J8,J70-J26)</f>
        <v>0</v>
      </c>
      <c r="K132" s="98">
        <f>IF(ControlPanel!$T$5="nominal",K52-K8,K70-K26)</f>
        <v>0</v>
      </c>
      <c r="L132" s="98">
        <f>IF(ControlPanel!$T$5="nominal",L52-L8,L70-L26)</f>
        <v>0</v>
      </c>
      <c r="M132" s="98">
        <f>IF(ControlPanel!$T$5="nominal",M52-M8,M70-M26)</f>
        <v>0</v>
      </c>
      <c r="N132" s="98">
        <f>IF(ControlPanel!$T$5="nominal",N52-N8,N70-N26)</f>
        <v>0</v>
      </c>
      <c r="O132" s="98">
        <f>IF(ControlPanel!$T$5="nominal",O52-O8,O70-O26)</f>
        <v>0</v>
      </c>
      <c r="P132" s="98">
        <f>IF(ControlPanel!$T$5="nominal",P52-P8,P70-P26)</f>
        <v>0</v>
      </c>
      <c r="Q132" s="98">
        <f>IF(ControlPanel!$T$5="nominal",Q52-Q8,Q70-Q26)</f>
        <v>1.7763568394002505E-15</v>
      </c>
      <c r="R132" s="98">
        <f>IF(ControlPanel!$T$5="nominal",R52-R8,R70-R26)</f>
        <v>0.34571647324365973</v>
      </c>
      <c r="S132" s="98">
        <f>IF(ControlPanel!$T$5="nominal",S52-S8,S70-S26)</f>
        <v>-1.6298742485527207E-2</v>
      </c>
      <c r="T132" s="98">
        <f>IF(ControlPanel!$T$5="nominal",T52-T8,T70-T26)</f>
        <v>-1.9518405428886609E-2</v>
      </c>
      <c r="U132" s="98">
        <f>IF(ControlPanel!$T$5="nominal",U52-U8,U70-U26)</f>
        <v>-2.1150438095728141E-2</v>
      </c>
      <c r="V132" s="98">
        <f>IF(ControlPanel!$T$5="nominal",V52-V8,V70-V26)</f>
        <v>-2.3314428551989508E-2</v>
      </c>
      <c r="W132" s="98">
        <f>IF(ControlPanel!$T$5="nominal",W52-W8,W70-W26)</f>
        <v>-2.5524825605609536E-2</v>
      </c>
      <c r="X132" s="98">
        <f>IF(ControlPanel!$T$5="nominal",X52-X8,X70-X26)</f>
        <v>-2.7345829411685951E-2</v>
      </c>
      <c r="Y132" s="98">
        <f>IF(ControlPanel!$T$5="nominal",Y52-Y8,Y70-Y26)</f>
        <v>-2.8777815602776702E-2</v>
      </c>
      <c r="Z132" s="98">
        <f>IF(ControlPanel!$T$5="nominal",Z52-Z8,Z70-Z26)</f>
        <v>-2.9817343260710949E-2</v>
      </c>
      <c r="AA132" s="98">
        <f>IF(ControlPanel!$T$5="nominal",AA52-AA8,AA70-AA26)</f>
        <v>-3.0476971117724405E-2</v>
      </c>
      <c r="AB132" s="98">
        <f>IF(ControlPanel!$T$5="nominal",AB52-AB8,AB70-AB26)</f>
        <v>-3.0756098348357908E-2</v>
      </c>
      <c r="AC132" s="98">
        <f>IF(ControlPanel!$T$5="nominal",AC52-AC8,AC70-AC26)</f>
        <v>-3.067544849330478E-2</v>
      </c>
      <c r="AD132" s="98">
        <f>IF(ControlPanel!$T$5="nominal",AD52-AD8,AD70-AD26)</f>
        <v>-3.0218291204996667E-2</v>
      </c>
      <c r="AE132" s="583">
        <f>IF(ControlPanel!$T$5="nominal",AE52-AE8,AE70-AE26)</f>
        <v>-2.989538195049446E-2</v>
      </c>
      <c r="AF132" s="928"/>
      <c r="AG132" s="928" t="s">
        <v>158</v>
      </c>
      <c r="AH132" s="945" t="s">
        <v>753</v>
      </c>
    </row>
    <row r="133" spans="1:34" s="294" customFormat="1">
      <c r="A133" s="553">
        <v>130</v>
      </c>
      <c r="C133" s="10"/>
      <c r="D133" s="29"/>
      <c r="E133" s="16" t="s">
        <v>676</v>
      </c>
      <c r="F133" s="99">
        <f>IF(ControlPanel!$T$5="nominal",F53-F9,F71-F27)</f>
        <v>0</v>
      </c>
      <c r="G133" s="99">
        <f>IF(ControlPanel!$T$5="nominal",G53-G9,G71-G27)</f>
        <v>0</v>
      </c>
      <c r="H133" s="99">
        <f>IF(ControlPanel!$T$5="nominal",H53-H9,H71-H27)</f>
        <v>0</v>
      </c>
      <c r="I133" s="99">
        <f>IF(ControlPanel!$T$5="nominal",I53-I9,I71-I27)</f>
        <v>0</v>
      </c>
      <c r="J133" s="99">
        <f>IF(ControlPanel!$T$5="nominal",J53-J9,J71-J27)</f>
        <v>0</v>
      </c>
      <c r="K133" s="99">
        <f>IF(ControlPanel!$T$5="nominal",K53-K9,K71-K27)</f>
        <v>0</v>
      </c>
      <c r="L133" s="99">
        <f>IF(ControlPanel!$T$5="nominal",L53-L9,L71-L27)</f>
        <v>0</v>
      </c>
      <c r="M133" s="99">
        <f>IF(ControlPanel!$T$5="nominal",M53-M9,M71-M27)</f>
        <v>0</v>
      </c>
      <c r="N133" s="99">
        <f>IF(ControlPanel!$T$5="nominal",N53-N9,N71-N27)</f>
        <v>0</v>
      </c>
      <c r="O133" s="99">
        <f>IF(ControlPanel!$T$5="nominal",O53-O9,O71-O27)</f>
        <v>0</v>
      </c>
      <c r="P133" s="99">
        <f>IF(ControlPanel!$T$5="nominal",P53-P9,P71-P27)</f>
        <v>0</v>
      </c>
      <c r="Q133" s="99">
        <f>IF(ControlPanel!$T$5="nominal",Q53-Q9,Q71-Q27)</f>
        <v>0</v>
      </c>
      <c r="R133" s="99">
        <f>IF(ControlPanel!$T$5="nominal",R53-R9,R71-R27)</f>
        <v>-5.2860702320426389E-3</v>
      </c>
      <c r="S133" s="99">
        <f>IF(ControlPanel!$T$5="nominal",S53-S9,S71-S27)</f>
        <v>-8.4614475358585906E-3</v>
      </c>
      <c r="T133" s="99">
        <f>IF(ControlPanel!$T$5="nominal",T53-T9,T71-T27)</f>
        <v>-1.1471246358683407E-2</v>
      </c>
      <c r="U133" s="99">
        <f>IF(ControlPanel!$T$5="nominal",U53-U9,U71-U27)</f>
        <v>-1.4246751140879643E-2</v>
      </c>
      <c r="V133" s="99">
        <f>IF(ControlPanel!$T$5="nominal",V53-V9,V71-V27)</f>
        <v>-1.6772776143541002E-2</v>
      </c>
      <c r="W133" s="99">
        <f>IF(ControlPanel!$T$5="nominal",W53-W9,W71-W27)</f>
        <v>-1.904227897213151E-2</v>
      </c>
      <c r="X133" s="99">
        <f>IF(ControlPanel!$T$5="nominal",X53-X9,X71-X27)</f>
        <v>-2.1044147238928224E-2</v>
      </c>
      <c r="Y133" s="99">
        <f>IF(ControlPanel!$T$5="nominal",Y53-Y9,Y71-Y27)</f>
        <v>-2.276728908859893E-2</v>
      </c>
      <c r="Z133" s="99">
        <f>IF(ControlPanel!$T$5="nominal",Z53-Z9,Z71-Z27)</f>
        <v>-2.4200589584532473E-2</v>
      </c>
      <c r="AA133" s="99">
        <f>IF(ControlPanel!$T$5="nominal",AA53-AA9,AA71-AA27)</f>
        <v>-2.5332873186289961E-2</v>
      </c>
      <c r="AB133" s="99">
        <f>IF(ControlPanel!$T$5="nominal",AB53-AB9,AB71-AB27)</f>
        <v>-2.6152871152066437E-2</v>
      </c>
      <c r="AC133" s="99">
        <f>IF(ControlPanel!$T$5="nominal",AC53-AC9,AC71-AC27)</f>
        <v>-2.6649192942275468E-2</v>
      </c>
      <c r="AD133" s="99">
        <f>IF(ControlPanel!$T$5="nominal",AD53-AD9,AD71-AD27)</f>
        <v>-2.6810300887269212E-2</v>
      </c>
      <c r="AE133" s="584">
        <f>IF(ControlPanel!$T$5="nominal",AE53-AE9,AE71-AE27)</f>
        <v>-2.6624487527486029E-2</v>
      </c>
      <c r="AF133" s="928"/>
      <c r="AG133" s="928" t="s">
        <v>158</v>
      </c>
      <c r="AH133" s="559"/>
    </row>
    <row r="134" spans="1:34" s="294" customFormat="1">
      <c r="A134" s="553">
        <v>131</v>
      </c>
      <c r="C134" s="10"/>
      <c r="D134" s="29"/>
      <c r="E134" s="16" t="s">
        <v>679</v>
      </c>
      <c r="F134" s="99">
        <f>IF(ControlPanel!$T$5="nominal",F54-F10,F72-F28)</f>
        <v>0</v>
      </c>
      <c r="G134" s="99">
        <f>IF(ControlPanel!$T$5="nominal",G54-G10,G72-G28)</f>
        <v>0</v>
      </c>
      <c r="H134" s="99">
        <f>IF(ControlPanel!$T$5="nominal",H54-H10,H72-H28)</f>
        <v>0</v>
      </c>
      <c r="I134" s="99">
        <f>IF(ControlPanel!$T$5="nominal",I54-I10,I72-I28)</f>
        <v>0</v>
      </c>
      <c r="J134" s="99">
        <f>IF(ControlPanel!$T$5="nominal",J54-J10,J72-J28)</f>
        <v>0</v>
      </c>
      <c r="K134" s="99">
        <f>IF(ControlPanel!$T$5="nominal",K54-K10,K72-K28)</f>
        <v>0</v>
      </c>
      <c r="L134" s="99">
        <f>IF(ControlPanel!$T$5="nominal",L54-L10,L72-L28)</f>
        <v>0</v>
      </c>
      <c r="M134" s="99">
        <f>IF(ControlPanel!$T$5="nominal",M54-M10,M72-M28)</f>
        <v>0</v>
      </c>
      <c r="N134" s="99">
        <f>IF(ControlPanel!$T$5="nominal",N54-N10,N72-N28)</f>
        <v>0</v>
      </c>
      <c r="O134" s="99">
        <f>IF(ControlPanel!$T$5="nominal",O54-O10,O72-O28)</f>
        <v>0</v>
      </c>
      <c r="P134" s="99">
        <f>IF(ControlPanel!$T$5="nominal",P54-P10,P72-P28)</f>
        <v>0</v>
      </c>
      <c r="Q134" s="99">
        <f>IF(ControlPanel!$T$5="nominal",Q54-Q10,Q72-Q28)</f>
        <v>0</v>
      </c>
      <c r="R134" s="99">
        <f>IF(ControlPanel!$T$5="nominal",R54-R10,R72-R28)</f>
        <v>-2.2917878895373917E-4</v>
      </c>
      <c r="S134" s="99">
        <f>IF(ControlPanel!$T$5="nominal",S54-S10,S72-S28)</f>
        <v>-3.4373495649033664E-4</v>
      </c>
      <c r="T134" s="99">
        <f>IF(ControlPanel!$T$5="nominal",T54-T10,T72-T28)</f>
        <v>-4.523321183771134E-4</v>
      </c>
      <c r="U134" s="99">
        <f>IF(ControlPanel!$T$5="nominal",U54-U10,U72-U28)</f>
        <v>-7.1955464874633168E-4</v>
      </c>
      <c r="V134" s="99">
        <f>IF(ControlPanel!$T$5="nominal",V54-V10,V72-V28)</f>
        <v>-9.4141736641735821E-4</v>
      </c>
      <c r="W134" s="99">
        <f>IF(ControlPanel!$T$5="nominal",W54-W10,W72-W28)</f>
        <v>-8.5514032951620675E-4</v>
      </c>
      <c r="X134" s="99">
        <f>IF(ControlPanel!$T$5="nominal",X54-X10,X72-X28)</f>
        <v>-4.6331697638347241E-4</v>
      </c>
      <c r="Y134" s="99">
        <f>IF(ControlPanel!$T$5="nominal",Y54-Y10,Y72-Y28)</f>
        <v>2.3526392525751588E-4</v>
      </c>
      <c r="Z134" s="99">
        <f>IF(ControlPanel!$T$5="nominal",Z54-Z10,Z72-Z28)</f>
        <v>1.2441923224537823E-3</v>
      </c>
      <c r="AA134" s="99">
        <f>IF(ControlPanel!$T$5="nominal",AA54-AA10,AA72-AA28)</f>
        <v>2.5686492210632954E-3</v>
      </c>
      <c r="AB134" s="99">
        <f>IF(ControlPanel!$T$5="nominal",AB54-AB10,AB72-AB28)</f>
        <v>4.2149483214261804E-3</v>
      </c>
      <c r="AC134" s="99">
        <f>IF(ControlPanel!$T$5="nominal",AC54-AC10,AC72-AC28)</f>
        <v>6.1902578746734147E-3</v>
      </c>
      <c r="AD134" s="99">
        <f>IF(ControlPanel!$T$5="nominal",AD54-AD10,AD72-AD28)</f>
        <v>8.5024261573968772E-3</v>
      </c>
      <c r="AE134" s="584">
        <f>IF(ControlPanel!$T$5="nominal",AE54-AE10,AE72-AE28)</f>
        <v>1.1159869068862955E-2</v>
      </c>
      <c r="AF134" s="928"/>
      <c r="AG134" s="928" t="s">
        <v>158</v>
      </c>
      <c r="AH134" s="559"/>
    </row>
    <row r="135" spans="1:34" s="294" customFormat="1">
      <c r="A135" s="553">
        <v>132</v>
      </c>
      <c r="C135" s="10"/>
      <c r="D135" s="29"/>
      <c r="E135" s="16" t="s">
        <v>677</v>
      </c>
      <c r="F135" s="99">
        <f>IF(ControlPanel!$T$5="nominal",F55-F11,F73-F29)</f>
        <v>0</v>
      </c>
      <c r="G135" s="99">
        <f>IF(ControlPanel!$T$5="nominal",G55-G11,G73-G29)</f>
        <v>0</v>
      </c>
      <c r="H135" s="99">
        <f>IF(ControlPanel!$T$5="nominal",H55-H11,H73-H29)</f>
        <v>0</v>
      </c>
      <c r="I135" s="99">
        <f>IF(ControlPanel!$T$5="nominal",I55-I11,I73-I29)</f>
        <v>0</v>
      </c>
      <c r="J135" s="99">
        <f>IF(ControlPanel!$T$5="nominal",J55-J11,J73-J29)</f>
        <v>0</v>
      </c>
      <c r="K135" s="99">
        <f>IF(ControlPanel!$T$5="nominal",K55-K11,K73-K29)</f>
        <v>0</v>
      </c>
      <c r="L135" s="99">
        <f>IF(ControlPanel!$T$5="nominal",L55-L11,L73-L29)</f>
        <v>0</v>
      </c>
      <c r="M135" s="99">
        <f>IF(ControlPanel!$T$5="nominal",M55-M11,M73-M29)</f>
        <v>0</v>
      </c>
      <c r="N135" s="99">
        <f>IF(ControlPanel!$T$5="nominal",N55-N11,N73-N29)</f>
        <v>0</v>
      </c>
      <c r="O135" s="99">
        <f>IF(ControlPanel!$T$5="nominal",O55-O11,O73-O29)</f>
        <v>0</v>
      </c>
      <c r="P135" s="99">
        <f>IF(ControlPanel!$T$5="nominal",P55-P11,P73-P29)</f>
        <v>0</v>
      </c>
      <c r="Q135" s="99">
        <f>IF(ControlPanel!$T$5="nominal",Q55-Q11,Q73-Q29)</f>
        <v>0</v>
      </c>
      <c r="R135" s="99">
        <f>IF(ControlPanel!$T$5="nominal",R55-R11,R73-R29)</f>
        <v>0</v>
      </c>
      <c r="S135" s="99">
        <f>IF(ControlPanel!$T$5="nominal",S55-S11,S73-S29)</f>
        <v>0</v>
      </c>
      <c r="T135" s="99">
        <f>IF(ControlPanel!$T$5="nominal",T55-T11,T73-T29)</f>
        <v>0</v>
      </c>
      <c r="U135" s="99">
        <f>IF(ControlPanel!$T$5="nominal",U55-U11,U73-U29)</f>
        <v>0</v>
      </c>
      <c r="V135" s="99">
        <f>IF(ControlPanel!$T$5="nominal",V55-V11,V73-V29)</f>
        <v>0</v>
      </c>
      <c r="W135" s="99">
        <f>IF(ControlPanel!$T$5="nominal",W55-W11,W73-W29)</f>
        <v>0</v>
      </c>
      <c r="X135" s="99">
        <f>IF(ControlPanel!$T$5="nominal",X55-X11,X73-X29)</f>
        <v>0</v>
      </c>
      <c r="Y135" s="99">
        <f>IF(ControlPanel!$T$5="nominal",Y55-Y11,Y73-Y29)</f>
        <v>0</v>
      </c>
      <c r="Z135" s="99">
        <f>IF(ControlPanel!$T$5="nominal",Z55-Z11,Z73-Z29)</f>
        <v>0</v>
      </c>
      <c r="AA135" s="99">
        <f>IF(ControlPanel!$T$5="nominal",AA55-AA11,AA73-AA29)</f>
        <v>0</v>
      </c>
      <c r="AB135" s="99">
        <f>IF(ControlPanel!$T$5="nominal",AB55-AB11,AB73-AB29)</f>
        <v>0</v>
      </c>
      <c r="AC135" s="99">
        <f>IF(ControlPanel!$T$5="nominal",AC55-AC11,AC73-AC29)</f>
        <v>0</v>
      </c>
      <c r="AD135" s="99">
        <f>IF(ControlPanel!$T$5="nominal",AD55-AD11,AD73-AD29)</f>
        <v>0</v>
      </c>
      <c r="AE135" s="584">
        <f>IF(ControlPanel!$T$5="nominal",AE55-AE11,AE73-AE29)</f>
        <v>0</v>
      </c>
      <c r="AF135" s="928"/>
      <c r="AG135" s="928" t="s">
        <v>158</v>
      </c>
      <c r="AH135" s="559"/>
    </row>
    <row r="136" spans="1:34" s="294" customFormat="1">
      <c r="A136" s="553">
        <v>133</v>
      </c>
      <c r="C136" s="10"/>
      <c r="D136" s="29"/>
      <c r="E136" s="16" t="s">
        <v>678</v>
      </c>
      <c r="F136" s="99">
        <f>IF(ControlPanel!$T$5="nominal",F56-F12,F74-F30)</f>
        <v>0</v>
      </c>
      <c r="G136" s="99">
        <f>IF(ControlPanel!$T$5="nominal",G56-G12,G74-G30)</f>
        <v>0</v>
      </c>
      <c r="H136" s="99">
        <f>IF(ControlPanel!$T$5="nominal",H56-H12,H74-H30)</f>
        <v>0</v>
      </c>
      <c r="I136" s="99">
        <f>IF(ControlPanel!$T$5="nominal",I56-I12,I74-I30)</f>
        <v>0</v>
      </c>
      <c r="J136" s="99">
        <f>IF(ControlPanel!$T$5="nominal",J56-J12,J74-J30)</f>
        <v>0</v>
      </c>
      <c r="K136" s="99">
        <f>IF(ControlPanel!$T$5="nominal",K56-K12,K74-K30)</f>
        <v>0</v>
      </c>
      <c r="L136" s="99">
        <f>IF(ControlPanel!$T$5="nominal",L56-L12,L74-L30)</f>
        <v>0</v>
      </c>
      <c r="M136" s="99">
        <f>IF(ControlPanel!$T$5="nominal",M56-M12,M74-M30)</f>
        <v>0</v>
      </c>
      <c r="N136" s="99">
        <f>IF(ControlPanel!$T$5="nominal",N56-N12,N74-N30)</f>
        <v>0</v>
      </c>
      <c r="O136" s="99">
        <f>IF(ControlPanel!$T$5="nominal",O56-O12,O74-O30)</f>
        <v>0</v>
      </c>
      <c r="P136" s="99">
        <f>IF(ControlPanel!$T$5="nominal",P56-P12,P74-P30)</f>
        <v>0</v>
      </c>
      <c r="Q136" s="99">
        <f>IF(ControlPanel!$T$5="nominal",Q56-Q12,Q74-Q30)</f>
        <v>0</v>
      </c>
      <c r="R136" s="99">
        <f>IF(ControlPanel!$T$5="nominal",R56-R12,R74-R30)</f>
        <v>-2.2130094999539836E-2</v>
      </c>
      <c r="S136" s="99">
        <f>IF(ControlPanel!$T$5="nominal",S56-S12,S74-S30)</f>
        <v>-4.0596083483109599E-2</v>
      </c>
      <c r="T136" s="99">
        <f>IF(ControlPanel!$T$5="nominal",T56-T12,T74-T30)</f>
        <v>-4.9066316862766191E-2</v>
      </c>
      <c r="U136" s="99">
        <f>IF(ControlPanel!$T$5="nominal",U56-U12,U74-U30)</f>
        <v>-5.3339273649673363E-2</v>
      </c>
      <c r="V136" s="99">
        <f>IF(ControlPanel!$T$5="nominal",V56-V12,V74-V30)</f>
        <v>-5.8544407633345383E-2</v>
      </c>
      <c r="W136" s="99">
        <f>IF(ControlPanel!$T$5="nominal",W56-W12,W74-W30)</f>
        <v>-6.4523384063578437E-2</v>
      </c>
      <c r="X136" s="99">
        <f>IF(ControlPanel!$T$5="nominal",X56-X12,X74-X30)</f>
        <v>-6.9726389984817991E-2</v>
      </c>
      <c r="Y136" s="99">
        <f>IF(ControlPanel!$T$5="nominal",Y56-Y12,Y74-Y30)</f>
        <v>-7.4168659966746875E-2</v>
      </c>
      <c r="Z136" s="99">
        <f>IF(ControlPanel!$T$5="nominal",Z56-Z12,Z74-Z30)</f>
        <v>-7.7863940715049484E-2</v>
      </c>
      <c r="AA136" s="99">
        <f>IF(ControlPanel!$T$5="nominal",AA56-AA12,AA74-AA30)</f>
        <v>-8.0824536426471028E-2</v>
      </c>
      <c r="AB136" s="99">
        <f>IF(ControlPanel!$T$5="nominal",AB56-AB12,AB74-AB30)</f>
        <v>-8.3061355374429255E-2</v>
      </c>
      <c r="AC136" s="99">
        <f>IF(ControlPanel!$T$5="nominal",AC56-AC12,AC74-AC30)</f>
        <v>-8.4583955860386167E-2</v>
      </c>
      <c r="AD136" s="99">
        <f>IF(ControlPanel!$T$5="nominal",AD56-AD12,AD74-AD30)</f>
        <v>-8.5400590631061396E-2</v>
      </c>
      <c r="AE136" s="584">
        <f>IF(ControlPanel!$T$5="nominal",AE56-AE12,AE74-AE30)</f>
        <v>-8.55182493294043E-2</v>
      </c>
      <c r="AF136" s="928"/>
      <c r="AG136" s="928" t="s">
        <v>158</v>
      </c>
      <c r="AH136" s="559"/>
    </row>
    <row r="137" spans="1:34" s="294" customFormat="1">
      <c r="A137" s="553">
        <v>134</v>
      </c>
      <c r="C137" s="10"/>
      <c r="D137" s="29"/>
      <c r="E137" s="16" t="s">
        <v>680</v>
      </c>
      <c r="F137" s="99">
        <f>IF(ControlPanel!$T$5="nominal",F57-F13,F75-F31)</f>
        <v>0</v>
      </c>
      <c r="G137" s="99">
        <f>IF(ControlPanel!$T$5="nominal",G57-G13,G75-G31)</f>
        <v>0</v>
      </c>
      <c r="H137" s="99">
        <f>IF(ControlPanel!$T$5="nominal",H57-H13,H75-H31)</f>
        <v>0</v>
      </c>
      <c r="I137" s="99">
        <f>IF(ControlPanel!$T$5="nominal",I57-I13,I75-I31)</f>
        <v>0</v>
      </c>
      <c r="J137" s="99">
        <f>IF(ControlPanel!$T$5="nominal",J57-J13,J75-J31)</f>
        <v>0</v>
      </c>
      <c r="K137" s="99">
        <f>IF(ControlPanel!$T$5="nominal",K57-K13,K75-K31)</f>
        <v>0</v>
      </c>
      <c r="L137" s="99">
        <f>IF(ControlPanel!$T$5="nominal",L57-L13,L75-L31)</f>
        <v>0</v>
      </c>
      <c r="M137" s="99">
        <f>IF(ControlPanel!$T$5="nominal",M57-M13,M75-M31)</f>
        <v>0</v>
      </c>
      <c r="N137" s="99">
        <f>IF(ControlPanel!$T$5="nominal",N57-N13,N75-N31)</f>
        <v>0</v>
      </c>
      <c r="O137" s="99">
        <f>IF(ControlPanel!$T$5="nominal",O57-O13,O75-O31)</f>
        <v>0</v>
      </c>
      <c r="P137" s="99">
        <f>IF(ControlPanel!$T$5="nominal",P57-P13,P75-P31)</f>
        <v>0</v>
      </c>
      <c r="Q137" s="99">
        <f>IF(ControlPanel!$T$5="nominal",Q57-Q13,Q75-Q31)</f>
        <v>0</v>
      </c>
      <c r="R137" s="99">
        <f>IF(ControlPanel!$T$5="nominal",R57-R13,R75-R31)</f>
        <v>-6.6236341203129712E-3</v>
      </c>
      <c r="S137" s="99">
        <f>IF(ControlPanel!$T$5="nominal",S57-S13,S75-S31)</f>
        <v>-5.9623736370504332E-3</v>
      </c>
      <c r="T137" s="99">
        <f>IF(ControlPanel!$T$5="nominal",T57-T13,T75-T31)</f>
        <v>-5.7815633948781198E-3</v>
      </c>
      <c r="U137" s="99">
        <f>IF(ControlPanel!$T$5="nominal",U57-U13,U75-U31)</f>
        <v>-4.5762082367364343E-3</v>
      </c>
      <c r="V137" s="99">
        <f>IF(ControlPanel!$T$5="nominal",V57-V13,V75-V31)</f>
        <v>-4.3338487500585998E-3</v>
      </c>
      <c r="W137" s="99">
        <f>IF(ControlPanel!$T$5="nominal",W57-W13,W75-W31)</f>
        <v>-4.1198300206159999E-3</v>
      </c>
      <c r="X137" s="99">
        <f>IF(ControlPanel!$T$5="nominal",X57-X13,X75-X31)</f>
        <v>-3.9336368441444947E-3</v>
      </c>
      <c r="Y137" s="99">
        <f>IF(ControlPanel!$T$5="nominal",Y57-Y13,Y75-Y31)</f>
        <v>-3.7741289755466312E-3</v>
      </c>
      <c r="Z137" s="99">
        <f>IF(ControlPanel!$T$5="nominal",Z57-Z13,Z75-Z31)</f>
        <v>-3.6403160080924479E-3</v>
      </c>
      <c r="AA137" s="99">
        <f>IF(ControlPanel!$T$5="nominal",AA57-AA13,AA75-AA31)</f>
        <v>-3.5315195396696808E-3</v>
      </c>
      <c r="AB137" s="99">
        <f>IF(ControlPanel!$T$5="nominal",AB57-AB13,AB75-AB31)</f>
        <v>-3.447371938764654E-3</v>
      </c>
      <c r="AC137" s="99">
        <f>IF(ControlPanel!$T$5="nominal",AC57-AC13,AC75-AC31)</f>
        <v>-3.3877746382033891E-3</v>
      </c>
      <c r="AD137" s="99">
        <f>IF(ControlPanel!$T$5="nominal",AD57-AD13,AD75-AD31)</f>
        <v>-3.3528521893915197E-3</v>
      </c>
      <c r="AE137" s="584">
        <f>IF(ControlPanel!$T$5="nominal",AE57-AE13,AE75-AE31)</f>
        <v>-4.9932338684071098E-3</v>
      </c>
      <c r="AF137" s="928"/>
      <c r="AG137" s="928" t="s">
        <v>158</v>
      </c>
      <c r="AH137" s="559"/>
    </row>
    <row r="138" spans="1:34" s="294" customFormat="1">
      <c r="A138" s="553">
        <v>135</v>
      </c>
      <c r="C138" s="10"/>
      <c r="D138" s="29"/>
      <c r="E138" s="16" t="s">
        <v>681</v>
      </c>
      <c r="F138" s="99">
        <f>IF(ControlPanel!$T$5="nominal",F58-F14,F76-F32)</f>
        <v>0</v>
      </c>
      <c r="G138" s="99">
        <f>IF(ControlPanel!$T$5="nominal",G58-G14,G76-G32)</f>
        <v>0</v>
      </c>
      <c r="H138" s="99">
        <f>IF(ControlPanel!$T$5="nominal",H58-H14,H76-H32)</f>
        <v>0</v>
      </c>
      <c r="I138" s="99">
        <f>IF(ControlPanel!$T$5="nominal",I58-I14,I76-I32)</f>
        <v>0</v>
      </c>
      <c r="J138" s="99">
        <f>IF(ControlPanel!$T$5="nominal",J58-J14,J76-J32)</f>
        <v>0</v>
      </c>
      <c r="K138" s="99">
        <f>IF(ControlPanel!$T$5="nominal",K58-K14,K76-K32)</f>
        <v>0</v>
      </c>
      <c r="L138" s="99">
        <f>IF(ControlPanel!$T$5="nominal",L58-L14,L76-L32)</f>
        <v>0</v>
      </c>
      <c r="M138" s="99">
        <f>IF(ControlPanel!$T$5="nominal",M58-M14,M76-M32)</f>
        <v>0</v>
      </c>
      <c r="N138" s="99">
        <f>IF(ControlPanel!$T$5="nominal",N58-N14,N76-N32)</f>
        <v>0</v>
      </c>
      <c r="O138" s="99">
        <f>IF(ControlPanel!$T$5="nominal",O58-O14,O76-O32)</f>
        <v>0</v>
      </c>
      <c r="P138" s="99">
        <f>IF(ControlPanel!$T$5="nominal",P58-P14,P76-P32)</f>
        <v>0</v>
      </c>
      <c r="Q138" s="99">
        <f>IF(ControlPanel!$T$5="nominal",Q58-Q14,Q76-Q32)</f>
        <v>0</v>
      </c>
      <c r="R138" s="99">
        <f>IF(ControlPanel!$T$5="nominal",R58-R14,R76-R32)</f>
        <v>0</v>
      </c>
      <c r="S138" s="99">
        <f>IF(ControlPanel!$T$5="nominal",S58-S14,S76-S32)</f>
        <v>0</v>
      </c>
      <c r="T138" s="99">
        <f>IF(ControlPanel!$T$5="nominal",T58-T14,T76-T32)</f>
        <v>0</v>
      </c>
      <c r="U138" s="99">
        <f>IF(ControlPanel!$T$5="nominal",U58-U14,U76-U32)</f>
        <v>0</v>
      </c>
      <c r="V138" s="99">
        <f>IF(ControlPanel!$T$5="nominal",V58-V14,V76-V32)</f>
        <v>0</v>
      </c>
      <c r="W138" s="99">
        <f>IF(ControlPanel!$T$5="nominal",W58-W14,W76-W32)</f>
        <v>0</v>
      </c>
      <c r="X138" s="99">
        <f>IF(ControlPanel!$T$5="nominal",X58-X14,X76-X32)</f>
        <v>0</v>
      </c>
      <c r="Y138" s="99">
        <f>IF(ControlPanel!$T$5="nominal",Y58-Y14,Y76-Y32)</f>
        <v>0</v>
      </c>
      <c r="Z138" s="99">
        <f>IF(ControlPanel!$T$5="nominal",Z58-Z14,Z76-Z32)</f>
        <v>0</v>
      </c>
      <c r="AA138" s="99">
        <f>IF(ControlPanel!$T$5="nominal",AA58-AA14,AA76-AA32)</f>
        <v>0</v>
      </c>
      <c r="AB138" s="99">
        <f>IF(ControlPanel!$T$5="nominal",AB58-AB14,AB76-AB32)</f>
        <v>0</v>
      </c>
      <c r="AC138" s="99">
        <f>IF(ControlPanel!$T$5="nominal",AC58-AC14,AC76-AC32)</f>
        <v>0</v>
      </c>
      <c r="AD138" s="99">
        <f>IF(ControlPanel!$T$5="nominal",AD58-AD14,AD76-AD32)</f>
        <v>0</v>
      </c>
      <c r="AE138" s="584">
        <f>IF(ControlPanel!$T$5="nominal",AE58-AE14,AE76-AE32)</f>
        <v>0</v>
      </c>
      <c r="AF138" s="928"/>
      <c r="AG138" s="928" t="s">
        <v>158</v>
      </c>
      <c r="AH138" s="559"/>
    </row>
    <row r="139" spans="1:34" s="294" customFormat="1">
      <c r="A139" s="553">
        <v>136</v>
      </c>
      <c r="C139" s="10"/>
      <c r="D139" s="29"/>
      <c r="E139" s="16" t="s">
        <v>682</v>
      </c>
      <c r="F139" s="99">
        <f>IF(ControlPanel!$T$5="nominal",F59-F15,F77-F33)</f>
        <v>0</v>
      </c>
      <c r="G139" s="99">
        <f>IF(ControlPanel!$T$5="nominal",G59-G15,G77-G33)</f>
        <v>0</v>
      </c>
      <c r="H139" s="99">
        <f>IF(ControlPanel!$T$5="nominal",H59-H15,H77-H33)</f>
        <v>0</v>
      </c>
      <c r="I139" s="99">
        <f>IF(ControlPanel!$T$5="nominal",I59-I15,I77-I33)</f>
        <v>0</v>
      </c>
      <c r="J139" s="99">
        <f>IF(ControlPanel!$T$5="nominal",J59-J15,J77-J33)</f>
        <v>0</v>
      </c>
      <c r="K139" s="99">
        <f>IF(ControlPanel!$T$5="nominal",K59-K15,K77-K33)</f>
        <v>0</v>
      </c>
      <c r="L139" s="99">
        <f>IF(ControlPanel!$T$5="nominal",L59-L15,L77-L33)</f>
        <v>0</v>
      </c>
      <c r="M139" s="99">
        <f>IF(ControlPanel!$T$5="nominal",M59-M15,M77-M33)</f>
        <v>0</v>
      </c>
      <c r="N139" s="99">
        <f>IF(ControlPanel!$T$5="nominal",N59-N15,N77-N33)</f>
        <v>0</v>
      </c>
      <c r="O139" s="99">
        <f>IF(ControlPanel!$T$5="nominal",O59-O15,O77-O33)</f>
        <v>0</v>
      </c>
      <c r="P139" s="99">
        <f>IF(ControlPanel!$T$5="nominal",P59-P15,P77-P33)</f>
        <v>0</v>
      </c>
      <c r="Q139" s="99">
        <f>IF(ControlPanel!$T$5="nominal",Q59-Q15,Q77-Q33)</f>
        <v>0</v>
      </c>
      <c r="R139" s="99">
        <f>IF(ControlPanel!$T$5="nominal",R59-R15,R77-R33)</f>
        <v>0</v>
      </c>
      <c r="S139" s="99">
        <f>IF(ControlPanel!$T$5="nominal",S59-S15,S77-S33)</f>
        <v>0</v>
      </c>
      <c r="T139" s="99">
        <f>IF(ControlPanel!$T$5="nominal",T59-T15,T77-T33)</f>
        <v>0</v>
      </c>
      <c r="U139" s="99">
        <f>IF(ControlPanel!$T$5="nominal",U59-U15,U77-U33)</f>
        <v>0</v>
      </c>
      <c r="V139" s="99">
        <f>IF(ControlPanel!$T$5="nominal",V59-V15,V77-V33)</f>
        <v>0</v>
      </c>
      <c r="W139" s="99">
        <f>IF(ControlPanel!$T$5="nominal",W59-W15,W77-W33)</f>
        <v>0</v>
      </c>
      <c r="X139" s="99">
        <f>IF(ControlPanel!$T$5="nominal",X59-X15,X77-X33)</f>
        <v>0</v>
      </c>
      <c r="Y139" s="99">
        <f>IF(ControlPanel!$T$5="nominal",Y59-Y15,Y77-Y33)</f>
        <v>0</v>
      </c>
      <c r="Z139" s="99">
        <f>IF(ControlPanel!$T$5="nominal",Z59-Z15,Z77-Z33)</f>
        <v>0</v>
      </c>
      <c r="AA139" s="99">
        <f>IF(ControlPanel!$T$5="nominal",AA59-AA15,AA77-AA33)</f>
        <v>0</v>
      </c>
      <c r="AB139" s="99">
        <f>IF(ControlPanel!$T$5="nominal",AB59-AB15,AB77-AB33)</f>
        <v>0</v>
      </c>
      <c r="AC139" s="99">
        <f>IF(ControlPanel!$T$5="nominal",AC59-AC15,AC77-AC33)</f>
        <v>0</v>
      </c>
      <c r="AD139" s="99">
        <f>IF(ControlPanel!$T$5="nominal",AD59-AD15,AD77-AD33)</f>
        <v>0</v>
      </c>
      <c r="AE139" s="584">
        <f>IF(ControlPanel!$T$5="nominal",AE59-AE15,AE77-AE33)</f>
        <v>0</v>
      </c>
      <c r="AF139" s="928"/>
      <c r="AG139" s="928" t="s">
        <v>158</v>
      </c>
      <c r="AH139" s="559"/>
    </row>
    <row r="140" spans="1:34" s="294" customFormat="1">
      <c r="A140" s="553">
        <v>137</v>
      </c>
      <c r="C140" s="10"/>
      <c r="D140" s="29"/>
      <c r="E140" s="16" t="s">
        <v>683</v>
      </c>
      <c r="F140" s="99">
        <f>IF(ControlPanel!$T$5="nominal",F60-F16,F78-F34)</f>
        <v>0</v>
      </c>
      <c r="G140" s="99">
        <f>IF(ControlPanel!$T$5="nominal",G60-G16,G78-G34)</f>
        <v>0</v>
      </c>
      <c r="H140" s="99">
        <f>IF(ControlPanel!$T$5="nominal",H60-H16,H78-H34)</f>
        <v>0</v>
      </c>
      <c r="I140" s="99">
        <f>IF(ControlPanel!$T$5="nominal",I60-I16,I78-I34)</f>
        <v>0</v>
      </c>
      <c r="J140" s="99">
        <f>IF(ControlPanel!$T$5="nominal",J60-J16,J78-J34)</f>
        <v>0</v>
      </c>
      <c r="K140" s="99">
        <f>IF(ControlPanel!$T$5="nominal",K60-K16,K78-K34)</f>
        <v>0</v>
      </c>
      <c r="L140" s="99">
        <f>IF(ControlPanel!$T$5="nominal",L60-L16,L78-L34)</f>
        <v>0</v>
      </c>
      <c r="M140" s="99">
        <f>IF(ControlPanel!$T$5="nominal",M60-M16,M78-M34)</f>
        <v>0</v>
      </c>
      <c r="N140" s="99">
        <f>IF(ControlPanel!$T$5="nominal",N60-N16,N78-N34)</f>
        <v>0</v>
      </c>
      <c r="O140" s="99">
        <f>IF(ControlPanel!$T$5="nominal",O60-O16,O78-O34)</f>
        <v>0</v>
      </c>
      <c r="P140" s="99">
        <f>IF(ControlPanel!$T$5="nominal",P60-P16,P78-P34)</f>
        <v>0</v>
      </c>
      <c r="Q140" s="99">
        <f>IF(ControlPanel!$T$5="nominal",Q60-Q16,Q78-Q34)</f>
        <v>3.5527136788005009E-15</v>
      </c>
      <c r="R140" s="99">
        <f>IF(ControlPanel!$T$5="nominal",R60-R16,R78-R34)</f>
        <v>1.140193197757128</v>
      </c>
      <c r="S140" s="99">
        <f>IF(ControlPanel!$T$5="nominal",S60-S16,S78-S34)</f>
        <v>-5.3657626727222407E-2</v>
      </c>
      <c r="T140" s="99">
        <f>IF(ControlPanel!$T$5="nominal",T60-T16,T78-T34)</f>
        <v>-6.4044386668403064E-2</v>
      </c>
      <c r="U140" s="99">
        <f>IF(ControlPanel!$T$5="nominal",U60-U16,U78-U34)</f>
        <v>-6.9311860044660278E-2</v>
      </c>
      <c r="V140" s="99">
        <f>IF(ControlPanel!$T$5="nominal",V60-V16,V78-V34)</f>
        <v>-7.6374386665772676E-2</v>
      </c>
      <c r="W140" s="99">
        <f>IF(ControlPanel!$T$5="nominal",W60-W16,W78-W34)</f>
        <v>-8.3594180432426057E-2</v>
      </c>
      <c r="X140" s="99">
        <f>IF(ControlPanel!$T$5="nominal",X60-X16,X78-X34)</f>
        <v>-8.9545394826446412E-2</v>
      </c>
      <c r="Y140" s="99">
        <f>IF(ControlPanel!$T$5="nominal",Y60-Y16,Y78-Y34)</f>
        <v>-9.4260582420290007E-2</v>
      </c>
      <c r="Z140" s="99">
        <f>IF(ControlPanel!$T$5="nominal",Z60-Z16,Z78-Z34)</f>
        <v>-9.7740434682968669E-2</v>
      </c>
      <c r="AA140" s="99">
        <f>IF(ControlPanel!$T$5="nominal",AA60-AA16,AA78-AA34)</f>
        <v>-9.9980832117398499E-2</v>
      </c>
      <c r="AB140" s="99">
        <f>IF(ControlPanel!$T$5="nominal",AB60-AB16,AB78-AB34)</f>
        <v>-0.10097718500598418</v>
      </c>
      <c r="AC140" s="99">
        <f>IF(ControlPanel!$T$5="nominal",AC60-AC16,AC78-AC34)</f>
        <v>-0.10072002899913213</v>
      </c>
      <c r="AD140" s="99">
        <f>IF(ControlPanel!$T$5="nominal",AD60-AD16,AD78-AD34)</f>
        <v>-9.9203125387854585E-2</v>
      </c>
      <c r="AE140" s="584">
        <f>IF(ControlPanel!$T$5="nominal",AE60-AE16,AE78-AE34)</f>
        <v>-9.8095502884973484E-2</v>
      </c>
      <c r="AF140" s="928"/>
      <c r="AG140" s="928" t="s">
        <v>158</v>
      </c>
      <c r="AH140" s="559"/>
    </row>
    <row r="141" spans="1:34" s="294" customFormat="1">
      <c r="A141" s="553">
        <v>138</v>
      </c>
      <c r="C141" s="10"/>
      <c r="D141" s="29"/>
      <c r="E141" s="16" t="s">
        <v>684</v>
      </c>
      <c r="F141" s="99">
        <f>IF(ControlPanel!$T$5="nominal",F61-F17,F79-F35)</f>
        <v>0</v>
      </c>
      <c r="G141" s="99">
        <f>IF(ControlPanel!$T$5="nominal",G61-G17,G79-G35)</f>
        <v>0</v>
      </c>
      <c r="H141" s="99">
        <f>IF(ControlPanel!$T$5="nominal",H61-H17,H79-H35)</f>
        <v>0</v>
      </c>
      <c r="I141" s="99">
        <f>IF(ControlPanel!$T$5="nominal",I61-I17,I79-I35)</f>
        <v>0</v>
      </c>
      <c r="J141" s="99">
        <f>IF(ControlPanel!$T$5="nominal",J61-J17,J79-J35)</f>
        <v>0</v>
      </c>
      <c r="K141" s="99">
        <f>IF(ControlPanel!$T$5="nominal",K61-K17,K79-K35)</f>
        <v>0</v>
      </c>
      <c r="L141" s="99">
        <f>IF(ControlPanel!$T$5="nominal",L61-L17,L79-L35)</f>
        <v>0</v>
      </c>
      <c r="M141" s="99">
        <f>IF(ControlPanel!$T$5="nominal",M61-M17,M79-M35)</f>
        <v>0</v>
      </c>
      <c r="N141" s="99">
        <f>IF(ControlPanel!$T$5="nominal",N61-N17,N79-N35)</f>
        <v>0</v>
      </c>
      <c r="O141" s="99">
        <f>IF(ControlPanel!$T$5="nominal",O61-O17,O79-O35)</f>
        <v>0</v>
      </c>
      <c r="P141" s="99">
        <f>IF(ControlPanel!$T$5="nominal",P61-P17,P79-P35)</f>
        <v>0</v>
      </c>
      <c r="Q141" s="99">
        <f>IF(ControlPanel!$T$5="nominal",Q61-Q17,Q79-Q35)</f>
        <v>1.6653345369377348E-16</v>
      </c>
      <c r="R141" s="99">
        <f>IF(ControlPanel!$T$5="nominal",R61-R17,R79-R35)</f>
        <v>2.21072156927834E-2</v>
      </c>
      <c r="S141" s="99">
        <f>IF(ControlPanel!$T$5="nominal",S61-S17,S79-S35)</f>
        <v>-1.0313189809564305E-3</v>
      </c>
      <c r="T141" s="99">
        <f>IF(ControlPanel!$T$5="nominal",T61-T17,T79-T35)</f>
        <v>-1.2206255263030874E-3</v>
      </c>
      <c r="U141" s="99">
        <f>IF(ControlPanel!$T$5="nominal",U61-U17,U79-U35)</f>
        <v>-1.3073038834465756E-3</v>
      </c>
      <c r="V141" s="99">
        <f>IF(ControlPanel!$T$5="nominal",V61-V17,V79-V35)</f>
        <v>-1.4410596531572173E-3</v>
      </c>
      <c r="W141" s="99">
        <f>IF(ControlPanel!$T$5="nominal",W61-W17,W79-W35)</f>
        <v>-1.5776838043486952E-3</v>
      </c>
      <c r="X141" s="99">
        <f>IF(ControlPanel!$T$5="nominal",X61-X17,X79-X35)</f>
        <v>-1.6902396453520041E-3</v>
      </c>
      <c r="Y141" s="99">
        <f>IF(ControlPanel!$T$5="nominal",Y61-Y17,Y79-Y35)</f>
        <v>-1.7787503939323546E-3</v>
      </c>
      <c r="Z141" s="99">
        <f>IF(ControlPanel!$T$5="nominal",Z61-Z17,Z79-Z35)</f>
        <v>-1.8430033677013513E-3</v>
      </c>
      <c r="AA141" s="99">
        <f>IF(ControlPanel!$T$5="nominal",AA61-AA17,AA79-AA35)</f>
        <v>-1.8837748191105619E-3</v>
      </c>
      <c r="AB141" s="99">
        <f>IF(ControlPanel!$T$5="nominal",AB61-AB17,AB79-AB35)</f>
        <v>-1.9010276112716926E-3</v>
      </c>
      <c r="AC141" s="99">
        <f>IF(ControlPanel!$T$5="nominal",AC61-AC17,AC79-AC35)</f>
        <v>-1.8960426616345741E-3</v>
      </c>
      <c r="AD141" s="99">
        <f>IF(ControlPanel!$T$5="nominal",AD61-AD17,AD79-AD35)</f>
        <v>-1.8677858711299931E-3</v>
      </c>
      <c r="AE141" s="584">
        <f>IF(ControlPanel!$T$5="nominal",AE61-AE17,AE79-AE35)</f>
        <v>-1.8478269217928195E-3</v>
      </c>
      <c r="AF141" s="928"/>
      <c r="AG141" s="928" t="s">
        <v>158</v>
      </c>
      <c r="AH141" s="559"/>
    </row>
    <row r="142" spans="1:34" s="294" customFormat="1">
      <c r="A142" s="553">
        <v>139</v>
      </c>
      <c r="C142" s="10"/>
      <c r="D142" s="29"/>
      <c r="E142" s="16" t="s">
        <v>685</v>
      </c>
      <c r="F142" s="99">
        <f>IF(ControlPanel!$T$5="nominal",F62-F18,F80-F36)</f>
        <v>0</v>
      </c>
      <c r="G142" s="99">
        <f>IF(ControlPanel!$T$5="nominal",G62-G18,G80-G36)</f>
        <v>0</v>
      </c>
      <c r="H142" s="99">
        <f>IF(ControlPanel!$T$5="nominal",H62-H18,H80-H36)</f>
        <v>0</v>
      </c>
      <c r="I142" s="99">
        <f>IF(ControlPanel!$T$5="nominal",I62-I18,I80-I36)</f>
        <v>0</v>
      </c>
      <c r="J142" s="99">
        <f>IF(ControlPanel!$T$5="nominal",J62-J18,J80-J36)</f>
        <v>0</v>
      </c>
      <c r="K142" s="99">
        <f>IF(ControlPanel!$T$5="nominal",K62-K18,K80-K36)</f>
        <v>0</v>
      </c>
      <c r="L142" s="99">
        <f>IF(ControlPanel!$T$5="nominal",L62-L18,L80-L36)</f>
        <v>0</v>
      </c>
      <c r="M142" s="99">
        <f>IF(ControlPanel!$T$5="nominal",M62-M18,M80-M36)</f>
        <v>0</v>
      </c>
      <c r="N142" s="99">
        <f>IF(ControlPanel!$T$5="nominal",N62-N18,N80-N36)</f>
        <v>0</v>
      </c>
      <c r="O142" s="99">
        <f>IF(ControlPanel!$T$5="nominal",O62-O18,O80-O36)</f>
        <v>0</v>
      </c>
      <c r="P142" s="99">
        <f>IF(ControlPanel!$T$5="nominal",P62-P18,P80-P36)</f>
        <v>0</v>
      </c>
      <c r="Q142" s="99">
        <f>IF(ControlPanel!$T$5="nominal",Q62-Q18,Q80-Q36)</f>
        <v>0</v>
      </c>
      <c r="R142" s="99">
        <f>IF(ControlPanel!$T$5="nominal",R62-R18,R80-R36)</f>
        <v>0</v>
      </c>
      <c r="S142" s="99">
        <f>IF(ControlPanel!$T$5="nominal",S62-S18,S80-S36)</f>
        <v>0</v>
      </c>
      <c r="T142" s="99">
        <f>IF(ControlPanel!$T$5="nominal",T62-T18,T80-T36)</f>
        <v>0</v>
      </c>
      <c r="U142" s="99">
        <f>IF(ControlPanel!$T$5="nominal",U62-U18,U80-U36)</f>
        <v>0</v>
      </c>
      <c r="V142" s="99">
        <f>IF(ControlPanel!$T$5="nominal",V62-V18,V80-V36)</f>
        <v>0</v>
      </c>
      <c r="W142" s="99">
        <f>IF(ControlPanel!$T$5="nominal",W62-W18,W80-W36)</f>
        <v>0</v>
      </c>
      <c r="X142" s="99">
        <f>IF(ControlPanel!$T$5="nominal",X62-X18,X80-X36)</f>
        <v>0</v>
      </c>
      <c r="Y142" s="99">
        <f>IF(ControlPanel!$T$5="nominal",Y62-Y18,Y80-Y36)</f>
        <v>0</v>
      </c>
      <c r="Z142" s="99">
        <f>IF(ControlPanel!$T$5="nominal",Z62-Z18,Z80-Z36)</f>
        <v>0</v>
      </c>
      <c r="AA142" s="99">
        <f>IF(ControlPanel!$T$5="nominal",AA62-AA18,AA80-AA36)</f>
        <v>0</v>
      </c>
      <c r="AB142" s="99">
        <f>IF(ControlPanel!$T$5="nominal",AB62-AB18,AB80-AB36)</f>
        <v>0</v>
      </c>
      <c r="AC142" s="99">
        <f>IF(ControlPanel!$T$5="nominal",AC62-AC18,AC80-AC36)</f>
        <v>0</v>
      </c>
      <c r="AD142" s="99">
        <f>IF(ControlPanel!$T$5="nominal",AD62-AD18,AD80-AD36)</f>
        <v>0</v>
      </c>
      <c r="AE142" s="584">
        <f>IF(ControlPanel!$T$5="nominal",AE62-AE18,AE80-AE36)</f>
        <v>0</v>
      </c>
      <c r="AF142" s="928"/>
      <c r="AG142" s="928" t="s">
        <v>158</v>
      </c>
      <c r="AH142" s="559"/>
    </row>
    <row r="143" spans="1:34" s="294" customFormat="1">
      <c r="A143" s="553">
        <v>140</v>
      </c>
      <c r="C143" s="10"/>
      <c r="D143" s="29"/>
      <c r="E143" s="197" t="s">
        <v>686</v>
      </c>
      <c r="F143" s="99">
        <f>IF(ControlPanel!$T$5="nominal",F63-F19,F81-F37)</f>
        <v>0</v>
      </c>
      <c r="G143" s="99">
        <f>IF(ControlPanel!$T$5="nominal",G63-G19,G81-G37)</f>
        <v>0</v>
      </c>
      <c r="H143" s="99">
        <f>IF(ControlPanel!$T$5="nominal",H63-H19,H81-H37)</f>
        <v>0</v>
      </c>
      <c r="I143" s="99">
        <f>IF(ControlPanel!$T$5="nominal",I63-I19,I81-I37)</f>
        <v>0</v>
      </c>
      <c r="J143" s="99">
        <f>IF(ControlPanel!$T$5="nominal",J63-J19,J81-J37)</f>
        <v>0</v>
      </c>
      <c r="K143" s="99">
        <f>IF(ControlPanel!$T$5="nominal",K63-K19,K81-K37)</f>
        <v>0</v>
      </c>
      <c r="L143" s="99">
        <f>IF(ControlPanel!$T$5="nominal",L63-L19,L81-L37)</f>
        <v>0</v>
      </c>
      <c r="M143" s="99">
        <f>IF(ControlPanel!$T$5="nominal",M63-M19,M81-M37)</f>
        <v>0</v>
      </c>
      <c r="N143" s="99">
        <f>IF(ControlPanel!$T$5="nominal",N63-N19,N81-N37)</f>
        <v>0</v>
      </c>
      <c r="O143" s="99">
        <f>IF(ControlPanel!$T$5="nominal",O63-O19,O81-O37)</f>
        <v>0</v>
      </c>
      <c r="P143" s="99">
        <f>IF(ControlPanel!$T$5="nominal",P63-P19,P81-P37)</f>
        <v>0</v>
      </c>
      <c r="Q143" s="99">
        <f>IF(ControlPanel!$T$5="nominal",Q63-Q19,Q81-Q37)</f>
        <v>0</v>
      </c>
      <c r="R143" s="99">
        <f>IF(ControlPanel!$T$5="nominal",R63-R19,R81-R37)</f>
        <v>0</v>
      </c>
      <c r="S143" s="99">
        <f>IF(ControlPanel!$T$5="nominal",S63-S19,S81-S37)</f>
        <v>0</v>
      </c>
      <c r="T143" s="99">
        <f>IF(ControlPanel!$T$5="nominal",T63-T19,T81-T37)</f>
        <v>0</v>
      </c>
      <c r="U143" s="99">
        <f>IF(ControlPanel!$T$5="nominal",U63-U19,U81-U37)</f>
        <v>0</v>
      </c>
      <c r="V143" s="99">
        <f>IF(ControlPanel!$T$5="nominal",V63-V19,V81-V37)</f>
        <v>0</v>
      </c>
      <c r="W143" s="99">
        <f>IF(ControlPanel!$T$5="nominal",W63-W19,W81-W37)</f>
        <v>0</v>
      </c>
      <c r="X143" s="99">
        <f>IF(ControlPanel!$T$5="nominal",X63-X19,X81-X37)</f>
        <v>0</v>
      </c>
      <c r="Y143" s="99">
        <f>IF(ControlPanel!$T$5="nominal",Y63-Y19,Y81-Y37)</f>
        <v>0</v>
      </c>
      <c r="Z143" s="99">
        <f>IF(ControlPanel!$T$5="nominal",Z63-Z19,Z81-Z37)</f>
        <v>0</v>
      </c>
      <c r="AA143" s="99">
        <f>IF(ControlPanel!$T$5="nominal",AA63-AA19,AA81-AA37)</f>
        <v>0</v>
      </c>
      <c r="AB143" s="99">
        <f>IF(ControlPanel!$T$5="nominal",AB63-AB19,AB81-AB37)</f>
        <v>0</v>
      </c>
      <c r="AC143" s="99">
        <f>IF(ControlPanel!$T$5="nominal",AC63-AC19,AC81-AC37)</f>
        <v>0</v>
      </c>
      <c r="AD143" s="99">
        <f>IF(ControlPanel!$T$5="nominal",AD63-AD19,AD81-AD37)</f>
        <v>0</v>
      </c>
      <c r="AE143" s="584">
        <f>IF(ControlPanel!$T$5="nominal",AE63-AE19,AE81-AE37)</f>
        <v>0</v>
      </c>
      <c r="AF143" s="928"/>
      <c r="AG143" s="928" t="s">
        <v>158</v>
      </c>
      <c r="AH143" s="559"/>
    </row>
    <row r="144" spans="1:34" s="294" customFormat="1">
      <c r="A144" s="553">
        <v>141</v>
      </c>
      <c r="C144" s="10"/>
      <c r="D144" s="29"/>
      <c r="E144" s="198" t="s">
        <v>687</v>
      </c>
      <c r="F144" s="100">
        <f>IF(ControlPanel!$T$5="nominal",F64-F20,F82-F38)</f>
        <v>0</v>
      </c>
      <c r="G144" s="100">
        <f>IF(ControlPanel!$T$5="nominal",G64-G20,G82-G38)</f>
        <v>0</v>
      </c>
      <c r="H144" s="100">
        <f>IF(ControlPanel!$T$5="nominal",H64-H20,H82-H38)</f>
        <v>0</v>
      </c>
      <c r="I144" s="100">
        <f>IF(ControlPanel!$T$5="nominal",I64-I20,I82-I38)</f>
        <v>0</v>
      </c>
      <c r="J144" s="100">
        <f>IF(ControlPanel!$T$5="nominal",J64-J20,J82-J38)</f>
        <v>0</v>
      </c>
      <c r="K144" s="100">
        <f>IF(ControlPanel!$T$5="nominal",K64-K20,K82-K38)</f>
        <v>0</v>
      </c>
      <c r="L144" s="100">
        <f>IF(ControlPanel!$T$5="nominal",L64-L20,L82-L38)</f>
        <v>0</v>
      </c>
      <c r="M144" s="100">
        <f>IF(ControlPanel!$T$5="nominal",M64-M20,M82-M38)</f>
        <v>0</v>
      </c>
      <c r="N144" s="100">
        <f>IF(ControlPanel!$T$5="nominal",N64-N20,N82-N38)</f>
        <v>0</v>
      </c>
      <c r="O144" s="100">
        <f>IF(ControlPanel!$T$5="nominal",O64-O20,O82-O38)</f>
        <v>0</v>
      </c>
      <c r="P144" s="100">
        <f>IF(ControlPanel!$T$5="nominal",P64-P20,P82-P38)</f>
        <v>0</v>
      </c>
      <c r="Q144" s="100">
        <f>IF(ControlPanel!$T$5="nominal",Q64-Q20,Q82-Q38)</f>
        <v>1.7763568394002505E-15</v>
      </c>
      <c r="R144" s="100">
        <f>IF(ControlPanel!$T$5="nominal",R64-R20,R82-R38)</f>
        <v>0.34571647324366062</v>
      </c>
      <c r="S144" s="100">
        <f>IF(ControlPanel!$T$5="nominal",S64-S20,S82-S38)</f>
        <v>-1.6298742485528095E-2</v>
      </c>
      <c r="T144" s="100">
        <f>IF(ControlPanel!$T$5="nominal",T64-T20,T82-T38)</f>
        <v>-1.9518405428886609E-2</v>
      </c>
      <c r="U144" s="100">
        <f>IF(ControlPanel!$T$5="nominal",U64-U20,U82-U38)</f>
        <v>-2.1150438095729029E-2</v>
      </c>
      <c r="V144" s="100">
        <f>IF(ControlPanel!$T$5="nominal",V64-V20,V82-V38)</f>
        <v>-2.3314428551989508E-2</v>
      </c>
      <c r="W144" s="100">
        <f>IF(ControlPanel!$T$5="nominal",W64-W20,W82-W38)</f>
        <v>-2.5524825605607759E-2</v>
      </c>
      <c r="X144" s="100">
        <f>IF(ControlPanel!$T$5="nominal",X64-X20,X82-X38)</f>
        <v>-2.7345829411686395E-2</v>
      </c>
      <c r="Y144" s="100">
        <f>IF(ControlPanel!$T$5="nominal",Y64-Y20,Y82-Y38)</f>
        <v>-2.8777815602776258E-2</v>
      </c>
      <c r="Z144" s="100">
        <f>IF(ControlPanel!$T$5="nominal",Z64-Z20,Z82-Z38)</f>
        <v>-2.9817343260710061E-2</v>
      </c>
      <c r="AA144" s="100">
        <f>IF(ControlPanel!$T$5="nominal",AA64-AA20,AA82-AA38)</f>
        <v>-3.0476971117725071E-2</v>
      </c>
      <c r="AB144" s="100">
        <f>IF(ControlPanel!$T$5="nominal",AB64-AB20,AB82-AB38)</f>
        <v>-3.075609834835813E-2</v>
      </c>
      <c r="AC144" s="100">
        <f>IF(ControlPanel!$T$5="nominal",AC64-AC20,AC82-AC38)</f>
        <v>-3.0675448493305169E-2</v>
      </c>
      <c r="AD144" s="100">
        <f>IF(ControlPanel!$T$5="nominal",AD64-AD20,AD82-AD38)</f>
        <v>-3.0218291204996639E-2</v>
      </c>
      <c r="AE144" s="585">
        <f>IF(ControlPanel!$T$5="nominal",AE64-AE20,AE82-AE38)</f>
        <v>-2.9895381950494126E-2</v>
      </c>
      <c r="AF144" s="928"/>
      <c r="AG144" s="928" t="s">
        <v>158</v>
      </c>
      <c r="AH144" s="559"/>
    </row>
    <row r="145" spans="1:35" s="294" customFormat="1">
      <c r="A145" s="553">
        <v>142</v>
      </c>
      <c r="C145" s="10"/>
      <c r="D145" s="29"/>
      <c r="E145" s="36"/>
      <c r="AF145" s="928"/>
      <c r="AG145" s="928"/>
      <c r="AH145" s="559"/>
    </row>
    <row r="146" spans="1:35" s="294" customFormat="1">
      <c r="A146" s="553">
        <v>143</v>
      </c>
      <c r="C146" s="10"/>
      <c r="D146" s="29"/>
      <c r="E146" s="36"/>
      <c r="AF146" s="928"/>
      <c r="AG146" s="928"/>
      <c r="AH146" s="559"/>
    </row>
    <row r="147" spans="1:35" s="294" customFormat="1">
      <c r="A147" s="553">
        <v>144</v>
      </c>
      <c r="C147" s="10"/>
      <c r="D147" s="29"/>
      <c r="E147" s="36"/>
      <c r="AF147" s="928"/>
      <c r="AG147" s="928"/>
      <c r="AH147" s="559"/>
    </row>
    <row r="148" spans="1:35" s="294" customFormat="1">
      <c r="A148" s="553">
        <v>145</v>
      </c>
      <c r="B148" s="508"/>
      <c r="C148" s="574"/>
      <c r="D148" s="575"/>
      <c r="E148" s="192" t="s">
        <v>711</v>
      </c>
      <c r="F148" s="324"/>
      <c r="G148" s="324"/>
      <c r="H148" s="324"/>
      <c r="I148" s="324"/>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c r="AF148" s="928" t="s">
        <v>154</v>
      </c>
      <c r="AG148" s="928" t="s">
        <v>154</v>
      </c>
      <c r="AH148" s="559"/>
      <c r="AI148" s="508"/>
    </row>
    <row r="149" spans="1:35" s="294" customFormat="1">
      <c r="A149" s="553">
        <v>146</v>
      </c>
      <c r="C149" s="10"/>
      <c r="D149" s="29"/>
      <c r="E149" s="314" t="s">
        <v>687</v>
      </c>
      <c r="F149" s="98">
        <f>IF(ControlPanel!$T$5="nominal",'GrD-Grafikdaten'!F64,'GrD-Grafikdaten'!F82)</f>
        <v>7.4120479999999995</v>
      </c>
      <c r="G149" s="98">
        <f>IF(ControlPanel!$T$5="nominal",'GrD-Grafikdaten'!G64,'GrD-Grafikdaten'!G82)</f>
        <v>8.6039089999999998</v>
      </c>
      <c r="H149" s="98">
        <f>IF(ControlPanel!$T$5="nominal",'GrD-Grafikdaten'!H64,'GrD-Grafikdaten'!H82)</f>
        <v>9.1140000000000008</v>
      </c>
      <c r="I149" s="98">
        <f>IF(ControlPanel!$T$5="nominal",'GrD-Grafikdaten'!I64,'GrD-Grafikdaten'!I82)</f>
        <v>10.391999999999999</v>
      </c>
      <c r="J149" s="98">
        <f>IF(ControlPanel!$T$5="nominal",'GrD-Grafikdaten'!J64,'GrD-Grafikdaten'!J82)</f>
        <v>10.385</v>
      </c>
      <c r="K149" s="98">
        <f>IF(ControlPanel!$T$5="nominal",'GrD-Grafikdaten'!K64,'GrD-Grafikdaten'!K82)</f>
        <v>9.7370000000000001</v>
      </c>
      <c r="L149" s="98">
        <f>IF(ControlPanel!$T$5="nominal",'GrD-Grafikdaten'!L64,'GrD-Grafikdaten'!L82)</f>
        <v>9.4654923951914505</v>
      </c>
      <c r="M149" s="98">
        <f>IF(ControlPanel!$T$5="nominal",'GrD-Grafikdaten'!M64,'GrD-Grafikdaten'!M82)</f>
        <v>9.5378707449913627</v>
      </c>
      <c r="N149" s="98">
        <f>IF(ControlPanel!$T$5="nominal",'GrD-Grafikdaten'!N64,'GrD-Grafikdaten'!N82)</f>
        <v>10.002743858374661</v>
      </c>
      <c r="O149" s="98">
        <f>IF(ControlPanel!$T$5="nominal",'GrD-Grafikdaten'!O64,'GrD-Grafikdaten'!O82)</f>
        <v>11.033925003395339</v>
      </c>
      <c r="P149" s="98">
        <f>IF(ControlPanel!$T$5="nominal",'GrD-Grafikdaten'!P64,'GrD-Grafikdaten'!P82)</f>
        <v>11.690073188597182</v>
      </c>
      <c r="Q149" s="98">
        <f>IF(ControlPanel!$T$5="nominal",'GrD-Grafikdaten'!Q64,'GrD-Grafikdaten'!Q82)</f>
        <v>10.574363499587536</v>
      </c>
      <c r="R149" s="98">
        <f>IF(ControlPanel!$T$5="nominal",'GrD-Grafikdaten'!R64,'GrD-Grafikdaten'!R82)</f>
        <v>10.839387854951315</v>
      </c>
      <c r="S149" s="98">
        <f>IF(ControlPanel!$T$5="nominal",'GrD-Grafikdaten'!S64,'GrD-Grafikdaten'!S82)</f>
        <v>10.490367669479205</v>
      </c>
      <c r="T149" s="98">
        <f>IF(ControlPanel!$T$5="nominal",'GrD-Grafikdaten'!T64,'GrD-Grafikdaten'!T82)</f>
        <v>10.550455580996974</v>
      </c>
      <c r="U149" s="98">
        <f>IF(ControlPanel!$T$5="nominal",'GrD-Grafikdaten'!U64,'GrD-Grafikdaten'!U82)</f>
        <v>10.246950890112354</v>
      </c>
      <c r="V149" s="98">
        <f>IF(ControlPanel!$T$5="nominal",'GrD-Grafikdaten'!V64,'GrD-Grafikdaten'!V82)</f>
        <v>10.005969117656926</v>
      </c>
      <c r="W149" s="98">
        <f>IF(ControlPanel!$T$5="nominal",'GrD-Grafikdaten'!W64,'GrD-Grafikdaten'!W82)</f>
        <v>9.6297862431187369</v>
      </c>
      <c r="X149" s="98">
        <f>IF(ControlPanel!$T$5="nominal",'GrD-Grafikdaten'!X64,'GrD-Grafikdaten'!X82)</f>
        <v>9.3970741889663145</v>
      </c>
      <c r="Y149" s="98">
        <f>IF(ControlPanel!$T$5="nominal",'GrD-Grafikdaten'!Y64,'GrD-Grafikdaten'!Y82)</f>
        <v>9.1225197185627565</v>
      </c>
      <c r="Z149" s="98">
        <f>IF(ControlPanel!$T$5="nominal",'GrD-Grafikdaten'!Z64,'GrD-Grafikdaten'!Z82)</f>
        <v>8.7541071223188212</v>
      </c>
      <c r="AA149" s="98">
        <f>IF(ControlPanel!$T$5="nominal",'GrD-Grafikdaten'!AA64,'GrD-Grafikdaten'!AA82)</f>
        <v>8.1203449787583146</v>
      </c>
      <c r="AB149" s="98">
        <f>IF(ControlPanel!$T$5="nominal",'GrD-Grafikdaten'!AB64,'GrD-Grafikdaten'!AB82)</f>
        <v>7.5312501176414965</v>
      </c>
      <c r="AC149" s="98">
        <f>IF(ControlPanel!$T$5="nominal",'GrD-Grafikdaten'!AC64,'GrD-Grafikdaten'!AC82)</f>
        <v>7.3516536951073812</v>
      </c>
      <c r="AD149" s="98">
        <f>IF(ControlPanel!$T$5="nominal",'GrD-Grafikdaten'!AD64,'GrD-Grafikdaten'!AD82)</f>
        <v>7.4277340168968529</v>
      </c>
      <c r="AE149" s="583">
        <f>IF(ControlPanel!$T$5="nominal",'GrD-Grafikdaten'!AE64,'GrD-Grafikdaten'!AE82)</f>
        <v>8.0134228457803278</v>
      </c>
      <c r="AF149" s="928" t="s">
        <v>154</v>
      </c>
      <c r="AG149" s="928" t="s">
        <v>154</v>
      </c>
      <c r="AH149" s="559"/>
    </row>
    <row r="150" spans="1:35" s="294" customFormat="1">
      <c r="A150" s="553">
        <v>147</v>
      </c>
      <c r="C150" s="10"/>
      <c r="D150" s="29"/>
      <c r="E150" s="16" t="s">
        <v>712</v>
      </c>
      <c r="F150" s="99">
        <f>IF(ControlPanel!$T$5="nominal",'GrD-Grafikdaten'!F63,'GrD-Grafikdaten'!F81)</f>
        <v>5.3650479999999998</v>
      </c>
      <c r="G150" s="99">
        <f>IF(ControlPanel!$T$5="nominal",'GrD-Grafikdaten'!G63,'GrD-Grafikdaten'!G81)</f>
        <v>5.0739089999999996</v>
      </c>
      <c r="H150" s="99">
        <f>IF(ControlPanel!$T$5="nominal",'GrD-Grafikdaten'!H63,'GrD-Grafikdaten'!H81)</f>
        <v>5.5220000000000002</v>
      </c>
      <c r="I150" s="99">
        <f>IF(ControlPanel!$T$5="nominal",'GrD-Grafikdaten'!I63,'GrD-Grafikdaten'!I81)</f>
        <v>5.1150000000000002</v>
      </c>
      <c r="J150" s="99">
        <f>IF(ControlPanel!$T$5="nominal",'GrD-Grafikdaten'!J63,'GrD-Grafikdaten'!J81)</f>
        <v>4.1450000000000005</v>
      </c>
      <c r="K150" s="99">
        <f>IF(ControlPanel!$T$5="nominal",'GrD-Grafikdaten'!K63,'GrD-Grafikdaten'!K81)</f>
        <v>3.5670000000000002</v>
      </c>
      <c r="L150" s="99">
        <f>IF(ControlPanel!$T$5="nominal",'GrD-Grafikdaten'!L63,'GrD-Grafikdaten'!L81)</f>
        <v>3.1260000000000003</v>
      </c>
      <c r="M150" s="99">
        <f>IF(ControlPanel!$T$5="nominal",'GrD-Grafikdaten'!M63,'GrD-Grafikdaten'!M81)</f>
        <v>2.6749999999999998</v>
      </c>
      <c r="N150" s="99">
        <f>IF(ControlPanel!$T$5="nominal",'GrD-Grafikdaten'!N63,'GrD-Grafikdaten'!N81)</f>
        <v>3.222</v>
      </c>
      <c r="O150" s="99">
        <f>IF(ControlPanel!$T$5="nominal",'GrD-Grafikdaten'!O63,'GrD-Grafikdaten'!O81)</f>
        <v>4.6280000000000001</v>
      </c>
      <c r="P150" s="99">
        <f>IF(ControlPanel!$T$5="nominal",'GrD-Grafikdaten'!P63,'GrD-Grafikdaten'!P81)</f>
        <v>4.9340000000000002</v>
      </c>
      <c r="Q150" s="99">
        <f>IF(ControlPanel!$T$5="nominal",'GrD-Grafikdaten'!Q63,'GrD-Grafikdaten'!Q81)</f>
        <v>4.0739999999999998</v>
      </c>
      <c r="R150" s="99">
        <f>IF(ControlPanel!$T$5="nominal",'GrD-Grafikdaten'!R63,'GrD-Grafikdaten'!R81)</f>
        <v>4.4938414499999988</v>
      </c>
      <c r="S150" s="99">
        <f>IF(ControlPanel!$T$5="nominal",'GrD-Grafikdaten'!S63,'GrD-Grafikdaten'!S81)</f>
        <v>4.752608214374999</v>
      </c>
      <c r="T150" s="99">
        <f>IF(ControlPanel!$T$5="nominal",'GrD-Grafikdaten'!T63,'GrD-Grafikdaten'!T81)</f>
        <v>4.9525876681039041</v>
      </c>
      <c r="U150" s="99">
        <f>IF(ControlPanel!$T$5="nominal",'GrD-Grafikdaten'!U63,'GrD-Grafikdaten'!U81)</f>
        <v>5.1574971685964419</v>
      </c>
      <c r="V150" s="99">
        <f>IF(ControlPanel!$T$5="nominal",'GrD-Grafikdaten'!V63,'GrD-Grafikdaten'!V81)</f>
        <v>5.3674396218784333</v>
      </c>
      <c r="W150" s="99">
        <f>IF(ControlPanel!$T$5="nominal",'GrD-Grafikdaten'!W63,'GrD-Grafikdaten'!W81)</f>
        <v>5.5825199118959494</v>
      </c>
      <c r="X150" s="99">
        <f>IF(ControlPanel!$T$5="nominal",'GrD-Grafikdaten'!X63,'GrD-Grafikdaten'!X81)</f>
        <v>5.8028449366990689</v>
      </c>
      <c r="Y150" s="99">
        <f>IF(ControlPanel!$T$5="nominal",'GrD-Grafikdaten'!Y63,'GrD-Grafikdaten'!Y81)</f>
        <v>6.0285236452661053</v>
      </c>
      <c r="Z150" s="99">
        <f>IF(ControlPanel!$T$5="nominal",'GrD-Grafikdaten'!Z63,'GrD-Grafikdaten'!Z81)</f>
        <v>6.2596670749793955</v>
      </c>
      <c r="AA150" s="99">
        <f>IF(ControlPanel!$T$5="nominal",'GrD-Grafikdaten'!AA63,'GrD-Grafikdaten'!AA81)</f>
        <v>6.496388389763899</v>
      </c>
      <c r="AB150" s="99">
        <f>IF(ControlPanel!$T$5="nominal",'GrD-Grafikdaten'!AB63,'GrD-Grafikdaten'!AB81)</f>
        <v>6.7388029189000687</v>
      </c>
      <c r="AC150" s="99">
        <f>IF(ControlPanel!$T$5="nominal",'GrD-Grafikdaten'!AC63,'GrD-Grafikdaten'!AC81)</f>
        <v>6.9870281965226253</v>
      </c>
      <c r="AD150" s="99">
        <f>IF(ControlPanel!$T$5="nominal",'GrD-Grafikdaten'!AD63,'GrD-Grafikdaten'!AD81)</f>
        <v>7.2411840018171061</v>
      </c>
      <c r="AE150" s="584">
        <f>IF(ControlPanel!$T$5="nominal",'GrD-Grafikdaten'!AE63,'GrD-Grafikdaten'!AE81)</f>
        <v>7.5013923999262051</v>
      </c>
      <c r="AF150" s="928" t="s">
        <v>154</v>
      </c>
      <c r="AG150" s="928" t="s">
        <v>154</v>
      </c>
      <c r="AH150" s="559"/>
    </row>
    <row r="151" spans="1:35" s="294" customFormat="1">
      <c r="A151" s="553">
        <v>148</v>
      </c>
      <c r="C151" s="10"/>
      <c r="D151" s="29"/>
      <c r="E151" s="296" t="s">
        <v>427</v>
      </c>
      <c r="F151" s="100">
        <f>IF(ControlPanel!$T$5="nominal",'GrD-Grafikdaten'!F52,'GrD-Grafikdaten'!F70)</f>
        <v>2.0469999999999997</v>
      </c>
      <c r="G151" s="100">
        <f>IF(ControlPanel!$T$5="nominal",'GrD-Grafikdaten'!G52,'GrD-Grafikdaten'!G70)</f>
        <v>3.5300000000000007</v>
      </c>
      <c r="H151" s="100">
        <f>IF(ControlPanel!$T$5="nominal",'GrD-Grafikdaten'!H52,'GrD-Grafikdaten'!H70)</f>
        <v>3.5920000000000005</v>
      </c>
      <c r="I151" s="100">
        <f>IF(ControlPanel!$T$5="nominal",'GrD-Grafikdaten'!I52,'GrD-Grafikdaten'!I70)</f>
        <v>5.2769999999999992</v>
      </c>
      <c r="J151" s="100">
        <f>IF(ControlPanel!$T$5="nominal",'GrD-Grafikdaten'!J52,'GrD-Grafikdaten'!J70)</f>
        <v>6.2399999999999993</v>
      </c>
      <c r="K151" s="100">
        <f>IF(ControlPanel!$T$5="nominal",'GrD-Grafikdaten'!K52,'GrD-Grafikdaten'!K70)</f>
        <v>6.17</v>
      </c>
      <c r="L151" s="100">
        <f>IF(ControlPanel!$T$5="nominal",'GrD-Grafikdaten'!L52,'GrD-Grafikdaten'!L70)</f>
        <v>6.3394923951914501</v>
      </c>
      <c r="M151" s="100">
        <f>IF(ControlPanel!$T$5="nominal",'GrD-Grafikdaten'!M52,'GrD-Grafikdaten'!M70)</f>
        <v>6.862870744991362</v>
      </c>
      <c r="N151" s="100">
        <f>IF(ControlPanel!$T$5="nominal",'GrD-Grafikdaten'!N52,'GrD-Grafikdaten'!N70)</f>
        <v>6.7807438583746604</v>
      </c>
      <c r="O151" s="100">
        <f>IF(ControlPanel!$T$5="nominal",'GrD-Grafikdaten'!O52,'GrD-Grafikdaten'!O70)</f>
        <v>6.405925003395339</v>
      </c>
      <c r="P151" s="100">
        <f>IF(ControlPanel!$T$5="nominal",'GrD-Grafikdaten'!P52,'GrD-Grafikdaten'!P70)</f>
        <v>6.7560731885971812</v>
      </c>
      <c r="Q151" s="100">
        <f>IF(ControlPanel!$T$5="nominal",'GrD-Grafikdaten'!Q52,'GrD-Grafikdaten'!Q70)</f>
        <v>6.5003634995875359</v>
      </c>
      <c r="R151" s="100">
        <f>IF(ControlPanel!$T$5="nominal",'GrD-Grafikdaten'!R52,'GrD-Grafikdaten'!R70)</f>
        <v>6.3455464049513157</v>
      </c>
      <c r="S151" s="100">
        <f>IF(ControlPanel!$T$5="nominal",'GrD-Grafikdaten'!S52,'GrD-Grafikdaten'!S70)</f>
        <v>5.7377594551042073</v>
      </c>
      <c r="T151" s="100">
        <f>IF(ControlPanel!$T$5="nominal",'GrD-Grafikdaten'!T52,'GrD-Grafikdaten'!T70)</f>
        <v>5.5978679128930713</v>
      </c>
      <c r="U151" s="100">
        <f>IF(ControlPanel!$T$5="nominal",'GrD-Grafikdaten'!U52,'GrD-Grafikdaten'!U70)</f>
        <v>5.0894537215159117</v>
      </c>
      <c r="V151" s="100">
        <f>IF(ControlPanel!$T$5="nominal",'GrD-Grafikdaten'!V52,'GrD-Grafikdaten'!V70)</f>
        <v>4.6385294957784931</v>
      </c>
      <c r="W151" s="100">
        <f>IF(ControlPanel!$T$5="nominal",'GrD-Grafikdaten'!W52,'GrD-Grafikdaten'!W70)</f>
        <v>4.0472663312227866</v>
      </c>
      <c r="X151" s="100">
        <f>IF(ControlPanel!$T$5="nominal",'GrD-Grafikdaten'!X52,'GrD-Grafikdaten'!X70)</f>
        <v>3.5942292522672457</v>
      </c>
      <c r="Y151" s="100">
        <f>IF(ControlPanel!$T$5="nominal",'GrD-Grafikdaten'!Y52,'GrD-Grafikdaten'!Y70)</f>
        <v>3.0939960732966507</v>
      </c>
      <c r="Z151" s="100">
        <f>IF(ControlPanel!$T$5="nominal",'GrD-Grafikdaten'!Z52,'GrD-Grafikdaten'!Z70)</f>
        <v>2.4944400473394257</v>
      </c>
      <c r="AA151" s="100">
        <f>IF(ControlPanel!$T$5="nominal",'GrD-Grafikdaten'!AA52,'GrD-Grafikdaten'!AA70)</f>
        <v>1.6239565889944165</v>
      </c>
      <c r="AB151" s="100">
        <f>IF(ControlPanel!$T$5="nominal",'GrD-Grafikdaten'!AB52,'GrD-Grafikdaten'!AB70)</f>
        <v>0.7924471987414281</v>
      </c>
      <c r="AC151" s="100">
        <f>IF(ControlPanel!$T$5="nominal",'GrD-Grafikdaten'!AC52,'GrD-Grafikdaten'!AC70)</f>
        <v>0.36462549858475624</v>
      </c>
      <c r="AD151" s="100">
        <f>IF(ControlPanel!$T$5="nominal",'GrD-Grafikdaten'!AD52,'GrD-Grafikdaten'!AD70)</f>
        <v>0.18655001507974711</v>
      </c>
      <c r="AE151" s="585">
        <f>IF(ControlPanel!$T$5="nominal",'GrD-Grafikdaten'!AE52,'GrD-Grafikdaten'!AE70)</f>
        <v>0.51203044585412305</v>
      </c>
      <c r="AF151" s="928" t="s">
        <v>154</v>
      </c>
      <c r="AG151" s="928" t="s">
        <v>154</v>
      </c>
      <c r="AH151" s="559"/>
    </row>
    <row r="152" spans="1:35" s="294" customFormat="1">
      <c r="A152" s="553">
        <v>149</v>
      </c>
      <c r="C152" s="10"/>
      <c r="D152" s="29"/>
      <c r="E152" s="36"/>
      <c r="F152" s="324"/>
      <c r="G152" s="324"/>
      <c r="H152" s="324"/>
      <c r="I152" s="324"/>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c r="AF152" s="928"/>
      <c r="AG152" s="928"/>
    </row>
    <row r="153" spans="1:35" s="294" customFormat="1">
      <c r="A153" s="553">
        <v>150</v>
      </c>
      <c r="C153" s="10"/>
      <c r="D153" s="29"/>
      <c r="E153" s="36"/>
      <c r="F153" s="324"/>
      <c r="G153" s="324"/>
      <c r="H153" s="324"/>
      <c r="I153" s="324"/>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c r="AF153" s="928"/>
      <c r="AG153" s="928"/>
    </row>
    <row r="154" spans="1:35" s="294" customFormat="1">
      <c r="A154" s="553">
        <v>151</v>
      </c>
      <c r="C154" s="10"/>
      <c r="D154" s="29"/>
      <c r="E154" s="36"/>
      <c r="F154" s="324"/>
      <c r="G154" s="324"/>
      <c r="H154" s="324"/>
      <c r="I154" s="324"/>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c r="AF154" s="928"/>
      <c r="AG154" s="928"/>
    </row>
    <row r="155" spans="1:35" s="294" customFormat="1">
      <c r="A155" s="553">
        <v>152</v>
      </c>
      <c r="C155" s="10"/>
      <c r="D155" s="29"/>
      <c r="E155" s="36"/>
      <c r="F155" s="324"/>
      <c r="G155" s="324"/>
      <c r="H155" s="324"/>
      <c r="I155" s="324"/>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c r="AF155" s="928"/>
      <c r="AG155" s="928"/>
    </row>
    <row r="156" spans="1:35" s="294" customFormat="1">
      <c r="A156" s="553">
        <v>153</v>
      </c>
      <c r="C156" s="10"/>
      <c r="D156" s="29"/>
      <c r="E156" s="192" t="s">
        <v>713</v>
      </c>
      <c r="F156" s="324"/>
      <c r="G156" s="324"/>
      <c r="H156" s="324"/>
      <c r="I156" s="324"/>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c r="AF156" s="928"/>
      <c r="AG156" s="928"/>
    </row>
    <row r="157" spans="1:35" s="294" customFormat="1">
      <c r="A157" s="553">
        <v>154</v>
      </c>
      <c r="C157" s="10"/>
      <c r="D157" s="29"/>
      <c r="E157" s="314" t="s">
        <v>714</v>
      </c>
      <c r="F157" s="98">
        <f>'MOD-Berechnungen'!F185</f>
        <v>400.59500000000003</v>
      </c>
      <c r="G157" s="98">
        <f>'MOD-Berechnungen'!G185</f>
        <v>383.14973227999997</v>
      </c>
      <c r="H157" s="98">
        <f>'MOD-Berechnungen'!H185</f>
        <v>386.50834199999997</v>
      </c>
      <c r="I157" s="98">
        <f>'MOD-Berechnungen'!I185</f>
        <v>383.25856100000004</v>
      </c>
      <c r="J157" s="98">
        <f>'MOD-Berechnungen'!J185</f>
        <v>370.260447</v>
      </c>
      <c r="K157" s="98">
        <f>'MOD-Berechnungen'!K185</f>
        <v>350.71186199775002</v>
      </c>
      <c r="L157" s="98">
        <f>'MOD-Berechnungen'!L185</f>
        <v>355.81992107000013</v>
      </c>
      <c r="M157" s="98">
        <f>'MOD-Berechnungen'!M185</f>
        <v>342.69702431899992</v>
      </c>
      <c r="N157" s="98">
        <f>'MOD-Berechnungen'!N185</f>
        <v>343.43449980099996</v>
      </c>
      <c r="O157" s="98">
        <f>'MOD-Berechnungen'!O185</f>
        <v>344.29499200573338</v>
      </c>
      <c r="P157" s="98">
        <f>'MOD-Berechnungen'!P185</f>
        <v>344.16121049404217</v>
      </c>
      <c r="Q157" s="98">
        <f>'MOD-Berechnungen'!Q185</f>
        <v>331.78540980535826</v>
      </c>
      <c r="R157" s="98">
        <f>'MOD-Berechnungen'!R185</f>
        <v>329.80586289665291</v>
      </c>
      <c r="S157" s="98">
        <f>'MOD-Berechnungen'!S185</f>
        <v>329.21329222096659</v>
      </c>
      <c r="T157" s="98">
        <f>'MOD-Berechnungen'!T185</f>
        <v>328.12304725272179</v>
      </c>
      <c r="U157" s="98">
        <f>'MOD-Berechnungen'!U185</f>
        <v>327.70886225122763</v>
      </c>
      <c r="V157" s="98">
        <f>'MOD-Berechnungen'!V185</f>
        <v>327.584210333371</v>
      </c>
      <c r="W157" s="98">
        <f>'MOD-Berechnungen'!W185</f>
        <v>327.50147532469316</v>
      </c>
      <c r="X157" s="98">
        <f>'MOD-Berechnungen'!X185</f>
        <v>327.45539906052142</v>
      </c>
      <c r="Y157" s="98">
        <f>'MOD-Berechnungen'!Y185</f>
        <v>327.54599487806399</v>
      </c>
      <c r="Z157" s="98">
        <f>'MOD-Berechnungen'!Z185</f>
        <v>327.79726157480195</v>
      </c>
      <c r="AA157" s="98">
        <f>'MOD-Berechnungen'!AA185</f>
        <v>328.05370235513061</v>
      </c>
      <c r="AB157" s="98">
        <f>'MOD-Berechnungen'!AB185</f>
        <v>328.31597773641175</v>
      </c>
      <c r="AC157" s="98">
        <f>'MOD-Berechnungen'!AC185</f>
        <v>328.34085220014043</v>
      </c>
      <c r="AD157" s="98">
        <f>'MOD-Berechnungen'!AD185</f>
        <v>328.28833607722714</v>
      </c>
      <c r="AE157" s="583">
        <f>'MOD-Berechnungen'!AE185</f>
        <v>328.12928447415595</v>
      </c>
      <c r="AF157" s="928"/>
      <c r="AG157" s="928"/>
    </row>
    <row r="158" spans="1:35" s="294" customFormat="1">
      <c r="A158" s="553">
        <v>155</v>
      </c>
      <c r="C158" s="10"/>
      <c r="D158" s="29"/>
      <c r="E158" s="16" t="s">
        <v>715</v>
      </c>
      <c r="F158" s="99">
        <f>'MOD-Berechnungen'!F12</f>
        <v>67.885999999999996</v>
      </c>
      <c r="G158" s="99">
        <f>'MOD-Berechnungen'!G12</f>
        <v>74.729966079999997</v>
      </c>
      <c r="H158" s="99">
        <f>'MOD-Berechnungen'!H12</f>
        <v>84.727446</v>
      </c>
      <c r="I158" s="99">
        <f>'MOD-Berechnungen'!I12</f>
        <v>96.225492000000003</v>
      </c>
      <c r="J158" s="99">
        <f>'MOD-Berechnungen'!J12</f>
        <v>106.52299099999999</v>
      </c>
      <c r="K158" s="99">
        <f>'MOD-Berechnungen'!K12</f>
        <v>110.247</v>
      </c>
      <c r="L158" s="99">
        <f>'MOD-Berechnungen'!L12</f>
        <v>103.9</v>
      </c>
      <c r="M158" s="99">
        <f>'MOD-Berechnungen'!M12</f>
        <v>114.145597</v>
      </c>
      <c r="N158" s="99">
        <f>'MOD-Berechnungen'!N12</f>
        <v>114.690017</v>
      </c>
      <c r="O158" s="99">
        <f>'MOD-Berechnungen'!O12</f>
        <v>113.926688</v>
      </c>
      <c r="P158" s="99">
        <f>'MOD-Berechnungen'!P12</f>
        <v>116.17166499999999</v>
      </c>
      <c r="Q158" s="99">
        <f>'MOD-Berechnungen'!Q12</f>
        <v>112.73</v>
      </c>
      <c r="R158" s="99">
        <f>'MOD-Berechnungen'!R12</f>
        <v>111.65</v>
      </c>
      <c r="S158" s="99">
        <f>'MOD-Berechnungen'!S12</f>
        <v>110.48</v>
      </c>
      <c r="T158" s="99">
        <f>'MOD-Berechnungen'!T12</f>
        <v>109.19</v>
      </c>
      <c r="U158" s="99">
        <f>'MOD-Berechnungen'!U12</f>
        <v>107.92</v>
      </c>
      <c r="V158" s="99">
        <f>'MOD-Berechnungen'!V12</f>
        <v>107.92</v>
      </c>
      <c r="W158" s="99">
        <f>'MOD-Berechnungen'!W12</f>
        <v>107.92</v>
      </c>
      <c r="X158" s="99">
        <f>'MOD-Berechnungen'!X12</f>
        <v>107.92</v>
      </c>
      <c r="Y158" s="99">
        <f>'MOD-Berechnungen'!Y12</f>
        <v>107.92</v>
      </c>
      <c r="Z158" s="99">
        <f>'MOD-Berechnungen'!Z12</f>
        <v>107.92</v>
      </c>
      <c r="AA158" s="99">
        <f>'MOD-Berechnungen'!AA12</f>
        <v>107.92</v>
      </c>
      <c r="AB158" s="99">
        <f>'MOD-Berechnungen'!AB12</f>
        <v>107.92</v>
      </c>
      <c r="AC158" s="99">
        <f>'MOD-Berechnungen'!AC12</f>
        <v>107.92</v>
      </c>
      <c r="AD158" s="99">
        <f>'MOD-Berechnungen'!AD12</f>
        <v>107.92</v>
      </c>
      <c r="AE158" s="584">
        <f>'MOD-Berechnungen'!AE12</f>
        <v>107.92</v>
      </c>
      <c r="AF158" s="928"/>
      <c r="AG158" s="928"/>
    </row>
    <row r="159" spans="1:35" s="294" customFormat="1">
      <c r="A159" s="553">
        <v>156</v>
      </c>
      <c r="C159" s="10"/>
      <c r="D159" s="29"/>
      <c r="E159" s="16" t="s">
        <v>716</v>
      </c>
      <c r="F159" s="99">
        <f>'MOD-Berechnungen'!F13</f>
        <v>66.919000000000011</v>
      </c>
      <c r="G159" s="99">
        <f>'MOD-Berechnungen'!G13</f>
        <v>54.256241999999979</v>
      </c>
      <c r="H159" s="99">
        <f>'MOD-Berechnungen'!H13</f>
        <v>62.173272999999973</v>
      </c>
      <c r="I159" s="99">
        <f>'MOD-Berechnungen'!I13</f>
        <v>52.680143000000065</v>
      </c>
      <c r="J159" s="99">
        <f>'MOD-Berechnungen'!J13</f>
        <v>44.33</v>
      </c>
      <c r="K159" s="99">
        <f>'MOD-Berechnungen'!K13</f>
        <v>57.291305999999999</v>
      </c>
      <c r="L159" s="99">
        <f>'MOD-Berechnungen'!L13</f>
        <v>48.547290999999994</v>
      </c>
      <c r="M159" s="99">
        <f>'MOD-Berechnungen'!M13</f>
        <v>60.951926519999994</v>
      </c>
      <c r="N159" s="99">
        <f>'MOD-Berechnungen'!N13</f>
        <v>61.173551851607797</v>
      </c>
      <c r="O159" s="99">
        <f>'MOD-Berechnungen'!O13</f>
        <v>69.750429999999994</v>
      </c>
      <c r="P159" s="99">
        <f>'MOD-Berechnungen'!P13</f>
        <v>68.086641999999998</v>
      </c>
      <c r="Q159" s="99">
        <f>'MOD-Berechnungen'!Q13</f>
        <v>60.732941999999994</v>
      </c>
      <c r="R159" s="99">
        <f>'MOD-Berechnungen'!R13</f>
        <v>60.732941999999994</v>
      </c>
      <c r="S159" s="99">
        <f>'MOD-Berechnungen'!S13</f>
        <v>60.732941999999994</v>
      </c>
      <c r="T159" s="99">
        <f>'MOD-Berechnungen'!T13</f>
        <v>60.732941999999994</v>
      </c>
      <c r="U159" s="99">
        <f>'MOD-Berechnungen'!U13</f>
        <v>60.732941999999994</v>
      </c>
      <c r="V159" s="99">
        <f>'MOD-Berechnungen'!V13</f>
        <v>60.732941999999994</v>
      </c>
      <c r="W159" s="99">
        <f>'MOD-Berechnungen'!W13</f>
        <v>60.732941999999994</v>
      </c>
      <c r="X159" s="99">
        <f>'MOD-Berechnungen'!X13</f>
        <v>60.732941999999994</v>
      </c>
      <c r="Y159" s="99">
        <f>'MOD-Berechnungen'!Y13</f>
        <v>60.732941999999994</v>
      </c>
      <c r="Z159" s="99">
        <f>'MOD-Berechnungen'!Z13</f>
        <v>60.732941999999994</v>
      </c>
      <c r="AA159" s="99">
        <f>'MOD-Berechnungen'!AA13</f>
        <v>60.732941999999994</v>
      </c>
      <c r="AB159" s="99">
        <f>'MOD-Berechnungen'!AB13</f>
        <v>60.732941999999994</v>
      </c>
      <c r="AC159" s="99">
        <f>'MOD-Berechnungen'!AC13</f>
        <v>60.732941999999994</v>
      </c>
      <c r="AD159" s="99">
        <f>'MOD-Berechnungen'!AD13</f>
        <v>60.732941999999994</v>
      </c>
      <c r="AE159" s="584">
        <f>'MOD-Berechnungen'!AE13</f>
        <v>60.732941999999994</v>
      </c>
      <c r="AF159" s="928"/>
      <c r="AG159" s="928"/>
    </row>
    <row r="160" spans="1:35" s="294" customFormat="1">
      <c r="A160" s="553">
        <v>157</v>
      </c>
      <c r="C160" s="10"/>
      <c r="D160" s="29"/>
      <c r="E160" s="16" t="s">
        <v>717</v>
      </c>
      <c r="F160" s="99">
        <f>'MOD-Berechnungen'!F14+'MOD-Berechnungen'!F265</f>
        <v>0</v>
      </c>
      <c r="G160" s="99">
        <f>'MOD-Berechnungen'!G14+'MOD-Berechnungen'!G265</f>
        <v>0</v>
      </c>
      <c r="H160" s="99">
        <f>'MOD-Berechnungen'!H14+'MOD-Berechnungen'!H265</f>
        <v>0</v>
      </c>
      <c r="I160" s="99">
        <f>'MOD-Berechnungen'!I14+'MOD-Berechnungen'!I265</f>
        <v>0</v>
      </c>
      <c r="J160" s="99">
        <f>'MOD-Berechnungen'!J14+'MOD-Berechnungen'!J265</f>
        <v>0</v>
      </c>
      <c r="K160" s="99">
        <f>'MOD-Berechnungen'!K14+'MOD-Berechnungen'!K265</f>
        <v>0.34113800225000002</v>
      </c>
      <c r="L160" s="99">
        <f>'MOD-Berechnungen'!L14+'MOD-Berechnungen'!L265</f>
        <v>1.08007893</v>
      </c>
      <c r="M160" s="99">
        <f>'MOD-Berechnungen'!M14+'MOD-Berechnungen'!M265</f>
        <v>1.2738906809999999</v>
      </c>
      <c r="N160" s="99">
        <f>'MOD-Berechnungen'!N14+'MOD-Berechnungen'!N265</f>
        <v>1.9973651989999999</v>
      </c>
      <c r="O160" s="99">
        <f>'MOD-Berechnungen'!O14+'MOD-Berechnungen'!O265</f>
        <v>3.7206509942665722</v>
      </c>
      <c r="P160" s="99">
        <f>'MOD-Berechnungen'!P14+'MOD-Berechnungen'!P265</f>
        <v>3.9664565059578099</v>
      </c>
      <c r="Q160" s="99">
        <f>'MOD-Berechnungen'!Q14+'MOD-Berechnungen'!Q265</f>
        <v>6.2501471946418192</v>
      </c>
      <c r="R160" s="99">
        <f>'MOD-Berechnungen'!R14+'MOD-Berechnungen'!R265</f>
        <v>6.8114083333471154</v>
      </c>
      <c r="S160" s="99">
        <f>'MOD-Berechnungen'!S14+'MOD-Berechnungen'!S265</f>
        <v>7.2841236871692363</v>
      </c>
      <c r="T160" s="99">
        <f>'MOD-Berechnungen'!T14+'MOD-Berechnungen'!T265</f>
        <v>7.6912475414514256</v>
      </c>
      <c r="U160" s="99">
        <f>'MOD-Berechnungen'!U14+'MOD-Berechnungen'!U265</f>
        <v>8.0877785438728846</v>
      </c>
      <c r="V160" s="99">
        <f>'MOD-Berechnungen'!V14+'MOD-Berechnungen'!V265</f>
        <v>8.2588318064002166</v>
      </c>
      <c r="W160" s="99">
        <f>'MOD-Berechnungen'!W14+'MOD-Berechnungen'!W265</f>
        <v>8.4115266123217598</v>
      </c>
      <c r="X160" s="99">
        <f>'MOD-Berechnungen'!X14+'MOD-Berechnungen'!X265</f>
        <v>8.564936947795875</v>
      </c>
      <c r="Y160" s="99">
        <f>'MOD-Berechnungen'!Y14+'MOD-Berechnungen'!Y265</f>
        <v>8.7190628128225605</v>
      </c>
      <c r="Z160" s="99">
        <f>'MOD-Berechnungen'!Z14+'MOD-Berechnungen'!Z265</f>
        <v>8.873904207401818</v>
      </c>
      <c r="AA160" s="99">
        <f>'MOD-Berechnungen'!AA14+'MOD-Berechnungen'!AA265</f>
        <v>9.0294611315336475</v>
      </c>
      <c r="AB160" s="99">
        <f>'MOD-Berechnungen'!AB14+'MOD-Berechnungen'!AB265</f>
        <v>9.1857335852180473</v>
      </c>
      <c r="AC160" s="99">
        <f>'MOD-Berechnungen'!AC14+'MOD-Berechnungen'!AC265</f>
        <v>9.3427215684550173</v>
      </c>
      <c r="AD160" s="99">
        <f>'MOD-Berechnungen'!AD14+'MOD-Berechnungen'!AD265</f>
        <v>9.5004250812445594</v>
      </c>
      <c r="AE160" s="584">
        <f>'MOD-Berechnungen'!AE14+'MOD-Berechnungen'!AE265</f>
        <v>9.659476684315802</v>
      </c>
      <c r="AF160" s="928"/>
      <c r="AG160" s="928" t="s">
        <v>173</v>
      </c>
    </row>
    <row r="161" spans="1:34" s="294" customFormat="1">
      <c r="A161" s="553">
        <v>158</v>
      </c>
      <c r="C161" s="10"/>
      <c r="D161" s="29"/>
      <c r="E161" s="16" t="s">
        <v>718</v>
      </c>
      <c r="F161" s="99">
        <f>'MOD-Berechnungen'!F15</f>
        <v>0</v>
      </c>
      <c r="G161" s="99">
        <f>'MOD-Berechnungen'!G15</f>
        <v>0</v>
      </c>
      <c r="H161" s="99">
        <f>'MOD-Berechnungen'!H15</f>
        <v>0</v>
      </c>
      <c r="I161" s="99">
        <f>'MOD-Berechnungen'!I15</f>
        <v>0</v>
      </c>
      <c r="J161" s="99">
        <f>'MOD-Berechnungen'!J15</f>
        <v>0</v>
      </c>
      <c r="K161" s="99">
        <f>'MOD-Berechnungen'!K15</f>
        <v>0</v>
      </c>
      <c r="L161" s="99">
        <f>'MOD-Berechnungen'!L15</f>
        <v>0</v>
      </c>
      <c r="M161" s="99">
        <f>'MOD-Berechnungen'!M15</f>
        <v>1.1745889999999999</v>
      </c>
      <c r="N161" s="99">
        <f>'MOD-Berechnungen'!N15</f>
        <v>1.5439479999999999</v>
      </c>
      <c r="O161" s="99">
        <f>'MOD-Berechnungen'!O15</f>
        <v>2.5107649999999997</v>
      </c>
      <c r="P161" s="99">
        <f>'MOD-Berechnungen'!P15</f>
        <v>3.6564139999999998</v>
      </c>
      <c r="Q161" s="99">
        <f>'MOD-Berechnungen'!Q15</f>
        <v>3.8827539999999998</v>
      </c>
      <c r="R161" s="99">
        <f>'MOD-Berechnungen'!R15</f>
        <v>3.8827539999999998</v>
      </c>
      <c r="S161" s="99">
        <f>'MOD-Berechnungen'!S15</f>
        <v>3.8827539999999998</v>
      </c>
      <c r="T161" s="99">
        <f>'MOD-Berechnungen'!T15</f>
        <v>3.8827539999999998</v>
      </c>
      <c r="U161" s="99">
        <f>'MOD-Berechnungen'!U15</f>
        <v>3.8827539999999998</v>
      </c>
      <c r="V161" s="99">
        <f>'MOD-Berechnungen'!V15</f>
        <v>3.8827539999999998</v>
      </c>
      <c r="W161" s="99">
        <f>'MOD-Berechnungen'!W15</f>
        <v>3.8827539999999998</v>
      </c>
      <c r="X161" s="99">
        <f>'MOD-Berechnungen'!X15</f>
        <v>3.8827539999999998</v>
      </c>
      <c r="Y161" s="99">
        <f>'MOD-Berechnungen'!Y15</f>
        <v>3.8827539999999998</v>
      </c>
      <c r="Z161" s="99">
        <f>'MOD-Berechnungen'!Z15</f>
        <v>3.8827539999999998</v>
      </c>
      <c r="AA161" s="99">
        <f>'MOD-Berechnungen'!AA15</f>
        <v>3.8827539999999998</v>
      </c>
      <c r="AB161" s="99">
        <f>'MOD-Berechnungen'!AB15</f>
        <v>3.8827539999999998</v>
      </c>
      <c r="AC161" s="99">
        <f>'MOD-Berechnungen'!AC15</f>
        <v>3.8827539999999998</v>
      </c>
      <c r="AD161" s="99">
        <f>'MOD-Berechnungen'!AD15</f>
        <v>3.8827539999999998</v>
      </c>
      <c r="AE161" s="584">
        <f>'MOD-Berechnungen'!AE15</f>
        <v>3.8827539999999998</v>
      </c>
      <c r="AF161" s="928"/>
      <c r="AG161" s="928"/>
    </row>
    <row r="162" spans="1:34" s="294" customFormat="1">
      <c r="A162" s="553">
        <v>159</v>
      </c>
      <c r="C162" s="10"/>
      <c r="D162" s="29"/>
      <c r="E162" s="16" t="s">
        <v>719</v>
      </c>
      <c r="F162" s="99">
        <f>'MOD-Berechnungen'!F16</f>
        <v>0</v>
      </c>
      <c r="G162" s="99">
        <f>'MOD-Berechnungen'!G16</f>
        <v>24.664059639999998</v>
      </c>
      <c r="H162" s="99">
        <f>'MOD-Berechnungen'!H16</f>
        <v>6.3188509999999996</v>
      </c>
      <c r="I162" s="99">
        <f>'MOD-Berechnungen'!I16</f>
        <v>2.5983429999999998</v>
      </c>
      <c r="J162" s="99">
        <f>'MOD-Berechnungen'!J16</f>
        <v>5.9772400000000001</v>
      </c>
      <c r="K162" s="99">
        <f>'MOD-Berechnungen'!K16</f>
        <v>0</v>
      </c>
      <c r="L162" s="99">
        <f>'MOD-Berechnungen'!L16</f>
        <v>0</v>
      </c>
      <c r="M162" s="99">
        <f>'MOD-Berechnungen'!M16</f>
        <v>0</v>
      </c>
      <c r="N162" s="99">
        <f>'MOD-Berechnungen'!N16</f>
        <v>0</v>
      </c>
      <c r="O162" s="99">
        <f>'MOD-Berechnungen'!O16</f>
        <v>0</v>
      </c>
      <c r="P162" s="99">
        <f>'MOD-Berechnungen'!P16</f>
        <v>0</v>
      </c>
      <c r="Q162" s="99">
        <f>'MOD-Berechnungen'!Q16</f>
        <v>0</v>
      </c>
      <c r="R162" s="99">
        <f>'MOD-Berechnungen'!R16</f>
        <v>0</v>
      </c>
      <c r="S162" s="99">
        <f>'MOD-Berechnungen'!S16</f>
        <v>0</v>
      </c>
      <c r="T162" s="99">
        <f>'MOD-Berechnungen'!T16</f>
        <v>0</v>
      </c>
      <c r="U162" s="99">
        <f>'MOD-Berechnungen'!U16</f>
        <v>0</v>
      </c>
      <c r="V162" s="99">
        <f>'MOD-Berechnungen'!V16</f>
        <v>0</v>
      </c>
      <c r="W162" s="99">
        <f>'MOD-Berechnungen'!W16</f>
        <v>0</v>
      </c>
      <c r="X162" s="99">
        <f>'MOD-Berechnungen'!X16</f>
        <v>0</v>
      </c>
      <c r="Y162" s="99">
        <f>'MOD-Berechnungen'!Y16</f>
        <v>0</v>
      </c>
      <c r="Z162" s="99">
        <f>'MOD-Berechnungen'!Z16</f>
        <v>0</v>
      </c>
      <c r="AA162" s="99">
        <f>'MOD-Berechnungen'!AA16</f>
        <v>0</v>
      </c>
      <c r="AB162" s="99">
        <f>'MOD-Berechnungen'!AB16</f>
        <v>0</v>
      </c>
      <c r="AC162" s="99">
        <f>'MOD-Berechnungen'!AC16</f>
        <v>0</v>
      </c>
      <c r="AD162" s="99">
        <f>'MOD-Berechnungen'!AD16</f>
        <v>0</v>
      </c>
      <c r="AE162" s="584">
        <f>'MOD-Berechnungen'!AE16</f>
        <v>0</v>
      </c>
      <c r="AF162" s="928"/>
      <c r="AG162" s="928"/>
    </row>
    <row r="163" spans="1:34" s="294" customFormat="1">
      <c r="A163" s="553" t="s">
        <v>227</v>
      </c>
      <c r="C163" s="10"/>
      <c r="D163" s="29"/>
      <c r="E163" s="16" t="s">
        <v>720</v>
      </c>
      <c r="F163" s="607">
        <f>'D-Netzverl. u. KW-Eigenverbr.'!F6</f>
        <v>79.900000000000006</v>
      </c>
      <c r="G163" s="607">
        <f>'D-Netzverl. u. KW-Eigenverbr.'!G6</f>
        <v>70</v>
      </c>
      <c r="H163" s="607">
        <f>'D-Netzverl. u. KW-Eigenverbr.'!H6</f>
        <v>66.8</v>
      </c>
      <c r="I163" s="607">
        <f>'D-Netzverl. u. KW-Eigenverbr.'!I6</f>
        <v>66.8</v>
      </c>
      <c r="J163" s="607">
        <f>'D-Netzverl. u. KW-Eigenverbr.'!J6</f>
        <v>68.099999999999994</v>
      </c>
      <c r="K163" s="607">
        <f>'D-Netzverl. u. KW-Eigenverbr.'!K6</f>
        <v>79</v>
      </c>
      <c r="L163" s="607">
        <f>'D-Netzverl. u. KW-Eigenverbr.'!L6</f>
        <v>86.5</v>
      </c>
      <c r="M163" s="607">
        <f>'D-Netzverl. u. KW-Eigenverbr.'!M6</f>
        <v>77.2</v>
      </c>
      <c r="N163" s="607">
        <f>'D-Netzverl. u. KW-Eigenverbr.'!N6</f>
        <v>70.3</v>
      </c>
      <c r="O163" s="607">
        <f>'D-Netzverl. u. KW-Eigenverbr.'!O6</f>
        <v>62</v>
      </c>
      <c r="P163" s="607">
        <f>'D-Netzverl. u. KW-Eigenverbr.'!P6</f>
        <v>62</v>
      </c>
      <c r="Q163" s="607">
        <f>'D-Netzverl. u. KW-Eigenverbr.'!Q6</f>
        <v>62</v>
      </c>
      <c r="R163" s="607">
        <f>'D-Netzverl. u. KW-Eigenverbr.'!R6</f>
        <v>62</v>
      </c>
      <c r="S163" s="607">
        <f>'D-Netzverl. u. KW-Eigenverbr.'!S6</f>
        <v>62</v>
      </c>
      <c r="T163" s="607">
        <f>'D-Netzverl. u. KW-Eigenverbr.'!T6</f>
        <v>62</v>
      </c>
      <c r="U163" s="607">
        <f>'D-Netzverl. u. KW-Eigenverbr.'!U6</f>
        <v>62</v>
      </c>
      <c r="V163" s="607">
        <f>'D-Netzverl. u. KW-Eigenverbr.'!V6</f>
        <v>62</v>
      </c>
      <c r="W163" s="607">
        <f>'D-Netzverl. u. KW-Eigenverbr.'!W6</f>
        <v>62</v>
      </c>
      <c r="X163" s="607">
        <f>'D-Netzverl. u. KW-Eigenverbr.'!X6</f>
        <v>62</v>
      </c>
      <c r="Y163" s="607">
        <f>'D-Netzverl. u. KW-Eigenverbr.'!Y6</f>
        <v>62</v>
      </c>
      <c r="Z163" s="607">
        <f>'D-Netzverl. u. KW-Eigenverbr.'!Z6</f>
        <v>62</v>
      </c>
      <c r="AA163" s="607">
        <f>'D-Netzverl. u. KW-Eigenverbr.'!AA6</f>
        <v>62</v>
      </c>
      <c r="AB163" s="607">
        <f>'D-Netzverl. u. KW-Eigenverbr.'!AB6</f>
        <v>62</v>
      </c>
      <c r="AC163" s="607">
        <f>'D-Netzverl. u. KW-Eigenverbr.'!AC6</f>
        <v>62</v>
      </c>
      <c r="AD163" s="607">
        <f>'D-Netzverl. u. KW-Eigenverbr.'!AD6</f>
        <v>62</v>
      </c>
      <c r="AE163" s="608">
        <f>'D-Netzverl. u. KW-Eigenverbr.'!AE6</f>
        <v>62</v>
      </c>
      <c r="AF163" s="928"/>
      <c r="AG163" s="928"/>
    </row>
    <row r="164" spans="1:34" s="294" customFormat="1">
      <c r="A164" s="553">
        <v>160</v>
      </c>
      <c r="C164" s="10"/>
      <c r="D164" s="29"/>
      <c r="E164" s="83"/>
      <c r="F164" s="324"/>
      <c r="G164" s="324"/>
      <c r="H164" s="324"/>
      <c r="I164" s="324"/>
      <c r="J164" s="324"/>
      <c r="K164" s="324"/>
      <c r="L164" s="324"/>
      <c r="M164" s="324"/>
      <c r="N164" s="324"/>
      <c r="O164" s="324"/>
      <c r="P164" s="324"/>
      <c r="Q164" s="324"/>
      <c r="R164" s="324"/>
      <c r="S164" s="324"/>
      <c r="T164" s="324"/>
      <c r="U164" s="324"/>
      <c r="V164" s="324"/>
      <c r="W164" s="324"/>
      <c r="X164" s="324"/>
      <c r="Y164" s="324"/>
      <c r="Z164" s="324"/>
      <c r="AA164" s="324"/>
      <c r="AB164" s="324"/>
      <c r="AC164" s="324"/>
      <c r="AD164" s="324"/>
      <c r="AE164" s="324"/>
      <c r="AF164" s="928"/>
      <c r="AG164" s="928"/>
    </row>
    <row r="165" spans="1:34" s="294" customFormat="1">
      <c r="A165" s="553">
        <v>161</v>
      </c>
      <c r="C165" s="10"/>
      <c r="D165" s="29"/>
      <c r="E165" s="314" t="s">
        <v>531</v>
      </c>
      <c r="F165" s="1208">
        <f>SUM(F157:F163)</f>
        <v>615.29999999999995</v>
      </c>
      <c r="G165" s="1208">
        <f t="shared" ref="G165:AE165" si="7">SUM(G157:G163)</f>
        <v>606.79999999999995</v>
      </c>
      <c r="H165" s="1208">
        <f t="shared" si="7"/>
        <v>606.5279119999999</v>
      </c>
      <c r="I165" s="1208">
        <f t="shared" si="7"/>
        <v>601.56253900000002</v>
      </c>
      <c r="J165" s="1208">
        <f t="shared" si="7"/>
        <v>595.19067800000005</v>
      </c>
      <c r="K165" s="1208">
        <f t="shared" si="7"/>
        <v>597.59130600000003</v>
      </c>
      <c r="L165" s="595">
        <f t="shared" si="7"/>
        <v>595.84729100000015</v>
      </c>
      <c r="M165" s="595">
        <f t="shared" si="7"/>
        <v>597.44302751999999</v>
      </c>
      <c r="N165" s="595">
        <f t="shared" si="7"/>
        <v>593.13938185160771</v>
      </c>
      <c r="O165" s="595">
        <f t="shared" si="7"/>
        <v>596.2035259999999</v>
      </c>
      <c r="P165" s="595">
        <f t="shared" si="7"/>
        <v>598.04238799999996</v>
      </c>
      <c r="Q165" s="595">
        <f t="shared" si="7"/>
        <v>577.38125300000013</v>
      </c>
      <c r="R165" s="595">
        <f t="shared" si="7"/>
        <v>574.88296722999996</v>
      </c>
      <c r="S165" s="595">
        <f t="shared" si="7"/>
        <v>573.59311190813582</v>
      </c>
      <c r="T165" s="595">
        <f t="shared" si="7"/>
        <v>571.61999079417319</v>
      </c>
      <c r="U165" s="595">
        <f t="shared" si="7"/>
        <v>570.33233679510045</v>
      </c>
      <c r="V165" s="595">
        <f t="shared" si="7"/>
        <v>570.37873813977126</v>
      </c>
      <c r="W165" s="595">
        <f t="shared" si="7"/>
        <v>570.44869793701491</v>
      </c>
      <c r="X165" s="595">
        <f t="shared" si="7"/>
        <v>570.55603200831729</v>
      </c>
      <c r="Y165" s="595">
        <f t="shared" si="7"/>
        <v>570.80075369088649</v>
      </c>
      <c r="Z165" s="595">
        <f t="shared" si="7"/>
        <v>571.20686178220376</v>
      </c>
      <c r="AA165" s="595">
        <f t="shared" si="7"/>
        <v>571.61885948666418</v>
      </c>
      <c r="AB165" s="595">
        <f t="shared" si="7"/>
        <v>572.03740732162976</v>
      </c>
      <c r="AC165" s="595">
        <f t="shared" si="7"/>
        <v>572.2192697685955</v>
      </c>
      <c r="AD165" s="595">
        <f t="shared" si="7"/>
        <v>572.32445715847166</v>
      </c>
      <c r="AE165" s="596">
        <f t="shared" si="7"/>
        <v>572.32445715847166</v>
      </c>
      <c r="AF165" s="928"/>
      <c r="AG165" s="928"/>
    </row>
    <row r="166" spans="1:34" s="294" customFormat="1">
      <c r="A166" s="553">
        <v>162</v>
      </c>
      <c r="C166" s="10"/>
      <c r="D166" s="29"/>
      <c r="E166" s="16" t="s">
        <v>721</v>
      </c>
      <c r="F166" s="599">
        <f>F158/F$165</f>
        <v>0.11032992036405005</v>
      </c>
      <c r="G166" s="599">
        <f t="shared" ref="G166:AE166" si="8">G158/G$165</f>
        <v>0.12315419591298617</v>
      </c>
      <c r="H166" s="599">
        <f t="shared" si="8"/>
        <v>0.13969257526931425</v>
      </c>
      <c r="I166" s="599">
        <f t="shared" si="8"/>
        <v>0.15995924905822634</v>
      </c>
      <c r="J166" s="599">
        <f t="shared" si="8"/>
        <v>0.17897288203159659</v>
      </c>
      <c r="K166" s="599">
        <f t="shared" si="8"/>
        <v>0.18448561565920774</v>
      </c>
      <c r="L166" s="599">
        <f t="shared" si="8"/>
        <v>0.17437353759824339</v>
      </c>
      <c r="M166" s="599">
        <f t="shared" si="8"/>
        <v>0.19105687361323981</v>
      </c>
      <c r="N166" s="599">
        <f t="shared" si="8"/>
        <v>0.19336098817443431</v>
      </c>
      <c r="O166" s="599">
        <f t="shared" si="8"/>
        <v>0.19108690745985293</v>
      </c>
      <c r="P166" s="599">
        <f t="shared" si="8"/>
        <v>0.1942532290871663</v>
      </c>
      <c r="Q166" s="599">
        <f t="shared" si="8"/>
        <v>0.19524360968470858</v>
      </c>
      <c r="R166" s="599">
        <f t="shared" si="8"/>
        <v>0.19421344232543755</v>
      </c>
      <c r="S166" s="599">
        <f t="shared" si="8"/>
        <v>0.19261040222828549</v>
      </c>
      <c r="T166" s="599">
        <f t="shared" si="8"/>
        <v>0.19101851187586741</v>
      </c>
      <c r="U166" s="599">
        <f t="shared" si="8"/>
        <v>0.18922300742483011</v>
      </c>
      <c r="V166" s="599">
        <f t="shared" si="8"/>
        <v>0.18920761379003964</v>
      </c>
      <c r="W166" s="599">
        <f t="shared" si="8"/>
        <v>0.18918440937859024</v>
      </c>
      <c r="X166" s="599">
        <f t="shared" si="8"/>
        <v>0.18914881965252239</v>
      </c>
      <c r="Y166" s="599">
        <f t="shared" si="8"/>
        <v>0.18906772512505018</v>
      </c>
      <c r="Z166" s="599">
        <f t="shared" si="8"/>
        <v>0.18893330458825786</v>
      </c>
      <c r="AA166" s="599">
        <f t="shared" si="8"/>
        <v>0.18879712978140073</v>
      </c>
      <c r="AB166" s="599">
        <f t="shared" si="8"/>
        <v>0.18865899086092749</v>
      </c>
      <c r="AC166" s="599">
        <f t="shared" si="8"/>
        <v>0.18859903135321301</v>
      </c>
      <c r="AD166" s="599">
        <f t="shared" si="8"/>
        <v>0.18856436877747806</v>
      </c>
      <c r="AE166" s="600">
        <f t="shared" si="8"/>
        <v>0.18856436877747806</v>
      </c>
      <c r="AF166" s="928"/>
      <c r="AG166" s="928"/>
    </row>
    <row r="167" spans="1:34" s="294" customFormat="1">
      <c r="A167" s="553">
        <v>163</v>
      </c>
      <c r="C167" s="10"/>
      <c r="D167" s="29"/>
      <c r="E167" s="296" t="s">
        <v>722</v>
      </c>
      <c r="F167" s="601">
        <f>F157/F165</f>
        <v>0.65105639525434755</v>
      </c>
      <c r="G167" s="601">
        <f t="shared" ref="G167:AE167" si="9">G157/G165</f>
        <v>0.63142671766644698</v>
      </c>
      <c r="H167" s="601">
        <f t="shared" si="9"/>
        <v>0.6372474116244794</v>
      </c>
      <c r="I167" s="601">
        <f t="shared" si="9"/>
        <v>0.63710509905936819</v>
      </c>
      <c r="J167" s="601">
        <f t="shared" si="9"/>
        <v>0.62208710701614844</v>
      </c>
      <c r="K167" s="601">
        <f t="shared" si="9"/>
        <v>0.58687577693399373</v>
      </c>
      <c r="L167" s="601">
        <f t="shared" si="9"/>
        <v>0.59716629821851464</v>
      </c>
      <c r="M167" s="601">
        <f t="shared" si="9"/>
        <v>0.57360619930831447</v>
      </c>
      <c r="N167" s="601">
        <f t="shared" si="9"/>
        <v>0.57901146055906438</v>
      </c>
      <c r="O167" s="601">
        <f t="shared" si="9"/>
        <v>0.57747895977007935</v>
      </c>
      <c r="P167" s="601">
        <f t="shared" si="9"/>
        <v>0.57547962719666312</v>
      </c>
      <c r="Q167" s="601">
        <f t="shared" si="9"/>
        <v>0.57463834871922692</v>
      </c>
      <c r="R167" s="601">
        <f t="shared" si="9"/>
        <v>0.5736921803159003</v>
      </c>
      <c r="S167" s="601">
        <f t="shared" si="9"/>
        <v>0.5739491730048738</v>
      </c>
      <c r="T167" s="601">
        <f t="shared" si="9"/>
        <v>0.57402304422007366</v>
      </c>
      <c r="U167" s="601">
        <f t="shared" si="9"/>
        <v>0.57459281388942429</v>
      </c>
      <c r="V167" s="601">
        <f t="shared" si="9"/>
        <v>0.574327527357965</v>
      </c>
      <c r="W167" s="601">
        <f t="shared" si="9"/>
        <v>0.57411205689324518</v>
      </c>
      <c r="X167" s="601">
        <f t="shared" si="9"/>
        <v>0.57392329708249923</v>
      </c>
      <c r="Y167" s="601">
        <f t="shared" si="9"/>
        <v>0.57383595371957841</v>
      </c>
      <c r="Z167" s="601">
        <f t="shared" si="9"/>
        <v>0.57386786382791777</v>
      </c>
      <c r="AA167" s="601">
        <f t="shared" si="9"/>
        <v>0.57390286711277427</v>
      </c>
      <c r="AB167" s="601">
        <f t="shared" si="9"/>
        <v>0.57394144776936784</v>
      </c>
      <c r="AC167" s="601">
        <f t="shared" si="9"/>
        <v>0.57380250814153977</v>
      </c>
      <c r="AD167" s="601">
        <f t="shared" si="9"/>
        <v>0.57360528974620939</v>
      </c>
      <c r="AE167" s="602">
        <f t="shared" si="9"/>
        <v>0.57332738513968451</v>
      </c>
      <c r="AF167" s="928"/>
      <c r="AG167" s="928"/>
    </row>
    <row r="168" spans="1:34" s="294" customFormat="1">
      <c r="A168" s="553">
        <v>164</v>
      </c>
      <c r="C168" s="10"/>
      <c r="D168" s="29"/>
      <c r="E168" s="192"/>
      <c r="F168" s="324"/>
      <c r="G168" s="324"/>
      <c r="H168" s="324"/>
      <c r="I168" s="324"/>
      <c r="J168" s="324"/>
      <c r="K168" s="324"/>
      <c r="L168" s="324"/>
      <c r="M168" s="324"/>
      <c r="N168" s="324"/>
      <c r="O168" s="324"/>
      <c r="P168" s="324"/>
      <c r="Q168" s="324"/>
      <c r="R168" s="324"/>
      <c r="S168" s="324"/>
      <c r="T168" s="324"/>
      <c r="U168" s="324"/>
      <c r="V168" s="324"/>
      <c r="W168" s="324"/>
      <c r="X168" s="324"/>
      <c r="Y168" s="324"/>
      <c r="Z168" s="324"/>
      <c r="AA168" s="324"/>
      <c r="AB168" s="324"/>
      <c r="AC168" s="324"/>
      <c r="AD168" s="324"/>
      <c r="AE168" s="324"/>
      <c r="AF168" s="928"/>
      <c r="AG168" s="928"/>
    </row>
    <row r="169" spans="1:34" s="294" customFormat="1">
      <c r="A169" s="553">
        <v>165</v>
      </c>
      <c r="C169" s="10"/>
      <c r="D169" s="29"/>
      <c r="E169" s="192" t="s">
        <v>723</v>
      </c>
      <c r="F169" s="324"/>
      <c r="G169" s="324"/>
      <c r="H169" s="324"/>
      <c r="I169" s="324"/>
      <c r="J169" s="324"/>
      <c r="K169" s="324"/>
      <c r="L169" s="324"/>
      <c r="M169" s="324"/>
      <c r="N169" s="324"/>
      <c r="O169" s="324"/>
      <c r="P169" s="324"/>
      <c r="Q169" s="324"/>
      <c r="R169" s="324"/>
      <c r="S169" s="324"/>
      <c r="T169" s="324"/>
      <c r="U169" s="324"/>
      <c r="V169" s="324"/>
      <c r="W169" s="324"/>
      <c r="X169" s="324"/>
      <c r="Y169" s="324"/>
      <c r="Z169" s="324"/>
      <c r="AA169" s="324"/>
      <c r="AB169" s="324"/>
      <c r="AC169" s="324"/>
      <c r="AD169" s="324"/>
      <c r="AE169" s="324"/>
      <c r="AF169" s="928"/>
      <c r="AG169" s="928"/>
    </row>
    <row r="170" spans="1:34" s="294" customFormat="1">
      <c r="A170" s="553">
        <v>166</v>
      </c>
      <c r="C170" s="10"/>
      <c r="D170" s="29"/>
      <c r="E170" s="314" t="s">
        <v>714</v>
      </c>
      <c r="F170" s="597">
        <f>100%</f>
        <v>1</v>
      </c>
      <c r="G170" s="597">
        <f>100%</f>
        <v>1</v>
      </c>
      <c r="H170" s="597">
        <f>100%</f>
        <v>1</v>
      </c>
      <c r="I170" s="597">
        <f>100%</f>
        <v>1</v>
      </c>
      <c r="J170" s="597">
        <f>100%</f>
        <v>1</v>
      </c>
      <c r="K170" s="597">
        <f>100%</f>
        <v>1</v>
      </c>
      <c r="L170" s="597">
        <f>100%</f>
        <v>1</v>
      </c>
      <c r="M170" s="597">
        <f>100%</f>
        <v>1</v>
      </c>
      <c r="N170" s="597">
        <f>100%</f>
        <v>1</v>
      </c>
      <c r="O170" s="597">
        <f>100%</f>
        <v>1</v>
      </c>
      <c r="P170" s="597">
        <f>100%</f>
        <v>1</v>
      </c>
      <c r="Q170" s="597">
        <f>100%</f>
        <v>1</v>
      </c>
      <c r="R170" s="597">
        <f>100%</f>
        <v>1</v>
      </c>
      <c r="S170" s="597">
        <f>100%</f>
        <v>1</v>
      </c>
      <c r="T170" s="597">
        <f>100%</f>
        <v>1</v>
      </c>
      <c r="U170" s="597">
        <f>100%</f>
        <v>1</v>
      </c>
      <c r="V170" s="597">
        <f>100%</f>
        <v>1</v>
      </c>
      <c r="W170" s="597">
        <f>100%</f>
        <v>1</v>
      </c>
      <c r="X170" s="597">
        <f>100%</f>
        <v>1</v>
      </c>
      <c r="Y170" s="597">
        <f>100%</f>
        <v>1</v>
      </c>
      <c r="Z170" s="597">
        <f>100%</f>
        <v>1</v>
      </c>
      <c r="AA170" s="597">
        <f>100%</f>
        <v>1</v>
      </c>
      <c r="AB170" s="597">
        <f>100%</f>
        <v>1</v>
      </c>
      <c r="AC170" s="597">
        <f>100%</f>
        <v>1</v>
      </c>
      <c r="AD170" s="597">
        <f>100%</f>
        <v>1</v>
      </c>
      <c r="AE170" s="598">
        <f>100%</f>
        <v>1</v>
      </c>
      <c r="AF170" s="928"/>
      <c r="AG170" s="928"/>
    </row>
    <row r="171" spans="1:34" s="294" customFormat="1">
      <c r="A171" s="553">
        <v>167</v>
      </c>
      <c r="C171" s="10"/>
      <c r="D171" s="29"/>
      <c r="E171" s="16" t="s">
        <v>724</v>
      </c>
      <c r="F171" s="599">
        <f>'MOD-Berechnungen'!F17*(1-'MOD-Berechnungen'!F18)</f>
        <v>2.4421006724375267E-2</v>
      </c>
      <c r="G171" s="599">
        <f>'MOD-Berechnungen'!G17*(1-'MOD-Berechnungen'!G18)</f>
        <v>1.416149742259081E-2</v>
      </c>
      <c r="H171" s="599">
        <f>'MOD-Berechnungen'!H17*(1-'MOD-Berechnungen'!H18)</f>
        <v>1.3920264634567114E-2</v>
      </c>
      <c r="I171" s="599">
        <f>'MOD-Berechnungen'!I17*(1-'MOD-Berechnungen'!I18)</f>
        <v>6.442107437727964E-3</v>
      </c>
      <c r="J171" s="599">
        <f>'MOD-Berechnungen'!J17*(1-'MOD-Berechnungen'!J18)</f>
        <v>2.083534312096447E-2</v>
      </c>
      <c r="K171" s="599">
        <f>'MOD-Berechnungen'!K17*(1-'MOD-Berechnungen'!K18)</f>
        <v>6.989999999999999E-2</v>
      </c>
      <c r="L171" s="599">
        <f>'MOD-Berechnungen'!L17*(1-'MOD-Berechnungen'!L18)</f>
        <v>7.4700000000000003E-2</v>
      </c>
      <c r="M171" s="599">
        <f>'MOD-Berechnungen'!M17*(1-'MOD-Berechnungen'!M18)</f>
        <v>5.7065090026654441E-2</v>
      </c>
      <c r="N171" s="599">
        <f>'MOD-Berechnungen'!N17*(1-'MOD-Berechnungen'!N18)</f>
        <v>6.002631363511287E-2</v>
      </c>
      <c r="O171" s="599">
        <f>'MOD-Berechnungen'!O17*(1-'MOD-Berechnungen'!O18)</f>
        <v>5.730478989927143E-2</v>
      </c>
      <c r="P171" s="599">
        <f>'MOD-Berechnungen'!P17*(1-'MOD-Berechnungen'!P18)</f>
        <v>5.6647126041033113E-2</v>
      </c>
      <c r="Q171" s="599">
        <f>'MOD-Berechnungen'!Q17*(1-'MOD-Berechnungen'!Q18)</f>
        <v>5.7273700895980995E-2</v>
      </c>
      <c r="R171" s="599">
        <f>'MOD-Berechnungen'!R17*(1-'MOD-Berechnungen'!R18)</f>
        <v>5.7273700895980995E-2</v>
      </c>
      <c r="S171" s="599">
        <f>'MOD-Berechnungen'!S17*(1-'MOD-Berechnungen'!S18)</f>
        <v>5.7273700895980995E-2</v>
      </c>
      <c r="T171" s="599">
        <f>'MOD-Berechnungen'!T17*(1-'MOD-Berechnungen'!T18)</f>
        <v>5.7273700895980995E-2</v>
      </c>
      <c r="U171" s="599">
        <f>'MOD-Berechnungen'!U17*(1-'MOD-Berechnungen'!U18)</f>
        <v>5.7273700895980995E-2</v>
      </c>
      <c r="V171" s="599">
        <f>'MOD-Berechnungen'!V17*(1-'MOD-Berechnungen'!V18)</f>
        <v>5.7273700895980995E-2</v>
      </c>
      <c r="W171" s="599">
        <f>'MOD-Berechnungen'!W17*(1-'MOD-Berechnungen'!W18)</f>
        <v>5.7273700895980995E-2</v>
      </c>
      <c r="X171" s="599">
        <f>'MOD-Berechnungen'!X17*(1-'MOD-Berechnungen'!X18)</f>
        <v>5.7273700895980995E-2</v>
      </c>
      <c r="Y171" s="599">
        <f>'MOD-Berechnungen'!Y17*(1-'MOD-Berechnungen'!Y18)</f>
        <v>5.7273700895980995E-2</v>
      </c>
      <c r="Z171" s="599">
        <f>'MOD-Berechnungen'!Z17*(1-'MOD-Berechnungen'!Z18)</f>
        <v>5.7273700895980995E-2</v>
      </c>
      <c r="AA171" s="599">
        <f>'MOD-Berechnungen'!AA17*(1-'MOD-Berechnungen'!AA18)</f>
        <v>5.7273700895980995E-2</v>
      </c>
      <c r="AB171" s="599">
        <f>'MOD-Berechnungen'!AB17*(1-'MOD-Berechnungen'!AB18)</f>
        <v>5.7273700895980995E-2</v>
      </c>
      <c r="AC171" s="599">
        <f>'MOD-Berechnungen'!AC17*(1-'MOD-Berechnungen'!AC18)</f>
        <v>5.7273700895980995E-2</v>
      </c>
      <c r="AD171" s="599">
        <f>'MOD-Berechnungen'!AD17*(1-'MOD-Berechnungen'!AD18)</f>
        <v>5.7273700895980995E-2</v>
      </c>
      <c r="AE171" s="600">
        <f>'MOD-Berechnungen'!AE17*(1-'MOD-Berechnungen'!AE18)</f>
        <v>5.7273700895980995E-2</v>
      </c>
      <c r="AF171" s="928"/>
      <c r="AG171" s="928" t="s">
        <v>189</v>
      </c>
      <c r="AH171" s="10"/>
    </row>
    <row r="172" spans="1:34" s="294" customFormat="1">
      <c r="A172" s="553">
        <v>168</v>
      </c>
      <c r="C172" s="10"/>
      <c r="D172" s="29"/>
      <c r="E172" s="16" t="s">
        <v>725</v>
      </c>
      <c r="F172" s="599">
        <f>'MOD-Berechnungen'!F19</f>
        <v>0</v>
      </c>
      <c r="G172" s="599">
        <f>'MOD-Berechnungen'!G19</f>
        <v>0</v>
      </c>
      <c r="H172" s="599">
        <f>'MOD-Berechnungen'!H19</f>
        <v>0</v>
      </c>
      <c r="I172" s="599">
        <f>'MOD-Berechnungen'!I19</f>
        <v>0</v>
      </c>
      <c r="J172" s="599">
        <f>'MOD-Berechnungen'!J19</f>
        <v>0</v>
      </c>
      <c r="K172" s="599">
        <f>'MOD-Berechnungen'!K19</f>
        <v>0</v>
      </c>
      <c r="L172" s="599">
        <f>'MOD-Berechnungen'!L19</f>
        <v>0</v>
      </c>
      <c r="M172" s="599">
        <f>'MOD-Berechnungen'!M19</f>
        <v>0</v>
      </c>
      <c r="N172" s="599">
        <f>'MOD-Berechnungen'!N19</f>
        <v>0</v>
      </c>
      <c r="O172" s="599">
        <f>'MOD-Berechnungen'!O19</f>
        <v>0</v>
      </c>
      <c r="P172" s="599">
        <f>'MOD-Berechnungen'!P19</f>
        <v>0</v>
      </c>
      <c r="Q172" s="599">
        <f>'MOD-Berechnungen'!Q19</f>
        <v>0</v>
      </c>
      <c r="R172" s="599">
        <f>'MOD-Berechnungen'!R19</f>
        <v>0</v>
      </c>
      <c r="S172" s="599">
        <f>'MOD-Berechnungen'!S19</f>
        <v>0</v>
      </c>
      <c r="T172" s="599">
        <f>'MOD-Berechnungen'!T19</f>
        <v>0</v>
      </c>
      <c r="U172" s="599">
        <f>'MOD-Berechnungen'!U19</f>
        <v>0</v>
      </c>
      <c r="V172" s="599">
        <f>'MOD-Berechnungen'!V19</f>
        <v>0</v>
      </c>
      <c r="W172" s="599">
        <f>'MOD-Berechnungen'!W19</f>
        <v>0</v>
      </c>
      <c r="X172" s="599">
        <f>'MOD-Berechnungen'!X19</f>
        <v>0</v>
      </c>
      <c r="Y172" s="599">
        <f>'MOD-Berechnungen'!Y19</f>
        <v>0</v>
      </c>
      <c r="Z172" s="599">
        <f>'MOD-Berechnungen'!Z19</f>
        <v>0</v>
      </c>
      <c r="AA172" s="599">
        <f>'MOD-Berechnungen'!AA19</f>
        <v>0</v>
      </c>
      <c r="AB172" s="599">
        <f>'MOD-Berechnungen'!AB19</f>
        <v>0</v>
      </c>
      <c r="AC172" s="599">
        <f>'MOD-Berechnungen'!AC19</f>
        <v>0</v>
      </c>
      <c r="AD172" s="599">
        <f>'MOD-Berechnungen'!AD19</f>
        <v>0</v>
      </c>
      <c r="AE172" s="600">
        <f>'MOD-Berechnungen'!AE19</f>
        <v>0</v>
      </c>
      <c r="AF172" s="928"/>
      <c r="AG172" s="928"/>
    </row>
    <row r="173" spans="1:34" s="294" customFormat="1">
      <c r="A173" s="553">
        <v>169</v>
      </c>
      <c r="C173" s="10"/>
      <c r="D173" s="29"/>
      <c r="E173" s="16" t="s">
        <v>726</v>
      </c>
      <c r="F173" s="599">
        <f>'MOD-Berechnungen'!F20</f>
        <v>0</v>
      </c>
      <c r="G173" s="599">
        <f>'MOD-Berechnungen'!G20</f>
        <v>0</v>
      </c>
      <c r="H173" s="599">
        <f>'MOD-Berechnungen'!H20</f>
        <v>0</v>
      </c>
      <c r="I173" s="599">
        <f>'MOD-Berechnungen'!I20</f>
        <v>0</v>
      </c>
      <c r="J173" s="599">
        <f>'MOD-Berechnungen'!J20</f>
        <v>0</v>
      </c>
      <c r="K173" s="599">
        <f>'MOD-Berechnungen'!K20</f>
        <v>0.3</v>
      </c>
      <c r="L173" s="599">
        <f>'MOD-Berechnungen'!L20</f>
        <v>0.35</v>
      </c>
      <c r="M173" s="599">
        <f>'MOD-Berechnungen'!M20</f>
        <v>0.40000062775558548</v>
      </c>
      <c r="N173" s="599">
        <f>'MOD-Berechnungen'!N20</f>
        <v>0.33640703685486462</v>
      </c>
      <c r="O173" s="599">
        <f>'MOD-Berechnungen'!O20</f>
        <v>0.36296708149217022</v>
      </c>
      <c r="P173" s="599">
        <f>'MOD-Berechnungen'!P20</f>
        <v>0.37707011244336597</v>
      </c>
      <c r="Q173" s="599">
        <f>'MOD-Berechnungen'!Q20</f>
        <v>0.37707011244336597</v>
      </c>
      <c r="R173" s="599">
        <f>'MOD-Berechnungen'!R20</f>
        <v>0.37707011244336597</v>
      </c>
      <c r="S173" s="599">
        <f>'MOD-Berechnungen'!S20</f>
        <v>0.37707011244336597</v>
      </c>
      <c r="T173" s="599">
        <f>'MOD-Berechnungen'!T20</f>
        <v>0.37707011244336597</v>
      </c>
      <c r="U173" s="599">
        <f>'MOD-Berechnungen'!U20</f>
        <v>0.37707011244336597</v>
      </c>
      <c r="V173" s="599">
        <f>'MOD-Berechnungen'!V20</f>
        <v>0.37707011244336597</v>
      </c>
      <c r="W173" s="599">
        <f>'MOD-Berechnungen'!W20</f>
        <v>0.37707011244336597</v>
      </c>
      <c r="X173" s="599">
        <f>'MOD-Berechnungen'!X20</f>
        <v>0.37707011244336597</v>
      </c>
      <c r="Y173" s="599">
        <f>'MOD-Berechnungen'!Y20</f>
        <v>0.37707011244336597</v>
      </c>
      <c r="Z173" s="599">
        <f>'MOD-Berechnungen'!Z20</f>
        <v>0.37707011244336597</v>
      </c>
      <c r="AA173" s="599">
        <f>'MOD-Berechnungen'!AA20</f>
        <v>0.37707011244336597</v>
      </c>
      <c r="AB173" s="599">
        <f>'MOD-Berechnungen'!AB20</f>
        <v>0.37707011244336597</v>
      </c>
      <c r="AC173" s="599">
        <f>'MOD-Berechnungen'!AC20</f>
        <v>0.37707011244336597</v>
      </c>
      <c r="AD173" s="599">
        <f>'MOD-Berechnungen'!AD20</f>
        <v>0.37707011244336597</v>
      </c>
      <c r="AE173" s="600">
        <f>'MOD-Berechnungen'!AE20</f>
        <v>0.37707011244336597</v>
      </c>
      <c r="AF173" s="928"/>
      <c r="AG173" s="928"/>
    </row>
    <row r="174" spans="1:34" s="294" customFormat="1">
      <c r="A174" s="553">
        <v>170</v>
      </c>
      <c r="C174" s="10"/>
      <c r="D174" s="29"/>
      <c r="E174" s="16" t="s">
        <v>727</v>
      </c>
      <c r="F174" s="599">
        <f>'MOD-Berechnungen'!F21</f>
        <v>0</v>
      </c>
      <c r="G174" s="599">
        <f>'MOD-Berechnungen'!G21</f>
        <v>0</v>
      </c>
      <c r="H174" s="599">
        <f>'MOD-Berechnungen'!H21</f>
        <v>0</v>
      </c>
      <c r="I174" s="599">
        <f>'MOD-Berechnungen'!I21</f>
        <v>0</v>
      </c>
      <c r="J174" s="599">
        <f>'MOD-Berechnungen'!J21</f>
        <v>0</v>
      </c>
      <c r="K174" s="599">
        <f>'MOD-Berechnungen'!K21</f>
        <v>1</v>
      </c>
      <c r="L174" s="599">
        <f>'MOD-Berechnungen'!L21</f>
        <v>1</v>
      </c>
      <c r="M174" s="599">
        <f>'MOD-Berechnungen'!M21</f>
        <v>1</v>
      </c>
      <c r="N174" s="599">
        <f>'MOD-Berechnungen'!N21</f>
        <v>1</v>
      </c>
      <c r="O174" s="599">
        <f>'MOD-Berechnungen'!O21</f>
        <v>1</v>
      </c>
      <c r="P174" s="599">
        <f>'MOD-Berechnungen'!P21</f>
        <v>1</v>
      </c>
      <c r="Q174" s="599">
        <f>'MOD-Berechnungen'!Q21</f>
        <v>1</v>
      </c>
      <c r="R174" s="599">
        <f>'MOD-Berechnungen'!R21</f>
        <v>1</v>
      </c>
      <c r="S174" s="599">
        <f>'MOD-Berechnungen'!S21</f>
        <v>1</v>
      </c>
      <c r="T174" s="599">
        <f>'MOD-Berechnungen'!T21</f>
        <v>1</v>
      </c>
      <c r="U174" s="599">
        <f>'MOD-Berechnungen'!U21</f>
        <v>1</v>
      </c>
      <c r="V174" s="599">
        <f>'MOD-Berechnungen'!V21</f>
        <v>1</v>
      </c>
      <c r="W174" s="599">
        <f>'MOD-Berechnungen'!W21</f>
        <v>1</v>
      </c>
      <c r="X174" s="599">
        <f>'MOD-Berechnungen'!X21</f>
        <v>1</v>
      </c>
      <c r="Y174" s="599">
        <f>'MOD-Berechnungen'!Y21</f>
        <v>1</v>
      </c>
      <c r="Z174" s="599">
        <f>'MOD-Berechnungen'!Z21</f>
        <v>1</v>
      </c>
      <c r="AA174" s="599">
        <f>'MOD-Berechnungen'!AA21</f>
        <v>1</v>
      </c>
      <c r="AB174" s="599">
        <f>'MOD-Berechnungen'!AB21</f>
        <v>1</v>
      </c>
      <c r="AC174" s="599">
        <f>'MOD-Berechnungen'!AC21</f>
        <v>1</v>
      </c>
      <c r="AD174" s="599">
        <f>'MOD-Berechnungen'!AD21</f>
        <v>1</v>
      </c>
      <c r="AE174" s="600">
        <f>'MOD-Berechnungen'!AE21</f>
        <v>1</v>
      </c>
      <c r="AF174" s="928"/>
      <c r="AG174" s="928" t="s">
        <v>189</v>
      </c>
      <c r="AH174" s="10"/>
    </row>
    <row r="175" spans="1:34" s="294" customFormat="1">
      <c r="A175" s="553">
        <v>171</v>
      </c>
      <c r="C175" s="10"/>
      <c r="D175" s="29"/>
      <c r="E175" s="296" t="s">
        <v>501</v>
      </c>
      <c r="F175" s="100">
        <f>'MOD-Berechnungen'!F22</f>
        <v>20.47</v>
      </c>
      <c r="G175" s="100">
        <f>'MOD-Berechnungen'!G22</f>
        <v>35.31</v>
      </c>
      <c r="H175" s="100">
        <f>'MOD-Berechnungen'!H22</f>
        <v>20</v>
      </c>
      <c r="I175" s="100">
        <f>'MOD-Berechnungen'!I22</f>
        <v>20</v>
      </c>
      <c r="J175" s="100">
        <f>'MOD-Berechnungen'!J22</f>
        <v>20</v>
      </c>
      <c r="K175" s="100">
        <f>'MOD-Berechnungen'!K22</f>
        <v>0</v>
      </c>
      <c r="L175" s="100">
        <f>'MOD-Berechnungen'!L22</f>
        <v>0</v>
      </c>
      <c r="M175" s="100">
        <f>'MOD-Berechnungen'!M22</f>
        <v>0</v>
      </c>
      <c r="N175" s="100">
        <f>'MOD-Berechnungen'!N22</f>
        <v>0</v>
      </c>
      <c r="O175" s="100">
        <f>'MOD-Berechnungen'!O22</f>
        <v>0</v>
      </c>
      <c r="P175" s="100">
        <f>'MOD-Berechnungen'!P22</f>
        <v>0</v>
      </c>
      <c r="Q175" s="100">
        <f>'MOD-Berechnungen'!Q22</f>
        <v>0</v>
      </c>
      <c r="R175" s="100">
        <f>'MOD-Berechnungen'!R22</f>
        <v>0</v>
      </c>
      <c r="S175" s="100">
        <f>'MOD-Berechnungen'!S22</f>
        <v>0</v>
      </c>
      <c r="T175" s="100">
        <f>'MOD-Berechnungen'!T22</f>
        <v>0</v>
      </c>
      <c r="U175" s="100">
        <f>'MOD-Berechnungen'!U22</f>
        <v>0</v>
      </c>
      <c r="V175" s="100">
        <f>'MOD-Berechnungen'!V22</f>
        <v>0</v>
      </c>
      <c r="W175" s="100">
        <f>'MOD-Berechnungen'!W22</f>
        <v>0</v>
      </c>
      <c r="X175" s="100">
        <f>'MOD-Berechnungen'!X22</f>
        <v>0</v>
      </c>
      <c r="Y175" s="100">
        <f>'MOD-Berechnungen'!Y22</f>
        <v>0</v>
      </c>
      <c r="Z175" s="100">
        <f>'MOD-Berechnungen'!Z22</f>
        <v>0</v>
      </c>
      <c r="AA175" s="100">
        <f>'MOD-Berechnungen'!AA22</f>
        <v>0</v>
      </c>
      <c r="AB175" s="100">
        <f>'MOD-Berechnungen'!AB22</f>
        <v>0</v>
      </c>
      <c r="AC175" s="100">
        <f>'MOD-Berechnungen'!AC22</f>
        <v>0</v>
      </c>
      <c r="AD175" s="100">
        <f>'MOD-Berechnungen'!AD22</f>
        <v>0</v>
      </c>
      <c r="AE175" s="585">
        <f>'MOD-Berechnungen'!AE22</f>
        <v>0</v>
      </c>
      <c r="AF175" s="928"/>
      <c r="AG175" s="928" t="s">
        <v>174</v>
      </c>
      <c r="AH175" s="10"/>
    </row>
    <row r="176" spans="1:34" s="294" customFormat="1">
      <c r="A176" s="553">
        <v>172</v>
      </c>
      <c r="C176" s="10"/>
      <c r="D176" s="29"/>
      <c r="E176" s="10"/>
      <c r="F176" s="324"/>
      <c r="G176" s="324"/>
      <c r="H176" s="324"/>
      <c r="I176" s="324"/>
      <c r="J176" s="324"/>
      <c r="K176" s="324"/>
      <c r="L176" s="324"/>
      <c r="M176" s="324"/>
      <c r="N176" s="324"/>
      <c r="O176" s="324"/>
      <c r="P176" s="324"/>
      <c r="Q176" s="324"/>
      <c r="R176" s="324"/>
      <c r="S176" s="324"/>
      <c r="T176" s="324"/>
      <c r="U176" s="324"/>
      <c r="V176" s="324"/>
      <c r="W176" s="324"/>
      <c r="X176" s="324"/>
      <c r="Y176" s="324"/>
      <c r="Z176" s="324"/>
      <c r="AA176" s="324"/>
      <c r="AB176" s="324"/>
      <c r="AC176" s="324"/>
      <c r="AD176" s="324"/>
      <c r="AE176" s="324"/>
      <c r="AF176" s="928"/>
      <c r="AG176" s="928"/>
    </row>
    <row r="177" spans="1:33" s="294" customFormat="1">
      <c r="A177" s="553">
        <v>173</v>
      </c>
      <c r="C177" s="10"/>
      <c r="D177" s="29"/>
      <c r="E177" s="208" t="s">
        <v>728</v>
      </c>
      <c r="F177" s="895">
        <f>IF(ControlPanel!$T$5="nominal",F52,F70)</f>
        <v>2.0469999999999997</v>
      </c>
      <c r="G177" s="603">
        <f>IF(ControlPanel!$T$5="nominal",G52,G70)</f>
        <v>3.5300000000000007</v>
      </c>
      <c r="H177" s="603">
        <f>IF(ControlPanel!$T$5="nominal",H52,H70)</f>
        <v>3.5920000000000005</v>
      </c>
      <c r="I177" s="603">
        <f>IF(ControlPanel!$T$5="nominal",I52,I70)</f>
        <v>5.2769999999999992</v>
      </c>
      <c r="J177" s="603">
        <f>IF(ControlPanel!$T$5="nominal",J52,J70)</f>
        <v>6.2399999999999993</v>
      </c>
      <c r="K177" s="603">
        <f>IF(ControlPanel!$T$5="nominal",K52,K70)</f>
        <v>6.17</v>
      </c>
      <c r="L177" s="603">
        <f>IF(ControlPanel!$T$5="nominal",L52,L70)</f>
        <v>6.3394923951914501</v>
      </c>
      <c r="M177" s="603">
        <f>IF(ControlPanel!$T$5="nominal",M52,M70)</f>
        <v>6.862870744991362</v>
      </c>
      <c r="N177" s="603">
        <f>IF(ControlPanel!$T$5="nominal",N52,N70)</f>
        <v>6.7807438583746604</v>
      </c>
      <c r="O177" s="603">
        <f>IF(ControlPanel!$T$5="nominal",O52,O70)</f>
        <v>6.405925003395339</v>
      </c>
      <c r="P177" s="603">
        <f>IF(ControlPanel!$T$5="nominal",P52,P70)</f>
        <v>6.7560731885971812</v>
      </c>
      <c r="Q177" s="603">
        <f>IF(ControlPanel!$T$5="nominal",Q52,Q70)</f>
        <v>6.5003634995875359</v>
      </c>
      <c r="R177" s="603">
        <f>IF(ControlPanel!$T$5="nominal",R52,R70)</f>
        <v>6.3455464049513157</v>
      </c>
      <c r="S177" s="603">
        <f>IF(ControlPanel!$T$5="nominal",S52,S70)</f>
        <v>5.7377594551042073</v>
      </c>
      <c r="T177" s="603">
        <f>IF(ControlPanel!$T$5="nominal",T52,T70)</f>
        <v>5.5978679128930713</v>
      </c>
      <c r="U177" s="603">
        <f>IF(ControlPanel!$T$5="nominal",U52,U70)</f>
        <v>5.0894537215159117</v>
      </c>
      <c r="V177" s="603">
        <f>IF(ControlPanel!$T$5="nominal",V52,V70)</f>
        <v>4.6385294957784931</v>
      </c>
      <c r="W177" s="603">
        <f>IF(ControlPanel!$T$5="nominal",W52,W70)</f>
        <v>4.0472663312227866</v>
      </c>
      <c r="X177" s="603">
        <f>IF(ControlPanel!$T$5="nominal",X52,X70)</f>
        <v>3.5942292522672457</v>
      </c>
      <c r="Y177" s="603">
        <f>IF(ControlPanel!$T$5="nominal",Y52,Y70)</f>
        <v>3.0939960732966507</v>
      </c>
      <c r="Z177" s="603">
        <f>IF(ControlPanel!$T$5="nominal",Z52,Z70)</f>
        <v>2.4944400473394257</v>
      </c>
      <c r="AA177" s="603">
        <f>IF(ControlPanel!$T$5="nominal",AA52,AA70)</f>
        <v>1.6239565889944165</v>
      </c>
      <c r="AB177" s="603">
        <f>IF(ControlPanel!$T$5="nominal",AB52,AB70)</f>
        <v>0.7924471987414281</v>
      </c>
      <c r="AC177" s="603">
        <f>IF(ControlPanel!$T$5="nominal",AC52,AC70)</f>
        <v>0.36462549858475624</v>
      </c>
      <c r="AD177" s="603">
        <f>IF(ControlPanel!$T$5="nominal",AD52,AD70)</f>
        <v>0.18655001507974711</v>
      </c>
      <c r="AE177" s="604">
        <f>IF(ControlPanel!$T$5="nominal",AE52,AE70)</f>
        <v>0.51203044585412305</v>
      </c>
      <c r="AF177" s="928"/>
      <c r="AG177" s="928" t="s">
        <v>210</v>
      </c>
    </row>
    <row r="178" spans="1:33" s="294" customFormat="1">
      <c r="A178" s="553">
        <v>174</v>
      </c>
      <c r="C178" s="10"/>
      <c r="D178" s="29"/>
      <c r="E178" s="83"/>
      <c r="F178" s="324"/>
      <c r="G178" s="324"/>
      <c r="H178" s="324"/>
      <c r="I178" s="324"/>
      <c r="J178" s="324"/>
      <c r="K178" s="324"/>
      <c r="L178" s="324"/>
      <c r="M178" s="324"/>
      <c r="N178" s="324"/>
      <c r="O178" s="324"/>
      <c r="P178" s="324"/>
      <c r="Q178" s="324"/>
      <c r="R178" s="324"/>
      <c r="S178" s="324"/>
      <c r="T178" s="324"/>
      <c r="U178" s="324"/>
      <c r="V178" s="324"/>
      <c r="W178" s="324"/>
      <c r="X178" s="324"/>
      <c r="Y178" s="324"/>
      <c r="Z178" s="324"/>
      <c r="AA178" s="324"/>
      <c r="AB178" s="324"/>
      <c r="AC178" s="324"/>
      <c r="AD178" s="324"/>
      <c r="AE178" s="324"/>
      <c r="AF178" s="928"/>
      <c r="AG178" s="928"/>
    </row>
    <row r="179" spans="1:33" s="294" customFormat="1">
      <c r="A179" s="553">
        <v>175</v>
      </c>
      <c r="C179" s="10"/>
      <c r="D179" s="29"/>
      <c r="E179" s="192" t="s">
        <v>728</v>
      </c>
      <c r="F179" s="324"/>
      <c r="G179" s="324"/>
      <c r="H179" s="324"/>
      <c r="I179" s="324"/>
      <c r="J179" s="324"/>
      <c r="K179" s="324"/>
      <c r="L179" s="324"/>
      <c r="M179" s="324"/>
      <c r="N179" s="324"/>
      <c r="O179" s="324"/>
      <c r="P179" s="324"/>
      <c r="Q179" s="324"/>
      <c r="R179" s="324"/>
      <c r="S179" s="324"/>
      <c r="T179" s="324"/>
      <c r="U179" s="324"/>
      <c r="V179" s="324"/>
      <c r="W179" s="324"/>
      <c r="X179" s="324"/>
      <c r="Y179" s="324"/>
      <c r="Z179" s="324"/>
      <c r="AA179" s="324"/>
      <c r="AB179" s="324"/>
      <c r="AC179" s="324"/>
      <c r="AD179" s="324"/>
      <c r="AE179" s="324"/>
      <c r="AF179" s="928"/>
      <c r="AG179" s="928"/>
    </row>
    <row r="180" spans="1:33" s="294" customFormat="1">
      <c r="A180" s="553">
        <v>176</v>
      </c>
      <c r="C180" s="10"/>
      <c r="D180" s="29"/>
      <c r="E180" s="314" t="s">
        <v>714</v>
      </c>
      <c r="F180" s="98">
        <f>F$177*F170</f>
        <v>2.0469999999999997</v>
      </c>
      <c r="G180" s="98">
        <f t="shared" ref="G180:AE184" si="10">G$177*G170</f>
        <v>3.5300000000000007</v>
      </c>
      <c r="H180" s="98">
        <f t="shared" si="10"/>
        <v>3.5920000000000005</v>
      </c>
      <c r="I180" s="98">
        <f t="shared" si="10"/>
        <v>5.2769999999999992</v>
      </c>
      <c r="J180" s="98">
        <f t="shared" si="10"/>
        <v>6.2399999999999993</v>
      </c>
      <c r="K180" s="98">
        <f t="shared" si="10"/>
        <v>6.17</v>
      </c>
      <c r="L180" s="98">
        <f t="shared" si="10"/>
        <v>6.3394923951914501</v>
      </c>
      <c r="M180" s="98">
        <f t="shared" si="10"/>
        <v>6.862870744991362</v>
      </c>
      <c r="N180" s="98">
        <f t="shared" si="10"/>
        <v>6.7807438583746604</v>
      </c>
      <c r="O180" s="98">
        <f t="shared" si="10"/>
        <v>6.405925003395339</v>
      </c>
      <c r="P180" s="98">
        <f t="shared" si="10"/>
        <v>6.7560731885971812</v>
      </c>
      <c r="Q180" s="98">
        <f t="shared" si="10"/>
        <v>6.5003634995875359</v>
      </c>
      <c r="R180" s="98">
        <f t="shared" si="10"/>
        <v>6.3455464049513157</v>
      </c>
      <c r="S180" s="98">
        <f t="shared" si="10"/>
        <v>5.7377594551042073</v>
      </c>
      <c r="T180" s="98">
        <f t="shared" si="10"/>
        <v>5.5978679128930713</v>
      </c>
      <c r="U180" s="98">
        <f t="shared" si="10"/>
        <v>5.0894537215159117</v>
      </c>
      <c r="V180" s="98">
        <f t="shared" si="10"/>
        <v>4.6385294957784931</v>
      </c>
      <c r="W180" s="98">
        <f t="shared" si="10"/>
        <v>4.0472663312227866</v>
      </c>
      <c r="X180" s="98">
        <f t="shared" si="10"/>
        <v>3.5942292522672457</v>
      </c>
      <c r="Y180" s="98">
        <f t="shared" si="10"/>
        <v>3.0939960732966507</v>
      </c>
      <c r="Z180" s="98">
        <f t="shared" si="10"/>
        <v>2.4944400473394257</v>
      </c>
      <c r="AA180" s="98">
        <f t="shared" si="10"/>
        <v>1.6239565889944165</v>
      </c>
      <c r="AB180" s="98">
        <f t="shared" si="10"/>
        <v>0.7924471987414281</v>
      </c>
      <c r="AC180" s="98">
        <f t="shared" si="10"/>
        <v>0.36462549858475624</v>
      </c>
      <c r="AD180" s="98">
        <f t="shared" si="10"/>
        <v>0.18655001507974711</v>
      </c>
      <c r="AE180" s="583">
        <f t="shared" si="10"/>
        <v>0.51203044585412305</v>
      </c>
      <c r="AF180" s="928"/>
      <c r="AG180" s="928"/>
    </row>
    <row r="181" spans="1:33" s="294" customFormat="1">
      <c r="A181" s="553">
        <v>177</v>
      </c>
      <c r="C181" s="10"/>
      <c r="D181" s="29"/>
      <c r="E181" s="16" t="s">
        <v>715</v>
      </c>
      <c r="F181" s="99">
        <f>F$177*F171</f>
        <v>4.9989800764796165E-2</v>
      </c>
      <c r="G181" s="99">
        <f t="shared" ref="G181:U181" si="11">G$177*G171</f>
        <v>4.9990085901745571E-2</v>
      </c>
      <c r="H181" s="99">
        <f t="shared" si="11"/>
        <v>5.0001590567365084E-2</v>
      </c>
      <c r="I181" s="99">
        <f t="shared" si="11"/>
        <v>3.3995000948890464E-2</v>
      </c>
      <c r="J181" s="99">
        <f t="shared" si="11"/>
        <v>0.13001254107481827</v>
      </c>
      <c r="K181" s="99">
        <f t="shared" si="11"/>
        <v>0.43128299999999992</v>
      </c>
      <c r="L181" s="99">
        <f t="shared" si="11"/>
        <v>0.47356008192080135</v>
      </c>
      <c r="M181" s="99">
        <f t="shared" si="11"/>
        <v>0.39163033690422511</v>
      </c>
      <c r="N181" s="99">
        <f t="shared" si="11"/>
        <v>0.40702305752216272</v>
      </c>
      <c r="O181" s="99">
        <f t="shared" si="11"/>
        <v>0.36709018643005953</v>
      </c>
      <c r="P181" s="99">
        <f t="shared" si="11"/>
        <v>0.38271212945690902</v>
      </c>
      <c r="Q181" s="99">
        <f t="shared" si="11"/>
        <v>0.37229987479052878</v>
      </c>
      <c r="R181" s="99">
        <f t="shared" si="11"/>
        <v>0.36343292681874917</v>
      </c>
      <c r="S181" s="99">
        <f t="shared" si="11"/>
        <v>0.32862271884472527</v>
      </c>
      <c r="T181" s="99">
        <f t="shared" si="11"/>
        <v>0.32061061249824718</v>
      </c>
      <c r="U181" s="99">
        <f t="shared" si="11"/>
        <v>0.2914918501700397</v>
      </c>
      <c r="V181" s="99">
        <f t="shared" si="10"/>
        <v>0.26566575093840294</v>
      </c>
      <c r="W181" s="99">
        <f t="shared" si="10"/>
        <v>0.23180192130082822</v>
      </c>
      <c r="X181" s="99">
        <f t="shared" si="10"/>
        <v>0.20585481114593965</v>
      </c>
      <c r="Y181" s="99">
        <f t="shared" si="10"/>
        <v>0.17720460567533206</v>
      </c>
      <c r="Z181" s="99">
        <f t="shared" si="10"/>
        <v>0.14286581317427494</v>
      </c>
      <c r="AA181" s="99">
        <f t="shared" si="10"/>
        <v>9.3010003946123757E-2</v>
      </c>
      <c r="AB181" s="99">
        <f t="shared" si="10"/>
        <v>4.5386383836574562E-2</v>
      </c>
      <c r="AC181" s="99">
        <f t="shared" si="10"/>
        <v>2.0883451744991271E-2</v>
      </c>
      <c r="AD181" s="99">
        <f t="shared" si="10"/>
        <v>1.068440976581818E-2</v>
      </c>
      <c r="AE181" s="584">
        <f t="shared" si="10"/>
        <v>2.9325878605484836E-2</v>
      </c>
      <c r="AF181" s="928"/>
      <c r="AG181" s="928"/>
    </row>
    <row r="182" spans="1:33" s="294" customFormat="1">
      <c r="A182" s="553">
        <v>178</v>
      </c>
      <c r="C182" s="10"/>
      <c r="D182" s="29"/>
      <c r="E182" s="16" t="s">
        <v>716</v>
      </c>
      <c r="F182" s="99">
        <f>F$177*F172</f>
        <v>0</v>
      </c>
      <c r="G182" s="99">
        <f t="shared" si="10"/>
        <v>0</v>
      </c>
      <c r="H182" s="99">
        <f t="shared" si="10"/>
        <v>0</v>
      </c>
      <c r="I182" s="99">
        <f t="shared" si="10"/>
        <v>0</v>
      </c>
      <c r="J182" s="99">
        <f t="shared" si="10"/>
        <v>0</v>
      </c>
      <c r="K182" s="99">
        <f t="shared" si="10"/>
        <v>0</v>
      </c>
      <c r="L182" s="99">
        <f t="shared" si="10"/>
        <v>0</v>
      </c>
      <c r="M182" s="99">
        <f t="shared" si="10"/>
        <v>0</v>
      </c>
      <c r="N182" s="99">
        <f t="shared" si="10"/>
        <v>0</v>
      </c>
      <c r="O182" s="99">
        <f t="shared" si="10"/>
        <v>0</v>
      </c>
      <c r="P182" s="99">
        <f t="shared" si="10"/>
        <v>0</v>
      </c>
      <c r="Q182" s="99">
        <f t="shared" si="10"/>
        <v>0</v>
      </c>
      <c r="R182" s="99">
        <f t="shared" si="10"/>
        <v>0</v>
      </c>
      <c r="S182" s="99">
        <f t="shared" si="10"/>
        <v>0</v>
      </c>
      <c r="T182" s="99">
        <f t="shared" si="10"/>
        <v>0</v>
      </c>
      <c r="U182" s="99">
        <f t="shared" si="10"/>
        <v>0</v>
      </c>
      <c r="V182" s="99">
        <f t="shared" si="10"/>
        <v>0</v>
      </c>
      <c r="W182" s="99">
        <f t="shared" si="10"/>
        <v>0</v>
      </c>
      <c r="X182" s="99">
        <f t="shared" si="10"/>
        <v>0</v>
      </c>
      <c r="Y182" s="99">
        <f t="shared" si="10"/>
        <v>0</v>
      </c>
      <c r="Z182" s="99">
        <f t="shared" si="10"/>
        <v>0</v>
      </c>
      <c r="AA182" s="99">
        <f t="shared" si="10"/>
        <v>0</v>
      </c>
      <c r="AB182" s="99">
        <f t="shared" si="10"/>
        <v>0</v>
      </c>
      <c r="AC182" s="99">
        <f t="shared" si="10"/>
        <v>0</v>
      </c>
      <c r="AD182" s="99">
        <f t="shared" si="10"/>
        <v>0</v>
      </c>
      <c r="AE182" s="584">
        <f t="shared" si="10"/>
        <v>0</v>
      </c>
      <c r="AF182" s="928"/>
      <c r="AG182" s="928"/>
    </row>
    <row r="183" spans="1:33" s="294" customFormat="1">
      <c r="A183" s="553">
        <v>179</v>
      </c>
      <c r="C183" s="10"/>
      <c r="D183" s="29"/>
      <c r="E183" s="16" t="s">
        <v>717</v>
      </c>
      <c r="F183" s="99">
        <f>F$177*F173</f>
        <v>0</v>
      </c>
      <c r="G183" s="99">
        <f>G$177*G173</f>
        <v>0</v>
      </c>
      <c r="H183" s="99">
        <f t="shared" si="10"/>
        <v>0</v>
      </c>
      <c r="I183" s="99">
        <f t="shared" si="10"/>
        <v>0</v>
      </c>
      <c r="J183" s="99">
        <f t="shared" si="10"/>
        <v>0</v>
      </c>
      <c r="K183" s="99">
        <f t="shared" si="10"/>
        <v>1.851</v>
      </c>
      <c r="L183" s="99">
        <f t="shared" si="10"/>
        <v>2.2188223383170076</v>
      </c>
      <c r="M183" s="99">
        <f t="shared" si="10"/>
        <v>2.7451526062019873</v>
      </c>
      <c r="N183" s="99">
        <f t="shared" si="10"/>
        <v>2.2810899490676415</v>
      </c>
      <c r="O183" s="99">
        <f t="shared" si="10"/>
        <v>2.3251399027401267</v>
      </c>
      <c r="P183" s="99">
        <f t="shared" si="10"/>
        <v>2.5475132768999491</v>
      </c>
      <c r="Q183" s="99">
        <f t="shared" si="10"/>
        <v>2.4510927957122242</v>
      </c>
      <c r="R183" s="99">
        <f t="shared" si="10"/>
        <v>2.3927158964295892</v>
      </c>
      <c r="S183" s="99">
        <f t="shared" si="10"/>
        <v>2.1635376029091296</v>
      </c>
      <c r="T183" s="99">
        <f t="shared" si="10"/>
        <v>2.110788683357701</v>
      </c>
      <c r="U183" s="99">
        <f t="shared" si="10"/>
        <v>1.9190808870473122</v>
      </c>
      <c r="V183" s="99">
        <f t="shared" si="10"/>
        <v>1.749050838545066</v>
      </c>
      <c r="W183" s="99">
        <f t="shared" si="10"/>
        <v>1.5261031706024253</v>
      </c>
      <c r="X183" s="99">
        <f t="shared" si="10"/>
        <v>1.3552764282996455</v>
      </c>
      <c r="Y183" s="99">
        <f t="shared" si="10"/>
        <v>1.1666534472573009</v>
      </c>
      <c r="Z183" s="99">
        <f t="shared" si="10"/>
        <v>0.94057878913351234</v>
      </c>
      <c r="AA183" s="99">
        <f t="shared" si="10"/>
        <v>0.61234549361526969</v>
      </c>
      <c r="AB183" s="99">
        <f t="shared" si="10"/>
        <v>0.29880815433486069</v>
      </c>
      <c r="AC183" s="99">
        <f t="shared" si="10"/>
        <v>0.13748937775107242</v>
      </c>
      <c r="AD183" s="99">
        <f t="shared" si="10"/>
        <v>7.0342435162431854E-2</v>
      </c>
      <c r="AE183" s="584">
        <f t="shared" si="10"/>
        <v>0.193071377792641</v>
      </c>
      <c r="AF183" s="928"/>
      <c r="AG183" s="928"/>
    </row>
    <row r="184" spans="1:33" s="294" customFormat="1">
      <c r="A184" s="553">
        <v>180</v>
      </c>
      <c r="C184" s="10"/>
      <c r="D184" s="29"/>
      <c r="E184" s="16" t="s">
        <v>718</v>
      </c>
      <c r="F184" s="99">
        <f>F$177*F174</f>
        <v>0</v>
      </c>
      <c r="G184" s="99">
        <f t="shared" si="10"/>
        <v>0</v>
      </c>
      <c r="H184" s="99">
        <f t="shared" si="10"/>
        <v>0</v>
      </c>
      <c r="I184" s="99">
        <f t="shared" si="10"/>
        <v>0</v>
      </c>
      <c r="J184" s="99">
        <f t="shared" si="10"/>
        <v>0</v>
      </c>
      <c r="K184" s="99">
        <f t="shared" si="10"/>
        <v>6.17</v>
      </c>
      <c r="L184" s="99">
        <f t="shared" si="10"/>
        <v>6.3394923951914501</v>
      </c>
      <c r="M184" s="99">
        <f t="shared" si="10"/>
        <v>6.862870744991362</v>
      </c>
      <c r="N184" s="99">
        <f t="shared" si="10"/>
        <v>6.7807438583746604</v>
      </c>
      <c r="O184" s="99">
        <f t="shared" si="10"/>
        <v>6.405925003395339</v>
      </c>
      <c r="P184" s="99">
        <f t="shared" si="10"/>
        <v>6.7560731885971812</v>
      </c>
      <c r="Q184" s="99">
        <f t="shared" si="10"/>
        <v>6.5003634995875359</v>
      </c>
      <c r="R184" s="99">
        <f t="shared" si="10"/>
        <v>6.3455464049513157</v>
      </c>
      <c r="S184" s="99">
        <f t="shared" si="10"/>
        <v>5.7377594551042073</v>
      </c>
      <c r="T184" s="99">
        <f t="shared" si="10"/>
        <v>5.5978679128930713</v>
      </c>
      <c r="U184" s="99">
        <f t="shared" si="10"/>
        <v>5.0894537215159117</v>
      </c>
      <c r="V184" s="99">
        <f t="shared" si="10"/>
        <v>4.6385294957784931</v>
      </c>
      <c r="W184" s="99">
        <f t="shared" si="10"/>
        <v>4.0472663312227866</v>
      </c>
      <c r="X184" s="99">
        <f t="shared" si="10"/>
        <v>3.5942292522672457</v>
      </c>
      <c r="Y184" s="99">
        <f t="shared" si="10"/>
        <v>3.0939960732966507</v>
      </c>
      <c r="Z184" s="99">
        <f t="shared" si="10"/>
        <v>2.4944400473394257</v>
      </c>
      <c r="AA184" s="99">
        <f t="shared" si="10"/>
        <v>1.6239565889944165</v>
      </c>
      <c r="AB184" s="99">
        <f t="shared" si="10"/>
        <v>0.7924471987414281</v>
      </c>
      <c r="AC184" s="99">
        <f t="shared" si="10"/>
        <v>0.36462549858475624</v>
      </c>
      <c r="AD184" s="99">
        <f t="shared" si="10"/>
        <v>0.18655001507974711</v>
      </c>
      <c r="AE184" s="584">
        <f t="shared" si="10"/>
        <v>0.51203044585412305</v>
      </c>
      <c r="AF184" s="928"/>
      <c r="AG184" s="928"/>
    </row>
    <row r="185" spans="1:33" s="294" customFormat="1">
      <c r="A185" s="553">
        <v>181</v>
      </c>
      <c r="C185" s="10"/>
      <c r="D185" s="29"/>
      <c r="E185" s="16" t="s">
        <v>719</v>
      </c>
      <c r="F185" s="100">
        <f>IF(ControlPanel!$T$5="nominal",F177-F175/10,F177-F175/10/'MOD-Berechnungen'!F26)</f>
        <v>0</v>
      </c>
      <c r="G185" s="100">
        <f>IF(ControlPanel!$T$5="nominal",G177-G175/10,G177-G175/10/'MOD-Berechnungen'!G26)</f>
        <v>-9.9999999999944578E-4</v>
      </c>
      <c r="H185" s="100">
        <f>IF(ControlPanel!$T$5="nominal",H177-H175/10,H177-H175/10/'MOD-Berechnungen'!H26)</f>
        <v>1.5920000000000005</v>
      </c>
      <c r="I185" s="100">
        <f>IF(ControlPanel!$T$5="nominal",I177-I175/10,I177-I175/10/'MOD-Berechnungen'!I26)</f>
        <v>3.2769999999999992</v>
      </c>
      <c r="J185" s="100">
        <f>IF(ControlPanel!$T$5="nominal",J177-J175/10,J177-J175/10/'MOD-Berechnungen'!J26)</f>
        <v>4.2399999999999993</v>
      </c>
      <c r="K185" s="100">
        <f>IF(ControlPanel!$T$5="nominal",K177-K175/10,K177-K175/10/'MOD-Berechnungen'!K26)</f>
        <v>6.17</v>
      </c>
      <c r="L185" s="100">
        <f>IF(ControlPanel!$T$5="nominal",L177-L175/10,L177-L175/10/'MOD-Berechnungen'!L26)</f>
        <v>6.3394923951914501</v>
      </c>
      <c r="M185" s="100">
        <f>IF(ControlPanel!$T$5="nominal",M177-M175/10,M177-M175/10/'MOD-Berechnungen'!M26)</f>
        <v>6.862870744991362</v>
      </c>
      <c r="N185" s="100">
        <f>IF(ControlPanel!$T$5="nominal",N177-N175/10,N177-N175/10/'MOD-Berechnungen'!N26)</f>
        <v>6.7807438583746604</v>
      </c>
      <c r="O185" s="100">
        <f>IF(ControlPanel!$T$5="nominal",O177-O175/10,O177-O175/10/'MOD-Berechnungen'!O26)</f>
        <v>6.405925003395339</v>
      </c>
      <c r="P185" s="100">
        <f>IF(ControlPanel!$T$5="nominal",P177-P175/10,P177-P175/10/'MOD-Berechnungen'!P26)</f>
        <v>6.7560731885971812</v>
      </c>
      <c r="Q185" s="100">
        <f>IF(ControlPanel!$T$5="nominal",Q177-Q175/10,Q177-Q175/10/'MOD-Berechnungen'!Q26)</f>
        <v>6.5003634995875359</v>
      </c>
      <c r="R185" s="100">
        <f>IF(ControlPanel!$T$5="nominal",R177-R175/10,R177-R175/10/'MOD-Berechnungen'!R26)</f>
        <v>6.3455464049513157</v>
      </c>
      <c r="S185" s="100">
        <f>IF(ControlPanel!$T$5="nominal",S177-S175/10,S177-S175/10/'MOD-Berechnungen'!S26)</f>
        <v>5.7377594551042073</v>
      </c>
      <c r="T185" s="100">
        <f>IF(ControlPanel!$T$5="nominal",T177-T175/10,T177-T175/10/'MOD-Berechnungen'!T26)</f>
        <v>5.5978679128930713</v>
      </c>
      <c r="U185" s="100">
        <f>IF(ControlPanel!$T$5="nominal",U177-U175/10,U177-U175/10/'MOD-Berechnungen'!U26)</f>
        <v>5.0894537215159117</v>
      </c>
      <c r="V185" s="100">
        <f>IF(ControlPanel!$T$5="nominal",V177-V175/10,V177-V175/10/'MOD-Berechnungen'!V26)</f>
        <v>4.6385294957784931</v>
      </c>
      <c r="W185" s="100">
        <f>IF(ControlPanel!$T$5="nominal",W177-W175/10,W177-W175/10/'MOD-Berechnungen'!W26)</f>
        <v>4.0472663312227866</v>
      </c>
      <c r="X185" s="100">
        <f>IF(ControlPanel!$T$5="nominal",X177-X175/10,X177-X175/10/'MOD-Berechnungen'!X26)</f>
        <v>3.5942292522672457</v>
      </c>
      <c r="Y185" s="100">
        <f>IF(ControlPanel!$T$5="nominal",Y177-Y175/10,Y177-Y175/10/'MOD-Berechnungen'!Y26)</f>
        <v>3.0939960732966507</v>
      </c>
      <c r="Z185" s="100">
        <f>IF(ControlPanel!$T$5="nominal",Z177-Z175/10,Z177-Z175/10/'MOD-Berechnungen'!Z26)</f>
        <v>2.4944400473394257</v>
      </c>
      <c r="AA185" s="100">
        <f>IF(ControlPanel!$T$5="nominal",AA177-AA175/10,AA177-AA175/10/'MOD-Berechnungen'!AA26)</f>
        <v>1.6239565889944165</v>
      </c>
      <c r="AB185" s="100">
        <f>IF(ControlPanel!$T$5="nominal",AB177-AB175/10,AB177-AB175/10/'MOD-Berechnungen'!AB26)</f>
        <v>0.7924471987414281</v>
      </c>
      <c r="AC185" s="100">
        <f>IF(ControlPanel!$T$5="nominal",AC177-AC175/10,AC177-AC175/10/'MOD-Berechnungen'!AC26)</f>
        <v>0.36462549858475624</v>
      </c>
      <c r="AD185" s="100">
        <f>IF(ControlPanel!$T$5="nominal",AD177-AD175/10,AD177-AD175/10/'MOD-Berechnungen'!AD26)</f>
        <v>0.18655001507974711</v>
      </c>
      <c r="AE185" s="585">
        <f>IF(ControlPanel!$T$5="nominal",AE177-AE175/10,AE177-AE175/10/'MOD-Berechnungen'!AE26)</f>
        <v>0.51203044585412305</v>
      </c>
      <c r="AF185" s="928"/>
      <c r="AG185" s="928"/>
    </row>
    <row r="186" spans="1:33" s="294" customFormat="1">
      <c r="A186" s="553">
        <v>182</v>
      </c>
      <c r="C186" s="10"/>
      <c r="D186" s="29"/>
      <c r="E186" s="36"/>
      <c r="F186" s="324"/>
      <c r="G186" s="324"/>
      <c r="H186" s="324"/>
      <c r="I186" s="324"/>
      <c r="J186" s="324"/>
      <c r="K186" s="324"/>
      <c r="L186" s="324"/>
      <c r="M186" s="324"/>
      <c r="N186" s="324"/>
      <c r="O186" s="324"/>
      <c r="P186" s="324"/>
      <c r="Q186" s="324"/>
      <c r="R186" s="324"/>
      <c r="S186" s="324"/>
      <c r="T186" s="324"/>
      <c r="U186" s="324"/>
      <c r="V186" s="324"/>
      <c r="W186" s="324"/>
      <c r="X186" s="324"/>
      <c r="Y186" s="324"/>
      <c r="Z186" s="324"/>
      <c r="AA186" s="324"/>
      <c r="AB186" s="324"/>
      <c r="AC186" s="324"/>
      <c r="AD186" s="324"/>
      <c r="AE186" s="324"/>
      <c r="AF186" s="928"/>
      <c r="AG186" s="928"/>
    </row>
    <row r="187" spans="1:33" s="294" customFormat="1">
      <c r="A187" s="553">
        <v>183</v>
      </c>
      <c r="C187" s="10"/>
      <c r="D187" s="29"/>
      <c r="E187" s="192" t="s">
        <v>729</v>
      </c>
      <c r="F187" s="588"/>
      <c r="G187" s="588"/>
      <c r="H187" s="588"/>
      <c r="I187" s="588"/>
      <c r="J187" s="588"/>
      <c r="K187" s="588"/>
      <c r="L187" s="324"/>
      <c r="M187" s="324"/>
      <c r="N187" s="324"/>
      <c r="O187" s="324"/>
      <c r="P187" s="324"/>
      <c r="Q187" s="324"/>
      <c r="R187" s="324"/>
      <c r="S187" s="324"/>
      <c r="T187" s="324"/>
      <c r="U187" s="324"/>
      <c r="V187" s="324"/>
      <c r="W187" s="324"/>
      <c r="X187" s="324"/>
      <c r="Y187" s="324"/>
      <c r="Z187" s="324"/>
      <c r="AA187" s="324"/>
      <c r="AB187" s="324"/>
      <c r="AC187" s="324"/>
      <c r="AD187" s="324"/>
      <c r="AE187" s="324"/>
      <c r="AF187" s="928"/>
      <c r="AG187" s="928"/>
    </row>
    <row r="188" spans="1:33" s="294" customFormat="1">
      <c r="A188" s="553">
        <v>184</v>
      </c>
      <c r="C188" s="10"/>
      <c r="D188" s="29"/>
      <c r="E188" s="314" t="s">
        <v>714</v>
      </c>
      <c r="F188" s="98">
        <f>F157*F180*10/1000</f>
        <v>8.200179649999999</v>
      </c>
      <c r="G188" s="98">
        <f t="shared" ref="G188:AE188" si="12">G157*G180*10/1000</f>
        <v>13.525185549484002</v>
      </c>
      <c r="H188" s="98">
        <f t="shared" si="12"/>
        <v>13.883379644640002</v>
      </c>
      <c r="I188" s="98">
        <f t="shared" si="12"/>
        <v>20.224554263969999</v>
      </c>
      <c r="J188" s="98">
        <f t="shared" si="12"/>
        <v>23.104251892800001</v>
      </c>
      <c r="K188" s="98">
        <f t="shared" si="12"/>
        <v>21.638921885261173</v>
      </c>
      <c r="L188" s="98">
        <f t="shared" si="12"/>
        <v>22.557176836808882</v>
      </c>
      <c r="M188" s="98">
        <f t="shared" si="12"/>
        <v>23.518853825944579</v>
      </c>
      <c r="N188" s="98">
        <f t="shared" si="12"/>
        <v>23.287413752796041</v>
      </c>
      <c r="O188" s="98">
        <f t="shared" si="12"/>
        <v>22.055278978333259</v>
      </c>
      <c r="P188" s="98">
        <f t="shared" si="12"/>
        <v>23.251783267739491</v>
      </c>
      <c r="Q188" s="98">
        <f t="shared" si="12"/>
        <v>21.567257675944436</v>
      </c>
      <c r="R188" s="98">
        <f t="shared" si="12"/>
        <v>20.927984076357223</v>
      </c>
      <c r="S188" s="98">
        <f t="shared" si="12"/>
        <v>18.889466801868355</v>
      </c>
      <c r="T188" s="98">
        <f t="shared" si="12"/>
        <v>18.367894776967084</v>
      </c>
      <c r="U188" s="98">
        <f t="shared" si="12"/>
        <v>16.678590885582558</v>
      </c>
      <c r="V188" s="98">
        <f t="shared" si="12"/>
        <v>15.195090219826472</v>
      </c>
      <c r="W188" s="98">
        <f t="shared" si="12"/>
        <v>13.254856945074209</v>
      </c>
      <c r="X188" s="98">
        <f t="shared" si="12"/>
        <v>11.769497741161704</v>
      </c>
      <c r="Y188" s="98">
        <f t="shared" si="12"/>
        <v>10.13426021976775</v>
      </c>
      <c r="Z188" s="98">
        <f t="shared" si="12"/>
        <v>8.1767061668038306</v>
      </c>
      <c r="AA188" s="98">
        <f t="shared" si="12"/>
        <v>5.3274497148362752</v>
      </c>
      <c r="AB188" s="98">
        <f t="shared" si="12"/>
        <v>2.6017307685927253</v>
      </c>
      <c r="AC188" s="98">
        <f t="shared" si="12"/>
        <v>1.1972144693921996</v>
      </c>
      <c r="AD188" s="98">
        <f t="shared" si="12"/>
        <v>0.61242194045711817</v>
      </c>
      <c r="AE188" s="583">
        <f t="shared" si="12"/>
        <v>1.6801218382709644</v>
      </c>
      <c r="AF188" s="928"/>
      <c r="AG188" s="928"/>
    </row>
    <row r="189" spans="1:33" s="294" customFormat="1">
      <c r="A189" s="553">
        <v>185</v>
      </c>
      <c r="C189" s="10"/>
      <c r="D189" s="29"/>
      <c r="E189" s="16" t="s">
        <v>715</v>
      </c>
      <c r="F189" s="99">
        <f t="shared" ref="F189:AE189" si="13">F158*F181*10/1000</f>
        <v>3.3936076147189527E-2</v>
      </c>
      <c r="G189" s="99">
        <f t="shared" si="13"/>
        <v>3.7357574237737327E-2</v>
      </c>
      <c r="H189" s="99">
        <f t="shared" si="13"/>
        <v>4.2365070647105339E-2</v>
      </c>
      <c r="I189" s="99">
        <f t="shared" si="13"/>
        <v>3.2711856918474516E-2</v>
      </c>
      <c r="J189" s="99">
        <f t="shared" si="13"/>
        <v>0.13849324742799995</v>
      </c>
      <c r="K189" s="99">
        <f t="shared" si="13"/>
        <v>0.47547656900999991</v>
      </c>
      <c r="L189" s="99">
        <f t="shared" si="13"/>
        <v>0.49202892511571261</v>
      </c>
      <c r="M189" s="99">
        <f t="shared" si="13"/>
        <v>0.44702878609243901</v>
      </c>
      <c r="N189" s="99">
        <f t="shared" si="13"/>
        <v>0.46681481386608825</v>
      </c>
      <c r="O189" s="99">
        <f t="shared" si="13"/>
        <v>0.41821369137279224</v>
      </c>
      <c r="P189" s="99">
        <f t="shared" si="13"/>
        <v>0.44460305294704661</v>
      </c>
      <c r="Q189" s="99">
        <f t="shared" si="13"/>
        <v>0.41969364885136307</v>
      </c>
      <c r="R189" s="99">
        <f t="shared" si="13"/>
        <v>0.40577286279313346</v>
      </c>
      <c r="S189" s="99">
        <f t="shared" si="13"/>
        <v>0.3630623797796525</v>
      </c>
      <c r="T189" s="99">
        <f t="shared" si="13"/>
        <v>0.35007472778683607</v>
      </c>
      <c r="U189" s="99">
        <f t="shared" si="13"/>
        <v>0.31457800470350683</v>
      </c>
      <c r="V189" s="99">
        <f t="shared" si="13"/>
        <v>0.28670647841272451</v>
      </c>
      <c r="W189" s="99">
        <f t="shared" si="13"/>
        <v>0.25016063346785383</v>
      </c>
      <c r="X189" s="99">
        <f t="shared" si="13"/>
        <v>0.22215851218869806</v>
      </c>
      <c r="Y189" s="99">
        <f t="shared" si="13"/>
        <v>0.19123921044481834</v>
      </c>
      <c r="Z189" s="99">
        <f t="shared" si="13"/>
        <v>0.1541807855776775</v>
      </c>
      <c r="AA189" s="99">
        <f t="shared" si="13"/>
        <v>0.10037639625865677</v>
      </c>
      <c r="AB189" s="99">
        <f t="shared" si="13"/>
        <v>4.8980985436431271E-2</v>
      </c>
      <c r="AC189" s="99">
        <f t="shared" si="13"/>
        <v>2.2537421123194581E-2</v>
      </c>
      <c r="AD189" s="99">
        <f t="shared" si="13"/>
        <v>1.153061501927098E-2</v>
      </c>
      <c r="AE189" s="584">
        <f t="shared" si="13"/>
        <v>3.1648488191039235E-2</v>
      </c>
      <c r="AF189" s="928"/>
      <c r="AG189" s="928"/>
    </row>
    <row r="190" spans="1:33" s="294" customFormat="1">
      <c r="A190" s="553">
        <v>186</v>
      </c>
      <c r="C190" s="10"/>
      <c r="D190" s="29"/>
      <c r="E190" s="16" t="s">
        <v>716</v>
      </c>
      <c r="F190" s="99">
        <f t="shared" ref="F190:AE190" si="14">F159*F182*10/1000</f>
        <v>0</v>
      </c>
      <c r="G190" s="99">
        <f t="shared" si="14"/>
        <v>0</v>
      </c>
      <c r="H190" s="99">
        <f t="shared" si="14"/>
        <v>0</v>
      </c>
      <c r="I190" s="99">
        <f t="shared" si="14"/>
        <v>0</v>
      </c>
      <c r="J190" s="99">
        <f t="shared" si="14"/>
        <v>0</v>
      </c>
      <c r="K190" s="99">
        <f t="shared" si="14"/>
        <v>0</v>
      </c>
      <c r="L190" s="99">
        <f t="shared" si="14"/>
        <v>0</v>
      </c>
      <c r="M190" s="99">
        <f t="shared" si="14"/>
        <v>0</v>
      </c>
      <c r="N190" s="99">
        <f t="shared" si="14"/>
        <v>0</v>
      </c>
      <c r="O190" s="99">
        <f t="shared" si="14"/>
        <v>0</v>
      </c>
      <c r="P190" s="99">
        <f t="shared" si="14"/>
        <v>0</v>
      </c>
      <c r="Q190" s="99">
        <f t="shared" si="14"/>
        <v>0</v>
      </c>
      <c r="R190" s="99">
        <f t="shared" si="14"/>
        <v>0</v>
      </c>
      <c r="S190" s="99">
        <f t="shared" si="14"/>
        <v>0</v>
      </c>
      <c r="T190" s="99">
        <f t="shared" si="14"/>
        <v>0</v>
      </c>
      <c r="U190" s="99">
        <f t="shared" si="14"/>
        <v>0</v>
      </c>
      <c r="V190" s="99">
        <f t="shared" si="14"/>
        <v>0</v>
      </c>
      <c r="W190" s="99">
        <f t="shared" si="14"/>
        <v>0</v>
      </c>
      <c r="X190" s="99">
        <f t="shared" si="14"/>
        <v>0</v>
      </c>
      <c r="Y190" s="99">
        <f t="shared" si="14"/>
        <v>0</v>
      </c>
      <c r="Z190" s="99">
        <f t="shared" si="14"/>
        <v>0</v>
      </c>
      <c r="AA190" s="99">
        <f t="shared" si="14"/>
        <v>0</v>
      </c>
      <c r="AB190" s="99">
        <f t="shared" si="14"/>
        <v>0</v>
      </c>
      <c r="AC190" s="99">
        <f t="shared" si="14"/>
        <v>0</v>
      </c>
      <c r="AD190" s="99">
        <f t="shared" si="14"/>
        <v>0</v>
      </c>
      <c r="AE190" s="584">
        <f t="shared" si="14"/>
        <v>0</v>
      </c>
      <c r="AF190" s="928"/>
      <c r="AG190" s="928"/>
    </row>
    <row r="191" spans="1:33" s="294" customFormat="1">
      <c r="A191" s="553">
        <v>187</v>
      </c>
      <c r="C191" s="10"/>
      <c r="D191" s="29"/>
      <c r="E191" s="16" t="s">
        <v>717</v>
      </c>
      <c r="F191" s="99">
        <f t="shared" ref="F191:AE191" si="15">F160*F183*10/1000</f>
        <v>0</v>
      </c>
      <c r="G191" s="99">
        <f t="shared" si="15"/>
        <v>0</v>
      </c>
      <c r="H191" s="99">
        <f t="shared" si="15"/>
        <v>0</v>
      </c>
      <c r="I191" s="99">
        <f t="shared" si="15"/>
        <v>0</v>
      </c>
      <c r="J191" s="99">
        <f t="shared" si="15"/>
        <v>0</v>
      </c>
      <c r="K191" s="99">
        <f t="shared" si="15"/>
        <v>6.3144644216475004E-3</v>
      </c>
      <c r="L191" s="99">
        <f t="shared" si="15"/>
        <v>2.3965032570295315E-2</v>
      </c>
      <c r="M191" s="99">
        <f t="shared" si="15"/>
        <v>3.4970243229635739E-2</v>
      </c>
      <c r="N191" s="99">
        <f t="shared" si="15"/>
        <v>4.5561696800563892E-2</v>
      </c>
      <c r="O191" s="99">
        <f t="shared" si="15"/>
        <v>8.6510340909389347E-2</v>
      </c>
      <c r="P191" s="99">
        <f t="shared" si="15"/>
        <v>0.10104600611173703</v>
      </c>
      <c r="Q191" s="99">
        <f t="shared" si="15"/>
        <v>0.15319690760927532</v>
      </c>
      <c r="R191" s="99">
        <f t="shared" si="15"/>
        <v>0.16297764996272615</v>
      </c>
      <c r="S191" s="99">
        <f t="shared" si="15"/>
        <v>0.15759475501431741</v>
      </c>
      <c r="T191" s="99">
        <f t="shared" si="15"/>
        <v>0.16234598271398409</v>
      </c>
      <c r="U191" s="99">
        <f t="shared" si="15"/>
        <v>0.15521101222217795</v>
      </c>
      <c r="V191" s="99">
        <f t="shared" si="15"/>
        <v>0.14445116696386961</v>
      </c>
      <c r="W191" s="99">
        <f t="shared" si="15"/>
        <v>0.12836857432670915</v>
      </c>
      <c r="X191" s="99">
        <f t="shared" si="15"/>
        <v>0.11607857155220459</v>
      </c>
      <c r="Y191" s="99">
        <f t="shared" si="15"/>
        <v>0.1017212468743238</v>
      </c>
      <c r="Z191" s="99">
        <f t="shared" si="15"/>
        <v>8.346606074284782E-2</v>
      </c>
      <c r="AA191" s="99">
        <f t="shared" si="15"/>
        <v>5.529149833668863E-2</v>
      </c>
      <c r="AB191" s="99">
        <f t="shared" si="15"/>
        <v>2.7447720988107473E-2</v>
      </c>
      <c r="AC191" s="99">
        <f t="shared" si="15"/>
        <v>1.2845249749484039E-2</v>
      </c>
      <c r="AD191" s="99">
        <f t="shared" si="15"/>
        <v>6.6828303529298683E-3</v>
      </c>
      <c r="AE191" s="584">
        <f t="shared" si="15"/>
        <v>1.8649684721967437E-2</v>
      </c>
      <c r="AF191" s="928"/>
      <c r="AG191" s="928"/>
    </row>
    <row r="192" spans="1:33" s="294" customFormat="1">
      <c r="A192" s="553">
        <v>188</v>
      </c>
      <c r="C192" s="10"/>
      <c r="D192" s="29"/>
      <c r="E192" s="16" t="s">
        <v>718</v>
      </c>
      <c r="F192" s="99">
        <f t="shared" ref="F192:AE192" si="16">F161*F184*10/1000</f>
        <v>0</v>
      </c>
      <c r="G192" s="99">
        <f t="shared" si="16"/>
        <v>0</v>
      </c>
      <c r="H192" s="99">
        <f t="shared" si="16"/>
        <v>0</v>
      </c>
      <c r="I192" s="99">
        <f t="shared" si="16"/>
        <v>0</v>
      </c>
      <c r="J192" s="99">
        <f t="shared" si="16"/>
        <v>0</v>
      </c>
      <c r="K192" s="99">
        <f t="shared" si="16"/>
        <v>0</v>
      </c>
      <c r="L192" s="99">
        <f t="shared" si="16"/>
        <v>0</v>
      </c>
      <c r="M192" s="99">
        <f t="shared" si="16"/>
        <v>8.0610524854886581E-2</v>
      </c>
      <c r="N192" s="99">
        <f t="shared" si="16"/>
        <v>0.10469115918649839</v>
      </c>
      <c r="O192" s="99">
        <f t="shared" si="16"/>
        <v>0.16083772291149895</v>
      </c>
      <c r="P192" s="99">
        <f t="shared" si="16"/>
        <v>0.24703000591811372</v>
      </c>
      <c r="Q192" s="99">
        <f t="shared" si="16"/>
        <v>0.25239312379477502</v>
      </c>
      <c r="R192" s="99">
        <f t="shared" si="16"/>
        <v>0.24638195686010339</v>
      </c>
      <c r="S192" s="99">
        <f t="shared" si="16"/>
        <v>0.22278308475343681</v>
      </c>
      <c r="T192" s="99">
        <f t="shared" si="16"/>
        <v>0.21735144030257225</v>
      </c>
      <c r="U192" s="99">
        <f t="shared" si="16"/>
        <v>0.19761096795030791</v>
      </c>
      <c r="V192" s="99">
        <f t="shared" si="16"/>
        <v>0.18010268953851927</v>
      </c>
      <c r="W192" s="99">
        <f t="shared" si="16"/>
        <v>0.157145395366206</v>
      </c>
      <c r="X192" s="99">
        <f t="shared" si="16"/>
        <v>0.13955508006157655</v>
      </c>
      <c r="Y192" s="99">
        <f t="shared" si="16"/>
        <v>0.12013225629576864</v>
      </c>
      <c r="Z192" s="99">
        <f t="shared" si="16"/>
        <v>9.6852970715673448E-2</v>
      </c>
      <c r="AA192" s="99">
        <f t="shared" si="16"/>
        <v>6.3054239417444272E-2</v>
      </c>
      <c r="AB192" s="99">
        <f t="shared" si="16"/>
        <v>3.0768775307020747E-2</v>
      </c>
      <c r="AC192" s="99">
        <f t="shared" si="16"/>
        <v>1.4157511131319564E-2</v>
      </c>
      <c r="AD192" s="99">
        <f t="shared" si="16"/>
        <v>7.2432781725094838E-3</v>
      </c>
      <c r="AE192" s="584">
        <f t="shared" si="16"/>
        <v>1.9880882617618795E-2</v>
      </c>
      <c r="AF192" s="928"/>
      <c r="AG192" s="928"/>
    </row>
    <row r="193" spans="1:34" s="294" customFormat="1">
      <c r="A193" s="553">
        <v>189</v>
      </c>
      <c r="C193" s="10"/>
      <c r="D193" s="29"/>
      <c r="E193" s="296" t="s">
        <v>719</v>
      </c>
      <c r="F193" s="100">
        <f t="shared" ref="F193:AE193" si="17">F162*F185*10/1000</f>
        <v>0</v>
      </c>
      <c r="G193" s="100">
        <f t="shared" si="17"/>
        <v>-2.4664059639986332E-4</v>
      </c>
      <c r="H193" s="100">
        <f t="shared" si="17"/>
        <v>0.10059610792000002</v>
      </c>
      <c r="I193" s="100">
        <f t="shared" si="17"/>
        <v>8.5147700109999974E-2</v>
      </c>
      <c r="J193" s="100">
        <f t="shared" si="17"/>
        <v>0.25343497599999992</v>
      </c>
      <c r="K193" s="100">
        <f t="shared" si="17"/>
        <v>0</v>
      </c>
      <c r="L193" s="100">
        <f t="shared" si="17"/>
        <v>0</v>
      </c>
      <c r="M193" s="100">
        <f t="shared" si="17"/>
        <v>0</v>
      </c>
      <c r="N193" s="100">
        <f t="shared" si="17"/>
        <v>0</v>
      </c>
      <c r="O193" s="100">
        <f t="shared" si="17"/>
        <v>0</v>
      </c>
      <c r="P193" s="100">
        <f t="shared" si="17"/>
        <v>0</v>
      </c>
      <c r="Q193" s="100">
        <f t="shared" si="17"/>
        <v>0</v>
      </c>
      <c r="R193" s="100">
        <f t="shared" si="17"/>
        <v>0</v>
      </c>
      <c r="S193" s="100">
        <f t="shared" si="17"/>
        <v>0</v>
      </c>
      <c r="T193" s="100">
        <f t="shared" si="17"/>
        <v>0</v>
      </c>
      <c r="U193" s="100">
        <f t="shared" si="17"/>
        <v>0</v>
      </c>
      <c r="V193" s="100">
        <f t="shared" si="17"/>
        <v>0</v>
      </c>
      <c r="W193" s="100">
        <f t="shared" si="17"/>
        <v>0</v>
      </c>
      <c r="X193" s="100">
        <f t="shared" si="17"/>
        <v>0</v>
      </c>
      <c r="Y193" s="100">
        <f t="shared" si="17"/>
        <v>0</v>
      </c>
      <c r="Z193" s="100">
        <f t="shared" si="17"/>
        <v>0</v>
      </c>
      <c r="AA193" s="100">
        <f t="shared" si="17"/>
        <v>0</v>
      </c>
      <c r="AB193" s="100">
        <f t="shared" si="17"/>
        <v>0</v>
      </c>
      <c r="AC193" s="100">
        <f t="shared" si="17"/>
        <v>0</v>
      </c>
      <c r="AD193" s="100">
        <f t="shared" si="17"/>
        <v>0</v>
      </c>
      <c r="AE193" s="585">
        <f t="shared" si="17"/>
        <v>0</v>
      </c>
      <c r="AF193" s="928"/>
      <c r="AG193" s="928"/>
    </row>
    <row r="194" spans="1:34" s="294" customFormat="1">
      <c r="A194" s="553">
        <v>190</v>
      </c>
      <c r="C194" s="10"/>
      <c r="D194" s="29"/>
      <c r="E194" s="36"/>
      <c r="F194" s="588"/>
      <c r="G194" s="588"/>
      <c r="H194" s="588"/>
      <c r="I194" s="588"/>
      <c r="J194" s="588"/>
      <c r="K194" s="588"/>
      <c r="L194" s="324"/>
      <c r="M194" s="324"/>
      <c r="N194" s="324"/>
      <c r="O194" s="324"/>
      <c r="P194" s="324"/>
      <c r="Q194" s="324"/>
      <c r="R194" s="324"/>
      <c r="S194" s="324"/>
      <c r="T194" s="324"/>
      <c r="U194" s="324"/>
      <c r="V194" s="324"/>
      <c r="W194" s="324"/>
      <c r="X194" s="324"/>
      <c r="Y194" s="324"/>
      <c r="Z194" s="324"/>
      <c r="AA194" s="324"/>
      <c r="AB194" s="324"/>
      <c r="AC194" s="324"/>
      <c r="AD194" s="324"/>
      <c r="AE194" s="324"/>
      <c r="AF194" s="928"/>
      <c r="AG194" s="928"/>
    </row>
    <row r="195" spans="1:34" s="294" customFormat="1">
      <c r="A195" s="553">
        <v>191</v>
      </c>
      <c r="C195" s="10"/>
      <c r="D195" s="29"/>
      <c r="E195" s="314" t="s">
        <v>531</v>
      </c>
      <c r="F195" s="595">
        <f>SUM(F188:F193)</f>
        <v>8.2341157261471878</v>
      </c>
      <c r="G195" s="595">
        <f t="shared" ref="G195:AE195" si="18">SUM(G188:G193)</f>
        <v>13.562296483125339</v>
      </c>
      <c r="H195" s="595">
        <f t="shared" si="18"/>
        <v>14.026340823207107</v>
      </c>
      <c r="I195" s="595">
        <f t="shared" si="18"/>
        <v>20.342413820998473</v>
      </c>
      <c r="J195" s="595">
        <f t="shared" si="18"/>
        <v>23.496180116228</v>
      </c>
      <c r="K195" s="595">
        <f t="shared" si="18"/>
        <v>22.120712918692817</v>
      </c>
      <c r="L195" s="595">
        <f t="shared" si="18"/>
        <v>23.073170794494889</v>
      </c>
      <c r="M195" s="595">
        <f t="shared" si="18"/>
        <v>24.081463380121541</v>
      </c>
      <c r="N195" s="595">
        <f t="shared" si="18"/>
        <v>23.904481422649191</v>
      </c>
      <c r="O195" s="595">
        <f t="shared" si="18"/>
        <v>22.720840733526938</v>
      </c>
      <c r="P195" s="595">
        <f t="shared" si="18"/>
        <v>24.044462332716385</v>
      </c>
      <c r="Q195" s="595">
        <f t="shared" si="18"/>
        <v>22.39254135619985</v>
      </c>
      <c r="R195" s="595">
        <f t="shared" si="18"/>
        <v>21.743116545973184</v>
      </c>
      <c r="S195" s="595">
        <f t="shared" si="18"/>
        <v>19.632907021415765</v>
      </c>
      <c r="T195" s="595">
        <f t="shared" si="18"/>
        <v>19.097666927770476</v>
      </c>
      <c r="U195" s="595">
        <f t="shared" si="18"/>
        <v>17.34599087045855</v>
      </c>
      <c r="V195" s="595">
        <f t="shared" si="18"/>
        <v>15.806350554741586</v>
      </c>
      <c r="W195" s="595">
        <f t="shared" si="18"/>
        <v>13.790531548234977</v>
      </c>
      <c r="X195" s="595">
        <f t="shared" si="18"/>
        <v>12.247289904964184</v>
      </c>
      <c r="Y195" s="595">
        <f t="shared" si="18"/>
        <v>10.54735293338266</v>
      </c>
      <c r="Z195" s="595">
        <f t="shared" si="18"/>
        <v>8.5112059838400302</v>
      </c>
      <c r="AA195" s="595">
        <f t="shared" si="18"/>
        <v>5.546171848849065</v>
      </c>
      <c r="AB195" s="595">
        <f t="shared" si="18"/>
        <v>2.7089282503242851</v>
      </c>
      <c r="AC195" s="595">
        <f t="shared" si="18"/>
        <v>1.2467546513961976</v>
      </c>
      <c r="AD195" s="595">
        <f t="shared" si="18"/>
        <v>0.63787866400182847</v>
      </c>
      <c r="AE195" s="596">
        <f t="shared" si="18"/>
        <v>1.75030089380159</v>
      </c>
      <c r="AF195" s="928"/>
      <c r="AG195" s="928"/>
    </row>
    <row r="196" spans="1:34" s="589" customFormat="1">
      <c r="A196" s="553">
        <v>192</v>
      </c>
      <c r="C196" s="590"/>
      <c r="D196" s="591"/>
      <c r="E196" s="296" t="s">
        <v>730</v>
      </c>
      <c r="F196" s="601">
        <f>F189/F$195</f>
        <v>4.1213989790581315E-3</v>
      </c>
      <c r="G196" s="601">
        <f t="shared" ref="G196:AE196" si="19">G189/G$195</f>
        <v>2.7545168537068091E-3</v>
      </c>
      <c r="H196" s="601">
        <f t="shared" si="19"/>
        <v>3.0203936422969805E-3</v>
      </c>
      <c r="I196" s="601">
        <f t="shared" si="19"/>
        <v>1.6080617180596177E-3</v>
      </c>
      <c r="J196" s="601">
        <f t="shared" si="19"/>
        <v>5.8942877839256707E-3</v>
      </c>
      <c r="K196" s="601">
        <f t="shared" si="19"/>
        <v>2.1494631332980442E-2</v>
      </c>
      <c r="L196" s="601">
        <f t="shared" si="19"/>
        <v>2.1324720797936778E-2</v>
      </c>
      <c r="M196" s="601">
        <f t="shared" si="19"/>
        <v>1.856319024455327E-2</v>
      </c>
      <c r="N196" s="601">
        <f t="shared" si="19"/>
        <v>1.9528338875562771E-2</v>
      </c>
      <c r="O196" s="601">
        <f t="shared" si="19"/>
        <v>1.8406611633682856E-2</v>
      </c>
      <c r="P196" s="601">
        <f t="shared" si="19"/>
        <v>1.8490871070221109E-2</v>
      </c>
      <c r="Q196" s="601">
        <f t="shared" si="19"/>
        <v>1.8742564418002605E-2</v>
      </c>
      <c r="R196" s="601">
        <f t="shared" si="19"/>
        <v>1.8662129779563844E-2</v>
      </c>
      <c r="S196" s="601">
        <f t="shared" si="19"/>
        <v>1.8492543125866207E-2</v>
      </c>
      <c r="T196" s="601">
        <f t="shared" si="19"/>
        <v>1.8330758888552096E-2</v>
      </c>
      <c r="U196" s="601">
        <f t="shared" si="19"/>
        <v>1.8135487736203958E-2</v>
      </c>
      <c r="V196" s="601">
        <f t="shared" si="19"/>
        <v>1.8138689093335231E-2</v>
      </c>
      <c r="W196" s="601">
        <f t="shared" si="19"/>
        <v>1.8140028366047382E-2</v>
      </c>
      <c r="X196" s="601">
        <f t="shared" si="19"/>
        <v>1.8139401770725681E-2</v>
      </c>
      <c r="Y196" s="601">
        <f t="shared" si="19"/>
        <v>1.8131488692251969E-2</v>
      </c>
      <c r="Z196" s="601">
        <f t="shared" si="19"/>
        <v>1.8115033976432472E-2</v>
      </c>
      <c r="AA196" s="601">
        <f t="shared" si="19"/>
        <v>1.8098320606399307E-2</v>
      </c>
      <c r="AB196" s="601">
        <f t="shared" si="19"/>
        <v>1.808131515870447E-2</v>
      </c>
      <c r="AC196" s="601">
        <f t="shared" si="19"/>
        <v>1.8076869493092087E-2</v>
      </c>
      <c r="AD196" s="601">
        <f t="shared" si="19"/>
        <v>1.8076502115515071E-2</v>
      </c>
      <c r="AE196" s="602">
        <f t="shared" si="19"/>
        <v>1.8081741432640113E-2</v>
      </c>
      <c r="AF196" s="947"/>
      <c r="AG196" s="947"/>
    </row>
    <row r="197" spans="1:34" s="589" customFormat="1">
      <c r="A197" s="553" t="s">
        <v>230</v>
      </c>
      <c r="B197" s="294"/>
      <c r="C197" s="10"/>
      <c r="D197" s="29"/>
      <c r="E197" s="36"/>
      <c r="F197" s="324"/>
      <c r="G197" s="324"/>
      <c r="H197" s="324"/>
      <c r="I197" s="324"/>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c r="AF197" s="928"/>
      <c r="AG197" s="928"/>
      <c r="AH197" s="294"/>
    </row>
    <row r="198" spans="1:34" s="589" customFormat="1" ht="52.8">
      <c r="A198" s="553" t="s">
        <v>231</v>
      </c>
      <c r="B198" s="294"/>
      <c r="C198" s="10"/>
      <c r="D198" s="29"/>
      <c r="E198" s="315" t="s">
        <v>731</v>
      </c>
      <c r="F198" s="324"/>
      <c r="G198" s="324"/>
      <c r="H198" s="324"/>
      <c r="I198" s="324"/>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c r="AF198" s="928"/>
      <c r="AG198" s="928"/>
      <c r="AH198" s="338" t="s">
        <v>754</v>
      </c>
    </row>
    <row r="199" spans="1:34" s="589" customFormat="1">
      <c r="A199" s="553" t="s">
        <v>232</v>
      </c>
      <c r="B199" s="294"/>
      <c r="C199" s="10"/>
      <c r="D199" s="29"/>
      <c r="E199" s="295" t="s">
        <v>529</v>
      </c>
      <c r="F199" s="634">
        <v>0</v>
      </c>
      <c r="G199" s="1063">
        <v>0</v>
      </c>
      <c r="H199" s="1063">
        <v>0</v>
      </c>
      <c r="I199" s="1063">
        <v>0</v>
      </c>
      <c r="J199" s="634">
        <v>0</v>
      </c>
      <c r="K199" s="1064">
        <f ca="1">OFFSET('MOD-Berechnungen'!K65,0,-MIN('D-Dauer Goldenes Ende'!L6,K$5-$K$5))-'MOD-Berechnungen'!K65</f>
        <v>0</v>
      </c>
      <c r="L199" s="1064">
        <f ca="1">OFFSET('MOD-Berechnungen'!L65,0,-MIN('D-Dauer Goldenes Ende'!M6,L$5-$K$5))-'MOD-Berechnungen'!L65</f>
        <v>0</v>
      </c>
      <c r="M199" s="1064">
        <f ca="1">OFFSET('MOD-Berechnungen'!M65,0,-MIN('D-Dauer Goldenes Ende'!N6,M$5-$K$5))-'MOD-Berechnungen'!M65</f>
        <v>0</v>
      </c>
      <c r="N199" s="1064">
        <f ca="1">OFFSET('MOD-Berechnungen'!N65,0,-MIN('D-Dauer Goldenes Ende'!O6,N$5-$K$5))-'MOD-Berechnungen'!N65</f>
        <v>0</v>
      </c>
      <c r="O199" s="1064">
        <f ca="1">OFFSET('MOD-Berechnungen'!O65,0,-MIN('D-Dauer Goldenes Ende'!P6,O$5-$K$5))-'MOD-Berechnungen'!O65</f>
        <v>0</v>
      </c>
      <c r="P199" s="1064">
        <f ca="1">OFFSET('MOD-Berechnungen'!P65,0,-MIN('D-Dauer Goldenes Ende'!Q6,P$5-$K$5))-'MOD-Berechnungen'!P65</f>
        <v>0</v>
      </c>
      <c r="Q199" s="1064">
        <f ca="1">OFFSET('MOD-Berechnungen'!Q65,0,-MIN('D-Dauer Goldenes Ende'!R6,Q$5-$K$5))-'MOD-Berechnungen'!Q65</f>
        <v>0</v>
      </c>
      <c r="R199" s="1064">
        <f ca="1">OFFSET('MOD-Berechnungen'!R65,0,-MIN('D-Dauer Goldenes Ende'!S6,R$5-$K$5))-'MOD-Berechnungen'!R65</f>
        <v>0</v>
      </c>
      <c r="S199" s="1064">
        <f ca="1">OFFSET('MOD-Berechnungen'!S65,0,-MIN('D-Dauer Goldenes Ende'!T6,S$5-$K$5))-'MOD-Berechnungen'!S65</f>
        <v>0</v>
      </c>
      <c r="T199" s="1064">
        <f ca="1">OFFSET('MOD-Berechnungen'!T65,0,-MIN('D-Dauer Goldenes Ende'!U6,T$5-$K$5))-'MOD-Berechnungen'!T65</f>
        <v>0</v>
      </c>
      <c r="U199" s="1064">
        <f ca="1">OFFSET('MOD-Berechnungen'!U65,0,-MIN('D-Dauer Goldenes Ende'!V6,U$5-$K$5))-'MOD-Berechnungen'!U65</f>
        <v>0</v>
      </c>
      <c r="V199" s="1064">
        <f ca="1">OFFSET('MOD-Berechnungen'!V65,0,-MIN('D-Dauer Goldenes Ende'!W6,V$5-$K$5))-'MOD-Berechnungen'!V65</f>
        <v>0</v>
      </c>
      <c r="W199" s="1064">
        <f ca="1">OFFSET('MOD-Berechnungen'!W65,0,-MIN('D-Dauer Goldenes Ende'!X6,W$5-$K$5))-'MOD-Berechnungen'!W65</f>
        <v>0</v>
      </c>
      <c r="X199" s="1064">
        <f ca="1">OFFSET('MOD-Berechnungen'!X65,0,-MIN('D-Dauer Goldenes Ende'!Y6,X$5-$K$5))-'MOD-Berechnungen'!X65</f>
        <v>0</v>
      </c>
      <c r="Y199" s="1064">
        <f ca="1">OFFSET('MOD-Berechnungen'!Y65,0,-MIN('D-Dauer Goldenes Ende'!Z6,Y$5-$K$5))-'MOD-Berechnungen'!Y65</f>
        <v>0</v>
      </c>
      <c r="Z199" s="1064">
        <f ca="1">OFFSET('MOD-Berechnungen'!Z65,0,-MIN('D-Dauer Goldenes Ende'!AA6,Z$5-$K$5))-'MOD-Berechnungen'!Z65</f>
        <v>0</v>
      </c>
      <c r="AA199" s="1064">
        <f ca="1">OFFSET('MOD-Berechnungen'!AA65,0,-MIN('D-Dauer Goldenes Ende'!AB6,AA$5-$K$5))-'MOD-Berechnungen'!AA65</f>
        <v>0</v>
      </c>
      <c r="AB199" s="1064">
        <f ca="1">OFFSET('MOD-Berechnungen'!AB65,0,-MIN('D-Dauer Goldenes Ende'!AC6,AB$5-$K$5))-'MOD-Berechnungen'!AB65</f>
        <v>0</v>
      </c>
      <c r="AC199" s="1064">
        <f ca="1">OFFSET('MOD-Berechnungen'!AC65,0,-MIN('D-Dauer Goldenes Ende'!AD6,AC$5-$K$5))-'MOD-Berechnungen'!AC65</f>
        <v>0</v>
      </c>
      <c r="AD199" s="1064">
        <f ca="1">OFFSET('MOD-Berechnungen'!AD65,0,-MIN('D-Dauer Goldenes Ende'!AE6,AD$5-$K$5))-'MOD-Berechnungen'!AD65</f>
        <v>0</v>
      </c>
      <c r="AE199" s="583">
        <f ca="1">OFFSET('MOD-Berechnungen'!AE65,0,-MIN('D-Dauer Goldenes Ende'!AF6,AE$5-$K$5))-'MOD-Berechnungen'!AE65</f>
        <v>0</v>
      </c>
      <c r="AF199" s="928"/>
      <c r="AG199" s="928"/>
      <c r="AH199" s="294"/>
    </row>
    <row r="200" spans="1:34" s="589" customFormat="1">
      <c r="A200" s="553" t="s">
        <v>233</v>
      </c>
      <c r="B200" s="294"/>
      <c r="C200" s="10"/>
      <c r="D200" s="29"/>
      <c r="E200" s="297" t="s">
        <v>349</v>
      </c>
      <c r="F200" s="635">
        <v>0</v>
      </c>
      <c r="G200" s="56">
        <v>0</v>
      </c>
      <c r="H200" s="56">
        <v>0</v>
      </c>
      <c r="I200" s="56">
        <v>0</v>
      </c>
      <c r="J200" s="635">
        <v>0</v>
      </c>
      <c r="K200" s="99">
        <f ca="1">OFFSET('MOD-Berechnungen'!K66,0,-MIN('D-Dauer Goldenes Ende'!L7,K$5-$K$5))-'MOD-Berechnungen'!K66</f>
        <v>0</v>
      </c>
      <c r="L200" s="99">
        <f ca="1">OFFSET('MOD-Berechnungen'!L66,0,-MIN('D-Dauer Goldenes Ende'!M7,L$5-$K$5))-'MOD-Berechnungen'!L66</f>
        <v>0</v>
      </c>
      <c r="M200" s="99">
        <f ca="1">OFFSET('MOD-Berechnungen'!M66,0,-MIN('D-Dauer Goldenes Ende'!N7,M$5-$K$5))-'MOD-Berechnungen'!M66</f>
        <v>0</v>
      </c>
      <c r="N200" s="99">
        <f ca="1">OFFSET('MOD-Berechnungen'!N66,0,-MIN('D-Dauer Goldenes Ende'!O7,N$5-$K$5))-'MOD-Berechnungen'!N66</f>
        <v>0</v>
      </c>
      <c r="O200" s="99">
        <f ca="1">OFFSET('MOD-Berechnungen'!O66,0,-MIN('D-Dauer Goldenes Ende'!P7,O$5-$K$5))-'MOD-Berechnungen'!O66</f>
        <v>0</v>
      </c>
      <c r="P200" s="99">
        <f ca="1">OFFSET('MOD-Berechnungen'!P66,0,-MIN('D-Dauer Goldenes Ende'!Q7,P$5-$K$5))-'MOD-Berechnungen'!P66</f>
        <v>0</v>
      </c>
      <c r="Q200" s="99">
        <f ca="1">OFFSET('MOD-Berechnungen'!Q66,0,-MIN('D-Dauer Goldenes Ende'!R7,Q$5-$K$5))-'MOD-Berechnungen'!Q66</f>
        <v>0</v>
      </c>
      <c r="R200" s="99">
        <f ca="1">OFFSET('MOD-Berechnungen'!R66,0,-MIN('D-Dauer Goldenes Ende'!S7,R$5-$K$5))-'MOD-Berechnungen'!R66</f>
        <v>0</v>
      </c>
      <c r="S200" s="99">
        <f ca="1">OFFSET('MOD-Berechnungen'!S66,0,-MIN('D-Dauer Goldenes Ende'!T7,S$5-$K$5))-'MOD-Berechnungen'!S66</f>
        <v>0</v>
      </c>
      <c r="T200" s="99">
        <f ca="1">OFFSET('MOD-Berechnungen'!T66,0,-MIN('D-Dauer Goldenes Ende'!U7,T$5-$K$5))-'MOD-Berechnungen'!T66</f>
        <v>0</v>
      </c>
      <c r="U200" s="99">
        <f ca="1">OFFSET('MOD-Berechnungen'!U66,0,-MIN('D-Dauer Goldenes Ende'!V7,U$5-$K$5))-'MOD-Berechnungen'!U66</f>
        <v>0</v>
      </c>
      <c r="V200" s="99">
        <f ca="1">OFFSET('MOD-Berechnungen'!V66,0,-MIN('D-Dauer Goldenes Ende'!W7,V$5-$K$5))-'MOD-Berechnungen'!V66</f>
        <v>0</v>
      </c>
      <c r="W200" s="99">
        <f ca="1">OFFSET('MOD-Berechnungen'!W66,0,-MIN('D-Dauer Goldenes Ende'!X7,W$5-$K$5))-'MOD-Berechnungen'!W66</f>
        <v>0</v>
      </c>
      <c r="X200" s="99">
        <f ca="1">OFFSET('MOD-Berechnungen'!X66,0,-MIN('D-Dauer Goldenes Ende'!Y7,X$5-$K$5))-'MOD-Berechnungen'!X66</f>
        <v>0</v>
      </c>
      <c r="Y200" s="99">
        <f ca="1">OFFSET('MOD-Berechnungen'!Y66,0,-MIN('D-Dauer Goldenes Ende'!Z7,Y$5-$K$5))-'MOD-Berechnungen'!Y66</f>
        <v>0</v>
      </c>
      <c r="Z200" s="99">
        <f ca="1">OFFSET('MOD-Berechnungen'!Z66,0,-MIN('D-Dauer Goldenes Ende'!AA7,Z$5-$K$5))-'MOD-Berechnungen'!Z66</f>
        <v>0</v>
      </c>
      <c r="AA200" s="99">
        <f ca="1">OFFSET('MOD-Berechnungen'!AA66,0,-MIN('D-Dauer Goldenes Ende'!AB7,AA$5-$K$5))-'MOD-Berechnungen'!AA66</f>
        <v>0</v>
      </c>
      <c r="AB200" s="99">
        <f ca="1">OFFSET('MOD-Berechnungen'!AB66,0,-MIN('D-Dauer Goldenes Ende'!AC7,AB$5-$K$5))-'MOD-Berechnungen'!AB66</f>
        <v>0</v>
      </c>
      <c r="AC200" s="99">
        <f ca="1">OFFSET('MOD-Berechnungen'!AC66,0,-MIN('D-Dauer Goldenes Ende'!AD7,AC$5-$K$5))-'MOD-Berechnungen'!AC66</f>
        <v>0</v>
      </c>
      <c r="AD200" s="99">
        <f ca="1">OFFSET('MOD-Berechnungen'!AD66,0,-MIN('D-Dauer Goldenes Ende'!AE7,AD$5-$K$5))-'MOD-Berechnungen'!AD66</f>
        <v>0</v>
      </c>
      <c r="AE200" s="584">
        <f ca="1">OFFSET('MOD-Berechnungen'!AE66,0,-MIN('D-Dauer Goldenes Ende'!AF7,AE$5-$K$5))-'MOD-Berechnungen'!AE66</f>
        <v>0</v>
      </c>
      <c r="AF200" s="928"/>
      <c r="AG200" s="928"/>
      <c r="AH200" s="294"/>
    </row>
    <row r="201" spans="1:34" s="589" customFormat="1">
      <c r="A201" s="553" t="s">
        <v>234</v>
      </c>
      <c r="B201" s="294"/>
      <c r="C201" s="10"/>
      <c r="D201" s="29"/>
      <c r="E201" s="297" t="s">
        <v>11</v>
      </c>
      <c r="F201" s="635">
        <v>0</v>
      </c>
      <c r="G201" s="56">
        <v>0</v>
      </c>
      <c r="H201" s="56">
        <v>0</v>
      </c>
      <c r="I201" s="56">
        <v>0</v>
      </c>
      <c r="J201" s="635">
        <v>0</v>
      </c>
      <c r="K201" s="99">
        <f ca="1">OFFSET('MOD-Berechnungen'!K67,0,-MIN('D-Dauer Goldenes Ende'!L8,K$5-$K$5))-'MOD-Berechnungen'!K67</f>
        <v>0</v>
      </c>
      <c r="L201" s="99">
        <f ca="1">OFFSET('MOD-Berechnungen'!L67,0,-MIN('D-Dauer Goldenes Ende'!M8,L$5-$K$5))-'MOD-Berechnungen'!L67</f>
        <v>0</v>
      </c>
      <c r="M201" s="99">
        <f ca="1">OFFSET('MOD-Berechnungen'!M67,0,-MIN('D-Dauer Goldenes Ende'!N8,M$5-$K$5))-'MOD-Berechnungen'!M67</f>
        <v>0</v>
      </c>
      <c r="N201" s="99">
        <f ca="1">OFFSET('MOD-Berechnungen'!N67,0,-MIN('D-Dauer Goldenes Ende'!O8,N$5-$K$5))-'MOD-Berechnungen'!N67</f>
        <v>0</v>
      </c>
      <c r="O201" s="99">
        <f ca="1">OFFSET('MOD-Berechnungen'!O67,0,-MIN('D-Dauer Goldenes Ende'!P8,O$5-$K$5))-'MOD-Berechnungen'!O67</f>
        <v>0</v>
      </c>
      <c r="P201" s="99">
        <f ca="1">OFFSET('MOD-Berechnungen'!P67,0,-MIN('D-Dauer Goldenes Ende'!Q8,P$5-$K$5))-'MOD-Berechnungen'!P67</f>
        <v>0</v>
      </c>
      <c r="Q201" s="99">
        <f ca="1">OFFSET('MOD-Berechnungen'!Q67,0,-MIN('D-Dauer Goldenes Ende'!R8,Q$5-$K$5))-'MOD-Berechnungen'!Q67</f>
        <v>0</v>
      </c>
      <c r="R201" s="99">
        <f ca="1">OFFSET('MOD-Berechnungen'!R67,0,-MIN('D-Dauer Goldenes Ende'!S8,R$5-$K$5))-'MOD-Berechnungen'!R67</f>
        <v>0</v>
      </c>
      <c r="S201" s="99">
        <f ca="1">OFFSET('MOD-Berechnungen'!S67,0,-MIN('D-Dauer Goldenes Ende'!T8,S$5-$K$5))-'MOD-Berechnungen'!S67</f>
        <v>0</v>
      </c>
      <c r="T201" s="99">
        <f ca="1">OFFSET('MOD-Berechnungen'!T67,0,-MIN('D-Dauer Goldenes Ende'!U8,T$5-$K$5))-'MOD-Berechnungen'!T67</f>
        <v>0</v>
      </c>
      <c r="U201" s="99">
        <f ca="1">OFFSET('MOD-Berechnungen'!U67,0,-MIN('D-Dauer Goldenes Ende'!V8,U$5-$K$5))-'MOD-Berechnungen'!U67</f>
        <v>0</v>
      </c>
      <c r="V201" s="99">
        <f ca="1">OFFSET('MOD-Berechnungen'!V67,0,-MIN('D-Dauer Goldenes Ende'!W8,V$5-$K$5))-'MOD-Berechnungen'!V67</f>
        <v>0</v>
      </c>
      <c r="W201" s="99">
        <f ca="1">OFFSET('MOD-Berechnungen'!W67,0,-MIN('D-Dauer Goldenes Ende'!X8,W$5-$K$5))-'MOD-Berechnungen'!W67</f>
        <v>0</v>
      </c>
      <c r="X201" s="99">
        <f ca="1">OFFSET('MOD-Berechnungen'!X67,0,-MIN('D-Dauer Goldenes Ende'!Y8,X$5-$K$5))-'MOD-Berechnungen'!X67</f>
        <v>0</v>
      </c>
      <c r="Y201" s="99">
        <f ca="1">OFFSET('MOD-Berechnungen'!Y67,0,-MIN('D-Dauer Goldenes Ende'!Z8,Y$5-$K$5))-'MOD-Berechnungen'!Y67</f>
        <v>0</v>
      </c>
      <c r="Z201" s="99">
        <f ca="1">OFFSET('MOD-Berechnungen'!Z67,0,-MIN('D-Dauer Goldenes Ende'!AA8,Z$5-$K$5))-'MOD-Berechnungen'!Z67</f>
        <v>0</v>
      </c>
      <c r="AA201" s="99">
        <f ca="1">OFFSET('MOD-Berechnungen'!AA67,0,-MIN('D-Dauer Goldenes Ende'!AB8,AA$5-$K$5))-'MOD-Berechnungen'!AA67</f>
        <v>0</v>
      </c>
      <c r="AB201" s="99">
        <f ca="1">OFFSET('MOD-Berechnungen'!AB67,0,-MIN('D-Dauer Goldenes Ende'!AC8,AB$5-$K$5))-'MOD-Berechnungen'!AB67</f>
        <v>0</v>
      </c>
      <c r="AC201" s="99">
        <f ca="1">OFFSET('MOD-Berechnungen'!AC67,0,-MIN('D-Dauer Goldenes Ende'!AD8,AC$5-$K$5))-'MOD-Berechnungen'!AC67</f>
        <v>0</v>
      </c>
      <c r="AD201" s="99">
        <f ca="1">OFFSET('MOD-Berechnungen'!AD67,0,-MIN('D-Dauer Goldenes Ende'!AE8,AD$5-$K$5))-'MOD-Berechnungen'!AD67</f>
        <v>0</v>
      </c>
      <c r="AE201" s="584">
        <f ca="1">OFFSET('MOD-Berechnungen'!AE67,0,-MIN('D-Dauer Goldenes Ende'!AF8,AE$5-$K$5))-'MOD-Berechnungen'!AE67</f>
        <v>0</v>
      </c>
      <c r="AF201" s="928"/>
      <c r="AG201" s="928"/>
      <c r="AH201" s="294"/>
    </row>
    <row r="202" spans="1:34" s="589" customFormat="1">
      <c r="A202" s="553" t="s">
        <v>235</v>
      </c>
      <c r="B202" s="294"/>
      <c r="C202" s="10"/>
      <c r="D202" s="29"/>
      <c r="E202" s="297" t="s">
        <v>10</v>
      </c>
      <c r="F202" s="635">
        <v>0</v>
      </c>
      <c r="G202" s="56">
        <v>0</v>
      </c>
      <c r="H202" s="56">
        <v>0</v>
      </c>
      <c r="I202" s="56">
        <v>0</v>
      </c>
      <c r="J202" s="635">
        <v>0</v>
      </c>
      <c r="K202" s="99">
        <f ca="1">OFFSET('MOD-Berechnungen'!K68,0,-MIN('D-Dauer Goldenes Ende'!L9,K$5-$K$5))-'MOD-Berechnungen'!K68</f>
        <v>0</v>
      </c>
      <c r="L202" s="99">
        <f ca="1">OFFSET('MOD-Berechnungen'!L68,0,-MIN('D-Dauer Goldenes Ende'!M9,L$5-$K$5))-'MOD-Berechnungen'!L68</f>
        <v>0</v>
      </c>
      <c r="M202" s="99">
        <f ca="1">OFFSET('MOD-Berechnungen'!M68,0,-MIN('D-Dauer Goldenes Ende'!N9,M$5-$K$5))-'MOD-Berechnungen'!M68</f>
        <v>0</v>
      </c>
      <c r="N202" s="99">
        <f ca="1">OFFSET('MOD-Berechnungen'!N68,0,-MIN('D-Dauer Goldenes Ende'!O9,N$5-$K$5))-'MOD-Berechnungen'!N68</f>
        <v>0</v>
      </c>
      <c r="O202" s="99">
        <f ca="1">OFFSET('MOD-Berechnungen'!O68,0,-MIN('D-Dauer Goldenes Ende'!P9,O$5-$K$5))-'MOD-Berechnungen'!O68</f>
        <v>0</v>
      </c>
      <c r="P202" s="99">
        <f ca="1">OFFSET('MOD-Berechnungen'!P68,0,-MIN('D-Dauer Goldenes Ende'!Q9,P$5-$K$5))-'MOD-Berechnungen'!P68</f>
        <v>0</v>
      </c>
      <c r="Q202" s="99">
        <f ca="1">OFFSET('MOD-Berechnungen'!Q68,0,-MIN('D-Dauer Goldenes Ende'!R9,Q$5-$K$5))-'MOD-Berechnungen'!Q68</f>
        <v>0</v>
      </c>
      <c r="R202" s="99">
        <f ca="1">OFFSET('MOD-Berechnungen'!R68,0,-MIN('D-Dauer Goldenes Ende'!S9,R$5-$K$5))-'MOD-Berechnungen'!R68</f>
        <v>0</v>
      </c>
      <c r="S202" s="99">
        <f ca="1">OFFSET('MOD-Berechnungen'!S68,0,-MIN('D-Dauer Goldenes Ende'!T9,S$5-$K$5))-'MOD-Berechnungen'!S68</f>
        <v>0</v>
      </c>
      <c r="T202" s="99">
        <f ca="1">OFFSET('MOD-Berechnungen'!T68,0,-MIN('D-Dauer Goldenes Ende'!U9,T$5-$K$5))-'MOD-Berechnungen'!T68</f>
        <v>0</v>
      </c>
      <c r="U202" s="99">
        <f ca="1">OFFSET('MOD-Berechnungen'!U68,0,-MIN('D-Dauer Goldenes Ende'!V9,U$5-$K$5))-'MOD-Berechnungen'!U68</f>
        <v>0</v>
      </c>
      <c r="V202" s="99">
        <f ca="1">OFFSET('MOD-Berechnungen'!V68,0,-MIN('D-Dauer Goldenes Ende'!W9,V$5-$K$5))-'MOD-Berechnungen'!V68</f>
        <v>0</v>
      </c>
      <c r="W202" s="99">
        <f ca="1">OFFSET('MOD-Berechnungen'!W68,0,-MIN('D-Dauer Goldenes Ende'!X9,W$5-$K$5))-'MOD-Berechnungen'!W68</f>
        <v>0</v>
      </c>
      <c r="X202" s="99">
        <f ca="1">OFFSET('MOD-Berechnungen'!X68,0,-MIN('D-Dauer Goldenes Ende'!Y9,X$5-$K$5))-'MOD-Berechnungen'!X68</f>
        <v>0</v>
      </c>
      <c r="Y202" s="99">
        <f ca="1">OFFSET('MOD-Berechnungen'!Y68,0,-MIN('D-Dauer Goldenes Ende'!Z9,Y$5-$K$5))-'MOD-Berechnungen'!Y68</f>
        <v>0</v>
      </c>
      <c r="Z202" s="99">
        <f ca="1">OFFSET('MOD-Berechnungen'!Z68,0,-MIN('D-Dauer Goldenes Ende'!AA9,Z$5-$K$5))-'MOD-Berechnungen'!Z68</f>
        <v>0</v>
      </c>
      <c r="AA202" s="99">
        <f ca="1">OFFSET('MOD-Berechnungen'!AA68,0,-MIN('D-Dauer Goldenes Ende'!AB9,AA$5-$K$5))-'MOD-Berechnungen'!AA68</f>
        <v>0</v>
      </c>
      <c r="AB202" s="99">
        <f ca="1">OFFSET('MOD-Berechnungen'!AB68,0,-MIN('D-Dauer Goldenes Ende'!AC9,AB$5-$K$5))-'MOD-Berechnungen'!AB68</f>
        <v>0</v>
      </c>
      <c r="AC202" s="99">
        <f ca="1">OFFSET('MOD-Berechnungen'!AC68,0,-MIN('D-Dauer Goldenes Ende'!AD9,AC$5-$K$5))-'MOD-Berechnungen'!AC68</f>
        <v>0</v>
      </c>
      <c r="AD202" s="99">
        <f ca="1">OFFSET('MOD-Berechnungen'!AD68,0,-MIN('D-Dauer Goldenes Ende'!AE9,AD$5-$K$5))-'MOD-Berechnungen'!AD68</f>
        <v>0</v>
      </c>
      <c r="AE202" s="584">
        <f ca="1">OFFSET('MOD-Berechnungen'!AE68,0,-MIN('D-Dauer Goldenes Ende'!AF9,AE$5-$K$5))-'MOD-Berechnungen'!AE68</f>
        <v>0</v>
      </c>
      <c r="AF202" s="928"/>
      <c r="AG202" s="928"/>
      <c r="AH202" s="294"/>
    </row>
    <row r="203" spans="1:34" s="589" customFormat="1">
      <c r="A203" s="553" t="s">
        <v>236</v>
      </c>
      <c r="B203" s="294"/>
      <c r="C203" s="10"/>
      <c r="D203" s="29"/>
      <c r="E203" s="297" t="s">
        <v>339</v>
      </c>
      <c r="F203" s="635">
        <v>0</v>
      </c>
      <c r="G203" s="56">
        <v>0</v>
      </c>
      <c r="H203" s="56">
        <v>0</v>
      </c>
      <c r="I203" s="56">
        <v>0</v>
      </c>
      <c r="J203" s="635">
        <v>0</v>
      </c>
      <c r="K203" s="99">
        <f ca="1">OFFSET('MOD-Berechnungen'!K69,0,-MIN('D-Dauer Goldenes Ende'!L10,K$5-$K$5))-'MOD-Berechnungen'!K69</f>
        <v>0</v>
      </c>
      <c r="L203" s="99">
        <f ca="1">OFFSET('MOD-Berechnungen'!L69,0,-MIN('D-Dauer Goldenes Ende'!M10,L$5-$K$5))-'MOD-Berechnungen'!L69</f>
        <v>0.30000000000000426</v>
      </c>
      <c r="M203" s="99">
        <f ca="1">OFFSET('MOD-Berechnungen'!M69,0,-MIN('D-Dauer Goldenes Ende'!N10,M$5-$K$5))-'MOD-Berechnungen'!M69</f>
        <v>0.70000000000000284</v>
      </c>
      <c r="N203" s="99">
        <f ca="1">OFFSET('MOD-Berechnungen'!N69,0,-MIN('D-Dauer Goldenes Ende'!O10,N$5-$K$5))-'MOD-Berechnungen'!N69</f>
        <v>1.2000000000000028</v>
      </c>
      <c r="O203" s="99">
        <f ca="1">OFFSET('MOD-Berechnungen'!O69,0,-MIN('D-Dauer Goldenes Ende'!P10,O$5-$K$5))-'MOD-Berechnungen'!O69</f>
        <v>1.8000000000000043</v>
      </c>
      <c r="P203" s="99">
        <f ca="1">OFFSET('MOD-Berechnungen'!P69,0,-MIN('D-Dauer Goldenes Ende'!Q10,P$5-$K$5))-'MOD-Berechnungen'!P69</f>
        <v>2.5</v>
      </c>
      <c r="Q203" s="99">
        <f ca="1">OFFSET('MOD-Berechnungen'!Q69,0,-MIN('D-Dauer Goldenes Ende'!R10,Q$5-$K$5))-'MOD-Berechnungen'!Q69</f>
        <v>4.005793109999999</v>
      </c>
      <c r="R203" s="99">
        <f ca="1">OFFSET('MOD-Berechnungen'!R69,0,-MIN('D-Dauer Goldenes Ende'!S10,R$5-$K$5))-'MOD-Berechnungen'!R69</f>
        <v>6.1994669099999982</v>
      </c>
      <c r="S203" s="99">
        <f ca="1">OFFSET('MOD-Berechnungen'!S69,0,-MIN('D-Dauer Goldenes Ende'!T10,S$5-$K$5))-'MOD-Berechnungen'!S69</f>
        <v>8.7496699999999983</v>
      </c>
      <c r="T203" s="99">
        <f ca="1">OFFSET('MOD-Berechnungen'!T69,0,-MIN('D-Dauer Goldenes Ende'!U10,T$5-$K$5))-'MOD-Berechnungen'!T69</f>
        <v>10.867537999999996</v>
      </c>
      <c r="U203" s="99">
        <f ca="1">OFFSET('MOD-Berechnungen'!U69,0,-MIN('D-Dauer Goldenes Ende'!V10,U$5-$K$5))-'MOD-Berechnungen'!U69</f>
        <v>12.221309000000002</v>
      </c>
      <c r="V203" s="99">
        <f ca="1">OFFSET('MOD-Berechnungen'!V69,0,-MIN('D-Dauer Goldenes Ende'!W10,V$5-$K$5))-'MOD-Berechnungen'!V69</f>
        <v>12.229559389999999</v>
      </c>
      <c r="W203" s="99">
        <f ca="1">OFFSET('MOD-Berechnungen'!W69,0,-MIN('D-Dauer Goldenes Ende'!X10,W$5-$K$5))-'MOD-Berechnungen'!W69</f>
        <v>11.865723589999998</v>
      </c>
      <c r="X203" s="99">
        <f ca="1">OFFSET('MOD-Berechnungen'!X69,0,-MIN('D-Dauer Goldenes Ende'!Y10,X$5-$K$5))-'MOD-Berechnungen'!X69</f>
        <v>10.501766700000001</v>
      </c>
      <c r="Y203" s="99">
        <f ca="1">OFFSET('MOD-Berechnungen'!Y69,0,-MIN('D-Dauer Goldenes Ende'!Z10,Y$5-$K$5))-'MOD-Berechnungen'!Y69</f>
        <v>8.5557627000000025</v>
      </c>
      <c r="Z203" s="99">
        <f ca="1">OFFSET('MOD-Berechnungen'!Z69,0,-MIN('D-Dauer Goldenes Ende'!AA10,Z$5-$K$5))-'MOD-Berechnungen'!Z69</f>
        <v>9.2013316200000013</v>
      </c>
      <c r="AA203" s="99">
        <f ca="1">OFFSET('MOD-Berechnungen'!AA69,0,-MIN('D-Dauer Goldenes Ende'!AB10,AA$5-$K$5))-'MOD-Berechnungen'!AA69</f>
        <v>8.8139477700000004</v>
      </c>
      <c r="AB203" s="99">
        <f ca="1">OFFSET('MOD-Berechnungen'!AB69,0,-MIN('D-Dauer Goldenes Ende'!AC10,AB$5-$K$5))-'MOD-Berechnungen'!AB69</f>
        <v>8.4605920300000044</v>
      </c>
      <c r="AC203" s="99">
        <f ca="1">OFFSET('MOD-Berechnungen'!AC69,0,-MIN('D-Dauer Goldenes Ende'!AD10,AC$5-$K$5))-'MOD-Berechnungen'!AC69</f>
        <v>9.1954703600000016</v>
      </c>
      <c r="AD203" s="99">
        <f ca="1">OFFSET('MOD-Berechnungen'!AD69,0,-MIN('D-Dauer Goldenes Ende'!AE10,AD$5-$K$5))-'MOD-Berechnungen'!AD69</f>
        <v>11.456038149999999</v>
      </c>
      <c r="AE203" s="584">
        <f ca="1">OFFSET('MOD-Berechnungen'!AE69,0,-MIN('D-Dauer Goldenes Ende'!AF10,AE$5-$K$5))-'MOD-Berechnungen'!AE69</f>
        <v>13.541928859999999</v>
      </c>
      <c r="AF203" s="928"/>
      <c r="AG203" s="928"/>
      <c r="AH203" s="294"/>
    </row>
    <row r="204" spans="1:34" s="589" customFormat="1">
      <c r="A204" s="553" t="s">
        <v>237</v>
      </c>
      <c r="B204" s="294"/>
      <c r="C204" s="10"/>
      <c r="D204" s="29"/>
      <c r="E204" s="297" t="s">
        <v>340</v>
      </c>
      <c r="F204" s="635">
        <v>0</v>
      </c>
      <c r="G204" s="56">
        <v>0</v>
      </c>
      <c r="H204" s="56">
        <v>0</v>
      </c>
      <c r="I204" s="56">
        <v>0</v>
      </c>
      <c r="J204" s="635">
        <v>0</v>
      </c>
      <c r="K204" s="99">
        <f ca="1">OFFSET('MOD-Berechnungen'!K70,0,-MIN('D-Dauer Goldenes Ende'!L11,K$5-$K$5))-'MOD-Berechnungen'!K70</f>
        <v>0</v>
      </c>
      <c r="L204" s="99">
        <f ca="1">OFFSET('MOD-Berechnungen'!L70,0,-MIN('D-Dauer Goldenes Ende'!M11,L$5-$K$5))-'MOD-Berechnungen'!L70</f>
        <v>0</v>
      </c>
      <c r="M204" s="99">
        <f ca="1">OFFSET('MOD-Berechnungen'!M70,0,-MIN('D-Dauer Goldenes Ende'!N11,M$5-$K$5))-'MOD-Berechnungen'!M70</f>
        <v>0</v>
      </c>
      <c r="N204" s="99">
        <f ca="1">OFFSET('MOD-Berechnungen'!N70,0,-MIN('D-Dauer Goldenes Ende'!O11,N$5-$K$5))-'MOD-Berechnungen'!N70</f>
        <v>0</v>
      </c>
      <c r="O204" s="99">
        <f ca="1">OFFSET('MOD-Berechnungen'!O70,0,-MIN('D-Dauer Goldenes Ende'!P11,O$5-$K$5))-'MOD-Berechnungen'!O70</f>
        <v>0</v>
      </c>
      <c r="P204" s="99">
        <f ca="1">OFFSET('MOD-Berechnungen'!P70,0,-MIN('D-Dauer Goldenes Ende'!Q11,P$5-$K$5))-'MOD-Berechnungen'!P70</f>
        <v>0</v>
      </c>
      <c r="Q204" s="99">
        <f ca="1">OFFSET('MOD-Berechnungen'!Q70,0,-MIN('D-Dauer Goldenes Ende'!R11,Q$5-$K$5))-'MOD-Berechnungen'!Q70</f>
        <v>0</v>
      </c>
      <c r="R204" s="99">
        <f ca="1">OFFSET('MOD-Berechnungen'!R70,0,-MIN('D-Dauer Goldenes Ende'!S11,R$5-$K$5))-'MOD-Berechnungen'!R70</f>
        <v>0</v>
      </c>
      <c r="S204" s="99">
        <f ca="1">OFFSET('MOD-Berechnungen'!S70,0,-MIN('D-Dauer Goldenes Ende'!T11,S$5-$K$5))-'MOD-Berechnungen'!S70</f>
        <v>0</v>
      </c>
      <c r="T204" s="99">
        <f ca="1">OFFSET('MOD-Berechnungen'!T70,0,-MIN('D-Dauer Goldenes Ende'!U11,T$5-$K$5))-'MOD-Berechnungen'!T70</f>
        <v>0</v>
      </c>
      <c r="U204" s="99">
        <f ca="1">OFFSET('MOD-Berechnungen'!U70,0,-MIN('D-Dauer Goldenes Ende'!V11,U$5-$K$5))-'MOD-Berechnungen'!U70</f>
        <v>0</v>
      </c>
      <c r="V204" s="99">
        <f ca="1">OFFSET('MOD-Berechnungen'!V70,0,-MIN('D-Dauer Goldenes Ende'!W11,V$5-$K$5))-'MOD-Berechnungen'!V70</f>
        <v>0</v>
      </c>
      <c r="W204" s="99">
        <f ca="1">OFFSET('MOD-Berechnungen'!W70,0,-MIN('D-Dauer Goldenes Ende'!X11,W$5-$K$5))-'MOD-Berechnungen'!W70</f>
        <v>0</v>
      </c>
      <c r="X204" s="99">
        <f ca="1">OFFSET('MOD-Berechnungen'!X70,0,-MIN('D-Dauer Goldenes Ende'!Y11,X$5-$K$5))-'MOD-Berechnungen'!X70</f>
        <v>0</v>
      </c>
      <c r="Y204" s="99">
        <f ca="1">OFFSET('MOD-Berechnungen'!Y70,0,-MIN('D-Dauer Goldenes Ende'!Z11,Y$5-$K$5))-'MOD-Berechnungen'!Y70</f>
        <v>0</v>
      </c>
      <c r="Z204" s="99">
        <f ca="1">OFFSET('MOD-Berechnungen'!Z70,0,-MIN('D-Dauer Goldenes Ende'!AA11,Z$5-$K$5))-'MOD-Berechnungen'!Z70</f>
        <v>0</v>
      </c>
      <c r="AA204" s="99">
        <f ca="1">OFFSET('MOD-Berechnungen'!AA70,0,-MIN('D-Dauer Goldenes Ende'!AB11,AA$5-$K$5))-'MOD-Berechnungen'!AA70</f>
        <v>0</v>
      </c>
      <c r="AB204" s="99">
        <f ca="1">OFFSET('MOD-Berechnungen'!AB70,0,-MIN('D-Dauer Goldenes Ende'!AC11,AB$5-$K$5))-'MOD-Berechnungen'!AB70</f>
        <v>0</v>
      </c>
      <c r="AC204" s="99">
        <f ca="1">OFFSET('MOD-Berechnungen'!AC70,0,-MIN('D-Dauer Goldenes Ende'!AD11,AC$5-$K$5))-'MOD-Berechnungen'!AC70</f>
        <v>0</v>
      </c>
      <c r="AD204" s="99">
        <f ca="1">OFFSET('MOD-Berechnungen'!AD70,0,-MIN('D-Dauer Goldenes Ende'!AE11,AD$5-$K$5))-'MOD-Berechnungen'!AD70</f>
        <v>0</v>
      </c>
      <c r="AE204" s="584">
        <f ca="1">OFFSET('MOD-Berechnungen'!AE70,0,-MIN('D-Dauer Goldenes Ende'!AF11,AE$5-$K$5))-'MOD-Berechnungen'!AE70</f>
        <v>0</v>
      </c>
      <c r="AF204" s="928"/>
      <c r="AG204" s="928"/>
      <c r="AH204" s="294"/>
    </row>
    <row r="205" spans="1:34" s="589" customFormat="1">
      <c r="A205" s="553" t="s">
        <v>238</v>
      </c>
      <c r="B205" s="294"/>
      <c r="C205" s="10"/>
      <c r="D205" s="29"/>
      <c r="E205" s="298" t="s">
        <v>530</v>
      </c>
      <c r="F205" s="637">
        <v>0</v>
      </c>
      <c r="G205" s="57">
        <v>0</v>
      </c>
      <c r="H205" s="57">
        <v>0</v>
      </c>
      <c r="I205" s="57">
        <v>0</v>
      </c>
      <c r="J205" s="637">
        <v>0</v>
      </c>
      <c r="K205" s="100">
        <f ca="1">OFFSET('MOD-Berechnungen'!K71,0,-MIN('D-Dauer Goldenes Ende'!L12,K$5-$K$5))-'MOD-Berechnungen'!K71</f>
        <v>0</v>
      </c>
      <c r="L205" s="100">
        <f ca="1">OFFSET('MOD-Berechnungen'!L71,0,-MIN('D-Dauer Goldenes Ende'!M12,L$5-$K$5))-'MOD-Berechnungen'!L71</f>
        <v>0</v>
      </c>
      <c r="M205" s="100">
        <f ca="1">OFFSET('MOD-Berechnungen'!M71,0,-MIN('D-Dauer Goldenes Ende'!N12,M$5-$K$5))-'MOD-Berechnungen'!M71</f>
        <v>0</v>
      </c>
      <c r="N205" s="100">
        <f ca="1">OFFSET('MOD-Berechnungen'!N71,0,-MIN('D-Dauer Goldenes Ende'!O12,N$5-$K$5))-'MOD-Berechnungen'!N71</f>
        <v>0</v>
      </c>
      <c r="O205" s="100">
        <f ca="1">OFFSET('MOD-Berechnungen'!O71,0,-MIN('D-Dauer Goldenes Ende'!P12,O$5-$K$5))-'MOD-Berechnungen'!O71</f>
        <v>0</v>
      </c>
      <c r="P205" s="100">
        <f ca="1">OFFSET('MOD-Berechnungen'!P71,0,-MIN('D-Dauer Goldenes Ende'!Q12,P$5-$K$5))-'MOD-Berechnungen'!P71</f>
        <v>0</v>
      </c>
      <c r="Q205" s="100">
        <f ca="1">OFFSET('MOD-Berechnungen'!Q71,0,-MIN('D-Dauer Goldenes Ende'!R12,Q$5-$K$5))-'MOD-Berechnungen'!Q71</f>
        <v>7.3862480000002506E-2</v>
      </c>
      <c r="R205" s="100">
        <f ca="1">OFFSET('MOD-Berechnungen'!R71,0,-MIN('D-Dauer Goldenes Ende'!S12,R$5-$K$5))-'MOD-Berechnungen'!R71</f>
        <v>0.18250117000000188</v>
      </c>
      <c r="S205" s="100">
        <f ca="1">OFFSET('MOD-Berechnungen'!S71,0,-MIN('D-Dauer Goldenes Ende'!T12,S$5-$K$5))-'MOD-Berechnungen'!S71</f>
        <v>0.29272272000000044</v>
      </c>
      <c r="T205" s="100">
        <f ca="1">OFFSET('MOD-Berechnungen'!T71,0,-MIN('D-Dauer Goldenes Ende'!U12,T$5-$K$5))-'MOD-Berechnungen'!T71</f>
        <v>0.43516927000000294</v>
      </c>
      <c r="U205" s="100">
        <f ca="1">OFFSET('MOD-Berechnungen'!U71,0,-MIN('D-Dauer Goldenes Ende'!V12,U$5-$K$5))-'MOD-Berechnungen'!U71</f>
        <v>1.0911985700000031</v>
      </c>
      <c r="V205" s="100">
        <f ca="1">OFFSET('MOD-Berechnungen'!V71,0,-MIN('D-Dauer Goldenes Ende'!W12,V$5-$K$5))-'MOD-Berechnungen'!V71</f>
        <v>1.9419381499999986</v>
      </c>
      <c r="W205" s="100">
        <f ca="1">OFFSET('MOD-Berechnungen'!W71,0,-MIN('D-Dauer Goldenes Ende'!X12,W$5-$K$5))-'MOD-Berechnungen'!W71</f>
        <v>2.6778944100000004</v>
      </c>
      <c r="X205" s="100">
        <f ca="1">OFFSET('MOD-Berechnungen'!X71,0,-MIN('D-Dauer Goldenes Ende'!Y12,X$5-$K$5))-'MOD-Berechnungen'!X71</f>
        <v>3.8214239860000063</v>
      </c>
      <c r="Y205" s="100">
        <f ca="1">OFFSET('MOD-Berechnungen'!Y71,0,-MIN('D-Dauer Goldenes Ende'!Z12,Y$5-$K$5))-'MOD-Berechnungen'!Y71</f>
        <v>5.6585205460000019</v>
      </c>
      <c r="Z205" s="100">
        <f ca="1">OFFSET('MOD-Berechnungen'!Z71,0,-MIN('D-Dauer Goldenes Ende'!AA12,Z$5-$K$5))-'MOD-Berechnungen'!Z71</f>
        <v>9.4409510860000161</v>
      </c>
      <c r="AA205" s="100">
        <f ca="1">OFFSET('MOD-Berechnungen'!AA71,0,-MIN('D-Dauer Goldenes Ende'!AB12,AA$5-$K$5))-'MOD-Berechnungen'!AA71</f>
        <v>16.110225366000051</v>
      </c>
      <c r="AB205" s="100">
        <f ca="1">OFFSET('MOD-Berechnungen'!AB71,0,-MIN('D-Dauer Goldenes Ende'!AC12,AB$5-$K$5))-'MOD-Berechnungen'!AB71</f>
        <v>23.266020476000055</v>
      </c>
      <c r="AC205" s="100">
        <f ca="1">OFFSET('MOD-Berechnungen'!AC71,0,-MIN('D-Dauer Goldenes Ende'!AD12,AC$5-$K$5))-'MOD-Berechnungen'!AC71</f>
        <v>28.854563230000075</v>
      </c>
      <c r="AD205" s="100">
        <f ca="1">OFFSET('MOD-Berechnungen'!AD71,0,-MIN('D-Dauer Goldenes Ende'!AE12,AD$5-$K$5))-'MOD-Berechnungen'!AD71</f>
        <v>30.010640880000061</v>
      </c>
      <c r="AE205" s="585">
        <f ca="1">OFFSET('MOD-Berechnungen'!AE71,0,-MIN('D-Dauer Goldenes Ende'!AF12,AE$5-$K$5))-'MOD-Berechnungen'!AE71</f>
        <v>27.317740330000046</v>
      </c>
      <c r="AF205" s="928"/>
      <c r="AG205" s="928"/>
      <c r="AH205" s="294"/>
    </row>
    <row r="206" spans="1:34" s="589" customFormat="1">
      <c r="A206" s="553" t="s">
        <v>239</v>
      </c>
      <c r="B206" s="294"/>
      <c r="C206" s="10"/>
      <c r="D206" s="29"/>
      <c r="E206" s="36"/>
      <c r="F206" s="588"/>
      <c r="G206" s="588"/>
      <c r="H206" s="588"/>
      <c r="I206" s="588"/>
      <c r="J206" s="588"/>
      <c r="K206" s="588"/>
      <c r="L206" s="324"/>
      <c r="M206" s="324"/>
      <c r="N206" s="324"/>
      <c r="O206" s="324"/>
      <c r="P206" s="324"/>
      <c r="Q206" s="324"/>
      <c r="R206" s="324"/>
      <c r="S206" s="324"/>
      <c r="T206" s="324"/>
      <c r="U206" s="324"/>
      <c r="V206" s="324"/>
      <c r="W206" s="324"/>
      <c r="X206" s="324"/>
      <c r="Y206" s="324"/>
      <c r="Z206" s="324"/>
      <c r="AA206" s="324"/>
      <c r="AB206" s="324"/>
      <c r="AC206" s="324"/>
      <c r="AD206" s="324"/>
      <c r="AE206" s="324"/>
      <c r="AF206" s="928"/>
      <c r="AG206" s="928"/>
      <c r="AH206" s="294"/>
    </row>
    <row r="207" spans="1:34" s="589" customFormat="1" ht="39.6">
      <c r="A207" s="553" t="s">
        <v>240</v>
      </c>
      <c r="B207" s="294"/>
      <c r="C207" s="10"/>
      <c r="D207" s="29"/>
      <c r="E207" s="1065" t="s">
        <v>732</v>
      </c>
      <c r="F207" s="603">
        <f>SUM(F199:F205)+SUM('D-EE-Kapazitäten nicht EEG'!G6:G12)</f>
        <v>4.840091199999998</v>
      </c>
      <c r="G207" s="603">
        <f>SUM(G199:G205)+SUM('D-EE-Kapazitäten nicht EEG'!H6:H12)</f>
        <v>4.840091199999998</v>
      </c>
      <c r="H207" s="603">
        <f>SUM(H199:H205)+SUM('D-EE-Kapazitäten nicht EEG'!I6:I12)</f>
        <v>4.7665611999999973</v>
      </c>
      <c r="I207" s="603">
        <f>SUM(I199:I205)+SUM('D-EE-Kapazitäten nicht EEG'!J6:J12)</f>
        <v>5.2694293699999983</v>
      </c>
      <c r="J207" s="603">
        <f>SUM(J199:J205)+SUM('D-EE-Kapazitäten nicht EEG'!K6:K12)</f>
        <v>5.5089811999999982</v>
      </c>
      <c r="K207" s="603">
        <f ca="1">SUM(K199:K205)+SUM('D-EE-Kapazitäten nicht EEG'!L6:L12)</f>
        <v>5.5479792599999973</v>
      </c>
      <c r="L207" s="603">
        <f ca="1">SUM(L199:L205)+SUM('D-EE-Kapazitäten nicht EEG'!M6:M12)</f>
        <v>5.8479792600000016</v>
      </c>
      <c r="M207" s="603">
        <f ca="1">SUM(M199:M205)+SUM('D-EE-Kapazitäten nicht EEG'!N6:N12)</f>
        <v>6.2479792600000001</v>
      </c>
      <c r="N207" s="603">
        <f ca="1">SUM(N199:N205)+SUM('D-EE-Kapazitäten nicht EEG'!O6:O12)</f>
        <v>6.7479792600000001</v>
      </c>
      <c r="O207" s="603">
        <f ca="1">SUM(O199:O205)+SUM('D-EE-Kapazitäten nicht EEG'!P6:P12)</f>
        <v>7.3479792600000016</v>
      </c>
      <c r="P207" s="603">
        <f ca="1">SUM(P199:P205)+SUM('D-EE-Kapazitäten nicht EEG'!Q6:Q12)</f>
        <v>8.0479792599999982</v>
      </c>
      <c r="Q207" s="603">
        <f ca="1">SUM(Q199:Q205)+SUM('D-EE-Kapazitäten nicht EEG'!R6:R12)</f>
        <v>9.6276348499999997</v>
      </c>
      <c r="R207" s="603">
        <f ca="1">SUM(R199:R205)+SUM('D-EE-Kapazitäten nicht EEG'!S6:S12)</f>
        <v>11.929947339999998</v>
      </c>
      <c r="S207" s="603">
        <f ca="1">SUM(S199:S205)+SUM('D-EE-Kapazitäten nicht EEG'!T6:T12)</f>
        <v>14.590371979999997</v>
      </c>
      <c r="T207" s="603">
        <f ca="1">SUM(T199:T205)+SUM('D-EE-Kapazitäten nicht EEG'!U6:U12)</f>
        <v>16.850686529999997</v>
      </c>
      <c r="U207" s="603">
        <f ca="1">SUM(U199:U205)+SUM('D-EE-Kapazitäten nicht EEG'!V6:V12)</f>
        <v>18.860486830000003</v>
      </c>
      <c r="V207" s="603">
        <f ca="1">SUM(V199:V205)+SUM('D-EE-Kapazitäten nicht EEG'!W6:W12)</f>
        <v>19.719476799999995</v>
      </c>
      <c r="W207" s="603">
        <f ca="1">SUM(W199:W205)+SUM('D-EE-Kapazitäten nicht EEG'!X6:X12)</f>
        <v>20.091597259999997</v>
      </c>
      <c r="X207" s="603">
        <f ca="1">SUM(X199:X205)+SUM('D-EE-Kapazitäten nicht EEG'!Y6:Y12)</f>
        <v>19.871169946000006</v>
      </c>
      <c r="Y207" s="603">
        <f ca="1">SUM(Y199:Y205)+SUM('D-EE-Kapazitäten nicht EEG'!Z6:Z12)</f>
        <v>19.762262506000003</v>
      </c>
      <c r="Z207" s="603">
        <f ca="1">SUM(Z199:Z205)+SUM('D-EE-Kapazitäten nicht EEG'!AA6:AA12)</f>
        <v>24.190261966000016</v>
      </c>
      <c r="AA207" s="603">
        <f ca="1">SUM(AA199:AA205)+SUM('D-EE-Kapazitäten nicht EEG'!AB6:AB12)</f>
        <v>30.472152396000048</v>
      </c>
      <c r="AB207" s="603">
        <f ca="1">SUM(AB199:AB205)+SUM('D-EE-Kapazitäten nicht EEG'!AC6:AC12)</f>
        <v>37.274591766000057</v>
      </c>
      <c r="AC207" s="603">
        <f ca="1">SUM(AC199:AC205)+SUM('D-EE-Kapazitäten nicht EEG'!AD6:AD12)</f>
        <v>43.598012850000075</v>
      </c>
      <c r="AD207" s="603">
        <f ca="1">SUM(AD199:AD205)+SUM('D-EE-Kapazitäten nicht EEG'!AE6:AE12)</f>
        <v>47.014658290000057</v>
      </c>
      <c r="AE207" s="604">
        <f ca="1">SUM(AE199:AE205)+SUM('D-EE-Kapazitäten nicht EEG'!AF6:AF12)</f>
        <v>46.407648450000046</v>
      </c>
      <c r="AF207" s="928"/>
      <c r="AG207" s="928"/>
      <c r="AH207" s="338" t="s">
        <v>755</v>
      </c>
    </row>
    <row r="208" spans="1:34" s="294" customFormat="1">
      <c r="A208" s="553">
        <v>193</v>
      </c>
      <c r="C208" s="10"/>
      <c r="D208" s="29"/>
      <c r="E208" s="36"/>
      <c r="F208" s="324"/>
      <c r="G208" s="324"/>
      <c r="H208" s="324"/>
      <c r="I208" s="324"/>
      <c r="J208" s="324"/>
      <c r="K208" s="324"/>
      <c r="L208" s="324"/>
      <c r="M208" s="324"/>
      <c r="N208" s="324"/>
      <c r="O208" s="324"/>
      <c r="P208" s="324"/>
      <c r="Q208" s="324"/>
      <c r="R208" s="324"/>
      <c r="S208" s="324"/>
      <c r="T208" s="324"/>
      <c r="U208" s="324"/>
      <c r="V208" s="324"/>
      <c r="W208" s="324"/>
      <c r="X208" s="324"/>
      <c r="Y208" s="324"/>
      <c r="Z208" s="324"/>
      <c r="AA208" s="324"/>
      <c r="AB208" s="324"/>
      <c r="AC208" s="324"/>
      <c r="AD208" s="324"/>
      <c r="AE208" s="324"/>
      <c r="AF208" s="928"/>
      <c r="AG208" s="928"/>
    </row>
    <row r="209" spans="1:34" s="294" customFormat="1" ht="52.8">
      <c r="A209" s="553">
        <v>194</v>
      </c>
      <c r="C209" s="10"/>
      <c r="D209" s="29"/>
      <c r="E209" s="315" t="s">
        <v>733</v>
      </c>
      <c r="F209" s="324"/>
      <c r="G209" s="324"/>
      <c r="H209" s="324"/>
      <c r="I209" s="324"/>
      <c r="J209" s="324"/>
      <c r="K209" s="324"/>
      <c r="L209" s="324"/>
      <c r="M209" s="324"/>
      <c r="N209" s="324"/>
      <c r="O209" s="324"/>
      <c r="P209" s="324"/>
      <c r="Q209" s="324"/>
      <c r="R209" s="324"/>
      <c r="S209" s="324"/>
      <c r="T209" s="324"/>
      <c r="U209" s="324"/>
      <c r="V209" s="324"/>
      <c r="W209" s="324"/>
      <c r="X209" s="324"/>
      <c r="Y209" s="324"/>
      <c r="Z209" s="324"/>
      <c r="AA209" s="324"/>
      <c r="AB209" s="324"/>
      <c r="AC209" s="324"/>
      <c r="AD209" s="324"/>
      <c r="AE209" s="324"/>
      <c r="AF209" s="928" t="s">
        <v>177</v>
      </c>
      <c r="AG209" s="928"/>
      <c r="AH209" s="338" t="s">
        <v>756</v>
      </c>
    </row>
    <row r="210" spans="1:34" s="294" customFormat="1">
      <c r="A210" s="553">
        <v>195</v>
      </c>
      <c r="C210" s="10"/>
      <c r="D210" s="29"/>
      <c r="E210" s="295" t="s">
        <v>529</v>
      </c>
      <c r="F210" s="634">
        <v>0</v>
      </c>
      <c r="G210" s="1063">
        <v>0</v>
      </c>
      <c r="H210" s="1063">
        <v>0</v>
      </c>
      <c r="I210" s="1063">
        <v>0</v>
      </c>
      <c r="J210" s="634">
        <v>0</v>
      </c>
      <c r="K210" s="1064">
        <f ca="1">OFFSET('MOD-Berechnungen'!K74,0,-MIN('D-Dauer Goldenes Ende'!L6,K$5-$K$5))-'MOD-Berechnungen'!K74</f>
        <v>0</v>
      </c>
      <c r="L210" s="1064">
        <f ca="1">OFFSET('MOD-Berechnungen'!L74,0,-MIN('D-Dauer Goldenes Ende'!M6,L$5-$K$5))-'MOD-Berechnungen'!L74</f>
        <v>0</v>
      </c>
      <c r="M210" s="1064">
        <f ca="1">OFFSET('MOD-Berechnungen'!M74,0,-MIN('D-Dauer Goldenes Ende'!N6,M$5-$K$5))-'MOD-Berechnungen'!M74</f>
        <v>0</v>
      </c>
      <c r="N210" s="1064">
        <f ca="1">OFFSET('MOD-Berechnungen'!N74,0,-MIN('D-Dauer Goldenes Ende'!O6,N$5-$K$5))-'MOD-Berechnungen'!N74</f>
        <v>0</v>
      </c>
      <c r="O210" s="1064">
        <f ca="1">OFFSET('MOD-Berechnungen'!O74,0,-MIN('D-Dauer Goldenes Ende'!P6,O$5-$K$5))-'MOD-Berechnungen'!O74</f>
        <v>0</v>
      </c>
      <c r="P210" s="1064">
        <f ca="1">OFFSET('MOD-Berechnungen'!P74,0,-MIN('D-Dauer Goldenes Ende'!Q6,P$5-$K$5))-'MOD-Berechnungen'!P74</f>
        <v>0</v>
      </c>
      <c r="Q210" s="1064">
        <f ca="1">OFFSET('MOD-Berechnungen'!Q74,0,-MIN('D-Dauer Goldenes Ende'!R6,Q$5-$K$5))-'MOD-Berechnungen'!Q74</f>
        <v>0</v>
      </c>
      <c r="R210" s="1064">
        <f ca="1">OFFSET('MOD-Berechnungen'!R74,0,-MIN('D-Dauer Goldenes Ende'!S6,R$5-$K$5))-'MOD-Berechnungen'!R74</f>
        <v>0</v>
      </c>
      <c r="S210" s="1064">
        <f ca="1">OFFSET('MOD-Berechnungen'!S74,0,-MIN('D-Dauer Goldenes Ende'!T6,S$5-$K$5))-'MOD-Berechnungen'!S74</f>
        <v>0</v>
      </c>
      <c r="T210" s="1064">
        <f ca="1">OFFSET('MOD-Berechnungen'!T74,0,-MIN('D-Dauer Goldenes Ende'!U6,T$5-$K$5))-'MOD-Berechnungen'!T74</f>
        <v>0</v>
      </c>
      <c r="U210" s="1064">
        <f ca="1">OFFSET('MOD-Berechnungen'!U74,0,-MIN('D-Dauer Goldenes Ende'!V6,U$5-$K$5))-'MOD-Berechnungen'!U74</f>
        <v>0</v>
      </c>
      <c r="V210" s="1064">
        <f ca="1">OFFSET('MOD-Berechnungen'!V74,0,-MIN('D-Dauer Goldenes Ende'!W6,V$5-$K$5))-'MOD-Berechnungen'!V74</f>
        <v>0</v>
      </c>
      <c r="W210" s="1064">
        <f ca="1">OFFSET('MOD-Berechnungen'!W74,0,-MIN('D-Dauer Goldenes Ende'!X6,W$5-$K$5))-'MOD-Berechnungen'!W74</f>
        <v>0</v>
      </c>
      <c r="X210" s="1064">
        <f ca="1">OFFSET('MOD-Berechnungen'!X74,0,-MIN('D-Dauer Goldenes Ende'!Y6,X$5-$K$5))-'MOD-Berechnungen'!X74</f>
        <v>0</v>
      </c>
      <c r="Y210" s="1064">
        <f ca="1">OFFSET('MOD-Berechnungen'!Y74,0,-MIN('D-Dauer Goldenes Ende'!Z6,Y$5-$K$5))-'MOD-Berechnungen'!Y74</f>
        <v>0</v>
      </c>
      <c r="Z210" s="1064">
        <f ca="1">OFFSET('MOD-Berechnungen'!Z74,0,-MIN('D-Dauer Goldenes Ende'!AA6,Z$5-$K$5))-'MOD-Berechnungen'!Z74</f>
        <v>0</v>
      </c>
      <c r="AA210" s="1064">
        <f ca="1">OFFSET('MOD-Berechnungen'!AA74,0,-MIN('D-Dauer Goldenes Ende'!AB6,AA$5-$K$5))-'MOD-Berechnungen'!AA74</f>
        <v>0</v>
      </c>
      <c r="AB210" s="1064">
        <f ca="1">OFFSET('MOD-Berechnungen'!AB74,0,-MIN('D-Dauer Goldenes Ende'!AC6,AB$5-$K$5))-'MOD-Berechnungen'!AB74</f>
        <v>0</v>
      </c>
      <c r="AC210" s="1064">
        <f ca="1">OFFSET('MOD-Berechnungen'!AC74,0,-MIN('D-Dauer Goldenes Ende'!AD6,AC$5-$K$5))-'MOD-Berechnungen'!AC74</f>
        <v>0</v>
      </c>
      <c r="AD210" s="1064">
        <f ca="1">OFFSET('MOD-Berechnungen'!AD74,0,-MIN('D-Dauer Goldenes Ende'!AE6,AD$5-$K$5))-'MOD-Berechnungen'!AD74</f>
        <v>0</v>
      </c>
      <c r="AE210" s="583">
        <f ca="1">OFFSET('MOD-Berechnungen'!AE74,0,-MIN('D-Dauer Goldenes Ende'!AF6,AE$5-$K$5))-'MOD-Berechnungen'!AE74</f>
        <v>0</v>
      </c>
      <c r="AF210" s="928" t="s">
        <v>177</v>
      </c>
      <c r="AG210" s="928" t="s">
        <v>180</v>
      </c>
    </row>
    <row r="211" spans="1:34" s="294" customFormat="1">
      <c r="A211" s="553">
        <v>196</v>
      </c>
      <c r="C211" s="10"/>
      <c r="D211" s="29"/>
      <c r="E211" s="297" t="s">
        <v>349</v>
      </c>
      <c r="F211" s="635">
        <v>0</v>
      </c>
      <c r="G211" s="56">
        <v>0</v>
      </c>
      <c r="H211" s="56">
        <v>0</v>
      </c>
      <c r="I211" s="56">
        <v>0</v>
      </c>
      <c r="J211" s="635">
        <v>0</v>
      </c>
      <c r="K211" s="99">
        <f ca="1">OFFSET('MOD-Berechnungen'!K75,0,-MIN('D-Dauer Goldenes Ende'!L7,K$5-$K$5))-'MOD-Berechnungen'!K75</f>
        <v>0</v>
      </c>
      <c r="L211" s="99">
        <f ca="1">OFFSET('MOD-Berechnungen'!L75,0,-MIN('D-Dauer Goldenes Ende'!M7,L$5-$K$5))-'MOD-Berechnungen'!L75</f>
        <v>0</v>
      </c>
      <c r="M211" s="99">
        <f ca="1">OFFSET('MOD-Berechnungen'!M75,0,-MIN('D-Dauer Goldenes Ende'!N7,M$5-$K$5))-'MOD-Berechnungen'!M75</f>
        <v>0</v>
      </c>
      <c r="N211" s="99">
        <f ca="1">OFFSET('MOD-Berechnungen'!N75,0,-MIN('D-Dauer Goldenes Ende'!O7,N$5-$K$5))-'MOD-Berechnungen'!N75</f>
        <v>0</v>
      </c>
      <c r="O211" s="99">
        <f ca="1">OFFSET('MOD-Berechnungen'!O75,0,-MIN('D-Dauer Goldenes Ende'!P7,O$5-$K$5))-'MOD-Berechnungen'!O75</f>
        <v>0</v>
      </c>
      <c r="P211" s="99">
        <f ca="1">OFFSET('MOD-Berechnungen'!P75,0,-MIN('D-Dauer Goldenes Ende'!Q7,P$5-$K$5))-'MOD-Berechnungen'!P75</f>
        <v>0</v>
      </c>
      <c r="Q211" s="99">
        <f ca="1">OFFSET('MOD-Berechnungen'!Q75,0,-MIN('D-Dauer Goldenes Ende'!R7,Q$5-$K$5))-'MOD-Berechnungen'!Q75</f>
        <v>0</v>
      </c>
      <c r="R211" s="99">
        <f ca="1">OFFSET('MOD-Berechnungen'!R75,0,-MIN('D-Dauer Goldenes Ende'!S7,R$5-$K$5))-'MOD-Berechnungen'!R75</f>
        <v>0</v>
      </c>
      <c r="S211" s="99">
        <f ca="1">OFFSET('MOD-Berechnungen'!S75,0,-MIN('D-Dauer Goldenes Ende'!T7,S$5-$K$5))-'MOD-Berechnungen'!S75</f>
        <v>0</v>
      </c>
      <c r="T211" s="99">
        <f ca="1">OFFSET('MOD-Berechnungen'!T75,0,-MIN('D-Dauer Goldenes Ende'!U7,T$5-$K$5))-'MOD-Berechnungen'!T75</f>
        <v>0</v>
      </c>
      <c r="U211" s="99">
        <f ca="1">OFFSET('MOD-Berechnungen'!U75,0,-MIN('D-Dauer Goldenes Ende'!V7,U$5-$K$5))-'MOD-Berechnungen'!U75</f>
        <v>0</v>
      </c>
      <c r="V211" s="99">
        <f ca="1">OFFSET('MOD-Berechnungen'!V75,0,-MIN('D-Dauer Goldenes Ende'!W7,V$5-$K$5))-'MOD-Berechnungen'!V75</f>
        <v>0</v>
      </c>
      <c r="W211" s="99">
        <f ca="1">OFFSET('MOD-Berechnungen'!W75,0,-MIN('D-Dauer Goldenes Ende'!X7,W$5-$K$5))-'MOD-Berechnungen'!W75</f>
        <v>0</v>
      </c>
      <c r="X211" s="99">
        <f ca="1">OFFSET('MOD-Berechnungen'!X75,0,-MIN('D-Dauer Goldenes Ende'!Y7,X$5-$K$5))-'MOD-Berechnungen'!X75</f>
        <v>0</v>
      </c>
      <c r="Y211" s="99">
        <f ca="1">OFFSET('MOD-Berechnungen'!Y75,0,-MIN('D-Dauer Goldenes Ende'!Z7,Y$5-$K$5))-'MOD-Berechnungen'!Y75</f>
        <v>0</v>
      </c>
      <c r="Z211" s="99">
        <f ca="1">OFFSET('MOD-Berechnungen'!Z75,0,-MIN('D-Dauer Goldenes Ende'!AA7,Z$5-$K$5))-'MOD-Berechnungen'!Z75</f>
        <v>0</v>
      </c>
      <c r="AA211" s="99">
        <f ca="1">OFFSET('MOD-Berechnungen'!AA75,0,-MIN('D-Dauer Goldenes Ende'!AB7,AA$5-$K$5))-'MOD-Berechnungen'!AA75</f>
        <v>0</v>
      </c>
      <c r="AB211" s="99">
        <f ca="1">OFFSET('MOD-Berechnungen'!AB75,0,-MIN('D-Dauer Goldenes Ende'!AC7,AB$5-$K$5))-'MOD-Berechnungen'!AB75</f>
        <v>0</v>
      </c>
      <c r="AC211" s="99">
        <f ca="1">OFFSET('MOD-Berechnungen'!AC75,0,-MIN('D-Dauer Goldenes Ende'!AD7,AC$5-$K$5))-'MOD-Berechnungen'!AC75</f>
        <v>0</v>
      </c>
      <c r="AD211" s="99">
        <f ca="1">OFFSET('MOD-Berechnungen'!AD75,0,-MIN('D-Dauer Goldenes Ende'!AE7,AD$5-$K$5))-'MOD-Berechnungen'!AD75</f>
        <v>0</v>
      </c>
      <c r="AE211" s="584">
        <f ca="1">OFFSET('MOD-Berechnungen'!AE75,0,-MIN('D-Dauer Goldenes Ende'!AF7,AE$5-$K$5))-'MOD-Berechnungen'!AE75</f>
        <v>0</v>
      </c>
      <c r="AF211" s="928" t="s">
        <v>177</v>
      </c>
      <c r="AG211" s="928" t="s">
        <v>180</v>
      </c>
    </row>
    <row r="212" spans="1:34" s="294" customFormat="1">
      <c r="A212" s="553">
        <v>197</v>
      </c>
      <c r="C212" s="10"/>
      <c r="D212" s="29"/>
      <c r="E212" s="297" t="s">
        <v>11</v>
      </c>
      <c r="F212" s="635">
        <v>0</v>
      </c>
      <c r="G212" s="56">
        <v>0</v>
      </c>
      <c r="H212" s="56">
        <v>0</v>
      </c>
      <c r="I212" s="56">
        <v>0</v>
      </c>
      <c r="J212" s="635">
        <v>0</v>
      </c>
      <c r="K212" s="99">
        <f ca="1">OFFSET('MOD-Berechnungen'!K76,0,-MIN('D-Dauer Goldenes Ende'!L8,K$5-$K$5))-'MOD-Berechnungen'!K76</f>
        <v>0</v>
      </c>
      <c r="L212" s="99">
        <f ca="1">OFFSET('MOD-Berechnungen'!L76,0,-MIN('D-Dauer Goldenes Ende'!M8,L$5-$K$5))-'MOD-Berechnungen'!L76</f>
        <v>0</v>
      </c>
      <c r="M212" s="99">
        <f ca="1">OFFSET('MOD-Berechnungen'!M76,0,-MIN('D-Dauer Goldenes Ende'!N8,M$5-$K$5))-'MOD-Berechnungen'!M76</f>
        <v>0</v>
      </c>
      <c r="N212" s="99">
        <f ca="1">OFFSET('MOD-Berechnungen'!N76,0,-MIN('D-Dauer Goldenes Ende'!O8,N$5-$K$5))-'MOD-Berechnungen'!N76</f>
        <v>0</v>
      </c>
      <c r="O212" s="99">
        <f ca="1">OFFSET('MOD-Berechnungen'!O76,0,-MIN('D-Dauer Goldenes Ende'!P8,O$5-$K$5))-'MOD-Berechnungen'!O76</f>
        <v>0</v>
      </c>
      <c r="P212" s="99">
        <f ca="1">OFFSET('MOD-Berechnungen'!P76,0,-MIN('D-Dauer Goldenes Ende'!Q8,P$5-$K$5))-'MOD-Berechnungen'!P76</f>
        <v>0</v>
      </c>
      <c r="Q212" s="99">
        <f ca="1">OFFSET('MOD-Berechnungen'!Q76,0,-MIN('D-Dauer Goldenes Ende'!R8,Q$5-$K$5))-'MOD-Berechnungen'!Q76</f>
        <v>0</v>
      </c>
      <c r="R212" s="99">
        <f ca="1">OFFSET('MOD-Berechnungen'!R76,0,-MIN('D-Dauer Goldenes Ende'!S8,R$5-$K$5))-'MOD-Berechnungen'!R76</f>
        <v>0</v>
      </c>
      <c r="S212" s="99">
        <f ca="1">OFFSET('MOD-Berechnungen'!S76,0,-MIN('D-Dauer Goldenes Ende'!T8,S$5-$K$5))-'MOD-Berechnungen'!S76</f>
        <v>0</v>
      </c>
      <c r="T212" s="99">
        <f ca="1">OFFSET('MOD-Berechnungen'!T76,0,-MIN('D-Dauer Goldenes Ende'!U8,T$5-$K$5))-'MOD-Berechnungen'!T76</f>
        <v>0</v>
      </c>
      <c r="U212" s="99">
        <f ca="1">OFFSET('MOD-Berechnungen'!U76,0,-MIN('D-Dauer Goldenes Ende'!V8,U$5-$K$5))-'MOD-Berechnungen'!U76</f>
        <v>0</v>
      </c>
      <c r="V212" s="99">
        <f ca="1">OFFSET('MOD-Berechnungen'!V76,0,-MIN('D-Dauer Goldenes Ende'!W8,V$5-$K$5))-'MOD-Berechnungen'!V76</f>
        <v>0</v>
      </c>
      <c r="W212" s="99">
        <f ca="1">OFFSET('MOD-Berechnungen'!W76,0,-MIN('D-Dauer Goldenes Ende'!X8,W$5-$K$5))-'MOD-Berechnungen'!W76</f>
        <v>0</v>
      </c>
      <c r="X212" s="99">
        <f ca="1">OFFSET('MOD-Berechnungen'!X76,0,-MIN('D-Dauer Goldenes Ende'!Y8,X$5-$K$5))-'MOD-Berechnungen'!X76</f>
        <v>0</v>
      </c>
      <c r="Y212" s="99">
        <f ca="1">OFFSET('MOD-Berechnungen'!Y76,0,-MIN('D-Dauer Goldenes Ende'!Z8,Y$5-$K$5))-'MOD-Berechnungen'!Y76</f>
        <v>0</v>
      </c>
      <c r="Z212" s="99">
        <f ca="1">OFFSET('MOD-Berechnungen'!Z76,0,-MIN('D-Dauer Goldenes Ende'!AA8,Z$5-$K$5))-'MOD-Berechnungen'!Z76</f>
        <v>0</v>
      </c>
      <c r="AA212" s="99">
        <f ca="1">OFFSET('MOD-Berechnungen'!AA76,0,-MIN('D-Dauer Goldenes Ende'!AB8,AA$5-$K$5))-'MOD-Berechnungen'!AA76</f>
        <v>0</v>
      </c>
      <c r="AB212" s="99">
        <f ca="1">OFFSET('MOD-Berechnungen'!AB76,0,-MIN('D-Dauer Goldenes Ende'!AC8,AB$5-$K$5))-'MOD-Berechnungen'!AB76</f>
        <v>0</v>
      </c>
      <c r="AC212" s="99">
        <f ca="1">OFFSET('MOD-Berechnungen'!AC76,0,-MIN('D-Dauer Goldenes Ende'!AD8,AC$5-$K$5))-'MOD-Berechnungen'!AC76</f>
        <v>0</v>
      </c>
      <c r="AD212" s="99">
        <f ca="1">OFFSET('MOD-Berechnungen'!AD76,0,-MIN('D-Dauer Goldenes Ende'!AE8,AD$5-$K$5))-'MOD-Berechnungen'!AD76</f>
        <v>0</v>
      </c>
      <c r="AE212" s="584">
        <f ca="1">OFFSET('MOD-Berechnungen'!AE76,0,-MIN('D-Dauer Goldenes Ende'!AF8,AE$5-$K$5))-'MOD-Berechnungen'!AE76</f>
        <v>0</v>
      </c>
      <c r="AF212" s="928" t="s">
        <v>177</v>
      </c>
      <c r="AG212" s="928" t="s">
        <v>180</v>
      </c>
    </row>
    <row r="213" spans="1:34" s="294" customFormat="1">
      <c r="A213" s="553">
        <v>198</v>
      </c>
      <c r="C213" s="10"/>
      <c r="D213" s="29"/>
      <c r="E213" s="297" t="s">
        <v>10</v>
      </c>
      <c r="F213" s="635">
        <v>0</v>
      </c>
      <c r="G213" s="56">
        <v>0</v>
      </c>
      <c r="H213" s="56">
        <v>0</v>
      </c>
      <c r="I213" s="56">
        <v>0</v>
      </c>
      <c r="J213" s="635">
        <v>0</v>
      </c>
      <c r="K213" s="99">
        <f ca="1">OFFSET('MOD-Berechnungen'!K77,0,-MIN('D-Dauer Goldenes Ende'!L9,K$5-$K$5))-'MOD-Berechnungen'!K77</f>
        <v>0</v>
      </c>
      <c r="L213" s="99">
        <f ca="1">OFFSET('MOD-Berechnungen'!L77,0,-MIN('D-Dauer Goldenes Ende'!M9,L$5-$K$5))-'MOD-Berechnungen'!L77</f>
        <v>0</v>
      </c>
      <c r="M213" s="99">
        <f ca="1">OFFSET('MOD-Berechnungen'!M77,0,-MIN('D-Dauer Goldenes Ende'!N9,M$5-$K$5))-'MOD-Berechnungen'!M77</f>
        <v>0</v>
      </c>
      <c r="N213" s="99">
        <f ca="1">OFFSET('MOD-Berechnungen'!N77,0,-MIN('D-Dauer Goldenes Ende'!O9,N$5-$K$5))-'MOD-Berechnungen'!N77</f>
        <v>0</v>
      </c>
      <c r="O213" s="99">
        <f ca="1">OFFSET('MOD-Berechnungen'!O77,0,-MIN('D-Dauer Goldenes Ende'!P9,O$5-$K$5))-'MOD-Berechnungen'!O77</f>
        <v>0</v>
      </c>
      <c r="P213" s="99">
        <f ca="1">OFFSET('MOD-Berechnungen'!P77,0,-MIN('D-Dauer Goldenes Ende'!Q9,P$5-$K$5))-'MOD-Berechnungen'!P77</f>
        <v>0</v>
      </c>
      <c r="Q213" s="99">
        <f ca="1">OFFSET('MOD-Berechnungen'!Q77,0,-MIN('D-Dauer Goldenes Ende'!R9,Q$5-$K$5))-'MOD-Berechnungen'!Q77</f>
        <v>0</v>
      </c>
      <c r="R213" s="99">
        <f ca="1">OFFSET('MOD-Berechnungen'!R77,0,-MIN('D-Dauer Goldenes Ende'!S9,R$5-$K$5))-'MOD-Berechnungen'!R77</f>
        <v>0</v>
      </c>
      <c r="S213" s="99">
        <f ca="1">OFFSET('MOD-Berechnungen'!S77,0,-MIN('D-Dauer Goldenes Ende'!T9,S$5-$K$5))-'MOD-Berechnungen'!S77</f>
        <v>0</v>
      </c>
      <c r="T213" s="99">
        <f ca="1">OFFSET('MOD-Berechnungen'!T77,0,-MIN('D-Dauer Goldenes Ende'!U9,T$5-$K$5))-'MOD-Berechnungen'!T77</f>
        <v>0</v>
      </c>
      <c r="U213" s="99">
        <f ca="1">OFFSET('MOD-Berechnungen'!U77,0,-MIN('D-Dauer Goldenes Ende'!V9,U$5-$K$5))-'MOD-Berechnungen'!U77</f>
        <v>0</v>
      </c>
      <c r="V213" s="99">
        <f ca="1">OFFSET('MOD-Berechnungen'!V77,0,-MIN('D-Dauer Goldenes Ende'!W9,V$5-$K$5))-'MOD-Berechnungen'!V77</f>
        <v>0</v>
      </c>
      <c r="W213" s="99">
        <f ca="1">OFFSET('MOD-Berechnungen'!W77,0,-MIN('D-Dauer Goldenes Ende'!X9,W$5-$K$5))-'MOD-Berechnungen'!W77</f>
        <v>0</v>
      </c>
      <c r="X213" s="99">
        <f ca="1">OFFSET('MOD-Berechnungen'!X77,0,-MIN('D-Dauer Goldenes Ende'!Y9,X$5-$K$5))-'MOD-Berechnungen'!X77</f>
        <v>0</v>
      </c>
      <c r="Y213" s="99">
        <f ca="1">OFFSET('MOD-Berechnungen'!Y77,0,-MIN('D-Dauer Goldenes Ende'!Z9,Y$5-$K$5))-'MOD-Berechnungen'!Y77</f>
        <v>0</v>
      </c>
      <c r="Z213" s="99">
        <f ca="1">OFFSET('MOD-Berechnungen'!Z77,0,-MIN('D-Dauer Goldenes Ende'!AA9,Z$5-$K$5))-'MOD-Berechnungen'!Z77</f>
        <v>0</v>
      </c>
      <c r="AA213" s="99">
        <f ca="1">OFFSET('MOD-Berechnungen'!AA77,0,-MIN('D-Dauer Goldenes Ende'!AB9,AA$5-$K$5))-'MOD-Berechnungen'!AA77</f>
        <v>0</v>
      </c>
      <c r="AB213" s="99">
        <f ca="1">OFFSET('MOD-Berechnungen'!AB77,0,-MIN('D-Dauer Goldenes Ende'!AC9,AB$5-$K$5))-'MOD-Berechnungen'!AB77</f>
        <v>0</v>
      </c>
      <c r="AC213" s="99">
        <f ca="1">OFFSET('MOD-Berechnungen'!AC77,0,-MIN('D-Dauer Goldenes Ende'!AD9,AC$5-$K$5))-'MOD-Berechnungen'!AC77</f>
        <v>0</v>
      </c>
      <c r="AD213" s="99">
        <f ca="1">OFFSET('MOD-Berechnungen'!AD77,0,-MIN('D-Dauer Goldenes Ende'!AE9,AD$5-$K$5))-'MOD-Berechnungen'!AD77</f>
        <v>0</v>
      </c>
      <c r="AE213" s="584">
        <f ca="1">OFFSET('MOD-Berechnungen'!AE77,0,-MIN('D-Dauer Goldenes Ende'!AF9,AE$5-$K$5))-'MOD-Berechnungen'!AE77</f>
        <v>0</v>
      </c>
      <c r="AF213" s="928" t="s">
        <v>177</v>
      </c>
      <c r="AG213" s="928" t="s">
        <v>180</v>
      </c>
    </row>
    <row r="214" spans="1:34" s="294" customFormat="1">
      <c r="A214" s="553">
        <v>199</v>
      </c>
      <c r="C214" s="10"/>
      <c r="D214" s="29"/>
      <c r="E214" s="297" t="s">
        <v>339</v>
      </c>
      <c r="F214" s="635">
        <v>0</v>
      </c>
      <c r="G214" s="56">
        <v>0</v>
      </c>
      <c r="H214" s="56">
        <v>0</v>
      </c>
      <c r="I214" s="56">
        <v>0</v>
      </c>
      <c r="J214" s="635">
        <v>0</v>
      </c>
      <c r="K214" s="99">
        <f ca="1">OFFSET('MOD-Berechnungen'!K78,0,-MIN('D-Dauer Goldenes Ende'!L10,K$5-$K$5))-'MOD-Berechnungen'!K78</f>
        <v>0</v>
      </c>
      <c r="L214" s="99">
        <f ca="1">OFFSET('MOD-Berechnungen'!L78,0,-MIN('D-Dauer Goldenes Ende'!M10,L$5-$K$5))-'MOD-Berechnungen'!L78</f>
        <v>0.39128179336409374</v>
      </c>
      <c r="M214" s="99">
        <f ca="1">OFFSET('MOD-Berechnungen'!M78,0,-MIN('D-Dauer Goldenes Ende'!N10,M$5-$K$5))-'MOD-Berechnungen'!M78</f>
        <v>0.91299085118289725</v>
      </c>
      <c r="N214" s="99">
        <f ca="1">OFFSET('MOD-Berechnungen'!N78,0,-MIN('D-Dauer Goldenes Ende'!O10,N$5-$K$5))-'MOD-Berechnungen'!N78</f>
        <v>1.5651271734563892</v>
      </c>
      <c r="O214" s="99">
        <f ca="1">OFFSET('MOD-Berechnungen'!O78,0,-MIN('D-Dauer Goldenes Ende'!P10,O$5-$K$5))-'MOD-Berechnungen'!O78</f>
        <v>2.3476907601845838</v>
      </c>
      <c r="P214" s="99">
        <f ca="1">OFFSET('MOD-Berechnungen'!P78,0,-MIN('D-Dauer Goldenes Ende'!Q10,P$5-$K$5))-'MOD-Berechnungen'!P78</f>
        <v>3.2606816113674739</v>
      </c>
      <c r="Q214" s="99">
        <f ca="1">OFFSET('MOD-Berechnungen'!Q78,0,-MIN('D-Dauer Goldenes Ende'!R10,Q$5-$K$5))-'MOD-Berechnungen'!Q78</f>
        <v>5.2246463730878077</v>
      </c>
      <c r="R214" s="99">
        <f ca="1">OFFSET('MOD-Berechnungen'!R78,0,-MIN('D-Dauer Goldenes Ende'!S10,R$5-$K$5))-'MOD-Berechnungen'!R78</f>
        <v>8.3152731135299689</v>
      </c>
      <c r="S214" s="99">
        <f ca="1">OFFSET('MOD-Berechnungen'!S78,0,-MIN('D-Dauer Goldenes Ende'!T10,S$5-$K$5))-'MOD-Berechnungen'!S78</f>
        <v>11.951853276513475</v>
      </c>
      <c r="T214" s="99">
        <f ca="1">OFFSET('MOD-Berechnungen'!T78,0,-MIN('D-Dauer Goldenes Ende'!U10,T$5-$K$5))-'MOD-Berechnungen'!T78</f>
        <v>15.200574566106248</v>
      </c>
      <c r="U214" s="99">
        <f ca="1">OFFSET('MOD-Berechnungen'!U78,0,-MIN('D-Dauer Goldenes Ende'!V10,U$5-$K$5))-'MOD-Berechnungen'!U78</f>
        <v>17.546143272525526</v>
      </c>
      <c r="V214" s="99">
        <f ca="1">OFFSET('MOD-Berechnungen'!V78,0,-MIN('D-Dauer Goldenes Ende'!W10,V$5-$K$5))-'MOD-Berechnungen'!V78</f>
        <v>17.996396285048242</v>
      </c>
      <c r="W214" s="99">
        <f ca="1">OFFSET('MOD-Berechnungen'!W78,0,-MIN('D-Dauer Goldenes Ende'!X10,W$5-$K$5))-'MOD-Berechnungen'!W78</f>
        <v>18.008168871073011</v>
      </c>
      <c r="X214" s="99">
        <f ca="1">OFFSET('MOD-Berechnungen'!X78,0,-MIN('D-Dauer Goldenes Ende'!Y10,X$5-$K$5))-'MOD-Berechnungen'!X78</f>
        <v>16.53210292187854</v>
      </c>
      <c r="Y214" s="99">
        <f ca="1">OFFSET('MOD-Berechnungen'!Y78,0,-MIN('D-Dauer Goldenes Ende'!Z10,Y$5-$K$5))-'MOD-Berechnungen'!Y78</f>
        <v>13.76284158038121</v>
      </c>
      <c r="Z214" s="99">
        <f ca="1">OFFSET('MOD-Berechnungen'!Z78,0,-MIN('D-Dauer Goldenes Ende'!AA10,Z$5-$K$5))-'MOD-Berechnungen'!Z78</f>
        <v>15.160309277475644</v>
      </c>
      <c r="AA214" s="99">
        <f ca="1">OFFSET('MOD-Berechnungen'!AA78,0,-MIN('D-Dauer Goldenes Ende'!AB10,AA$5-$K$5))-'MOD-Berechnungen'!AA78</f>
        <v>15.040995414504501</v>
      </c>
      <c r="AB214" s="99">
        <f ca="1">OFFSET('MOD-Berechnungen'!AB78,0,-MIN('D-Dauer Goldenes Ende'!AC10,AB$5-$K$5))-'MOD-Berechnungen'!AB78</f>
        <v>14.811701120210326</v>
      </c>
      <c r="AC214" s="99">
        <f ca="1">OFFSET('MOD-Berechnungen'!AC78,0,-MIN('D-Dauer Goldenes Ende'!AD10,AC$5-$K$5))-'MOD-Berechnungen'!AC78</f>
        <v>16.556570750292643</v>
      </c>
      <c r="AD214" s="99">
        <f ca="1">OFFSET('MOD-Berechnungen'!AD78,0,-MIN('D-Dauer Goldenes Ende'!AE10,AD$5-$K$5))-'MOD-Berechnungen'!AD78</f>
        <v>21.493536514267596</v>
      </c>
      <c r="AE214" s="584">
        <f ca="1">OFFSET('MOD-Berechnungen'!AE78,0,-MIN('D-Dauer Goldenes Ende'!AF10,AE$5-$K$5))-'MOD-Berechnungen'!AE78</f>
        <v>26.534990416467974</v>
      </c>
      <c r="AF214" s="928" t="s">
        <v>177</v>
      </c>
      <c r="AG214" s="928" t="s">
        <v>180</v>
      </c>
    </row>
    <row r="215" spans="1:34" s="294" customFormat="1">
      <c r="A215" s="553">
        <v>200</v>
      </c>
      <c r="C215" s="10"/>
      <c r="D215" s="29"/>
      <c r="E215" s="297" t="s">
        <v>340</v>
      </c>
      <c r="F215" s="635">
        <v>0</v>
      </c>
      <c r="G215" s="56">
        <v>0</v>
      </c>
      <c r="H215" s="56">
        <v>0</v>
      </c>
      <c r="I215" s="56">
        <v>0</v>
      </c>
      <c r="J215" s="635">
        <v>0</v>
      </c>
      <c r="K215" s="99">
        <f ca="1">OFFSET('MOD-Berechnungen'!K79,0,-MIN('D-Dauer Goldenes Ende'!L11,K$5-$K$5))-'MOD-Berechnungen'!K79</f>
        <v>0</v>
      </c>
      <c r="L215" s="99">
        <f ca="1">OFFSET('MOD-Berechnungen'!L79,0,-MIN('D-Dauer Goldenes Ende'!M11,L$5-$K$5))-'MOD-Berechnungen'!L79</f>
        <v>0</v>
      </c>
      <c r="M215" s="99">
        <f ca="1">OFFSET('MOD-Berechnungen'!M79,0,-MIN('D-Dauer Goldenes Ende'!N11,M$5-$K$5))-'MOD-Berechnungen'!M79</f>
        <v>0</v>
      </c>
      <c r="N215" s="99">
        <f ca="1">OFFSET('MOD-Berechnungen'!N79,0,-MIN('D-Dauer Goldenes Ende'!O11,N$5-$K$5))-'MOD-Berechnungen'!N79</f>
        <v>0</v>
      </c>
      <c r="O215" s="99">
        <f ca="1">OFFSET('MOD-Berechnungen'!O79,0,-MIN('D-Dauer Goldenes Ende'!P11,O$5-$K$5))-'MOD-Berechnungen'!O79</f>
        <v>0</v>
      </c>
      <c r="P215" s="99">
        <f ca="1">OFFSET('MOD-Berechnungen'!P79,0,-MIN('D-Dauer Goldenes Ende'!Q11,P$5-$K$5))-'MOD-Berechnungen'!P79</f>
        <v>0</v>
      </c>
      <c r="Q215" s="99">
        <f ca="1">OFFSET('MOD-Berechnungen'!Q79,0,-MIN('D-Dauer Goldenes Ende'!R11,Q$5-$K$5))-'MOD-Berechnungen'!Q79</f>
        <v>0</v>
      </c>
      <c r="R215" s="99">
        <f ca="1">OFFSET('MOD-Berechnungen'!R79,0,-MIN('D-Dauer Goldenes Ende'!S11,R$5-$K$5))-'MOD-Berechnungen'!R79</f>
        <v>0</v>
      </c>
      <c r="S215" s="99">
        <f ca="1">OFFSET('MOD-Berechnungen'!S79,0,-MIN('D-Dauer Goldenes Ende'!T11,S$5-$K$5))-'MOD-Berechnungen'!S79</f>
        <v>0</v>
      </c>
      <c r="T215" s="99">
        <f ca="1">OFFSET('MOD-Berechnungen'!T79,0,-MIN('D-Dauer Goldenes Ende'!U11,T$5-$K$5))-'MOD-Berechnungen'!T79</f>
        <v>0</v>
      </c>
      <c r="U215" s="99">
        <f ca="1">OFFSET('MOD-Berechnungen'!U79,0,-MIN('D-Dauer Goldenes Ende'!V11,U$5-$K$5))-'MOD-Berechnungen'!U79</f>
        <v>0</v>
      </c>
      <c r="V215" s="99">
        <f ca="1">OFFSET('MOD-Berechnungen'!V79,0,-MIN('D-Dauer Goldenes Ende'!W11,V$5-$K$5))-'MOD-Berechnungen'!V79</f>
        <v>0</v>
      </c>
      <c r="W215" s="99">
        <f ca="1">OFFSET('MOD-Berechnungen'!W79,0,-MIN('D-Dauer Goldenes Ende'!X11,W$5-$K$5))-'MOD-Berechnungen'!W79</f>
        <v>0</v>
      </c>
      <c r="X215" s="99">
        <f ca="1">OFFSET('MOD-Berechnungen'!X79,0,-MIN('D-Dauer Goldenes Ende'!Y11,X$5-$K$5))-'MOD-Berechnungen'!X79</f>
        <v>0</v>
      </c>
      <c r="Y215" s="99">
        <f ca="1">OFFSET('MOD-Berechnungen'!Y79,0,-MIN('D-Dauer Goldenes Ende'!Z11,Y$5-$K$5))-'MOD-Berechnungen'!Y79</f>
        <v>0</v>
      </c>
      <c r="Z215" s="99">
        <f ca="1">OFFSET('MOD-Berechnungen'!Z79,0,-MIN('D-Dauer Goldenes Ende'!AA11,Z$5-$K$5))-'MOD-Berechnungen'!Z79</f>
        <v>0</v>
      </c>
      <c r="AA215" s="99">
        <f ca="1">OFFSET('MOD-Berechnungen'!AA79,0,-MIN('D-Dauer Goldenes Ende'!AB11,AA$5-$K$5))-'MOD-Berechnungen'!AA79</f>
        <v>0</v>
      </c>
      <c r="AB215" s="99">
        <f ca="1">OFFSET('MOD-Berechnungen'!AB79,0,-MIN('D-Dauer Goldenes Ende'!AC11,AB$5-$K$5))-'MOD-Berechnungen'!AB79</f>
        <v>0</v>
      </c>
      <c r="AC215" s="99">
        <f ca="1">OFFSET('MOD-Berechnungen'!AC79,0,-MIN('D-Dauer Goldenes Ende'!AD11,AC$5-$K$5))-'MOD-Berechnungen'!AC79</f>
        <v>0</v>
      </c>
      <c r="AD215" s="99">
        <f ca="1">OFFSET('MOD-Berechnungen'!AD79,0,-MIN('D-Dauer Goldenes Ende'!AE11,AD$5-$K$5))-'MOD-Berechnungen'!AD79</f>
        <v>0</v>
      </c>
      <c r="AE215" s="584">
        <f ca="1">OFFSET('MOD-Berechnungen'!AE79,0,-MIN('D-Dauer Goldenes Ende'!AF11,AE$5-$K$5))-'MOD-Berechnungen'!AE79</f>
        <v>0</v>
      </c>
      <c r="AF215" s="928" t="s">
        <v>177</v>
      </c>
      <c r="AG215" s="928" t="s">
        <v>180</v>
      </c>
    </row>
    <row r="216" spans="1:34" s="294" customFormat="1">
      <c r="A216" s="553">
        <v>201</v>
      </c>
      <c r="C216" s="10"/>
      <c r="D216" s="29"/>
      <c r="E216" s="298" t="s">
        <v>530</v>
      </c>
      <c r="F216" s="637">
        <v>0</v>
      </c>
      <c r="G216" s="57">
        <v>0</v>
      </c>
      <c r="H216" s="57">
        <v>0</v>
      </c>
      <c r="I216" s="57">
        <v>0</v>
      </c>
      <c r="J216" s="637">
        <v>0</v>
      </c>
      <c r="K216" s="100">
        <f ca="1">OFFSET('MOD-Berechnungen'!K80,0,-MIN('D-Dauer Goldenes Ende'!L12,K$5-$K$5))-'MOD-Berechnungen'!K80</f>
        <v>0</v>
      </c>
      <c r="L216" s="100">
        <f ca="1">OFFSET('MOD-Berechnungen'!L80,0,-MIN('D-Dauer Goldenes Ende'!M12,L$5-$K$5))-'MOD-Berechnungen'!L80</f>
        <v>0</v>
      </c>
      <c r="M216" s="100">
        <f ca="1">OFFSET('MOD-Berechnungen'!M80,0,-MIN('D-Dauer Goldenes Ende'!N12,M$5-$K$5))-'MOD-Berechnungen'!M80</f>
        <v>0</v>
      </c>
      <c r="N216" s="100">
        <f ca="1">OFFSET('MOD-Berechnungen'!N80,0,-MIN('D-Dauer Goldenes Ende'!O12,N$5-$K$5))-'MOD-Berechnungen'!N80</f>
        <v>0</v>
      </c>
      <c r="O216" s="100">
        <f ca="1">OFFSET('MOD-Berechnungen'!O80,0,-MIN('D-Dauer Goldenes Ende'!P12,O$5-$K$5))-'MOD-Berechnungen'!O80</f>
        <v>0</v>
      </c>
      <c r="P216" s="100">
        <f ca="1">OFFSET('MOD-Berechnungen'!P80,0,-MIN('D-Dauer Goldenes Ende'!Q12,P$5-$K$5))-'MOD-Berechnungen'!P80</f>
        <v>0</v>
      </c>
      <c r="Q216" s="100">
        <f ca="1">OFFSET('MOD-Berechnungen'!Q80,0,-MIN('D-Dauer Goldenes Ende'!R12,Q$5-$K$5))-'MOD-Berechnungen'!Q80</f>
        <v>4.91858058202439E-2</v>
      </c>
      <c r="R216" s="100">
        <f ca="1">OFFSET('MOD-Berechnungen'!R80,0,-MIN('D-Dauer Goldenes Ende'!S12,R$5-$K$5))-'MOD-Berechnungen'!R80</f>
        <v>0.12905756701849924</v>
      </c>
      <c r="S216" s="100">
        <f ca="1">OFFSET('MOD-Berechnungen'!S80,0,-MIN('D-Dauer Goldenes Ende'!T12,S$5-$K$5))-'MOD-Berechnungen'!S80</f>
        <v>0.21640650191361033</v>
      </c>
      <c r="T216" s="100">
        <f ca="1">OFFSET('MOD-Berechnungen'!T80,0,-MIN('D-Dauer Goldenes Ende'!U12,T$5-$K$5))-'MOD-Berechnungen'!T80</f>
        <v>0.33690374049582061</v>
      </c>
      <c r="U216" s="100">
        <f ca="1">OFFSET('MOD-Berechnungen'!U80,0,-MIN('D-Dauer Goldenes Ende'!V12,U$5-$K$5))-'MOD-Berechnungen'!U80</f>
        <v>0.90064593148343874</v>
      </c>
      <c r="V216" s="100">
        <f ca="1">OFFSET('MOD-Berechnungen'!V80,0,-MIN('D-Dauer Goldenes Ende'!W12,V$5-$K$5))-'MOD-Berechnungen'!V80</f>
        <v>1.6505893176412094</v>
      </c>
      <c r="W216" s="100">
        <f ca="1">OFFSET('MOD-Berechnungen'!W80,0,-MIN('D-Dauer Goldenes Ende'!X12,W$5-$K$5))-'MOD-Berechnungen'!W80</f>
        <v>2.308106024776901</v>
      </c>
      <c r="X216" s="100">
        <f ca="1">OFFSET('MOD-Berechnungen'!X80,0,-MIN('D-Dauer Goldenes Ende'!Y12,X$5-$K$5))-'MOD-Berechnungen'!X80</f>
        <v>3.3346417753158661</v>
      </c>
      <c r="Y216" s="100">
        <f ca="1">OFFSET('MOD-Berechnungen'!Y80,0,-MIN('D-Dauer Goldenes Ende'!Z12,Y$5-$K$5))-'MOD-Berechnungen'!Y80</f>
        <v>4.9694078286491496</v>
      </c>
      <c r="Z216" s="100">
        <f ca="1">OFFSET('MOD-Berechnungen'!Z80,0,-MIN('D-Dauer Goldenes Ende'!AA12,Z$5-$K$5))-'MOD-Berechnungen'!Z80</f>
        <v>8.4179531987116434</v>
      </c>
      <c r="AA216" s="100">
        <f ca="1">OFFSET('MOD-Berechnungen'!AA80,0,-MIN('D-Dauer Goldenes Ende'!AB12,AA$5-$K$5))-'MOD-Berechnungen'!AA80</f>
        <v>14.398830105595646</v>
      </c>
      <c r="AB216" s="100">
        <f ca="1">OFFSET('MOD-Berechnungen'!AB80,0,-MIN('D-Dauer Goldenes Ende'!AC12,AB$5-$K$5))-'MOD-Berechnungen'!AB80</f>
        <v>20.757210475691441</v>
      </c>
      <c r="AC216" s="100">
        <f ca="1">OFFSET('MOD-Berechnungen'!AC80,0,-MIN('D-Dauer Goldenes Ende'!AD12,AC$5-$K$5))-'MOD-Berechnungen'!AC80</f>
        <v>25.5706847087678</v>
      </c>
      <c r="AD216" s="100">
        <f ca="1">OFFSET('MOD-Berechnungen'!AD80,0,-MIN('D-Dauer Goldenes Ende'!AE12,AD$5-$K$5))-'MOD-Berechnungen'!AD80</f>
        <v>26.364849809554659</v>
      </c>
      <c r="AE216" s="585">
        <f ca="1">OFFSET('MOD-Berechnungen'!AE80,0,-MIN('D-Dauer Goldenes Ende'!AF12,AE$5-$K$5))-'MOD-Berechnungen'!AE80</f>
        <v>23.700450799975101</v>
      </c>
      <c r="AF216" s="928" t="s">
        <v>177</v>
      </c>
      <c r="AG216" s="928" t="s">
        <v>180</v>
      </c>
    </row>
    <row r="217" spans="1:34" s="294" customFormat="1">
      <c r="A217" s="553">
        <v>202</v>
      </c>
      <c r="C217" s="10"/>
      <c r="D217" s="29"/>
      <c r="E217" s="36"/>
      <c r="F217" s="324"/>
      <c r="G217" s="324"/>
      <c r="H217" s="324"/>
      <c r="I217" s="324"/>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c r="AF217" s="928"/>
      <c r="AG217" s="928"/>
    </row>
    <row r="218" spans="1:34" s="294" customFormat="1">
      <c r="A218" s="553">
        <v>203</v>
      </c>
      <c r="C218" s="10"/>
      <c r="D218" s="29"/>
      <c r="E218" s="192" t="s">
        <v>734</v>
      </c>
      <c r="F218" s="324"/>
      <c r="G218" s="324"/>
      <c r="H218" s="324"/>
      <c r="I218" s="324"/>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c r="AF218" s="928"/>
      <c r="AG218" s="928"/>
    </row>
    <row r="219" spans="1:34" s="294" customFormat="1">
      <c r="A219" s="553">
        <v>204</v>
      </c>
      <c r="C219" s="10"/>
      <c r="D219" s="29"/>
      <c r="E219" s="314" t="s">
        <v>735</v>
      </c>
      <c r="F219" s="605">
        <f>'MOD-Berechnungen'!F11</f>
        <v>535.4</v>
      </c>
      <c r="G219" s="605">
        <f>'MOD-Berechnungen'!G11</f>
        <v>536.79999999999995</v>
      </c>
      <c r="H219" s="605">
        <f>'MOD-Berechnungen'!H11</f>
        <v>540.29999999999995</v>
      </c>
      <c r="I219" s="605">
        <f>'MOD-Berechnungen'!I11</f>
        <v>537.10000000000014</v>
      </c>
      <c r="J219" s="605">
        <f>'MOD-Berechnungen'!J11</f>
        <v>529.87864653548297</v>
      </c>
      <c r="K219" s="605">
        <f>'MOD-Berechnungen'!K11</f>
        <v>520.6</v>
      </c>
      <c r="L219" s="605">
        <f>'MOD-Berechnungen'!L11</f>
        <v>511.6</v>
      </c>
      <c r="M219" s="605">
        <f>'MOD-Berechnungen'!M11</f>
        <v>521.90464399999996</v>
      </c>
      <c r="N219" s="605">
        <f>'MOD-Berechnungen'!N11</f>
        <v>524.64</v>
      </c>
      <c r="O219" s="605">
        <f>'MOD-Berechnungen'!O11</f>
        <v>536.23646499999995</v>
      </c>
      <c r="P219" s="605">
        <f>'MOD-Berechnungen'!P11</f>
        <v>538.51776999999993</v>
      </c>
      <c r="Q219" s="605">
        <f>'MOD-Berechnungen'!Q11</f>
        <v>518.52683000000002</v>
      </c>
      <c r="R219" s="605">
        <f>'MOD-Berechnungen'!R11</f>
        <v>516.05999999999995</v>
      </c>
      <c r="S219" s="605">
        <f>'MOD-Berechnungen'!S11</f>
        <v>513.67999999999995</v>
      </c>
      <c r="T219" s="605">
        <f>'MOD-Berechnungen'!T11</f>
        <v>511.67</v>
      </c>
      <c r="U219" s="605">
        <f>'MOD-Berechnungen'!U11</f>
        <v>510.33</v>
      </c>
      <c r="V219" s="605">
        <f>'MOD-Berechnungen'!V11</f>
        <v>510.33</v>
      </c>
      <c r="W219" s="605">
        <f>'MOD-Berechnungen'!W11</f>
        <v>510.33</v>
      </c>
      <c r="X219" s="605">
        <f>'MOD-Berechnungen'!X11</f>
        <v>510.33</v>
      </c>
      <c r="Y219" s="605">
        <f>'MOD-Berechnungen'!Y11</f>
        <v>510.33</v>
      </c>
      <c r="Z219" s="605">
        <f>'MOD-Berechnungen'!Z11</f>
        <v>510.33</v>
      </c>
      <c r="AA219" s="605">
        <f>'MOD-Berechnungen'!AA11</f>
        <v>510.33</v>
      </c>
      <c r="AB219" s="605">
        <f>'MOD-Berechnungen'!AB11</f>
        <v>510.33</v>
      </c>
      <c r="AC219" s="605">
        <f>'MOD-Berechnungen'!AC11</f>
        <v>510.33</v>
      </c>
      <c r="AD219" s="605">
        <f>'MOD-Berechnungen'!AD11</f>
        <v>510.33</v>
      </c>
      <c r="AE219" s="606">
        <f>'MOD-Berechnungen'!AE11</f>
        <v>510.33</v>
      </c>
      <c r="AF219" s="928"/>
      <c r="AG219" s="928"/>
    </row>
    <row r="220" spans="1:34" s="294" customFormat="1">
      <c r="A220" s="553">
        <v>205</v>
      </c>
      <c r="C220" s="10"/>
      <c r="D220" s="29"/>
      <c r="E220" s="16" t="s">
        <v>720</v>
      </c>
      <c r="F220" s="607">
        <f>'D-Netzverl. u. KW-Eigenverbr.'!F6</f>
        <v>79.900000000000006</v>
      </c>
      <c r="G220" s="607">
        <f>'D-Netzverl. u. KW-Eigenverbr.'!G6</f>
        <v>70</v>
      </c>
      <c r="H220" s="607">
        <f>'D-Netzverl. u. KW-Eigenverbr.'!H6</f>
        <v>66.8</v>
      </c>
      <c r="I220" s="607">
        <f>'D-Netzverl. u. KW-Eigenverbr.'!I6</f>
        <v>66.8</v>
      </c>
      <c r="J220" s="607">
        <f>'D-Netzverl. u. KW-Eigenverbr.'!J6</f>
        <v>68.099999999999994</v>
      </c>
      <c r="K220" s="607">
        <f>'D-Netzverl. u. KW-Eigenverbr.'!K6</f>
        <v>79</v>
      </c>
      <c r="L220" s="607">
        <f>'D-Netzverl. u. KW-Eigenverbr.'!L6</f>
        <v>86.5</v>
      </c>
      <c r="M220" s="607">
        <f>'D-Netzverl. u. KW-Eigenverbr.'!M6</f>
        <v>77.2</v>
      </c>
      <c r="N220" s="607">
        <f>'D-Netzverl. u. KW-Eigenverbr.'!N6</f>
        <v>70.3</v>
      </c>
      <c r="O220" s="607">
        <f>'D-Netzverl. u. KW-Eigenverbr.'!O6</f>
        <v>62</v>
      </c>
      <c r="P220" s="607">
        <f>'D-Netzverl. u. KW-Eigenverbr.'!P6</f>
        <v>62</v>
      </c>
      <c r="Q220" s="607">
        <f>'D-Netzverl. u. KW-Eigenverbr.'!Q6</f>
        <v>62</v>
      </c>
      <c r="R220" s="607">
        <f>'D-Netzverl. u. KW-Eigenverbr.'!R6</f>
        <v>62</v>
      </c>
      <c r="S220" s="607">
        <f>'D-Netzverl. u. KW-Eigenverbr.'!S6</f>
        <v>62</v>
      </c>
      <c r="T220" s="607">
        <f>'D-Netzverl. u. KW-Eigenverbr.'!T6</f>
        <v>62</v>
      </c>
      <c r="U220" s="607">
        <f>'D-Netzverl. u. KW-Eigenverbr.'!U6</f>
        <v>62</v>
      </c>
      <c r="V220" s="607">
        <f>'D-Netzverl. u. KW-Eigenverbr.'!V6</f>
        <v>62</v>
      </c>
      <c r="W220" s="607">
        <f>'D-Netzverl. u. KW-Eigenverbr.'!W6</f>
        <v>62</v>
      </c>
      <c r="X220" s="607">
        <f>'D-Netzverl. u. KW-Eigenverbr.'!X6</f>
        <v>62</v>
      </c>
      <c r="Y220" s="607">
        <f>'D-Netzverl. u. KW-Eigenverbr.'!Y6</f>
        <v>62</v>
      </c>
      <c r="Z220" s="607">
        <f>'D-Netzverl. u. KW-Eigenverbr.'!Z6</f>
        <v>62</v>
      </c>
      <c r="AA220" s="607">
        <f>'D-Netzverl. u. KW-Eigenverbr.'!AA6</f>
        <v>62</v>
      </c>
      <c r="AB220" s="607">
        <f>'D-Netzverl. u. KW-Eigenverbr.'!AB6</f>
        <v>62</v>
      </c>
      <c r="AC220" s="607">
        <f>'D-Netzverl. u. KW-Eigenverbr.'!AC6</f>
        <v>62</v>
      </c>
      <c r="AD220" s="607">
        <f>'D-Netzverl. u. KW-Eigenverbr.'!AD6</f>
        <v>62</v>
      </c>
      <c r="AE220" s="608">
        <f>'D-Netzverl. u. KW-Eigenverbr.'!AE6</f>
        <v>62</v>
      </c>
      <c r="AF220" s="928"/>
      <c r="AG220" s="928"/>
    </row>
    <row r="221" spans="1:34" s="294" customFormat="1">
      <c r="A221" s="553">
        <v>206</v>
      </c>
      <c r="C221" s="10"/>
      <c r="D221" s="29"/>
      <c r="E221" s="16" t="s">
        <v>736</v>
      </c>
      <c r="F221" s="607">
        <f>F219+F220</f>
        <v>615.29999999999995</v>
      </c>
      <c r="G221" s="607">
        <f t="shared" ref="G221:AD221" si="20">G219+G220</f>
        <v>606.79999999999995</v>
      </c>
      <c r="H221" s="607">
        <f t="shared" si="20"/>
        <v>607.09999999999991</v>
      </c>
      <c r="I221" s="607">
        <f t="shared" si="20"/>
        <v>603.90000000000009</v>
      </c>
      <c r="J221" s="607">
        <f t="shared" si="20"/>
        <v>597.97864653548299</v>
      </c>
      <c r="K221" s="607">
        <f>K219+K220</f>
        <v>599.6</v>
      </c>
      <c r="L221" s="607">
        <f t="shared" si="20"/>
        <v>598.1</v>
      </c>
      <c r="M221" s="607">
        <f>M219+M220</f>
        <v>599.10464400000001</v>
      </c>
      <c r="N221" s="607">
        <f>N219+N220</f>
        <v>594.93999999999994</v>
      </c>
      <c r="O221" s="607">
        <f t="shared" si="20"/>
        <v>598.23646499999995</v>
      </c>
      <c r="P221" s="607">
        <f t="shared" si="20"/>
        <v>600.51776999999993</v>
      </c>
      <c r="Q221" s="607">
        <f t="shared" si="20"/>
        <v>580.52683000000002</v>
      </c>
      <c r="R221" s="607">
        <f t="shared" si="20"/>
        <v>578.05999999999995</v>
      </c>
      <c r="S221" s="607">
        <f t="shared" si="20"/>
        <v>575.67999999999995</v>
      </c>
      <c r="T221" s="607">
        <f t="shared" si="20"/>
        <v>573.67000000000007</v>
      </c>
      <c r="U221" s="607">
        <f t="shared" si="20"/>
        <v>572.32999999999993</v>
      </c>
      <c r="V221" s="607">
        <f t="shared" si="20"/>
        <v>572.32999999999993</v>
      </c>
      <c r="W221" s="607">
        <f t="shared" si="20"/>
        <v>572.32999999999993</v>
      </c>
      <c r="X221" s="607">
        <f t="shared" si="20"/>
        <v>572.32999999999993</v>
      </c>
      <c r="Y221" s="607">
        <f t="shared" si="20"/>
        <v>572.32999999999993</v>
      </c>
      <c r="Z221" s="607">
        <f t="shared" si="20"/>
        <v>572.32999999999993</v>
      </c>
      <c r="AA221" s="607">
        <f t="shared" si="20"/>
        <v>572.32999999999993</v>
      </c>
      <c r="AB221" s="607">
        <f t="shared" si="20"/>
        <v>572.32999999999993</v>
      </c>
      <c r="AC221" s="607">
        <f t="shared" si="20"/>
        <v>572.32999999999993</v>
      </c>
      <c r="AD221" s="607">
        <f t="shared" si="20"/>
        <v>572.32999999999993</v>
      </c>
      <c r="AE221" s="608">
        <f>AE219+AE220</f>
        <v>572.32999999999993</v>
      </c>
      <c r="AF221" s="928"/>
      <c r="AG221" s="928"/>
    </row>
    <row r="222" spans="1:34" s="294" customFormat="1">
      <c r="A222" s="553">
        <v>207</v>
      </c>
      <c r="C222" s="10"/>
      <c r="D222" s="29"/>
      <c r="E222" s="16" t="s">
        <v>737</v>
      </c>
      <c r="F222" s="99">
        <f>'MOD-Berechnungen'!F245</f>
        <v>90.230999999999995</v>
      </c>
      <c r="G222" s="99">
        <f>'MOD-Berechnungen'!G245</f>
        <v>110.32713299999998</v>
      </c>
      <c r="H222" s="99">
        <f>'MOD-Berechnungen'!H245</f>
        <v>113.51865999999998</v>
      </c>
      <c r="I222" s="99">
        <f>'MOD-Berechnungen'!I245</f>
        <v>134.44289299999997</v>
      </c>
      <c r="J222" s="99">
        <f>'MOD-Berechnungen'!J245</f>
        <v>149.23655299999999</v>
      </c>
      <c r="K222" s="99">
        <f>'MOD-Berechnungen'!K245</f>
        <v>160.48758199999997</v>
      </c>
      <c r="L222" s="99">
        <f>'MOD-Berechnungen'!L245</f>
        <v>176.427021</v>
      </c>
      <c r="M222" s="99">
        <f>'MOD-Berechnungen'!M245</f>
        <v>187.22620899999998</v>
      </c>
      <c r="N222" s="99">
        <f>'MOD-Berechnungen'!N245</f>
        <v>203.875407</v>
      </c>
      <c r="O222" s="99">
        <f>'MOD-Berechnungen'!O245</f>
        <v>217.00349199999999</v>
      </c>
      <c r="P222" s="99">
        <f>'MOD-Berechnungen'!P245</f>
        <v>225.61901599999999</v>
      </c>
      <c r="Q222" s="99">
        <f>'MOD-Berechnungen'!Q245</f>
        <v>228.27263399999998</v>
      </c>
      <c r="R222" s="99">
        <f>'MOD-Berechnungen'!R245</f>
        <v>229.01003555681189</v>
      </c>
      <c r="S222" s="99">
        <f>'MOD-Berechnungen'!S245</f>
        <v>235.07744578413579</v>
      </c>
      <c r="T222" s="99">
        <f>'MOD-Berechnungen'!T245</f>
        <v>242.07810684295646</v>
      </c>
      <c r="U222" s="99">
        <f>'MOD-Berechnungen'!U245</f>
        <v>247.6722417999047</v>
      </c>
      <c r="V222" s="99">
        <f>'MOD-Berechnungen'!V245</f>
        <v>253.34582705133863</v>
      </c>
      <c r="W222" s="99">
        <f>'MOD-Berechnungen'!W245</f>
        <v>257.36012654261856</v>
      </c>
      <c r="X222" s="99">
        <f>'MOD-Berechnungen'!X245</f>
        <v>263.11008792889032</v>
      </c>
      <c r="Y222" s="99">
        <f>'MOD-Berechnungen'!Y245</f>
        <v>271.55432158107749</v>
      </c>
      <c r="Z222" s="99">
        <f>'MOD-Berechnungen'!Z245</f>
        <v>273.00610780442537</v>
      </c>
      <c r="AA222" s="99">
        <f>'MOD-Berechnungen'!AA245</f>
        <v>272.29175492739193</v>
      </c>
      <c r="AB222" s="99">
        <f>'MOD-Berechnungen'!AB245</f>
        <v>267.56452804353341</v>
      </c>
      <c r="AC222" s="99">
        <f>'MOD-Berechnungen'!AC245</f>
        <v>268.70694136220959</v>
      </c>
      <c r="AD222" s="99">
        <f>'MOD-Berechnungen'!AD245</f>
        <v>270.80347769830371</v>
      </c>
      <c r="AE222" s="584">
        <f>'MOD-Berechnungen'!AE245</f>
        <v>270.56229911660608</v>
      </c>
      <c r="AF222" s="928"/>
      <c r="AG222" s="928"/>
    </row>
    <row r="223" spans="1:34" s="294" customFormat="1">
      <c r="A223" s="553">
        <v>208</v>
      </c>
      <c r="C223" s="10"/>
      <c r="D223" s="29"/>
      <c r="E223" s="296" t="s">
        <v>738</v>
      </c>
      <c r="F223" s="100">
        <f>SUM('D-EE-Strommengen nicht EEG'!G6:G12) + SUM(F210:F216)</f>
        <v>20.256</v>
      </c>
      <c r="G223" s="100">
        <f>SUM('D-EE-Strommengen nicht EEG'!H6:H12) + SUM(G210:G216)</f>
        <v>16.433254000000002</v>
      </c>
      <c r="H223" s="100">
        <f>SUM('D-EE-Strommengen nicht EEG'!I6:I12) + SUM(H210:H216)</f>
        <v>21.270144000000002</v>
      </c>
      <c r="I223" s="100">
        <f>SUM('D-EE-Strommengen nicht EEG'!J6:J12) + SUM(I210:I216)</f>
        <v>22.104711999999999</v>
      </c>
      <c r="J223" s="100">
        <f>SUM('D-EE-Strommengen nicht EEG'!K6:K12) + SUM(J210:J216)</f>
        <v>20.049999999999997</v>
      </c>
      <c r="K223" s="100">
        <f ca="1">SUM('D-EE-Strommengen nicht EEG'!L6:L12) + SUM(K210:K216)</f>
        <v>19.75</v>
      </c>
      <c r="L223" s="100">
        <f ca="1">SUM('D-EE-Strommengen nicht EEG'!M6:M12) + SUM(L210:L216)</f>
        <v>20.141281793364094</v>
      </c>
      <c r="M223" s="100">
        <f ca="1">SUM('D-EE-Strommengen nicht EEG'!N6:N12) + SUM(M210:M216)</f>
        <v>20.662990851182897</v>
      </c>
      <c r="N223" s="100">
        <f ca="1">SUM('D-EE-Strommengen nicht EEG'!O6:O12) + SUM(N210:N216)</f>
        <v>21.315127173456389</v>
      </c>
      <c r="O223" s="100">
        <f ca="1">SUM('D-EE-Strommengen nicht EEG'!P6:P12) + SUM(O210:O216)</f>
        <v>22.097690760184584</v>
      </c>
      <c r="P223" s="100">
        <f ca="1">SUM('D-EE-Strommengen nicht EEG'!Q6:Q12) + SUM(P210:P216)</f>
        <v>23.010681611367474</v>
      </c>
      <c r="Q223" s="100">
        <f ca="1">SUM('D-EE-Strommengen nicht EEG'!R6:R12) + SUM(Q210:Q216)</f>
        <v>25.023832178908052</v>
      </c>
      <c r="R223" s="100">
        <f ca="1">SUM('D-EE-Strommengen nicht EEG'!S6:S12) + SUM(R210:R216)</f>
        <v>28.194330680548468</v>
      </c>
      <c r="S223" s="100">
        <f ca="1">SUM('D-EE-Strommengen nicht EEG'!T6:T12) + SUM(S210:S216)</f>
        <v>31.918259778427085</v>
      </c>
      <c r="T223" s="100">
        <f ca="1">SUM('D-EE-Strommengen nicht EEG'!U6:U12) + SUM(T210:T216)</f>
        <v>35.287478306602068</v>
      </c>
      <c r="U223" s="100">
        <f ca="1">SUM('D-EE-Strommengen nicht EEG'!V6:V12) + SUM(U210:U216)</f>
        <v>38.196789204008965</v>
      </c>
      <c r="V223" s="100">
        <f ca="1">SUM('D-EE-Strommengen nicht EEG'!W6:W12) + SUM(V210:V216)</f>
        <v>39.396985602689455</v>
      </c>
      <c r="W223" s="100">
        <f ca="1">SUM('D-EE-Strommengen nicht EEG'!X6:X12) + SUM(W210:W216)</f>
        <v>40.066274895849915</v>
      </c>
      <c r="X223" s="100">
        <f ca="1">SUM('D-EE-Strommengen nicht EEG'!Y6:Y12) + SUM(X210:X216)</f>
        <v>39.616744697194406</v>
      </c>
      <c r="Y223" s="100">
        <f ca="1">SUM('D-EE-Strommengen nicht EEG'!Z6:Z12) + SUM(Y210:Y216)</f>
        <v>38.482249409030359</v>
      </c>
      <c r="Z223" s="100">
        <f ca="1">SUM('D-EE-Strommengen nicht EEG'!AA6:AA12) + SUM(Z210:Z216)</f>
        <v>43.328262476187291</v>
      </c>
      <c r="AA223" s="100">
        <f ca="1">SUM('D-EE-Strommengen nicht EEG'!AB6:AB12) + SUM(AA210:AA216)</f>
        <v>49.189825520100143</v>
      </c>
      <c r="AB223" s="100">
        <f ca="1">SUM('D-EE-Strommengen nicht EEG'!AC6:AC12) + SUM(AB210:AB216)</f>
        <v>55.318911595901767</v>
      </c>
      <c r="AC223" s="100">
        <f ca="1">SUM('D-EE-Strommengen nicht EEG'!AD6:AD12) + SUM(AC210:AC216)</f>
        <v>61.877255459060443</v>
      </c>
      <c r="AD223" s="100">
        <f ca="1">SUM('D-EE-Strommengen nicht EEG'!AE6:AE12) + SUM(AD210:AD216)</f>
        <v>67.608386323822259</v>
      </c>
      <c r="AE223" s="585">
        <f ca="1">SUM('D-EE-Strommengen nicht EEG'!AF6:AF12) + SUM(AE210:AE216)</f>
        <v>69.985441216443078</v>
      </c>
      <c r="AF223" s="928" t="s">
        <v>174</v>
      </c>
      <c r="AG223" s="928" t="s">
        <v>177</v>
      </c>
    </row>
    <row r="224" spans="1:34" s="294" customFormat="1">
      <c r="A224" s="553">
        <v>209</v>
      </c>
      <c r="C224" s="10"/>
      <c r="D224" s="29"/>
      <c r="E224" s="36"/>
      <c r="F224" s="588"/>
      <c r="G224" s="588"/>
      <c r="H224" s="588"/>
      <c r="I224" s="588"/>
      <c r="J224" s="588"/>
      <c r="K224" s="588"/>
      <c r="L224" s="324"/>
      <c r="M224" s="324"/>
      <c r="N224" s="324"/>
      <c r="O224" s="324"/>
      <c r="P224" s="324"/>
      <c r="Q224" s="324"/>
      <c r="R224" s="324"/>
      <c r="S224" s="324"/>
      <c r="T224" s="324"/>
      <c r="U224" s="324"/>
      <c r="V224" s="324"/>
      <c r="W224" s="324"/>
      <c r="X224" s="324"/>
      <c r="Y224" s="324"/>
      <c r="Z224" s="324"/>
      <c r="AA224" s="324"/>
      <c r="AB224" s="324"/>
      <c r="AC224" s="324"/>
      <c r="AD224" s="324"/>
      <c r="AE224" s="324"/>
      <c r="AF224" s="928"/>
      <c r="AG224" s="928"/>
    </row>
    <row r="225" spans="1:34" s="294" customFormat="1">
      <c r="A225" s="553">
        <v>210</v>
      </c>
      <c r="C225" s="10"/>
      <c r="D225" s="29"/>
      <c r="E225" s="314" t="s">
        <v>739</v>
      </c>
      <c r="F225" s="597">
        <f t="shared" ref="F225:K225" si="21">(F222+F223)/F221</f>
        <v>0.17956606533398342</v>
      </c>
      <c r="G225" s="597">
        <f t="shared" si="21"/>
        <v>0.20889978081740276</v>
      </c>
      <c r="H225" s="597">
        <f t="shared" si="21"/>
        <v>0.22202076099489373</v>
      </c>
      <c r="I225" s="597">
        <f t="shared" si="21"/>
        <v>0.25922769498261294</v>
      </c>
      <c r="J225" s="597">
        <f t="shared" si="21"/>
        <v>0.28309799017205339</v>
      </c>
      <c r="K225" s="597">
        <f t="shared" ca="1" si="21"/>
        <v>0.30059636757838554</v>
      </c>
      <c r="L225" s="597">
        <f ca="1">(L222+L223)/L221</f>
        <v>0.3286545774843071</v>
      </c>
      <c r="M225" s="597">
        <f t="shared" ref="M225:AD225" ca="1" si="22">(M222+M223)/M221</f>
        <v>0.34699981369395438</v>
      </c>
      <c r="N225" s="597">
        <f t="shared" ca="1" si="22"/>
        <v>0.37850965504665413</v>
      </c>
      <c r="O225" s="597">
        <f t="shared" ca="1" si="22"/>
        <v>0.3996767110480044</v>
      </c>
      <c r="P225" s="597">
        <f t="shared" ca="1" si="22"/>
        <v>0.41402554600735214</v>
      </c>
      <c r="Q225" s="597">
        <f t="shared" ca="1" si="22"/>
        <v>0.43632172207942227</v>
      </c>
      <c r="R225" s="597">
        <f t="shared" ca="1" si="22"/>
        <v>0.4449440650405847</v>
      </c>
      <c r="S225" s="597">
        <f t="shared" ca="1" si="22"/>
        <v>0.46379187319789272</v>
      </c>
      <c r="T225" s="597">
        <f t="shared" ca="1" si="22"/>
        <v>0.48349327165366585</v>
      </c>
      <c r="U225" s="597">
        <f t="shared" ca="1" si="22"/>
        <v>0.49948287002937763</v>
      </c>
      <c r="V225" s="597">
        <f t="shared" ca="1" si="22"/>
        <v>0.51149304187099764</v>
      </c>
      <c r="W225" s="597">
        <f t="shared" ca="1" si="22"/>
        <v>0.51967641297585054</v>
      </c>
      <c r="X225" s="597">
        <f t="shared" ca="1" si="22"/>
        <v>0.52893755809774912</v>
      </c>
      <c r="Y225" s="597">
        <f t="shared" ca="1" si="22"/>
        <v>0.54170945257125769</v>
      </c>
      <c r="Z225" s="597">
        <f t="shared" ca="1" si="22"/>
        <v>0.55271324285047563</v>
      </c>
      <c r="AA225" s="597">
        <f t="shared" ca="1" si="22"/>
        <v>0.56170667350565606</v>
      </c>
      <c r="AB225" s="597">
        <f t="shared" ca="1" si="22"/>
        <v>0.5641560631793463</v>
      </c>
      <c r="AC225" s="597">
        <f t="shared" ca="1" si="22"/>
        <v>0.57761116282786173</v>
      </c>
      <c r="AD225" s="597">
        <f t="shared" ca="1" si="22"/>
        <v>0.59128800521050096</v>
      </c>
      <c r="AE225" s="598">
        <f ca="1">(AE222+AE223)/AE221</f>
        <v>0.5950199016879234</v>
      </c>
      <c r="AF225" s="928"/>
      <c r="AG225" s="928" t="s">
        <v>174</v>
      </c>
    </row>
    <row r="226" spans="1:34" s="294" customFormat="1" ht="39.6">
      <c r="A226" s="553">
        <v>211</v>
      </c>
      <c r="C226" s="10"/>
      <c r="D226" s="29"/>
      <c r="E226" s="656" t="s">
        <v>740</v>
      </c>
      <c r="F226" s="599"/>
      <c r="G226" s="599"/>
      <c r="H226" s="599"/>
      <c r="I226" s="599"/>
      <c r="J226" s="620"/>
      <c r="K226" s="620"/>
      <c r="L226" s="620"/>
      <c r="M226" s="620"/>
      <c r="N226" s="620"/>
      <c r="O226" s="620"/>
      <c r="P226" s="620"/>
      <c r="Q226" s="620"/>
      <c r="R226" s="620"/>
      <c r="S226" s="620"/>
      <c r="T226" s="620"/>
      <c r="U226" s="620">
        <f>U228-U227</f>
        <v>4.9999999999999989E-2</v>
      </c>
      <c r="V226" s="620"/>
      <c r="W226" s="620"/>
      <c r="X226" s="620"/>
      <c r="Y226" s="620"/>
      <c r="Z226" s="620"/>
      <c r="AA226" s="620"/>
      <c r="AB226" s="620"/>
      <c r="AC226" s="620"/>
      <c r="AD226" s="620"/>
      <c r="AE226" s="622">
        <f>AE228-AE227</f>
        <v>4.9999999999999933E-2</v>
      </c>
      <c r="AF226" s="928"/>
      <c r="AG226" s="928" t="s">
        <v>190</v>
      </c>
      <c r="AH226" s="10"/>
    </row>
    <row r="227" spans="1:34" s="294" customFormat="1">
      <c r="A227" s="553">
        <v>212</v>
      </c>
      <c r="C227" s="10"/>
      <c r="D227" s="29"/>
      <c r="E227" s="296" t="s">
        <v>741</v>
      </c>
      <c r="F227" s="601"/>
      <c r="G227" s="601"/>
      <c r="H227" s="601"/>
      <c r="I227" s="601"/>
      <c r="J227" s="601"/>
      <c r="K227" s="601"/>
      <c r="L227" s="601"/>
      <c r="M227" s="601"/>
      <c r="N227" s="601"/>
      <c r="O227" s="601"/>
      <c r="P227" s="601"/>
      <c r="Q227" s="601"/>
      <c r="R227" s="601"/>
      <c r="S227" s="601"/>
      <c r="T227" s="601"/>
      <c r="U227" s="621">
        <v>0.4</v>
      </c>
      <c r="V227" s="601"/>
      <c r="W227" s="601"/>
      <c r="X227" s="601"/>
      <c r="Y227" s="601"/>
      <c r="Z227" s="601"/>
      <c r="AA227" s="601"/>
      <c r="AB227" s="601"/>
      <c r="AC227" s="601"/>
      <c r="AD227" s="601"/>
      <c r="AE227" s="623">
        <v>0.55000000000000004</v>
      </c>
      <c r="AF227" s="928"/>
      <c r="AG227" s="928" t="s">
        <v>190</v>
      </c>
    </row>
    <row r="228" spans="1:34" s="294" customFormat="1">
      <c r="A228" s="553">
        <v>213</v>
      </c>
      <c r="C228" s="10"/>
      <c r="D228" s="29"/>
      <c r="E228" s="16" t="s">
        <v>742</v>
      </c>
      <c r="F228" s="599"/>
      <c r="G228" s="599"/>
      <c r="H228" s="599"/>
      <c r="I228" s="599"/>
      <c r="J228" s="599"/>
      <c r="K228" s="599"/>
      <c r="L228" s="599"/>
      <c r="M228" s="599"/>
      <c r="N228" s="599"/>
      <c r="O228" s="599"/>
      <c r="P228" s="599"/>
      <c r="Q228" s="599"/>
      <c r="R228" s="599"/>
      <c r="S228" s="599"/>
      <c r="T228" s="599"/>
      <c r="U228" s="620">
        <v>0.45</v>
      </c>
      <c r="V228" s="599"/>
      <c r="W228" s="599"/>
      <c r="X228" s="599"/>
      <c r="Y228" s="599"/>
      <c r="Z228" s="599"/>
      <c r="AA228" s="599"/>
      <c r="AB228" s="599"/>
      <c r="AC228" s="599"/>
      <c r="AD228" s="599"/>
      <c r="AE228" s="622">
        <v>0.6</v>
      </c>
      <c r="AF228" s="928"/>
      <c r="AG228" s="928" t="s">
        <v>190</v>
      </c>
    </row>
    <row r="229" spans="1:34" s="294" customFormat="1">
      <c r="A229" s="553">
        <v>214</v>
      </c>
      <c r="C229" s="10"/>
      <c r="D229" s="29"/>
      <c r="E229" s="83" t="s">
        <v>743</v>
      </c>
      <c r="F229" s="946"/>
      <c r="G229" s="946"/>
      <c r="H229" s="946"/>
      <c r="I229" s="946"/>
      <c r="J229" s="946"/>
      <c r="K229" s="946"/>
      <c r="L229" s="946"/>
      <c r="M229" s="946"/>
      <c r="N229" s="946"/>
      <c r="O229" s="946"/>
      <c r="P229" s="946"/>
      <c r="Q229" s="946"/>
      <c r="R229" s="946"/>
      <c r="S229" s="946"/>
      <c r="T229" s="946"/>
      <c r="U229" s="946"/>
      <c r="V229" s="946"/>
      <c r="W229" s="946"/>
      <c r="X229" s="946"/>
      <c r="Y229" s="946"/>
      <c r="Z229" s="946">
        <v>0.65</v>
      </c>
      <c r="AA229" s="946"/>
      <c r="AB229" s="946"/>
      <c r="AC229" s="946"/>
      <c r="AD229" s="946"/>
      <c r="AE229" s="946"/>
    </row>
    <row r="230" spans="1:34" s="294" customFormat="1">
      <c r="C230" s="10"/>
      <c r="D230" s="29"/>
      <c r="E230" s="192" t="s">
        <v>744</v>
      </c>
      <c r="F230" s="68">
        <v>2010</v>
      </c>
      <c r="G230" s="68">
        <v>2011</v>
      </c>
      <c r="H230" s="68">
        <v>2012</v>
      </c>
      <c r="I230" s="68">
        <v>2013</v>
      </c>
      <c r="J230" s="68">
        <v>2014</v>
      </c>
      <c r="K230" s="68">
        <v>2015</v>
      </c>
      <c r="L230" s="68">
        <v>2016</v>
      </c>
      <c r="M230" s="68">
        <v>2017</v>
      </c>
      <c r="N230" s="68">
        <v>2018</v>
      </c>
      <c r="O230" s="68">
        <v>2019</v>
      </c>
      <c r="P230" s="68">
        <v>2020</v>
      </c>
      <c r="Q230" s="68">
        <v>2021</v>
      </c>
      <c r="R230" s="68">
        <v>2022</v>
      </c>
      <c r="S230" s="68">
        <v>2023</v>
      </c>
      <c r="T230" s="68">
        <v>2024</v>
      </c>
      <c r="U230" s="68">
        <v>2025</v>
      </c>
      <c r="V230" s="68">
        <v>2026</v>
      </c>
      <c r="W230" s="68">
        <v>2027</v>
      </c>
      <c r="X230" s="68">
        <v>2028</v>
      </c>
      <c r="Y230" s="68">
        <v>2029</v>
      </c>
      <c r="Z230" s="68">
        <v>2030</v>
      </c>
      <c r="AA230" s="68">
        <v>2031</v>
      </c>
      <c r="AB230" s="68">
        <v>2032</v>
      </c>
      <c r="AC230" s="68">
        <v>2033</v>
      </c>
      <c r="AD230" s="68">
        <v>2034</v>
      </c>
      <c r="AE230" s="68">
        <v>2035</v>
      </c>
    </row>
    <row r="231" spans="1:34" s="294" customFormat="1" ht="26.4">
      <c r="C231" s="10"/>
      <c r="D231" s="29"/>
      <c r="E231" s="513" t="s">
        <v>707</v>
      </c>
      <c r="F231" s="98"/>
      <c r="G231" s="98">
        <f t="shared" ref="G231:AE231" si="23">G118-F118</f>
        <v>0</v>
      </c>
      <c r="H231" s="98">
        <f t="shared" si="23"/>
        <v>0</v>
      </c>
      <c r="I231" s="98">
        <f t="shared" si="23"/>
        <v>0</v>
      </c>
      <c r="J231" s="98">
        <f t="shared" si="23"/>
        <v>0</v>
      </c>
      <c r="K231" s="98">
        <f t="shared" si="23"/>
        <v>0.27526511402651638</v>
      </c>
      <c r="L231" s="98">
        <f t="shared" si="23"/>
        <v>0.46165572446003827</v>
      </c>
      <c r="M231" s="98">
        <f t="shared" si="23"/>
        <v>0.52468607571544235</v>
      </c>
      <c r="N231" s="98">
        <f t="shared" si="23"/>
        <v>0.47927398602162552</v>
      </c>
      <c r="O231" s="98">
        <f t="shared" si="23"/>
        <v>0.37765446526104052</v>
      </c>
      <c r="P231" s="98">
        <f t="shared" si="23"/>
        <v>0.26561745299228656</v>
      </c>
      <c r="Q231" s="98">
        <f t="shared" si="23"/>
        <v>0.25939194122796572</v>
      </c>
      <c r="R231" s="98">
        <f t="shared" si="23"/>
        <v>0.20856736708300394</v>
      </c>
      <c r="S231" s="98">
        <f t="shared" si="23"/>
        <v>0.22473990224708107</v>
      </c>
      <c r="T231" s="98">
        <f t="shared" si="23"/>
        <v>0.16617188467696264</v>
      </c>
      <c r="U231" s="98">
        <f t="shared" si="23"/>
        <v>0.19488332871133895</v>
      </c>
      <c r="V231" s="98">
        <f t="shared" si="23"/>
        <v>0.1477118047426127</v>
      </c>
      <c r="W231" s="98">
        <f t="shared" si="23"/>
        <v>4.5250346854630585E-3</v>
      </c>
      <c r="X231" s="98">
        <f t="shared" si="23"/>
        <v>0.17475290402147792</v>
      </c>
      <c r="Y231" s="98">
        <f t="shared" si="23"/>
        <v>9.8382644144348053E-2</v>
      </c>
      <c r="Z231" s="98">
        <f t="shared" si="23"/>
        <v>0.25318872387722591</v>
      </c>
      <c r="AA231" s="98">
        <f t="shared" si="23"/>
        <v>0.25338192609730825</v>
      </c>
      <c r="AB231" s="98">
        <f t="shared" si="23"/>
        <v>0.25552789445781254</v>
      </c>
      <c r="AC231" s="98">
        <f t="shared" si="23"/>
        <v>0.2559562229097665</v>
      </c>
      <c r="AD231" s="98">
        <f t="shared" si="23"/>
        <v>0.16468795590591956</v>
      </c>
      <c r="AE231" s="98">
        <f t="shared" si="23"/>
        <v>0.15057982760814781</v>
      </c>
    </row>
    <row r="232" spans="1:34" s="294" customFormat="1">
      <c r="C232" s="10"/>
      <c r="D232" s="29"/>
      <c r="E232" s="487" t="s">
        <v>708</v>
      </c>
      <c r="F232" s="99"/>
      <c r="G232" s="99">
        <f t="shared" ref="G232:AE232" si="24">G119-F119</f>
        <v>-3.3849593859787142E-2</v>
      </c>
      <c r="H232" s="99">
        <f t="shared" si="24"/>
        <v>-0.32675804925327934</v>
      </c>
      <c r="I232" s="99">
        <f t="shared" si="24"/>
        <v>-0.15876774422843365</v>
      </c>
      <c r="J232" s="99">
        <f t="shared" si="24"/>
        <v>0.16793347085595567</v>
      </c>
      <c r="K232" s="99">
        <f t="shared" si="24"/>
        <v>3.2968867940948332E-2</v>
      </c>
      <c r="L232" s="99">
        <f t="shared" si="24"/>
        <v>2.3239578283304363E-2</v>
      </c>
      <c r="M232" s="99">
        <f t="shared" si="24"/>
        <v>8.2468882782557484E-2</v>
      </c>
      <c r="N232" s="99">
        <f t="shared" si="24"/>
        <v>-0.28339141135100143</v>
      </c>
      <c r="O232" s="99">
        <f t="shared" si="24"/>
        <v>-0.58973956946485595</v>
      </c>
      <c r="P232" s="99">
        <f t="shared" si="24"/>
        <v>-0.33886245998615427</v>
      </c>
      <c r="Q232" s="99">
        <f t="shared" si="24"/>
        <v>0.44730906301347417</v>
      </c>
      <c r="R232" s="99">
        <f t="shared" si="24"/>
        <v>-0.60062076678191323</v>
      </c>
      <c r="S232" s="99">
        <f t="shared" si="24"/>
        <v>-0.22103316948847418</v>
      </c>
      <c r="T232" s="99">
        <f t="shared" si="24"/>
        <v>-0.16654324782525709</v>
      </c>
      <c r="U232" s="99">
        <f t="shared" si="24"/>
        <v>-0.35927191956111226</v>
      </c>
      <c r="V232" s="99">
        <f t="shared" si="24"/>
        <v>-0.15025601658815457</v>
      </c>
      <c r="W232" s="99">
        <f t="shared" si="24"/>
        <v>-0.12402448377122166</v>
      </c>
      <c r="X232" s="99">
        <f t="shared" si="24"/>
        <v>-0.14857012259098434</v>
      </c>
      <c r="Y232" s="99">
        <f t="shared" si="24"/>
        <v>-0.19055463911348847</v>
      </c>
      <c r="Z232" s="99">
        <f t="shared" si="24"/>
        <v>-8.2798156974513759E-2</v>
      </c>
      <c r="AA232" s="99">
        <f t="shared" si="24"/>
        <v>-3.7733727604683409E-2</v>
      </c>
      <c r="AB232" s="99">
        <f t="shared" si="24"/>
        <v>4.244982677352116E-2</v>
      </c>
      <c r="AC232" s="99">
        <f t="shared" si="24"/>
        <v>-6.5797423408326061E-2</v>
      </c>
      <c r="AD232" s="99">
        <f t="shared" si="24"/>
        <v>-7.8171930652296773E-2</v>
      </c>
      <c r="AE232" s="99">
        <f t="shared" si="24"/>
        <v>0.39896698994949764</v>
      </c>
    </row>
    <row r="233" spans="1:34" s="294" customFormat="1">
      <c r="C233" s="10"/>
      <c r="D233" s="29"/>
      <c r="E233" s="16" t="s">
        <v>699</v>
      </c>
      <c r="F233" s="99"/>
      <c r="G233" s="99">
        <f t="shared" ref="G233:AE233" si="25">G120-F120</f>
        <v>0</v>
      </c>
      <c r="H233" s="99">
        <f t="shared" si="25"/>
        <v>9.9363640268897269E-2</v>
      </c>
      <c r="I233" s="99">
        <f t="shared" si="25"/>
        <v>0.31946584740793482</v>
      </c>
      <c r="J233" s="99">
        <f t="shared" si="25"/>
        <v>9.5670959943539302E-2</v>
      </c>
      <c r="K233" s="99">
        <f t="shared" si="25"/>
        <v>8.1419828974933828E-2</v>
      </c>
      <c r="L233" s="99">
        <f t="shared" si="25"/>
        <v>4.3371042083631184E-2</v>
      </c>
      <c r="M233" s="99">
        <f t="shared" si="25"/>
        <v>-0.21940630212797818</v>
      </c>
      <c r="N233" s="99">
        <f t="shared" si="25"/>
        <v>1.7385535931581375E-2</v>
      </c>
      <c r="O233" s="99">
        <f t="shared" si="25"/>
        <v>-1.6391764286355026E-2</v>
      </c>
      <c r="P233" s="99">
        <f t="shared" si="25"/>
        <v>0.12516112168795229</v>
      </c>
      <c r="Q233" s="99">
        <f t="shared" si="25"/>
        <v>0.22223351269594116</v>
      </c>
      <c r="R233" s="99">
        <f t="shared" si="25"/>
        <v>-0.34122185409784617</v>
      </c>
      <c r="S233" s="99">
        <f t="shared" si="25"/>
        <v>-1.0614544769775747E-2</v>
      </c>
      <c r="T233" s="99">
        <f t="shared" si="25"/>
        <v>-9.5169145231900343E-3</v>
      </c>
      <c r="U233" s="99">
        <f t="shared" si="25"/>
        <v>-3.0192859281925111E-2</v>
      </c>
      <c r="V233" s="99">
        <f t="shared" si="25"/>
        <v>-2.925721404879883E-2</v>
      </c>
      <c r="W233" s="99">
        <f t="shared" si="25"/>
        <v>-3.5968544157792381E-2</v>
      </c>
      <c r="X233" s="99">
        <f t="shared" si="25"/>
        <v>-2.8384293048844156E-2</v>
      </c>
      <c r="Y233" s="99">
        <f t="shared" si="25"/>
        <v>-3.0796511001442817E-2</v>
      </c>
      <c r="Z233" s="99">
        <f t="shared" si="25"/>
        <v>-3.6828976435225869E-2</v>
      </c>
      <c r="AA233" s="99">
        <f t="shared" si="25"/>
        <v>-5.1900018261344411E-2</v>
      </c>
      <c r="AB233" s="99">
        <f t="shared" si="25"/>
        <v>-5.0292607492410241E-2</v>
      </c>
      <c r="AC233" s="99">
        <f t="shared" si="25"/>
        <v>-2.6852470714073262E-2</v>
      </c>
      <c r="AD233" s="99">
        <f t="shared" si="25"/>
        <v>-1.1977604653448076E-2</v>
      </c>
      <c r="AE233" s="99">
        <f t="shared" si="25"/>
        <v>1.732077582189695E-2</v>
      </c>
    </row>
    <row r="234" spans="1:34" s="294" customFormat="1">
      <c r="C234" s="10"/>
      <c r="D234" s="29"/>
      <c r="E234" s="16" t="s">
        <v>700</v>
      </c>
      <c r="F234" s="99"/>
      <c r="G234" s="99">
        <f t="shared" ref="G234:AE234" si="26">G121-F121</f>
        <v>0.27301911687690317</v>
      </c>
      <c r="H234" s="99">
        <f t="shared" si="26"/>
        <v>-9.2504099442375559E-2</v>
      </c>
      <c r="I234" s="99">
        <f t="shared" si="26"/>
        <v>0.48936061812031861</v>
      </c>
      <c r="J234" s="99">
        <f t="shared" si="26"/>
        <v>-8.9380559378932189E-2</v>
      </c>
      <c r="K234" s="99">
        <f t="shared" si="26"/>
        <v>-0.96561811872426984</v>
      </c>
      <c r="L234" s="99">
        <f t="shared" si="26"/>
        <v>-0.30758906772849398</v>
      </c>
      <c r="M234" s="99">
        <f t="shared" si="26"/>
        <v>0.13761422953461544</v>
      </c>
      <c r="N234" s="99">
        <f t="shared" si="26"/>
        <v>-0.38927135474130536</v>
      </c>
      <c r="O234" s="99">
        <f t="shared" si="26"/>
        <v>-8.5231019253715457E-2</v>
      </c>
      <c r="P234" s="99">
        <f t="shared" si="26"/>
        <v>0.41413465989858733</v>
      </c>
      <c r="Q234" s="99">
        <f t="shared" si="26"/>
        <v>1.7999692025597251</v>
      </c>
      <c r="R234" s="99">
        <f t="shared" si="26"/>
        <v>-1.1845036077210573</v>
      </c>
      <c r="S234" s="99">
        <f t="shared" si="26"/>
        <v>-0.15803383786392977</v>
      </c>
      <c r="T234" s="99">
        <f t="shared" si="26"/>
        <v>3.2569292456547105E-2</v>
      </c>
      <c r="U234" s="99">
        <f t="shared" si="26"/>
        <v>2.6443873742172552E-2</v>
      </c>
      <c r="V234" s="99">
        <f t="shared" si="26"/>
        <v>6.621219096062661E-2</v>
      </c>
      <c r="W234" s="99">
        <f t="shared" si="26"/>
        <v>4.4289453821417982E-2</v>
      </c>
      <c r="X234" s="99">
        <f t="shared" si="26"/>
        <v>4.8368077512761648E-2</v>
      </c>
      <c r="Y234" s="99">
        <f t="shared" si="26"/>
        <v>4.3198399962412447E-2</v>
      </c>
      <c r="Z234" s="99">
        <f t="shared" si="26"/>
        <v>4.9758147314023102E-2</v>
      </c>
      <c r="AA234" s="99">
        <f t="shared" si="26"/>
        <v>4.5064863781853759E-2</v>
      </c>
      <c r="AB234" s="99">
        <f t="shared" si="26"/>
        <v>5.5617714482219888E-2</v>
      </c>
      <c r="AC234" s="99">
        <f t="shared" si="26"/>
        <v>4.6212324341335931E-2</v>
      </c>
      <c r="AD234" s="99">
        <f t="shared" si="26"/>
        <v>3.3499146969688476E-2</v>
      </c>
      <c r="AE234" s="99">
        <f t="shared" si="26"/>
        <v>1.9903883834333835E-2</v>
      </c>
    </row>
    <row r="235" spans="1:34" s="294" customFormat="1" ht="26.4">
      <c r="C235" s="10"/>
      <c r="D235" s="29"/>
      <c r="E235" s="487" t="s">
        <v>701</v>
      </c>
      <c r="F235" s="99"/>
      <c r="G235" s="99">
        <f t="shared" ref="G235:AE235" si="27">G123-F123</f>
        <v>0.2044365729849198</v>
      </c>
      <c r="H235" s="99">
        <f t="shared" si="27"/>
        <v>-0.23736167483289211</v>
      </c>
      <c r="I235" s="99">
        <f t="shared" si="27"/>
        <v>-5.5892797263081051E-2</v>
      </c>
      <c r="J235" s="99">
        <f t="shared" si="27"/>
        <v>3.5504435661769251E-3</v>
      </c>
      <c r="K235" s="99">
        <f t="shared" si="27"/>
        <v>-8.1440415531695565E-2</v>
      </c>
      <c r="L235" s="99">
        <f t="shared" si="27"/>
        <v>-4.1305258452051102E-2</v>
      </c>
      <c r="M235" s="99">
        <f t="shared" si="27"/>
        <v>-3.7241957335622272E-2</v>
      </c>
      <c r="N235" s="99">
        <f t="shared" si="27"/>
        <v>6.0259891457742576E-2</v>
      </c>
      <c r="O235" s="99">
        <f t="shared" si="27"/>
        <v>3.8252944511957765E-2</v>
      </c>
      <c r="P235" s="99">
        <f t="shared" si="27"/>
        <v>5.3690056943824324E-2</v>
      </c>
      <c r="Q235" s="99">
        <f t="shared" si="27"/>
        <v>-2.3348030746388887E-3</v>
      </c>
      <c r="R235" s="99">
        <f t="shared" si="27"/>
        <v>-1.4581075079773451E-2</v>
      </c>
      <c r="S235" s="99">
        <f t="shared" si="27"/>
        <v>2.6680683939221683E-4</v>
      </c>
      <c r="T235" s="99">
        <f t="shared" si="27"/>
        <v>9.8248915115781155E-4</v>
      </c>
      <c r="U235" s="99">
        <f t="shared" si="27"/>
        <v>5.4656436607114778E-3</v>
      </c>
      <c r="V235" s="99">
        <f t="shared" si="27"/>
        <v>6.2090439908494E-3</v>
      </c>
      <c r="W235" s="99">
        <f t="shared" si="27"/>
        <v>8.2692498962946143E-3</v>
      </c>
      <c r="X235" s="99">
        <f t="shared" si="27"/>
        <v>5.721319701709679E-3</v>
      </c>
      <c r="Y235" s="99">
        <f t="shared" si="27"/>
        <v>1.8304524869793282E-3</v>
      </c>
      <c r="Z235" s="99">
        <f t="shared" si="27"/>
        <v>4.982758418763486E-3</v>
      </c>
      <c r="AA235" s="99">
        <f t="shared" si="27"/>
        <v>8.5550822950262173E-3</v>
      </c>
      <c r="AB235" s="99">
        <f t="shared" si="27"/>
        <v>1.5703890429589439E-2</v>
      </c>
      <c r="AC235" s="99">
        <f t="shared" si="27"/>
        <v>1.6496187534260146E-3</v>
      </c>
      <c r="AD235" s="99">
        <f t="shared" si="27"/>
        <v>2.2171514130597467E-3</v>
      </c>
      <c r="AE235" s="99">
        <f t="shared" si="27"/>
        <v>-1.5288749333471074E-4</v>
      </c>
    </row>
    <row r="236" spans="1:34" s="294" customFormat="1">
      <c r="C236" s="10"/>
      <c r="D236" s="29"/>
      <c r="E236" s="298" t="s">
        <v>709</v>
      </c>
      <c r="F236" s="100"/>
      <c r="G236" s="100">
        <f t="shared" ref="G236:AE236" si="28">G124-F124</f>
        <v>1.0396763362650057</v>
      </c>
      <c r="H236" s="100">
        <f t="shared" si="28"/>
        <v>0.61763287882386564</v>
      </c>
      <c r="I236" s="100">
        <f t="shared" si="28"/>
        <v>1.0922110520527628</v>
      </c>
      <c r="J236" s="100">
        <f t="shared" si="28"/>
        <v>0.78456804456258311</v>
      </c>
      <c r="K236" s="100">
        <f t="shared" si="28"/>
        <v>0.57736249296061892</v>
      </c>
      <c r="L236" s="100">
        <f t="shared" si="28"/>
        <v>4.5887018138008884E-3</v>
      </c>
      <c r="M236" s="100">
        <f t="shared" si="28"/>
        <v>2.9358550807483397E-2</v>
      </c>
      <c r="N236" s="100">
        <f t="shared" si="28"/>
        <v>3.170204612085481E-2</v>
      </c>
      <c r="O236" s="100">
        <f t="shared" si="28"/>
        <v>-9.5768821647892466E-2</v>
      </c>
      <c r="P236" s="100">
        <f t="shared" si="28"/>
        <v>-0.16363011732118249</v>
      </c>
      <c r="Q236" s="100">
        <f t="shared" si="28"/>
        <v>0.14516487331517514</v>
      </c>
      <c r="R236" s="100">
        <f t="shared" si="28"/>
        <v>-0.15683186089794532</v>
      </c>
      <c r="S236" s="100">
        <f t="shared" si="28"/>
        <v>-0.18088261909426162</v>
      </c>
      <c r="T236" s="100">
        <f t="shared" si="28"/>
        <v>-0.1592263680560313</v>
      </c>
      <c r="U236" s="100">
        <f t="shared" si="28"/>
        <v>-0.34429137417635669</v>
      </c>
      <c r="V236" s="100">
        <f t="shared" si="28"/>
        <v>-0.49128506629195545</v>
      </c>
      <c r="W236" s="100">
        <f t="shared" si="28"/>
        <v>-0.48824553677374283</v>
      </c>
      <c r="X236" s="100">
        <f t="shared" si="28"/>
        <v>-0.50497565194627025</v>
      </c>
      <c r="Y236" s="100">
        <f t="shared" si="28"/>
        <v>-0.42293364087522001</v>
      </c>
      <c r="Z236" s="100">
        <f t="shared" si="28"/>
        <v>-0.78918959924190668</v>
      </c>
      <c r="AA236" s="100">
        <f t="shared" si="28"/>
        <v>-1.0892035851433919</v>
      </c>
      <c r="AB236" s="100">
        <f t="shared" si="28"/>
        <v>-1.1518917365344274</v>
      </c>
      <c r="AC236" s="100">
        <f t="shared" si="28"/>
        <v>-0.6393495968227535</v>
      </c>
      <c r="AD236" s="100">
        <f t="shared" si="28"/>
        <v>-0.28835992089081675</v>
      </c>
      <c r="AE236" s="100">
        <f t="shared" si="28"/>
        <v>-0.26071433303269553</v>
      </c>
    </row>
    <row r="237" spans="1:34" s="294" customFormat="1">
      <c r="C237" s="10"/>
      <c r="D237" s="29"/>
      <c r="E237" s="196" t="s">
        <v>703</v>
      </c>
      <c r="F237" s="101"/>
      <c r="G237" s="101">
        <f t="shared" ref="G237:AE237" si="29">G125-F125</f>
        <v>1.483000000000001</v>
      </c>
      <c r="H237" s="101">
        <f t="shared" si="29"/>
        <v>6.1999999999999833E-2</v>
      </c>
      <c r="I237" s="101">
        <f t="shared" si="29"/>
        <v>1.6849999999999987</v>
      </c>
      <c r="J237" s="101">
        <f t="shared" si="29"/>
        <v>0.96300000000000008</v>
      </c>
      <c r="K237" s="101">
        <f t="shared" si="29"/>
        <v>-6.9999999999999396E-2</v>
      </c>
      <c r="L237" s="101">
        <f t="shared" si="29"/>
        <v>0.16949239519145021</v>
      </c>
      <c r="M237" s="101">
        <f t="shared" si="29"/>
        <v>0.52337834979991182</v>
      </c>
      <c r="N237" s="101">
        <f t="shared" si="29"/>
        <v>-8.2126886616701533E-2</v>
      </c>
      <c r="O237" s="101">
        <f t="shared" si="29"/>
        <v>-0.37481885497932144</v>
      </c>
      <c r="P237" s="101">
        <f t="shared" si="29"/>
        <v>0.35014818520184221</v>
      </c>
      <c r="Q237" s="101">
        <f t="shared" si="29"/>
        <v>-0.25570968900964708</v>
      </c>
      <c r="R237" s="101">
        <f t="shared" si="29"/>
        <v>-0.50053356787987813</v>
      </c>
      <c r="S237" s="101">
        <f t="shared" si="29"/>
        <v>-0.24577173411792153</v>
      </c>
      <c r="T237" s="101">
        <f t="shared" si="29"/>
        <v>-0.13667187926777657</v>
      </c>
      <c r="U237" s="101">
        <f t="shared" si="29"/>
        <v>-0.50678215871031806</v>
      </c>
      <c r="V237" s="101">
        <f t="shared" si="29"/>
        <v>-0.44876023528115727</v>
      </c>
      <c r="W237" s="101">
        <f t="shared" si="29"/>
        <v>-0.58905276750208646</v>
      </c>
      <c r="X237" s="101">
        <f t="shared" si="29"/>
        <v>-0.45121607514946449</v>
      </c>
      <c r="Y237" s="101">
        <f t="shared" si="29"/>
        <v>-0.49880119277950419</v>
      </c>
      <c r="Z237" s="101">
        <f t="shared" si="29"/>
        <v>-0.59851649829929077</v>
      </c>
      <c r="AA237" s="101">
        <f t="shared" si="29"/>
        <v>-0.86982383048799572</v>
      </c>
      <c r="AB237" s="101">
        <f t="shared" si="29"/>
        <v>-0.83123026302235492</v>
      </c>
      <c r="AC237" s="101">
        <f t="shared" si="29"/>
        <v>-0.427902350011725</v>
      </c>
      <c r="AD237" s="101">
        <f t="shared" si="29"/>
        <v>-0.17853264079331724</v>
      </c>
      <c r="AE237" s="101">
        <f t="shared" si="29"/>
        <v>0.32515752151987376</v>
      </c>
    </row>
    <row r="238" spans="1:34" s="294" customFormat="1">
      <c r="C238" s="10"/>
      <c r="D238" s="29"/>
      <c r="E238" s="196" t="s">
        <v>704</v>
      </c>
      <c r="F238" s="101"/>
      <c r="G238" s="101">
        <f t="shared" ref="G238:AE238" si="30">G126-F126</f>
        <v>1.483000000000001</v>
      </c>
      <c r="H238" s="101">
        <f t="shared" si="30"/>
        <v>6.1999999999999833E-2</v>
      </c>
      <c r="I238" s="101">
        <f t="shared" si="30"/>
        <v>1.6849999999999987</v>
      </c>
      <c r="J238" s="101">
        <f t="shared" si="30"/>
        <v>0.96300000000000008</v>
      </c>
      <c r="K238" s="101">
        <f t="shared" si="30"/>
        <v>-6.9999999999999396E-2</v>
      </c>
      <c r="L238" s="101">
        <f t="shared" si="30"/>
        <v>0.16949239519145021</v>
      </c>
      <c r="M238" s="101">
        <f t="shared" si="30"/>
        <v>0.52337834979991182</v>
      </c>
      <c r="N238" s="101">
        <f t="shared" si="30"/>
        <v>-8.2126886616701533E-2</v>
      </c>
      <c r="O238" s="101">
        <f t="shared" si="30"/>
        <v>-0.37481885497932144</v>
      </c>
      <c r="P238" s="101">
        <f t="shared" si="30"/>
        <v>0.35014818520184221</v>
      </c>
      <c r="Q238" s="101">
        <f t="shared" si="30"/>
        <v>-0.2557096890096453</v>
      </c>
      <c r="R238" s="101">
        <f t="shared" si="30"/>
        <v>-0.15481709463622018</v>
      </c>
      <c r="S238" s="101">
        <f t="shared" si="30"/>
        <v>-0.60778694984710846</v>
      </c>
      <c r="T238" s="101">
        <f t="shared" si="30"/>
        <v>-0.13989154221113598</v>
      </c>
      <c r="U238" s="101">
        <f t="shared" si="30"/>
        <v>-0.5084141913771596</v>
      </c>
      <c r="V238" s="101">
        <f t="shared" si="30"/>
        <v>-0.45092422573741864</v>
      </c>
      <c r="W238" s="101">
        <f t="shared" si="30"/>
        <v>-0.59126316455570649</v>
      </c>
      <c r="X238" s="101">
        <f t="shared" si="30"/>
        <v>-0.45303707895554091</v>
      </c>
      <c r="Y238" s="101">
        <f t="shared" si="30"/>
        <v>-0.50023317897059494</v>
      </c>
      <c r="Z238" s="101">
        <f t="shared" si="30"/>
        <v>-0.59955602595722501</v>
      </c>
      <c r="AA238" s="101">
        <f t="shared" si="30"/>
        <v>-0.87048345834500918</v>
      </c>
      <c r="AB238" s="101">
        <f t="shared" si="30"/>
        <v>-0.83150939025298842</v>
      </c>
      <c r="AC238" s="101">
        <f t="shared" si="30"/>
        <v>-0.42782170015667187</v>
      </c>
      <c r="AD238" s="101">
        <f t="shared" si="30"/>
        <v>-0.17807548350500912</v>
      </c>
      <c r="AE238" s="101">
        <f t="shared" si="30"/>
        <v>0.32548043077437594</v>
      </c>
    </row>
    <row r="239" spans="1:34" s="294" customFormat="1">
      <c r="C239" s="10"/>
      <c r="D239" s="29"/>
      <c r="E239" s="36"/>
      <c r="F239" s="324"/>
      <c r="G239" s="324"/>
      <c r="H239" s="324"/>
      <c r="I239" s="324"/>
      <c r="J239" s="324"/>
      <c r="K239" s="324"/>
      <c r="L239" s="324"/>
      <c r="M239" s="324"/>
      <c r="N239" s="324"/>
      <c r="O239" s="324"/>
      <c r="P239" s="324"/>
      <c r="Q239" s="324"/>
      <c r="R239" s="324"/>
      <c r="S239" s="324"/>
      <c r="T239" s="324"/>
      <c r="U239" s="324"/>
      <c r="V239" s="324"/>
      <c r="W239" s="324"/>
      <c r="X239" s="324"/>
      <c r="Y239" s="324"/>
      <c r="Z239" s="324"/>
      <c r="AA239" s="324"/>
      <c r="AB239" s="324"/>
      <c r="AC239" s="324"/>
      <c r="AD239" s="324"/>
      <c r="AE239" s="324"/>
    </row>
    <row r="240" spans="1:34" s="294" customFormat="1">
      <c r="C240" s="10"/>
      <c r="D240" s="29"/>
      <c r="E240" s="36"/>
      <c r="F240" s="324"/>
      <c r="G240" s="324"/>
      <c r="H240" s="324"/>
      <c r="I240" s="324"/>
      <c r="J240" s="324"/>
      <c r="K240" s="324"/>
      <c r="L240" s="324"/>
      <c r="M240" s="324"/>
      <c r="N240" s="324"/>
      <c r="O240" s="324"/>
      <c r="P240" s="324"/>
      <c r="Q240" s="324"/>
      <c r="R240" s="324"/>
      <c r="S240" s="324"/>
      <c r="T240" s="324"/>
      <c r="U240" s="324"/>
      <c r="V240" s="324"/>
      <c r="W240" s="324"/>
      <c r="X240" s="324"/>
      <c r="Y240" s="324"/>
      <c r="Z240" s="324"/>
      <c r="AA240" s="324"/>
      <c r="AB240" s="324"/>
      <c r="AC240" s="324"/>
      <c r="AD240" s="324"/>
      <c r="AE240" s="324"/>
    </row>
    <row r="241" spans="3:31" s="294" customFormat="1">
      <c r="C241" s="10"/>
      <c r="D241" s="29"/>
      <c r="E241" s="36" t="s">
        <v>745</v>
      </c>
      <c r="F241" s="324"/>
      <c r="G241" s="324"/>
      <c r="H241" s="324"/>
      <c r="I241" s="324"/>
      <c r="J241" s="324"/>
      <c r="K241" s="324"/>
      <c r="L241" s="324"/>
      <c r="M241" s="324"/>
      <c r="N241" s="324"/>
      <c r="O241" s="324"/>
      <c r="P241" s="324"/>
      <c r="Q241" s="324"/>
      <c r="R241" s="324"/>
      <c r="S241" s="324"/>
      <c r="T241" s="324"/>
      <c r="U241" s="324"/>
      <c r="V241" s="324"/>
      <c r="W241" s="324"/>
      <c r="X241" s="324"/>
      <c r="Y241" s="324"/>
      <c r="Z241" s="324"/>
      <c r="AA241" s="324"/>
      <c r="AB241" s="324"/>
      <c r="AC241" s="324"/>
      <c r="AD241" s="324"/>
      <c r="AE241" s="324"/>
    </row>
    <row r="242" spans="3:31" s="294" customFormat="1">
      <c r="C242" s="10"/>
      <c r="D242" s="29"/>
      <c r="E242" s="36" t="s">
        <v>736</v>
      </c>
      <c r="F242" s="324">
        <v>600</v>
      </c>
      <c r="G242" s="324">
        <v>600</v>
      </c>
      <c r="H242" s="324">
        <v>600</v>
      </c>
      <c r="I242" s="324">
        <v>600</v>
      </c>
      <c r="J242" s="324">
        <v>600</v>
      </c>
      <c r="K242" s="324">
        <v>600</v>
      </c>
      <c r="L242" s="324">
        <v>600</v>
      </c>
      <c r="M242" s="324">
        <v>600</v>
      </c>
      <c r="N242" s="324">
        <v>600</v>
      </c>
      <c r="O242" s="324">
        <v>600</v>
      </c>
      <c r="P242" s="324">
        <v>600</v>
      </c>
      <c r="Q242" s="324">
        <v>600</v>
      </c>
      <c r="R242" s="324">
        <v>600</v>
      </c>
      <c r="S242" s="324">
        <v>600</v>
      </c>
      <c r="T242" s="324">
        <v>600</v>
      </c>
      <c r="U242" s="324">
        <v>600</v>
      </c>
      <c r="V242" s="324">
        <v>600</v>
      </c>
      <c r="W242" s="324">
        <v>600</v>
      </c>
      <c r="X242" s="324">
        <v>600</v>
      </c>
      <c r="Y242" s="324">
        <v>600</v>
      </c>
      <c r="Z242" s="324">
        <v>600</v>
      </c>
      <c r="AA242" s="324">
        <v>600</v>
      </c>
      <c r="AB242" s="324">
        <v>600</v>
      </c>
      <c r="AC242" s="324">
        <v>600</v>
      </c>
      <c r="AD242" s="324">
        <v>600</v>
      </c>
      <c r="AE242" s="324">
        <v>600</v>
      </c>
    </row>
    <row r="243" spans="3:31" s="294" customFormat="1">
      <c r="C243" s="10"/>
      <c r="D243" s="29"/>
      <c r="E243" s="36" t="s">
        <v>737</v>
      </c>
      <c r="F243" s="324">
        <f>F222</f>
        <v>90.230999999999995</v>
      </c>
      <c r="G243" s="324">
        <f t="shared" ref="G243:AE243" si="31">G222</f>
        <v>110.32713299999998</v>
      </c>
      <c r="H243" s="324">
        <f t="shared" si="31"/>
        <v>113.51865999999998</v>
      </c>
      <c r="I243" s="324">
        <f t="shared" si="31"/>
        <v>134.44289299999997</v>
      </c>
      <c r="J243" s="324">
        <f t="shared" si="31"/>
        <v>149.23655299999999</v>
      </c>
      <c r="K243" s="324">
        <f t="shared" si="31"/>
        <v>160.48758199999997</v>
      </c>
      <c r="L243" s="324">
        <f t="shared" si="31"/>
        <v>176.427021</v>
      </c>
      <c r="M243" s="324">
        <f t="shared" si="31"/>
        <v>187.22620899999998</v>
      </c>
      <c r="N243" s="324">
        <f t="shared" si="31"/>
        <v>203.875407</v>
      </c>
      <c r="O243" s="324">
        <f t="shared" si="31"/>
        <v>217.00349199999999</v>
      </c>
      <c r="P243" s="324">
        <f t="shared" si="31"/>
        <v>225.61901599999999</v>
      </c>
      <c r="Q243" s="324">
        <f t="shared" si="31"/>
        <v>228.27263399999998</v>
      </c>
      <c r="R243" s="324">
        <f t="shared" si="31"/>
        <v>229.01003555681189</v>
      </c>
      <c r="S243" s="324">
        <f t="shared" si="31"/>
        <v>235.07744578413579</v>
      </c>
      <c r="T243" s="324">
        <f t="shared" si="31"/>
        <v>242.07810684295646</v>
      </c>
      <c r="U243" s="324">
        <f t="shared" si="31"/>
        <v>247.6722417999047</v>
      </c>
      <c r="V243" s="324">
        <f t="shared" si="31"/>
        <v>253.34582705133863</v>
      </c>
      <c r="W243" s="324">
        <f t="shared" si="31"/>
        <v>257.36012654261856</v>
      </c>
      <c r="X243" s="324">
        <f t="shared" si="31"/>
        <v>263.11008792889032</v>
      </c>
      <c r="Y243" s="324">
        <f t="shared" si="31"/>
        <v>271.55432158107749</v>
      </c>
      <c r="Z243" s="324">
        <f t="shared" si="31"/>
        <v>273.00610780442537</v>
      </c>
      <c r="AA243" s="324">
        <f t="shared" si="31"/>
        <v>272.29175492739193</v>
      </c>
      <c r="AB243" s="324">
        <f t="shared" si="31"/>
        <v>267.56452804353341</v>
      </c>
      <c r="AC243" s="324">
        <f t="shared" si="31"/>
        <v>268.70694136220959</v>
      </c>
      <c r="AD243" s="324">
        <f t="shared" si="31"/>
        <v>270.80347769830371</v>
      </c>
      <c r="AE243" s="324">
        <f t="shared" si="31"/>
        <v>270.56229911660608</v>
      </c>
    </row>
    <row r="244" spans="3:31" s="294" customFormat="1">
      <c r="C244" s="10"/>
      <c r="D244" s="29"/>
      <c r="E244" s="36" t="s">
        <v>746</v>
      </c>
      <c r="F244" s="1043">
        <f>F243/F242</f>
        <v>0.15038499999999999</v>
      </c>
      <c r="G244" s="1043">
        <f t="shared" ref="G244:AE244" si="32">G243/G242</f>
        <v>0.18387855499999997</v>
      </c>
      <c r="H244" s="1043">
        <f t="shared" si="32"/>
        <v>0.18919776666666663</v>
      </c>
      <c r="I244" s="1043">
        <f t="shared" si="32"/>
        <v>0.22407148833333329</v>
      </c>
      <c r="J244" s="1043">
        <f t="shared" si="32"/>
        <v>0.2487275883333333</v>
      </c>
      <c r="K244" s="1043">
        <f t="shared" si="32"/>
        <v>0.26747930333333331</v>
      </c>
      <c r="L244" s="1043">
        <f t="shared" si="32"/>
        <v>0.29404503500000001</v>
      </c>
      <c r="M244" s="1043">
        <f t="shared" si="32"/>
        <v>0.31204368166666663</v>
      </c>
      <c r="N244" s="1043">
        <f t="shared" si="32"/>
        <v>0.339792345</v>
      </c>
      <c r="O244" s="1043">
        <f t="shared" si="32"/>
        <v>0.36167248666666668</v>
      </c>
      <c r="P244" s="1043">
        <f t="shared" si="32"/>
        <v>0.37603169333333331</v>
      </c>
      <c r="Q244" s="1043">
        <f t="shared" si="32"/>
        <v>0.38045438999999998</v>
      </c>
      <c r="R244" s="1043">
        <f t="shared" si="32"/>
        <v>0.38168339259468648</v>
      </c>
      <c r="S244" s="1043">
        <f t="shared" si="32"/>
        <v>0.39179574297355962</v>
      </c>
      <c r="T244" s="1043">
        <f t="shared" si="32"/>
        <v>0.40346351140492742</v>
      </c>
      <c r="U244" s="1043">
        <f t="shared" si="32"/>
        <v>0.41278706966650786</v>
      </c>
      <c r="V244" s="1043">
        <f t="shared" si="32"/>
        <v>0.42224304508556437</v>
      </c>
      <c r="W244" s="1043">
        <f t="shared" si="32"/>
        <v>0.42893354423769758</v>
      </c>
      <c r="X244" s="1043">
        <f t="shared" si="32"/>
        <v>0.43851681321481722</v>
      </c>
      <c r="Y244" s="1043">
        <f t="shared" si="32"/>
        <v>0.45259053596846249</v>
      </c>
      <c r="Z244" s="1043">
        <f t="shared" si="32"/>
        <v>0.45501017967404228</v>
      </c>
      <c r="AA244" s="1043">
        <f t="shared" si="32"/>
        <v>0.45381959154565321</v>
      </c>
      <c r="AB244" s="1043">
        <f t="shared" si="32"/>
        <v>0.44594088007255567</v>
      </c>
      <c r="AC244" s="1043">
        <f t="shared" si="32"/>
        <v>0.44784490227034934</v>
      </c>
      <c r="AD244" s="1043">
        <f t="shared" si="32"/>
        <v>0.45133912949717286</v>
      </c>
      <c r="AE244" s="1043">
        <f t="shared" si="32"/>
        <v>0.45093716519434346</v>
      </c>
    </row>
    <row r="245" spans="3:31" s="294" customFormat="1">
      <c r="C245" s="10"/>
      <c r="D245" s="29"/>
      <c r="E245" s="36"/>
      <c r="F245" s="324"/>
      <c r="G245" s="324"/>
      <c r="H245" s="324"/>
      <c r="I245" s="324"/>
      <c r="J245" s="324"/>
      <c r="K245" s="324"/>
      <c r="L245" s="324"/>
      <c r="M245" s="324"/>
      <c r="N245" s="324"/>
      <c r="O245" s="324"/>
      <c r="P245" s="324"/>
      <c r="Q245" s="324"/>
      <c r="R245" s="324"/>
      <c r="S245" s="324"/>
      <c r="T245" s="324"/>
      <c r="U245" s="324"/>
      <c r="V245" s="324"/>
      <c r="W245" s="324"/>
      <c r="X245" s="324"/>
      <c r="Y245" s="324"/>
      <c r="Z245" s="324"/>
      <c r="AA245" s="324"/>
      <c r="AB245" s="324"/>
      <c r="AC245" s="324"/>
      <c r="AD245" s="324"/>
      <c r="AE245" s="324"/>
    </row>
    <row r="246" spans="3:31" s="294" customFormat="1">
      <c r="C246" s="10"/>
      <c r="D246" s="29"/>
      <c r="E246" s="36"/>
      <c r="F246" s="324"/>
      <c r="G246" s="324"/>
      <c r="H246" s="324"/>
      <c r="I246" s="324"/>
      <c r="J246" s="324"/>
      <c r="K246" s="324"/>
      <c r="L246" s="324"/>
      <c r="M246" s="324"/>
      <c r="N246" s="324"/>
      <c r="O246" s="324"/>
      <c r="P246" s="324"/>
      <c r="Q246" s="324"/>
      <c r="R246" s="324"/>
      <c r="S246" s="324"/>
      <c r="T246" s="324"/>
      <c r="U246" s="324"/>
      <c r="V246" s="324"/>
      <c r="W246" s="324"/>
      <c r="X246" s="324"/>
      <c r="Y246" s="324"/>
      <c r="Z246" s="324"/>
      <c r="AA246" s="324"/>
      <c r="AB246" s="324"/>
      <c r="AC246" s="324"/>
      <c r="AD246" s="324"/>
      <c r="AE246" s="324"/>
    </row>
    <row r="247" spans="3:31" s="294" customFormat="1">
      <c r="C247" s="10"/>
      <c r="D247" s="29"/>
      <c r="E247" s="36"/>
      <c r="F247" s="324"/>
      <c r="G247" s="324"/>
      <c r="H247" s="324"/>
      <c r="I247" s="324"/>
      <c r="J247" s="324"/>
      <c r="K247" s="324"/>
      <c r="L247" s="348">
        <f t="shared" ref="L247:AD247" si="33">L220/K220</f>
        <v>1.0949367088607596</v>
      </c>
      <c r="M247" s="348">
        <f t="shared" si="33"/>
        <v>0.89248554913294798</v>
      </c>
      <c r="N247" s="348">
        <f t="shared" si="33"/>
        <v>0.91062176165803099</v>
      </c>
      <c r="O247" s="348">
        <f t="shared" si="33"/>
        <v>0.88193456614509247</v>
      </c>
      <c r="P247" s="348">
        <f t="shared" si="33"/>
        <v>1</v>
      </c>
      <c r="Q247" s="348">
        <f t="shared" si="33"/>
        <v>1</v>
      </c>
      <c r="R247" s="348">
        <f t="shared" si="33"/>
        <v>1</v>
      </c>
      <c r="S247" s="348">
        <f t="shared" si="33"/>
        <v>1</v>
      </c>
      <c r="T247" s="348">
        <f t="shared" si="33"/>
        <v>1</v>
      </c>
      <c r="U247" s="348">
        <f t="shared" si="33"/>
        <v>1</v>
      </c>
      <c r="V247" s="348">
        <f t="shared" si="33"/>
        <v>1</v>
      </c>
      <c r="W247" s="348">
        <f t="shared" si="33"/>
        <v>1</v>
      </c>
      <c r="X247" s="348">
        <f t="shared" si="33"/>
        <v>1</v>
      </c>
      <c r="Y247" s="348">
        <f t="shared" si="33"/>
        <v>1</v>
      </c>
      <c r="Z247" s="348">
        <f t="shared" si="33"/>
        <v>1</v>
      </c>
      <c r="AA247" s="348">
        <f t="shared" si="33"/>
        <v>1</v>
      </c>
      <c r="AB247" s="348">
        <f t="shared" si="33"/>
        <v>1</v>
      </c>
      <c r="AC247" s="348">
        <f t="shared" si="33"/>
        <v>1</v>
      </c>
      <c r="AD247" s="348">
        <f t="shared" si="33"/>
        <v>1</v>
      </c>
      <c r="AE247" s="348">
        <f>AE220/AD220</f>
        <v>1</v>
      </c>
    </row>
    <row r="248" spans="3:31" s="294" customFormat="1">
      <c r="C248" s="10"/>
      <c r="D248" s="29"/>
      <c r="E248" s="36"/>
      <c r="F248" s="324"/>
      <c r="G248" s="324"/>
      <c r="H248" s="324"/>
      <c r="I248" s="324"/>
      <c r="J248" s="324"/>
      <c r="K248" s="324"/>
      <c r="L248" s="1044">
        <f>1-L247</f>
        <v>-9.4936708860759556E-2</v>
      </c>
      <c r="M248" s="1044">
        <f t="shared" ref="M248:AE248" si="34">1-M247</f>
        <v>0.10751445086705202</v>
      </c>
      <c r="N248" s="1044">
        <f t="shared" si="34"/>
        <v>8.9378238341969007E-2</v>
      </c>
      <c r="O248" s="1044">
        <f t="shared" si="34"/>
        <v>0.11806543385490753</v>
      </c>
      <c r="P248" s="1044">
        <f t="shared" si="34"/>
        <v>0</v>
      </c>
      <c r="Q248" s="1044">
        <f t="shared" si="34"/>
        <v>0</v>
      </c>
      <c r="R248" s="1044">
        <f t="shared" si="34"/>
        <v>0</v>
      </c>
      <c r="S248" s="1044">
        <f t="shared" si="34"/>
        <v>0</v>
      </c>
      <c r="T248" s="1044">
        <f t="shared" si="34"/>
        <v>0</v>
      </c>
      <c r="U248" s="1044">
        <f t="shared" si="34"/>
        <v>0</v>
      </c>
      <c r="V248" s="1044">
        <f t="shared" si="34"/>
        <v>0</v>
      </c>
      <c r="W248" s="1044">
        <f t="shared" si="34"/>
        <v>0</v>
      </c>
      <c r="X248" s="1044">
        <f t="shared" si="34"/>
        <v>0</v>
      </c>
      <c r="Y248" s="1044">
        <f t="shared" si="34"/>
        <v>0</v>
      </c>
      <c r="Z248" s="1044">
        <f t="shared" si="34"/>
        <v>0</v>
      </c>
      <c r="AA248" s="1044">
        <f t="shared" si="34"/>
        <v>0</v>
      </c>
      <c r="AB248" s="1044">
        <f t="shared" si="34"/>
        <v>0</v>
      </c>
      <c r="AC248" s="1044">
        <f t="shared" si="34"/>
        <v>0</v>
      </c>
      <c r="AD248" s="1044">
        <f t="shared" si="34"/>
        <v>0</v>
      </c>
      <c r="AE248" s="1044">
        <f t="shared" si="34"/>
        <v>0</v>
      </c>
    </row>
    <row r="249" spans="3:31" s="294" customFormat="1">
      <c r="C249" s="10"/>
      <c r="D249" s="29"/>
      <c r="E249" s="36"/>
      <c r="F249" s="324"/>
      <c r="G249" s="324"/>
      <c r="H249" s="324"/>
      <c r="I249" s="324"/>
      <c r="J249" s="324"/>
      <c r="K249" s="324"/>
      <c r="L249" s="324"/>
      <c r="M249" s="324"/>
      <c r="N249" s="324"/>
      <c r="O249" s="324"/>
      <c r="P249" s="324"/>
      <c r="Q249" s="324"/>
      <c r="R249" s="324"/>
      <c r="S249" s="324"/>
      <c r="T249" s="324"/>
      <c r="U249" s="324"/>
      <c r="V249" s="324"/>
      <c r="W249" s="324"/>
      <c r="X249" s="324"/>
      <c r="Y249" s="324"/>
      <c r="Z249" s="324"/>
      <c r="AA249" s="324"/>
      <c r="AB249" s="324"/>
      <c r="AC249" s="324"/>
      <c r="AD249" s="324"/>
      <c r="AE249" s="324"/>
    </row>
    <row r="250" spans="3:31" s="294" customFormat="1">
      <c r="C250" s="10"/>
      <c r="D250" s="29"/>
      <c r="E250" s="36"/>
      <c r="F250" s="1044">
        <f>1-F219/F219</f>
        <v>0</v>
      </c>
      <c r="G250" s="1044">
        <f>1-G219/F219</f>
        <v>-2.6148673888681806E-3</v>
      </c>
      <c r="H250" s="1044">
        <f t="shared" ref="H250:O250" si="35">1-H219/G219</f>
        <v>-6.5201192250372575E-3</v>
      </c>
      <c r="I250" s="1044">
        <f t="shared" si="35"/>
        <v>5.922635572829571E-3</v>
      </c>
      <c r="J250" s="1044">
        <f t="shared" si="35"/>
        <v>1.3445081855366192E-2</v>
      </c>
      <c r="K250" s="1044">
        <f t="shared" si="35"/>
        <v>1.7510889703047483E-2</v>
      </c>
      <c r="L250" s="1044">
        <f t="shared" si="35"/>
        <v>1.7287744909719516E-2</v>
      </c>
      <c r="M250" s="1044">
        <f t="shared" si="35"/>
        <v>-2.0141993745113274E-2</v>
      </c>
      <c r="N250" s="1044">
        <f t="shared" si="35"/>
        <v>-5.2411030088477251E-3</v>
      </c>
      <c r="O250" s="1044">
        <f t="shared" si="35"/>
        <v>-2.2103661558401821E-2</v>
      </c>
      <c r="P250" s="1044">
        <f>1-P219/O219</f>
        <v>-4.2542891968377905E-3</v>
      </c>
      <c r="Q250" s="324"/>
      <c r="R250" s="324"/>
      <c r="S250" s="324"/>
      <c r="T250" s="324"/>
      <c r="U250" s="324"/>
      <c r="V250" s="324"/>
      <c r="W250" s="324"/>
      <c r="X250" s="324"/>
      <c r="Y250" s="324"/>
      <c r="Z250" s="324"/>
      <c r="AA250" s="324"/>
      <c r="AB250" s="324"/>
      <c r="AC250" s="324"/>
      <c r="AD250" s="324"/>
      <c r="AE250" s="324"/>
    </row>
    <row r="251" spans="3:31" s="294" customFormat="1">
      <c r="C251" s="10"/>
      <c r="D251" s="29"/>
      <c r="E251" s="36"/>
      <c r="F251" s="324"/>
      <c r="G251" s="324"/>
      <c r="H251" s="324"/>
      <c r="I251" s="324"/>
      <c r="J251" s="324"/>
      <c r="K251" s="324"/>
      <c r="L251" s="324"/>
      <c r="M251" s="324"/>
      <c r="N251" s="324"/>
      <c r="O251" s="324"/>
      <c r="P251" s="324"/>
      <c r="Q251" s="324"/>
      <c r="R251" s="324"/>
      <c r="S251" s="324"/>
      <c r="T251" s="324"/>
      <c r="U251" s="324"/>
      <c r="V251" s="324"/>
      <c r="W251" s="324"/>
      <c r="X251" s="324"/>
      <c r="Y251" s="324"/>
      <c r="Z251" s="324"/>
      <c r="AA251" s="324"/>
      <c r="AB251" s="324"/>
      <c r="AC251" s="324"/>
      <c r="AD251" s="324"/>
      <c r="AE251" s="324"/>
    </row>
    <row r="252" spans="3:31" s="294" customFormat="1">
      <c r="C252" s="10"/>
      <c r="D252" s="29"/>
      <c r="E252" s="36"/>
      <c r="F252" s="324"/>
      <c r="G252" s="324"/>
      <c r="H252" s="324"/>
      <c r="I252" s="324"/>
      <c r="J252" s="324"/>
      <c r="K252" s="324"/>
      <c r="L252" s="324"/>
      <c r="M252" s="324"/>
      <c r="N252" s="324"/>
      <c r="O252" s="324"/>
      <c r="P252" s="324"/>
      <c r="Q252" s="324"/>
      <c r="R252" s="324"/>
      <c r="S252" s="324"/>
      <c r="T252" s="324"/>
      <c r="U252" s="324"/>
      <c r="V252" s="324"/>
      <c r="W252" s="324"/>
      <c r="X252" s="324"/>
      <c r="Y252" s="324"/>
      <c r="Z252" s="324"/>
      <c r="AA252" s="324"/>
      <c r="AB252" s="324"/>
      <c r="AC252" s="324"/>
      <c r="AD252" s="324"/>
      <c r="AE252" s="324"/>
    </row>
    <row r="253" spans="3:31" s="294" customFormat="1">
      <c r="C253" s="10"/>
      <c r="D253" s="29"/>
      <c r="E253" s="36"/>
      <c r="F253" s="324"/>
      <c r="G253" s="324"/>
      <c r="H253" s="324"/>
      <c r="I253" s="324"/>
      <c r="J253" s="324"/>
      <c r="K253" s="324"/>
      <c r="L253" s="324"/>
      <c r="M253" s="324"/>
      <c r="N253" s="324"/>
      <c r="O253" s="324"/>
      <c r="P253" s="324"/>
      <c r="Q253" s="324"/>
      <c r="R253" s="324"/>
      <c r="S253" s="324"/>
      <c r="T253" s="324"/>
      <c r="U253" s="324"/>
      <c r="V253" s="324"/>
      <c r="W253" s="324"/>
      <c r="X253" s="324"/>
      <c r="Y253" s="324"/>
      <c r="Z253" s="324"/>
      <c r="AA253" s="324"/>
      <c r="AB253" s="324"/>
      <c r="AC253" s="324"/>
      <c r="AD253" s="324"/>
      <c r="AE253" s="324"/>
    </row>
    <row r="254" spans="3:31" s="294" customFormat="1">
      <c r="C254" s="10"/>
      <c r="D254" s="29"/>
      <c r="E254" s="36"/>
      <c r="F254" s="324"/>
      <c r="G254" s="324"/>
      <c r="H254" s="324"/>
      <c r="I254" s="324"/>
      <c r="J254" s="324"/>
      <c r="K254" s="324"/>
      <c r="L254" s="324"/>
      <c r="M254" s="324"/>
      <c r="N254" s="324"/>
      <c r="O254" s="324"/>
      <c r="P254" s="324"/>
      <c r="Q254" s="324"/>
      <c r="R254" s="324"/>
      <c r="S254" s="324"/>
      <c r="T254" s="324"/>
      <c r="U254" s="324"/>
      <c r="V254" s="324"/>
      <c r="W254" s="324"/>
      <c r="X254" s="324"/>
      <c r="Y254" s="324"/>
      <c r="Z254" s="324"/>
      <c r="AA254" s="324"/>
      <c r="AB254" s="324"/>
      <c r="AC254" s="324"/>
      <c r="AD254" s="324"/>
      <c r="AE254" s="324"/>
    </row>
    <row r="255" spans="3:31" s="294" customFormat="1">
      <c r="C255" s="10"/>
      <c r="D255" s="29"/>
      <c r="E255" s="36"/>
      <c r="F255" s="324"/>
      <c r="G255" s="324"/>
      <c r="H255" s="324"/>
      <c r="I255" s="324"/>
      <c r="J255" s="324"/>
      <c r="K255" s="324"/>
      <c r="L255" s="324"/>
      <c r="M255" s="324"/>
      <c r="N255" s="324"/>
      <c r="O255" s="324"/>
      <c r="P255" s="324"/>
      <c r="Q255" s="324"/>
      <c r="R255" s="324"/>
      <c r="S255" s="324"/>
      <c r="T255" s="324"/>
      <c r="U255" s="324"/>
      <c r="V255" s="324"/>
      <c r="W255" s="324"/>
      <c r="X255" s="324"/>
      <c r="Y255" s="324"/>
      <c r="Z255" s="324"/>
      <c r="AA255" s="324"/>
      <c r="AB255" s="324"/>
      <c r="AC255" s="324"/>
      <c r="AD255" s="324"/>
      <c r="AE255" s="324"/>
    </row>
    <row r="256" spans="3:31" s="294" customFormat="1">
      <c r="C256" s="10"/>
      <c r="D256" s="29"/>
      <c r="E256" s="36"/>
      <c r="F256" s="324"/>
      <c r="G256" s="324"/>
      <c r="H256" s="324"/>
      <c r="I256" s="324"/>
      <c r="J256" s="324"/>
      <c r="K256" s="324"/>
      <c r="L256" s="324"/>
      <c r="M256" s="324"/>
      <c r="N256" s="324"/>
      <c r="O256" s="324"/>
      <c r="P256" s="324"/>
      <c r="Q256" s="324"/>
      <c r="R256" s="324"/>
      <c r="S256" s="324"/>
      <c r="T256" s="324"/>
      <c r="U256" s="324"/>
      <c r="V256" s="324"/>
      <c r="W256" s="324"/>
      <c r="X256" s="324"/>
      <c r="Y256" s="324"/>
      <c r="Z256" s="324"/>
      <c r="AA256" s="324"/>
      <c r="AB256" s="324"/>
      <c r="AC256" s="324"/>
      <c r="AD256" s="324"/>
      <c r="AE256" s="324"/>
    </row>
    <row r="257" spans="3:31" s="294" customFormat="1">
      <c r="C257" s="10"/>
      <c r="D257" s="29"/>
      <c r="E257" s="36"/>
      <c r="F257" s="324"/>
      <c r="G257" s="324"/>
      <c r="H257" s="324"/>
      <c r="I257" s="324"/>
      <c r="J257" s="324"/>
      <c r="K257" s="324"/>
      <c r="L257" s="324"/>
      <c r="M257" s="324"/>
      <c r="N257" s="324"/>
      <c r="O257" s="324"/>
      <c r="P257" s="324"/>
      <c r="Q257" s="324"/>
      <c r="R257" s="324"/>
      <c r="S257" s="324"/>
      <c r="T257" s="324"/>
      <c r="U257" s="324"/>
      <c r="V257" s="324"/>
      <c r="W257" s="324"/>
      <c r="X257" s="324"/>
      <c r="Y257" s="324"/>
      <c r="Z257" s="324"/>
      <c r="AA257" s="324"/>
      <c r="AB257" s="324"/>
      <c r="AC257" s="324"/>
      <c r="AD257" s="324"/>
      <c r="AE257" s="324"/>
    </row>
    <row r="258" spans="3:31" s="294" customFormat="1">
      <c r="C258" s="10"/>
      <c r="D258" s="29"/>
      <c r="E258" s="36"/>
      <c r="F258" s="324"/>
      <c r="G258" s="324"/>
      <c r="H258" s="324"/>
      <c r="I258" s="324"/>
      <c r="J258" s="324"/>
      <c r="K258" s="324"/>
      <c r="L258" s="324"/>
      <c r="M258" s="324"/>
      <c r="N258" s="324"/>
      <c r="O258" s="324"/>
      <c r="P258" s="324"/>
      <c r="Q258" s="324"/>
      <c r="R258" s="324"/>
      <c r="S258" s="324"/>
      <c r="T258" s="324"/>
      <c r="U258" s="324"/>
      <c r="V258" s="324"/>
      <c r="W258" s="324"/>
      <c r="X258" s="324"/>
      <c r="Y258" s="324"/>
      <c r="Z258" s="324"/>
      <c r="AA258" s="324"/>
      <c r="AB258" s="324"/>
      <c r="AC258" s="324"/>
      <c r="AD258" s="324"/>
      <c r="AE258" s="324"/>
    </row>
    <row r="259" spans="3:31" s="294" customFormat="1">
      <c r="C259" s="10"/>
      <c r="D259" s="29"/>
      <c r="E259" s="36"/>
      <c r="F259" s="324"/>
      <c r="G259" s="324"/>
      <c r="H259" s="324"/>
      <c r="I259" s="324"/>
      <c r="J259" s="324"/>
      <c r="K259" s="324"/>
      <c r="L259" s="324"/>
      <c r="M259" s="324"/>
      <c r="N259" s="324"/>
      <c r="O259" s="324"/>
      <c r="P259" s="324"/>
      <c r="Q259" s="324"/>
      <c r="R259" s="324"/>
      <c r="S259" s="324"/>
      <c r="T259" s="324"/>
      <c r="U259" s="324"/>
      <c r="V259" s="324"/>
      <c r="W259" s="324"/>
      <c r="X259" s="324"/>
      <c r="Y259" s="324"/>
      <c r="Z259" s="324"/>
      <c r="AA259" s="324"/>
      <c r="AB259" s="324"/>
      <c r="AC259" s="324"/>
      <c r="AD259" s="324"/>
      <c r="AE259" s="324"/>
    </row>
    <row r="260" spans="3:31" s="294" customFormat="1">
      <c r="C260" s="10"/>
      <c r="D260" s="29"/>
      <c r="E260" s="36"/>
      <c r="F260" s="324"/>
      <c r="G260" s="324"/>
      <c r="H260" s="324"/>
      <c r="I260" s="324"/>
      <c r="J260" s="324"/>
      <c r="K260" s="324"/>
      <c r="L260" s="324"/>
      <c r="M260" s="324"/>
      <c r="N260" s="324"/>
      <c r="O260" s="324"/>
      <c r="P260" s="324"/>
      <c r="Q260" s="324"/>
      <c r="R260" s="324"/>
      <c r="S260" s="324"/>
      <c r="T260" s="324"/>
      <c r="U260" s="324"/>
      <c r="V260" s="324"/>
      <c r="W260" s="324"/>
      <c r="X260" s="324"/>
      <c r="Y260" s="324"/>
      <c r="Z260" s="324"/>
      <c r="AA260" s="324"/>
      <c r="AB260" s="324"/>
      <c r="AC260" s="324"/>
      <c r="AD260" s="324"/>
      <c r="AE260" s="324"/>
    </row>
    <row r="261" spans="3:31" s="294" customFormat="1">
      <c r="C261" s="10"/>
      <c r="D261" s="29"/>
      <c r="E261" s="36"/>
      <c r="F261" s="324"/>
      <c r="G261" s="324"/>
      <c r="H261" s="324"/>
      <c r="I261" s="324"/>
      <c r="J261" s="324"/>
      <c r="K261" s="324"/>
      <c r="L261" s="324"/>
      <c r="M261" s="324"/>
      <c r="N261" s="324"/>
      <c r="O261" s="324"/>
      <c r="P261" s="324"/>
      <c r="Q261" s="324"/>
      <c r="R261" s="324"/>
      <c r="S261" s="324"/>
      <c r="T261" s="324"/>
      <c r="U261" s="324"/>
      <c r="V261" s="324"/>
      <c r="W261" s="324"/>
      <c r="X261" s="324"/>
      <c r="Y261" s="324"/>
      <c r="Z261" s="324"/>
      <c r="AA261" s="324"/>
      <c r="AB261" s="324"/>
      <c r="AC261" s="324"/>
      <c r="AD261" s="324"/>
      <c r="AE261" s="324"/>
    </row>
    <row r="262" spans="3:31" s="294" customFormat="1">
      <c r="C262" s="10"/>
      <c r="D262" s="29"/>
      <c r="E262" s="36"/>
      <c r="F262" s="324"/>
      <c r="G262" s="324"/>
      <c r="H262" s="324"/>
      <c r="I262" s="324"/>
      <c r="J262" s="324"/>
      <c r="K262" s="324"/>
      <c r="L262" s="324"/>
      <c r="M262" s="324"/>
      <c r="N262" s="324"/>
      <c r="O262" s="324"/>
      <c r="P262" s="324"/>
      <c r="Q262" s="324"/>
      <c r="R262" s="324"/>
      <c r="S262" s="324"/>
      <c r="T262" s="324"/>
      <c r="U262" s="324"/>
      <c r="V262" s="324"/>
      <c r="W262" s="324"/>
      <c r="X262" s="324"/>
      <c r="Y262" s="324"/>
      <c r="Z262" s="324"/>
      <c r="AA262" s="324"/>
      <c r="AB262" s="324"/>
      <c r="AC262" s="324"/>
      <c r="AD262" s="324"/>
      <c r="AE262" s="324"/>
    </row>
    <row r="263" spans="3:31" s="294" customFormat="1">
      <c r="C263" s="10"/>
      <c r="D263" s="29"/>
      <c r="E263" s="36"/>
      <c r="F263" s="324"/>
      <c r="G263" s="324"/>
      <c r="H263" s="324"/>
      <c r="I263" s="324"/>
      <c r="J263" s="324"/>
      <c r="K263" s="324"/>
      <c r="L263" s="324"/>
      <c r="M263" s="324"/>
      <c r="N263" s="324"/>
      <c r="O263" s="324"/>
      <c r="P263" s="324"/>
      <c r="Q263" s="324"/>
      <c r="R263" s="324"/>
      <c r="S263" s="324"/>
      <c r="T263" s="324"/>
      <c r="U263" s="324"/>
      <c r="V263" s="324"/>
      <c r="W263" s="324"/>
      <c r="X263" s="324"/>
      <c r="Y263" s="324"/>
      <c r="Z263" s="324"/>
      <c r="AA263" s="324"/>
      <c r="AB263" s="324"/>
      <c r="AC263" s="324"/>
      <c r="AD263" s="324"/>
      <c r="AE263" s="324"/>
    </row>
    <row r="264" spans="3:31" s="294" customFormat="1">
      <c r="C264" s="10"/>
      <c r="D264" s="29"/>
      <c r="E264" s="36"/>
      <c r="F264" s="324"/>
      <c r="G264" s="324"/>
      <c r="H264" s="324"/>
      <c r="I264" s="324"/>
      <c r="J264" s="324"/>
      <c r="K264" s="324"/>
      <c r="L264" s="324"/>
      <c r="M264" s="324"/>
      <c r="N264" s="324"/>
      <c r="O264" s="324"/>
      <c r="P264" s="324"/>
      <c r="Q264" s="324"/>
      <c r="R264" s="324"/>
      <c r="S264" s="324"/>
      <c r="T264" s="324"/>
      <c r="U264" s="324"/>
      <c r="V264" s="324"/>
      <c r="W264" s="324"/>
      <c r="X264" s="324"/>
      <c r="Y264" s="324"/>
      <c r="Z264" s="324"/>
      <c r="AA264" s="324"/>
      <c r="AB264" s="324"/>
      <c r="AC264" s="324"/>
      <c r="AD264" s="324"/>
      <c r="AE264" s="324"/>
    </row>
    <row r="265" spans="3:31" s="294" customFormat="1">
      <c r="C265" s="10"/>
      <c r="D265" s="29"/>
      <c r="E265" s="36"/>
      <c r="F265" s="324"/>
      <c r="G265" s="324"/>
      <c r="H265" s="324"/>
      <c r="I265" s="324"/>
      <c r="J265" s="324"/>
      <c r="K265" s="324"/>
      <c r="L265" s="324"/>
      <c r="M265" s="324"/>
      <c r="N265" s="324"/>
      <c r="O265" s="324"/>
      <c r="P265" s="324"/>
      <c r="Q265" s="324"/>
      <c r="R265" s="324"/>
      <c r="S265" s="324"/>
      <c r="T265" s="324"/>
      <c r="U265" s="324"/>
      <c r="V265" s="324"/>
      <c r="W265" s="324"/>
      <c r="X265" s="324"/>
      <c r="Y265" s="324"/>
      <c r="Z265" s="324"/>
      <c r="AA265" s="324"/>
      <c r="AB265" s="324"/>
      <c r="AC265" s="324"/>
      <c r="AD265" s="324"/>
      <c r="AE265" s="324"/>
    </row>
    <row r="266" spans="3:31" s="294" customFormat="1">
      <c r="C266" s="10"/>
      <c r="D266" s="29"/>
      <c r="E266" s="36"/>
      <c r="F266" s="324"/>
      <c r="G266" s="324"/>
      <c r="H266" s="324"/>
      <c r="I266" s="324"/>
      <c r="J266" s="324"/>
      <c r="K266" s="324"/>
      <c r="L266" s="324"/>
      <c r="M266" s="324"/>
      <c r="N266" s="324"/>
      <c r="O266" s="324"/>
      <c r="P266" s="324"/>
      <c r="Q266" s="324"/>
      <c r="R266" s="324"/>
      <c r="S266" s="324"/>
      <c r="T266" s="324"/>
      <c r="U266" s="324"/>
      <c r="V266" s="324"/>
      <c r="W266" s="324"/>
      <c r="X266" s="324"/>
      <c r="Y266" s="324"/>
      <c r="Z266" s="324"/>
      <c r="AA266" s="324"/>
      <c r="AB266" s="324"/>
      <c r="AC266" s="324"/>
      <c r="AD266" s="324"/>
      <c r="AE266" s="324"/>
    </row>
    <row r="267" spans="3:31" s="294" customFormat="1">
      <c r="C267" s="10"/>
      <c r="D267" s="29"/>
      <c r="E267" s="36"/>
      <c r="F267" s="324"/>
      <c r="G267" s="324"/>
      <c r="H267" s="324"/>
      <c r="I267" s="324"/>
      <c r="J267" s="324"/>
      <c r="K267" s="324"/>
      <c r="L267" s="324"/>
      <c r="M267" s="324"/>
      <c r="N267" s="324"/>
      <c r="O267" s="324"/>
      <c r="P267" s="324"/>
      <c r="Q267" s="324"/>
      <c r="R267" s="324"/>
      <c r="S267" s="324"/>
      <c r="T267" s="324"/>
      <c r="U267" s="324"/>
      <c r="V267" s="324"/>
      <c r="W267" s="324"/>
      <c r="X267" s="324"/>
      <c r="Y267" s="324"/>
      <c r="Z267" s="324"/>
      <c r="AA267" s="324"/>
      <c r="AB267" s="324"/>
      <c r="AC267" s="324"/>
      <c r="AD267" s="324"/>
      <c r="AE267" s="324"/>
    </row>
    <row r="268" spans="3:31" s="294" customFormat="1">
      <c r="C268" s="10"/>
      <c r="D268" s="29"/>
      <c r="E268" s="36"/>
      <c r="F268" s="324"/>
      <c r="G268" s="324"/>
      <c r="H268" s="324"/>
      <c r="I268" s="324"/>
      <c r="J268" s="324"/>
      <c r="K268" s="324"/>
      <c r="L268" s="324"/>
      <c r="M268" s="324"/>
      <c r="N268" s="324"/>
      <c r="O268" s="324"/>
      <c r="P268" s="324"/>
      <c r="Q268" s="324"/>
      <c r="R268" s="324"/>
      <c r="S268" s="324"/>
      <c r="T268" s="324"/>
      <c r="U268" s="324"/>
      <c r="V268" s="324"/>
      <c r="W268" s="324"/>
      <c r="X268" s="324"/>
      <c r="Y268" s="324"/>
      <c r="Z268" s="324"/>
      <c r="AA268" s="324"/>
      <c r="AB268" s="324"/>
      <c r="AC268" s="324"/>
      <c r="AD268" s="324"/>
      <c r="AE268" s="324"/>
    </row>
    <row r="269" spans="3:31" s="294" customFormat="1">
      <c r="C269" s="10"/>
      <c r="D269" s="29"/>
      <c r="E269" s="36"/>
      <c r="F269" s="324"/>
      <c r="G269" s="324"/>
      <c r="H269" s="324"/>
      <c r="I269" s="324"/>
      <c r="J269" s="324"/>
      <c r="K269" s="324"/>
      <c r="L269" s="324"/>
      <c r="M269" s="324"/>
      <c r="N269" s="324"/>
      <c r="O269" s="324"/>
      <c r="P269" s="324"/>
      <c r="Q269" s="324"/>
      <c r="R269" s="324"/>
      <c r="S269" s="324"/>
      <c r="T269" s="324"/>
      <c r="U269" s="324"/>
      <c r="V269" s="324"/>
      <c r="W269" s="324"/>
      <c r="X269" s="324"/>
      <c r="Y269" s="324"/>
      <c r="Z269" s="324"/>
      <c r="AA269" s="324"/>
      <c r="AB269" s="324"/>
      <c r="AC269" s="324"/>
      <c r="AD269" s="324"/>
      <c r="AE269" s="324"/>
    </row>
    <row r="270" spans="3:31" s="294" customFormat="1">
      <c r="C270" s="10"/>
      <c r="D270" s="29"/>
      <c r="E270" s="36"/>
      <c r="F270" s="324"/>
      <c r="G270" s="324"/>
      <c r="H270" s="324"/>
      <c r="I270" s="324"/>
      <c r="J270" s="324"/>
      <c r="K270" s="324"/>
      <c r="L270" s="324"/>
      <c r="M270" s="324"/>
      <c r="N270" s="324"/>
      <c r="O270" s="324"/>
      <c r="P270" s="324"/>
      <c r="Q270" s="324"/>
      <c r="R270" s="324"/>
      <c r="S270" s="324"/>
      <c r="T270" s="324"/>
      <c r="U270" s="324"/>
      <c r="V270" s="324"/>
      <c r="W270" s="324"/>
      <c r="X270" s="324"/>
      <c r="Y270" s="324"/>
      <c r="Z270" s="324"/>
      <c r="AA270" s="324"/>
      <c r="AB270" s="324"/>
      <c r="AC270" s="324"/>
      <c r="AD270" s="324"/>
      <c r="AE270" s="324"/>
    </row>
    <row r="271" spans="3:31" s="294" customFormat="1">
      <c r="C271" s="10"/>
      <c r="D271" s="29"/>
      <c r="E271" s="36"/>
      <c r="F271" s="324"/>
      <c r="G271" s="324"/>
      <c r="H271" s="324"/>
      <c r="I271" s="324"/>
      <c r="J271" s="324"/>
      <c r="K271" s="324"/>
      <c r="L271" s="324"/>
      <c r="M271" s="324"/>
      <c r="N271" s="324"/>
      <c r="O271" s="324"/>
      <c r="P271" s="324"/>
      <c r="Q271" s="324"/>
      <c r="R271" s="324"/>
      <c r="S271" s="324"/>
      <c r="T271" s="324"/>
      <c r="U271" s="324"/>
      <c r="V271" s="324"/>
      <c r="W271" s="324"/>
      <c r="X271" s="324"/>
      <c r="Y271" s="324"/>
      <c r="Z271" s="324"/>
      <c r="AA271" s="324"/>
      <c r="AB271" s="324"/>
      <c r="AC271" s="324"/>
      <c r="AD271" s="324"/>
      <c r="AE271" s="324"/>
    </row>
    <row r="272" spans="3:31" s="294" customFormat="1">
      <c r="C272" s="10"/>
      <c r="D272" s="29"/>
      <c r="E272" s="36"/>
      <c r="F272" s="324"/>
      <c r="G272" s="324"/>
      <c r="H272" s="324"/>
      <c r="I272" s="324"/>
      <c r="J272" s="324"/>
      <c r="K272" s="324"/>
      <c r="L272" s="324"/>
      <c r="M272" s="324"/>
      <c r="N272" s="324"/>
      <c r="O272" s="324"/>
      <c r="P272" s="324"/>
      <c r="Q272" s="324"/>
      <c r="R272" s="324"/>
      <c r="S272" s="324"/>
      <c r="T272" s="324"/>
      <c r="U272" s="324"/>
      <c r="V272" s="324"/>
      <c r="W272" s="324"/>
      <c r="X272" s="324"/>
      <c r="Y272" s="324"/>
      <c r="Z272" s="324"/>
      <c r="AA272" s="324"/>
      <c r="AB272" s="324"/>
      <c r="AC272" s="324"/>
      <c r="AD272" s="324"/>
      <c r="AE272" s="324"/>
    </row>
    <row r="273" spans="3:31" s="294" customFormat="1">
      <c r="C273" s="10"/>
      <c r="D273" s="29"/>
      <c r="E273" s="36"/>
      <c r="F273" s="324"/>
      <c r="G273" s="324"/>
      <c r="H273" s="324"/>
      <c r="I273" s="324"/>
      <c r="J273" s="324"/>
      <c r="K273" s="324"/>
      <c r="L273" s="324"/>
      <c r="M273" s="324"/>
      <c r="N273" s="324"/>
      <c r="O273" s="324"/>
      <c r="P273" s="324"/>
      <c r="Q273" s="324"/>
      <c r="R273" s="324"/>
      <c r="S273" s="324"/>
      <c r="T273" s="324"/>
      <c r="U273" s="324"/>
      <c r="V273" s="324"/>
      <c r="W273" s="324"/>
      <c r="X273" s="324"/>
      <c r="Y273" s="324"/>
      <c r="Z273" s="324"/>
      <c r="AA273" s="324"/>
      <c r="AB273" s="324"/>
      <c r="AC273" s="324"/>
      <c r="AD273" s="324"/>
      <c r="AE273" s="324"/>
    </row>
    <row r="274" spans="3:31" s="294" customFormat="1">
      <c r="C274" s="10"/>
      <c r="D274" s="29"/>
      <c r="E274" s="36"/>
      <c r="F274" s="324"/>
      <c r="G274" s="324"/>
      <c r="H274" s="324"/>
      <c r="I274" s="324"/>
      <c r="J274" s="324"/>
      <c r="K274" s="324"/>
      <c r="L274" s="324"/>
      <c r="M274" s="324"/>
      <c r="N274" s="324"/>
      <c r="O274" s="324"/>
      <c r="P274" s="324"/>
      <c r="Q274" s="324"/>
      <c r="R274" s="324"/>
      <c r="S274" s="324"/>
      <c r="T274" s="324"/>
      <c r="U274" s="324"/>
      <c r="V274" s="324"/>
      <c r="W274" s="324"/>
      <c r="X274" s="324"/>
      <c r="Y274" s="324"/>
      <c r="Z274" s="324"/>
      <c r="AA274" s="324"/>
      <c r="AB274" s="324"/>
      <c r="AC274" s="324"/>
      <c r="AD274" s="324"/>
      <c r="AE274" s="324"/>
    </row>
    <row r="275" spans="3:31" s="294" customFormat="1">
      <c r="C275" s="10"/>
      <c r="D275" s="29"/>
      <c r="E275" s="36"/>
      <c r="F275" s="324"/>
      <c r="G275" s="324"/>
      <c r="H275" s="324"/>
      <c r="I275" s="324"/>
      <c r="J275" s="324"/>
      <c r="K275" s="324"/>
      <c r="L275" s="324"/>
      <c r="M275" s="324"/>
      <c r="N275" s="324"/>
      <c r="O275" s="324"/>
      <c r="P275" s="324"/>
      <c r="Q275" s="324"/>
      <c r="R275" s="324"/>
      <c r="S275" s="324"/>
      <c r="T275" s="324"/>
      <c r="U275" s="324"/>
      <c r="V275" s="324"/>
      <c r="W275" s="324"/>
      <c r="X275" s="324"/>
      <c r="Y275" s="324"/>
      <c r="Z275" s="324"/>
      <c r="AA275" s="324"/>
      <c r="AB275" s="324"/>
      <c r="AC275" s="324"/>
      <c r="AD275" s="324"/>
      <c r="AE275" s="324"/>
    </row>
    <row r="276" spans="3:31" s="294" customFormat="1">
      <c r="C276" s="10"/>
      <c r="D276" s="29"/>
      <c r="E276" s="36"/>
      <c r="F276" s="324"/>
      <c r="G276" s="324"/>
      <c r="H276" s="324"/>
      <c r="I276" s="324"/>
      <c r="J276" s="324"/>
      <c r="K276" s="324"/>
      <c r="L276" s="324"/>
      <c r="M276" s="324"/>
      <c r="N276" s="324"/>
      <c r="O276" s="324"/>
      <c r="P276" s="324"/>
      <c r="Q276" s="324"/>
      <c r="R276" s="324"/>
      <c r="S276" s="324"/>
      <c r="T276" s="324"/>
      <c r="U276" s="324"/>
      <c r="V276" s="324"/>
      <c r="W276" s="324"/>
      <c r="X276" s="324"/>
      <c r="Y276" s="324"/>
      <c r="Z276" s="324"/>
      <c r="AA276" s="324"/>
      <c r="AB276" s="324"/>
      <c r="AC276" s="324"/>
      <c r="AD276" s="324"/>
      <c r="AE276" s="324"/>
    </row>
    <row r="277" spans="3:31" s="294" customFormat="1">
      <c r="C277" s="10"/>
      <c r="D277" s="29"/>
      <c r="E277" s="36"/>
      <c r="F277" s="324"/>
      <c r="G277" s="324"/>
      <c r="H277" s="324"/>
      <c r="I277" s="324"/>
      <c r="J277" s="324"/>
      <c r="K277" s="324"/>
      <c r="L277" s="324"/>
      <c r="M277" s="324"/>
      <c r="N277" s="324"/>
      <c r="O277" s="324"/>
      <c r="P277" s="324"/>
      <c r="Q277" s="324"/>
      <c r="R277" s="324"/>
      <c r="S277" s="324"/>
      <c r="T277" s="324"/>
      <c r="U277" s="324"/>
      <c r="V277" s="324"/>
      <c r="W277" s="324"/>
      <c r="X277" s="324"/>
      <c r="Y277" s="324"/>
      <c r="Z277" s="324"/>
      <c r="AA277" s="324"/>
      <c r="AB277" s="324"/>
      <c r="AC277" s="324"/>
      <c r="AD277" s="324"/>
      <c r="AE277" s="324"/>
    </row>
    <row r="278" spans="3:31" s="294" customFormat="1">
      <c r="C278" s="10"/>
      <c r="D278" s="29"/>
      <c r="E278" s="36"/>
      <c r="F278" s="324"/>
      <c r="G278" s="324"/>
      <c r="H278" s="324"/>
      <c r="I278" s="324"/>
      <c r="J278" s="324"/>
      <c r="K278" s="324"/>
      <c r="L278" s="324"/>
      <c r="M278" s="324"/>
      <c r="N278" s="324"/>
      <c r="O278" s="324"/>
      <c r="P278" s="324"/>
      <c r="Q278" s="324"/>
      <c r="R278" s="324"/>
      <c r="S278" s="324"/>
      <c r="T278" s="324"/>
      <c r="U278" s="324"/>
      <c r="V278" s="324"/>
      <c r="W278" s="324"/>
      <c r="X278" s="324"/>
      <c r="Y278" s="324"/>
      <c r="Z278" s="324"/>
      <c r="AA278" s="324"/>
      <c r="AB278" s="324"/>
      <c r="AC278" s="324"/>
      <c r="AD278" s="324"/>
      <c r="AE278" s="324"/>
    </row>
    <row r="279" spans="3:31" s="294" customFormat="1">
      <c r="C279" s="10"/>
      <c r="D279" s="29"/>
      <c r="E279" s="36"/>
      <c r="F279" s="324"/>
      <c r="G279" s="324"/>
      <c r="H279" s="324"/>
      <c r="I279" s="324"/>
      <c r="J279" s="324"/>
      <c r="K279" s="324"/>
      <c r="L279" s="324"/>
      <c r="M279" s="324"/>
      <c r="N279" s="324"/>
      <c r="O279" s="324"/>
      <c r="P279" s="324"/>
      <c r="Q279" s="324"/>
      <c r="R279" s="324"/>
      <c r="S279" s="324"/>
      <c r="T279" s="324"/>
      <c r="U279" s="324"/>
      <c r="V279" s="324"/>
      <c r="W279" s="324"/>
      <c r="X279" s="324"/>
      <c r="Y279" s="324"/>
      <c r="Z279" s="324"/>
      <c r="AA279" s="324"/>
      <c r="AB279" s="324"/>
      <c r="AC279" s="324"/>
      <c r="AD279" s="324"/>
      <c r="AE279" s="324"/>
    </row>
    <row r="280" spans="3:31" s="294" customFormat="1">
      <c r="C280" s="10"/>
      <c r="D280" s="29"/>
      <c r="E280" s="36"/>
      <c r="F280" s="324"/>
      <c r="G280" s="324"/>
      <c r="H280" s="324"/>
      <c r="I280" s="324"/>
      <c r="J280" s="324"/>
      <c r="K280" s="324"/>
      <c r="L280" s="324"/>
      <c r="M280" s="324"/>
      <c r="N280" s="324"/>
      <c r="O280" s="324"/>
      <c r="P280" s="324"/>
      <c r="Q280" s="324"/>
      <c r="R280" s="324"/>
      <c r="S280" s="324"/>
      <c r="T280" s="324"/>
      <c r="U280" s="324"/>
      <c r="V280" s="324"/>
      <c r="W280" s="324"/>
      <c r="X280" s="324"/>
      <c r="Y280" s="324"/>
      <c r="Z280" s="324"/>
      <c r="AA280" s="324"/>
      <c r="AB280" s="324"/>
      <c r="AC280" s="324"/>
      <c r="AD280" s="324"/>
      <c r="AE280" s="324"/>
    </row>
    <row r="281" spans="3:31" s="294" customFormat="1">
      <c r="C281" s="10"/>
      <c r="D281" s="29"/>
      <c r="E281" s="36"/>
      <c r="F281" s="324"/>
      <c r="G281" s="324"/>
      <c r="H281" s="324"/>
      <c r="I281" s="324"/>
      <c r="J281" s="324"/>
      <c r="K281" s="324"/>
      <c r="L281" s="324"/>
      <c r="M281" s="324"/>
      <c r="N281" s="324"/>
      <c r="O281" s="324"/>
      <c r="P281" s="324"/>
      <c r="Q281" s="324"/>
      <c r="R281" s="324"/>
      <c r="S281" s="324"/>
      <c r="T281" s="324"/>
      <c r="U281" s="324"/>
      <c r="V281" s="324"/>
      <c r="W281" s="324"/>
      <c r="X281" s="324"/>
      <c r="Y281" s="324"/>
      <c r="Z281" s="324"/>
      <c r="AA281" s="324"/>
      <c r="AB281" s="324"/>
      <c r="AC281" s="324"/>
      <c r="AD281" s="324"/>
      <c r="AE281" s="324"/>
    </row>
    <row r="282" spans="3:31" s="294" customFormat="1">
      <c r="C282" s="10"/>
      <c r="D282" s="29"/>
      <c r="E282" s="36"/>
      <c r="F282" s="324"/>
      <c r="G282" s="324"/>
      <c r="H282" s="324"/>
      <c r="I282" s="324"/>
      <c r="J282" s="324"/>
      <c r="K282" s="324"/>
      <c r="L282" s="324"/>
      <c r="M282" s="324"/>
      <c r="N282" s="324"/>
      <c r="O282" s="324"/>
      <c r="P282" s="324"/>
      <c r="Q282" s="324"/>
      <c r="R282" s="324"/>
      <c r="S282" s="324"/>
      <c r="T282" s="324"/>
      <c r="U282" s="324"/>
      <c r="V282" s="324"/>
      <c r="W282" s="324"/>
      <c r="X282" s="324"/>
      <c r="Y282" s="324"/>
      <c r="Z282" s="324"/>
      <c r="AA282" s="324"/>
      <c r="AB282" s="324"/>
      <c r="AC282" s="324"/>
      <c r="AD282" s="324"/>
      <c r="AE282" s="324"/>
    </row>
    <row r="283" spans="3:31" s="294" customFormat="1">
      <c r="C283" s="10"/>
      <c r="D283" s="29"/>
      <c r="E283" s="36"/>
      <c r="F283" s="324"/>
      <c r="G283" s="324"/>
      <c r="H283" s="324"/>
      <c r="I283" s="324"/>
      <c r="J283" s="324"/>
      <c r="K283" s="324"/>
      <c r="L283" s="324"/>
      <c r="M283" s="324"/>
      <c r="N283" s="324"/>
      <c r="O283" s="324"/>
      <c r="P283" s="324"/>
      <c r="Q283" s="324"/>
      <c r="R283" s="324"/>
      <c r="S283" s="324"/>
      <c r="T283" s="324"/>
      <c r="U283" s="324"/>
      <c r="V283" s="324"/>
      <c r="W283" s="324"/>
      <c r="X283" s="324"/>
      <c r="Y283" s="324"/>
      <c r="Z283" s="324"/>
      <c r="AA283" s="324"/>
      <c r="AB283" s="324"/>
      <c r="AC283" s="324"/>
      <c r="AD283" s="324"/>
      <c r="AE283" s="324"/>
    </row>
    <row r="284" spans="3:31" s="294" customFormat="1">
      <c r="C284" s="10"/>
      <c r="D284" s="29"/>
      <c r="E284" s="36"/>
      <c r="F284" s="324"/>
      <c r="G284" s="324"/>
      <c r="H284" s="324"/>
      <c r="I284" s="324"/>
      <c r="J284" s="324"/>
      <c r="K284" s="324"/>
      <c r="L284" s="324"/>
      <c r="M284" s="324"/>
      <c r="N284" s="324"/>
      <c r="O284" s="324"/>
      <c r="P284" s="324"/>
      <c r="Q284" s="324"/>
      <c r="R284" s="324"/>
      <c r="S284" s="324"/>
      <c r="T284" s="324"/>
      <c r="U284" s="324"/>
      <c r="V284" s="324"/>
      <c r="W284" s="324"/>
      <c r="X284" s="324"/>
      <c r="Y284" s="324"/>
      <c r="Z284" s="324"/>
      <c r="AA284" s="324"/>
      <c r="AB284" s="324"/>
      <c r="AC284" s="324"/>
      <c r="AD284" s="324"/>
      <c r="AE284" s="324"/>
    </row>
    <row r="285" spans="3:31" s="294" customFormat="1">
      <c r="C285" s="10"/>
      <c r="D285" s="29"/>
      <c r="E285" s="36"/>
      <c r="F285" s="324"/>
      <c r="G285" s="324"/>
      <c r="H285" s="324"/>
      <c r="I285" s="324"/>
      <c r="J285" s="324"/>
      <c r="K285" s="324"/>
      <c r="L285" s="324"/>
      <c r="M285" s="324"/>
      <c r="N285" s="324"/>
      <c r="O285" s="324"/>
      <c r="P285" s="324"/>
      <c r="Q285" s="324"/>
      <c r="R285" s="324"/>
      <c r="S285" s="324"/>
      <c r="T285" s="324"/>
      <c r="U285" s="324"/>
      <c r="V285" s="324"/>
      <c r="W285" s="324"/>
      <c r="X285" s="324"/>
      <c r="Y285" s="324"/>
      <c r="Z285" s="324"/>
      <c r="AA285" s="324"/>
      <c r="AB285" s="324"/>
      <c r="AC285" s="324"/>
      <c r="AD285" s="324"/>
      <c r="AE285" s="324"/>
    </row>
    <row r="286" spans="3:31" s="294" customFormat="1">
      <c r="C286" s="10"/>
      <c r="D286" s="29"/>
      <c r="E286" s="36"/>
      <c r="F286" s="324"/>
      <c r="G286" s="324"/>
      <c r="H286" s="324"/>
      <c r="I286" s="324"/>
      <c r="J286" s="324"/>
      <c r="K286" s="324"/>
      <c r="L286" s="324"/>
      <c r="M286" s="324"/>
      <c r="N286" s="324"/>
      <c r="O286" s="324"/>
      <c r="P286" s="324"/>
      <c r="Q286" s="324"/>
      <c r="R286" s="324"/>
      <c r="S286" s="324"/>
      <c r="T286" s="324"/>
      <c r="U286" s="324"/>
      <c r="V286" s="324"/>
      <c r="W286" s="324"/>
      <c r="X286" s="324"/>
      <c r="Y286" s="324"/>
      <c r="Z286" s="324"/>
      <c r="AA286" s="324"/>
      <c r="AB286" s="324"/>
      <c r="AC286" s="324"/>
      <c r="AD286" s="324"/>
      <c r="AE286" s="324"/>
    </row>
    <row r="287" spans="3:31" s="294" customFormat="1">
      <c r="C287" s="10"/>
      <c r="D287" s="29"/>
      <c r="E287" s="36"/>
      <c r="F287" s="324"/>
      <c r="G287" s="324"/>
      <c r="H287" s="324"/>
      <c r="I287" s="324"/>
      <c r="J287" s="324"/>
      <c r="K287" s="324"/>
      <c r="L287" s="324"/>
      <c r="M287" s="324"/>
      <c r="N287" s="324"/>
      <c r="O287" s="324"/>
      <c r="P287" s="324"/>
      <c r="Q287" s="324"/>
      <c r="R287" s="324"/>
      <c r="S287" s="324"/>
      <c r="T287" s="324"/>
      <c r="U287" s="324"/>
      <c r="V287" s="324"/>
      <c r="W287" s="324"/>
      <c r="X287" s="324"/>
      <c r="Y287" s="324"/>
      <c r="Z287" s="324"/>
      <c r="AA287" s="324"/>
      <c r="AB287" s="324"/>
      <c r="AC287" s="324"/>
      <c r="AD287" s="324"/>
      <c r="AE287" s="324"/>
    </row>
    <row r="288" spans="3:31" s="294" customFormat="1">
      <c r="C288" s="10"/>
      <c r="D288" s="29"/>
      <c r="E288" s="36"/>
      <c r="F288" s="324"/>
      <c r="G288" s="324"/>
      <c r="H288" s="324"/>
      <c r="I288" s="324"/>
      <c r="J288" s="324"/>
      <c r="K288" s="324"/>
      <c r="L288" s="324"/>
      <c r="M288" s="324"/>
      <c r="N288" s="324"/>
      <c r="O288" s="324"/>
      <c r="P288" s="324"/>
      <c r="Q288" s="324"/>
      <c r="R288" s="324"/>
      <c r="S288" s="324"/>
      <c r="T288" s="324"/>
      <c r="U288" s="324"/>
      <c r="V288" s="324"/>
      <c r="W288" s="324"/>
      <c r="X288" s="324"/>
      <c r="Y288" s="324"/>
      <c r="Z288" s="324"/>
      <c r="AA288" s="324"/>
      <c r="AB288" s="324"/>
      <c r="AC288" s="324"/>
      <c r="AD288" s="324"/>
      <c r="AE288" s="324"/>
    </row>
    <row r="289" spans="3:31" s="294" customFormat="1">
      <c r="C289" s="10"/>
      <c r="D289" s="29"/>
      <c r="E289" s="36"/>
      <c r="F289" s="324"/>
      <c r="G289" s="324"/>
      <c r="H289" s="324"/>
      <c r="I289" s="324"/>
      <c r="J289" s="324"/>
      <c r="K289" s="324"/>
      <c r="L289" s="324"/>
      <c r="M289" s="324"/>
      <c r="N289" s="324"/>
      <c r="O289" s="324"/>
      <c r="P289" s="324"/>
      <c r="Q289" s="324"/>
      <c r="R289" s="324"/>
      <c r="S289" s="324"/>
      <c r="T289" s="324"/>
      <c r="U289" s="324"/>
      <c r="V289" s="324"/>
      <c r="W289" s="324"/>
      <c r="X289" s="324"/>
      <c r="Y289" s="324"/>
      <c r="Z289" s="324"/>
      <c r="AA289" s="324"/>
      <c r="AB289" s="324"/>
      <c r="AC289" s="324"/>
      <c r="AD289" s="324"/>
      <c r="AE289" s="324"/>
    </row>
    <row r="290" spans="3:31" s="294" customFormat="1">
      <c r="C290" s="10"/>
      <c r="D290" s="29"/>
      <c r="E290" s="36"/>
      <c r="F290" s="324"/>
      <c r="G290" s="324"/>
      <c r="H290" s="324"/>
      <c r="I290" s="324"/>
      <c r="J290" s="324"/>
      <c r="K290" s="324"/>
      <c r="L290" s="324"/>
      <c r="M290" s="324"/>
      <c r="N290" s="324"/>
      <c r="O290" s="324"/>
      <c r="P290" s="324"/>
      <c r="Q290" s="324"/>
      <c r="R290" s="324"/>
      <c r="S290" s="324"/>
      <c r="T290" s="324"/>
      <c r="U290" s="324"/>
      <c r="V290" s="324"/>
      <c r="W290" s="324"/>
      <c r="X290" s="324"/>
      <c r="Y290" s="324"/>
      <c r="Z290" s="324"/>
      <c r="AA290" s="324"/>
      <c r="AB290" s="324"/>
      <c r="AC290" s="324"/>
      <c r="AD290" s="324"/>
      <c r="AE290" s="324"/>
    </row>
    <row r="291" spans="3:31" s="294" customFormat="1">
      <c r="C291" s="10"/>
      <c r="D291" s="29"/>
      <c r="E291" s="36"/>
      <c r="F291" s="324"/>
      <c r="G291" s="324"/>
      <c r="H291" s="324"/>
      <c r="I291" s="324"/>
      <c r="J291" s="324"/>
      <c r="K291" s="324"/>
      <c r="L291" s="324"/>
      <c r="M291" s="324"/>
      <c r="N291" s="324"/>
      <c r="O291" s="324"/>
      <c r="P291" s="324"/>
      <c r="Q291" s="324"/>
      <c r="R291" s="324"/>
      <c r="S291" s="324"/>
      <c r="T291" s="324"/>
      <c r="U291" s="324"/>
      <c r="V291" s="324"/>
      <c r="W291" s="324"/>
      <c r="X291" s="324"/>
      <c r="Y291" s="324"/>
      <c r="Z291" s="324"/>
      <c r="AA291" s="324"/>
      <c r="AB291" s="324"/>
      <c r="AC291" s="324"/>
      <c r="AD291" s="324"/>
      <c r="AE291" s="324"/>
    </row>
    <row r="292" spans="3:31" s="294" customFormat="1">
      <c r="C292" s="10"/>
      <c r="D292" s="29"/>
      <c r="E292" s="36"/>
      <c r="F292" s="324"/>
      <c r="G292" s="324"/>
      <c r="H292" s="324"/>
      <c r="I292" s="324"/>
      <c r="J292" s="324"/>
      <c r="K292" s="324"/>
      <c r="L292" s="324"/>
      <c r="M292" s="324"/>
      <c r="N292" s="324"/>
      <c r="O292" s="324"/>
      <c r="P292" s="324"/>
      <c r="Q292" s="324"/>
      <c r="R292" s="324"/>
      <c r="S292" s="324"/>
      <c r="T292" s="324"/>
      <c r="U292" s="324"/>
      <c r="V292" s="324"/>
      <c r="W292" s="324"/>
      <c r="X292" s="324"/>
      <c r="Y292" s="324"/>
      <c r="Z292" s="324"/>
      <c r="AA292" s="324"/>
      <c r="AB292" s="324"/>
      <c r="AC292" s="324"/>
      <c r="AD292" s="324"/>
      <c r="AE292" s="324"/>
    </row>
    <row r="293" spans="3:31" s="294" customFormat="1">
      <c r="C293" s="10"/>
      <c r="D293" s="29"/>
      <c r="E293" s="36"/>
      <c r="F293" s="324"/>
      <c r="G293" s="324"/>
      <c r="H293" s="324"/>
      <c r="I293" s="324"/>
      <c r="J293" s="324"/>
      <c r="K293" s="324"/>
      <c r="L293" s="324"/>
      <c r="M293" s="324"/>
      <c r="N293" s="324"/>
      <c r="O293" s="324"/>
      <c r="P293" s="324"/>
      <c r="Q293" s="324"/>
      <c r="R293" s="324"/>
      <c r="S293" s="324"/>
      <c r="T293" s="324"/>
      <c r="U293" s="324"/>
      <c r="V293" s="324"/>
      <c r="W293" s="324"/>
      <c r="X293" s="324"/>
      <c r="Y293" s="324"/>
      <c r="Z293" s="324"/>
      <c r="AA293" s="324"/>
      <c r="AB293" s="324"/>
      <c r="AC293" s="324"/>
      <c r="AD293" s="324"/>
      <c r="AE293" s="324"/>
    </row>
    <row r="294" spans="3:31" s="294" customFormat="1">
      <c r="C294" s="10"/>
      <c r="D294" s="29"/>
      <c r="E294" s="36"/>
      <c r="F294" s="324"/>
      <c r="G294" s="324"/>
      <c r="H294" s="324"/>
      <c r="I294" s="324"/>
      <c r="J294" s="324"/>
      <c r="K294" s="324"/>
      <c r="L294" s="324"/>
      <c r="M294" s="324"/>
      <c r="N294" s="324"/>
      <c r="O294" s="324"/>
      <c r="P294" s="324"/>
      <c r="Q294" s="324"/>
      <c r="R294" s="324"/>
      <c r="S294" s="324"/>
      <c r="T294" s="324"/>
      <c r="U294" s="324"/>
      <c r="V294" s="324"/>
      <c r="W294" s="324"/>
      <c r="X294" s="324"/>
      <c r="Y294" s="324"/>
      <c r="Z294" s="324"/>
      <c r="AA294" s="324"/>
      <c r="AB294" s="324"/>
      <c r="AC294" s="324"/>
      <c r="AD294" s="324"/>
      <c r="AE294" s="324"/>
    </row>
    <row r="295" spans="3:31" s="294" customFormat="1">
      <c r="C295" s="10"/>
      <c r="D295" s="29"/>
      <c r="E295" s="36"/>
      <c r="F295" s="324"/>
      <c r="G295" s="324"/>
      <c r="H295" s="324"/>
      <c r="I295" s="324"/>
      <c r="J295" s="324"/>
      <c r="K295" s="324"/>
      <c r="L295" s="324"/>
      <c r="M295" s="324"/>
      <c r="N295" s="324"/>
      <c r="O295" s="324"/>
      <c r="P295" s="324"/>
      <c r="Q295" s="324"/>
      <c r="R295" s="324"/>
      <c r="S295" s="324"/>
      <c r="T295" s="324"/>
      <c r="U295" s="324"/>
      <c r="V295" s="324"/>
      <c r="W295" s="324"/>
      <c r="X295" s="324"/>
      <c r="Y295" s="324"/>
      <c r="Z295" s="324"/>
      <c r="AA295" s="324"/>
      <c r="AB295" s="324"/>
      <c r="AC295" s="324"/>
      <c r="AD295" s="324"/>
      <c r="AE295" s="324"/>
    </row>
    <row r="296" spans="3:31" s="294" customFormat="1">
      <c r="C296" s="10"/>
      <c r="D296" s="29"/>
      <c r="E296" s="36"/>
      <c r="F296" s="324"/>
      <c r="G296" s="324"/>
      <c r="H296" s="324"/>
      <c r="I296" s="324"/>
      <c r="J296" s="324"/>
      <c r="K296" s="324"/>
      <c r="L296" s="324"/>
      <c r="M296" s="324"/>
      <c r="N296" s="324"/>
      <c r="O296" s="324"/>
      <c r="P296" s="324"/>
      <c r="Q296" s="324"/>
      <c r="R296" s="324"/>
      <c r="S296" s="324"/>
      <c r="T296" s="324"/>
      <c r="U296" s="324"/>
      <c r="V296" s="324"/>
      <c r="W296" s="324"/>
      <c r="X296" s="324"/>
      <c r="Y296" s="324"/>
      <c r="Z296" s="324"/>
      <c r="AA296" s="324"/>
      <c r="AB296" s="324"/>
      <c r="AC296" s="324"/>
      <c r="AD296" s="324"/>
      <c r="AE296" s="324"/>
    </row>
    <row r="297" spans="3:31" s="294" customFormat="1">
      <c r="C297" s="10"/>
      <c r="D297" s="29"/>
      <c r="E297" s="36"/>
      <c r="F297" s="324"/>
      <c r="G297" s="324"/>
      <c r="H297" s="324"/>
      <c r="I297" s="324"/>
      <c r="J297" s="324"/>
      <c r="K297" s="324"/>
      <c r="L297" s="324"/>
      <c r="M297" s="324"/>
      <c r="N297" s="324"/>
      <c r="O297" s="324"/>
      <c r="P297" s="324"/>
      <c r="Q297" s="324"/>
      <c r="R297" s="324"/>
      <c r="S297" s="324"/>
      <c r="T297" s="324"/>
      <c r="U297" s="324"/>
      <c r="V297" s="324"/>
      <c r="W297" s="324"/>
      <c r="X297" s="324"/>
      <c r="Y297" s="324"/>
      <c r="Z297" s="324"/>
      <c r="AA297" s="324"/>
      <c r="AB297" s="324"/>
      <c r="AC297" s="324"/>
      <c r="AD297" s="324"/>
      <c r="AE297" s="324"/>
    </row>
    <row r="298" spans="3:31" s="294" customFormat="1">
      <c r="C298" s="10"/>
      <c r="D298" s="29"/>
      <c r="E298" s="36"/>
      <c r="F298" s="324"/>
      <c r="G298" s="324"/>
      <c r="H298" s="324"/>
      <c r="I298" s="324"/>
      <c r="J298" s="324"/>
      <c r="K298" s="324"/>
      <c r="L298" s="324"/>
      <c r="M298" s="324"/>
      <c r="N298" s="324"/>
      <c r="O298" s="324"/>
      <c r="P298" s="324"/>
      <c r="Q298" s="324"/>
      <c r="R298" s="324"/>
      <c r="S298" s="324"/>
      <c r="T298" s="324"/>
      <c r="U298" s="324"/>
      <c r="V298" s="324"/>
      <c r="W298" s="324"/>
      <c r="X298" s="324"/>
      <c r="Y298" s="324"/>
      <c r="Z298" s="324"/>
      <c r="AA298" s="324"/>
      <c r="AB298" s="324"/>
      <c r="AC298" s="324"/>
      <c r="AD298" s="324"/>
      <c r="AE298" s="324"/>
    </row>
    <row r="299" spans="3:31" s="294" customFormat="1">
      <c r="C299" s="10"/>
      <c r="D299" s="29"/>
      <c r="E299" s="36"/>
      <c r="F299" s="324"/>
      <c r="G299" s="324"/>
      <c r="H299" s="324"/>
      <c r="I299" s="324"/>
      <c r="J299" s="324"/>
      <c r="K299" s="324"/>
      <c r="L299" s="324"/>
      <c r="M299" s="324"/>
      <c r="N299" s="324"/>
      <c r="O299" s="324"/>
      <c r="P299" s="324"/>
      <c r="Q299" s="324"/>
      <c r="R299" s="324"/>
      <c r="S299" s="324"/>
      <c r="T299" s="324"/>
      <c r="U299" s="324"/>
      <c r="V299" s="324"/>
      <c r="W299" s="324"/>
      <c r="X299" s="324"/>
      <c r="Y299" s="324"/>
      <c r="Z299" s="324"/>
      <c r="AA299" s="324"/>
      <c r="AB299" s="324"/>
      <c r="AC299" s="324"/>
      <c r="AD299" s="324"/>
      <c r="AE299" s="324"/>
    </row>
    <row r="300" spans="3:31" s="294" customFormat="1">
      <c r="C300" s="10"/>
      <c r="D300" s="29"/>
      <c r="E300" s="36"/>
      <c r="F300" s="324"/>
      <c r="G300" s="324"/>
      <c r="H300" s="324"/>
      <c r="I300" s="324"/>
      <c r="J300" s="324"/>
      <c r="K300" s="324"/>
      <c r="L300" s="324"/>
      <c r="M300" s="324"/>
      <c r="N300" s="324"/>
      <c r="O300" s="324"/>
      <c r="P300" s="324"/>
      <c r="Q300" s="324"/>
      <c r="R300" s="324"/>
      <c r="S300" s="324"/>
      <c r="T300" s="324"/>
      <c r="U300" s="324"/>
      <c r="V300" s="324"/>
      <c r="W300" s="324"/>
      <c r="X300" s="324"/>
      <c r="Y300" s="324"/>
      <c r="Z300" s="324"/>
      <c r="AA300" s="324"/>
      <c r="AB300" s="324"/>
      <c r="AC300" s="324"/>
      <c r="AD300" s="324"/>
      <c r="AE300" s="324"/>
    </row>
    <row r="301" spans="3:31" s="294" customFormat="1">
      <c r="C301" s="10"/>
      <c r="D301" s="29"/>
      <c r="E301" s="36"/>
      <c r="F301" s="324"/>
      <c r="G301" s="324"/>
      <c r="H301" s="324"/>
      <c r="I301" s="324"/>
      <c r="J301" s="324"/>
      <c r="K301" s="324"/>
      <c r="L301" s="324"/>
      <c r="M301" s="324"/>
      <c r="N301" s="324"/>
      <c r="O301" s="324"/>
      <c r="P301" s="324"/>
      <c r="Q301" s="324"/>
      <c r="R301" s="324"/>
      <c r="S301" s="324"/>
      <c r="T301" s="324"/>
      <c r="U301" s="324"/>
      <c r="V301" s="324"/>
      <c r="W301" s="324"/>
      <c r="X301" s="324"/>
      <c r="Y301" s="324"/>
      <c r="Z301" s="324"/>
      <c r="AA301" s="324"/>
      <c r="AB301" s="324"/>
      <c r="AC301" s="324"/>
      <c r="AD301" s="324"/>
      <c r="AE301" s="324"/>
    </row>
    <row r="302" spans="3:31" s="294" customFormat="1">
      <c r="C302" s="10"/>
      <c r="D302" s="29"/>
      <c r="E302" s="36"/>
      <c r="F302" s="324"/>
      <c r="G302" s="324"/>
      <c r="H302" s="324"/>
      <c r="I302" s="324"/>
      <c r="J302" s="324"/>
      <c r="K302" s="324"/>
      <c r="L302" s="324"/>
      <c r="M302" s="324"/>
      <c r="N302" s="324"/>
      <c r="O302" s="324"/>
      <c r="P302" s="324"/>
      <c r="Q302" s="324"/>
      <c r="R302" s="324"/>
      <c r="S302" s="324"/>
      <c r="T302" s="324"/>
      <c r="U302" s="324"/>
      <c r="V302" s="324"/>
      <c r="W302" s="324"/>
      <c r="X302" s="324"/>
      <c r="Y302" s="324"/>
      <c r="Z302" s="324"/>
      <c r="AA302" s="324"/>
      <c r="AB302" s="324"/>
      <c r="AC302" s="324"/>
      <c r="AD302" s="324"/>
      <c r="AE302" s="324"/>
    </row>
    <row r="303" spans="3:31" s="294" customFormat="1">
      <c r="C303" s="10"/>
      <c r="D303" s="29"/>
      <c r="E303" s="36"/>
      <c r="F303" s="324"/>
      <c r="G303" s="324"/>
      <c r="H303" s="324"/>
      <c r="I303" s="324"/>
      <c r="J303" s="324"/>
      <c r="K303" s="324"/>
      <c r="L303" s="324"/>
      <c r="M303" s="324"/>
      <c r="N303" s="324"/>
      <c r="O303" s="324"/>
      <c r="P303" s="324"/>
      <c r="Q303" s="324"/>
      <c r="R303" s="324"/>
      <c r="S303" s="324"/>
      <c r="T303" s="324"/>
      <c r="U303" s="324"/>
      <c r="V303" s="324"/>
      <c r="W303" s="324"/>
      <c r="X303" s="324"/>
      <c r="Y303" s="324"/>
      <c r="Z303" s="324"/>
      <c r="AA303" s="324"/>
      <c r="AB303" s="324"/>
      <c r="AC303" s="324"/>
      <c r="AD303" s="324"/>
      <c r="AE303" s="324"/>
    </row>
    <row r="304" spans="3:31" s="294" customFormat="1">
      <c r="C304" s="10"/>
      <c r="D304" s="29"/>
      <c r="E304" s="36"/>
      <c r="F304" s="324"/>
      <c r="G304" s="324"/>
      <c r="H304" s="324"/>
      <c r="I304" s="324"/>
      <c r="J304" s="324"/>
      <c r="K304" s="324"/>
      <c r="L304" s="324"/>
      <c r="M304" s="324"/>
      <c r="N304" s="324"/>
      <c r="O304" s="324"/>
      <c r="P304" s="324"/>
      <c r="Q304" s="324"/>
      <c r="R304" s="324"/>
      <c r="S304" s="324"/>
      <c r="T304" s="324"/>
      <c r="U304" s="324"/>
      <c r="V304" s="324"/>
      <c r="W304" s="324"/>
      <c r="X304" s="324"/>
      <c r="Y304" s="324"/>
      <c r="Z304" s="324"/>
      <c r="AA304" s="324"/>
      <c r="AB304" s="324"/>
      <c r="AC304" s="324"/>
      <c r="AD304" s="324"/>
      <c r="AE304" s="324"/>
    </row>
    <row r="305" spans="3:31" s="294" customFormat="1">
      <c r="C305" s="10"/>
      <c r="D305" s="29"/>
      <c r="E305" s="36"/>
      <c r="F305" s="324"/>
      <c r="G305" s="324"/>
      <c r="H305" s="324"/>
      <c r="I305" s="324"/>
      <c r="J305" s="324"/>
      <c r="K305" s="324"/>
      <c r="L305" s="324"/>
      <c r="M305" s="324"/>
      <c r="N305" s="324"/>
      <c r="O305" s="324"/>
      <c r="P305" s="324"/>
      <c r="Q305" s="324"/>
      <c r="R305" s="324"/>
      <c r="S305" s="324"/>
      <c r="T305" s="324"/>
      <c r="U305" s="324"/>
      <c r="V305" s="324"/>
      <c r="W305" s="324"/>
      <c r="X305" s="324"/>
      <c r="Y305" s="324"/>
      <c r="Z305" s="324"/>
      <c r="AA305" s="324"/>
      <c r="AB305" s="324"/>
      <c r="AC305" s="324"/>
      <c r="AD305" s="324"/>
      <c r="AE305" s="324"/>
    </row>
    <row r="306" spans="3:31" s="294" customFormat="1">
      <c r="C306" s="10"/>
      <c r="D306" s="29"/>
      <c r="E306" s="36"/>
      <c r="F306" s="324"/>
      <c r="G306" s="324"/>
      <c r="H306" s="324"/>
      <c r="I306" s="324"/>
      <c r="J306" s="324"/>
      <c r="K306" s="324"/>
      <c r="L306" s="324"/>
      <c r="M306" s="324"/>
      <c r="N306" s="324"/>
      <c r="O306" s="324"/>
      <c r="P306" s="324"/>
      <c r="Q306" s="324"/>
      <c r="R306" s="324"/>
      <c r="S306" s="324"/>
      <c r="T306" s="324"/>
      <c r="U306" s="324"/>
      <c r="V306" s="324"/>
      <c r="W306" s="324"/>
      <c r="X306" s="324"/>
      <c r="Y306" s="324"/>
      <c r="Z306" s="324"/>
      <c r="AA306" s="324"/>
      <c r="AB306" s="324"/>
      <c r="AC306" s="324"/>
      <c r="AD306" s="324"/>
      <c r="AE306" s="324"/>
    </row>
    <row r="307" spans="3:31" s="294" customFormat="1">
      <c r="C307" s="10"/>
      <c r="D307" s="29"/>
      <c r="E307" s="36"/>
      <c r="F307" s="324"/>
      <c r="G307" s="324"/>
      <c r="H307" s="324"/>
      <c r="I307" s="324"/>
      <c r="J307" s="324"/>
      <c r="K307" s="324"/>
      <c r="L307" s="324"/>
      <c r="M307" s="324"/>
      <c r="N307" s="324"/>
      <c r="O307" s="324"/>
      <c r="P307" s="324"/>
      <c r="Q307" s="324"/>
      <c r="R307" s="324"/>
      <c r="S307" s="324"/>
      <c r="T307" s="324"/>
      <c r="U307" s="324"/>
      <c r="V307" s="324"/>
      <c r="W307" s="324"/>
      <c r="X307" s="324"/>
      <c r="Y307" s="324"/>
      <c r="Z307" s="324"/>
      <c r="AA307" s="324"/>
      <c r="AB307" s="324"/>
      <c r="AC307" s="324"/>
      <c r="AD307" s="324"/>
      <c r="AE307" s="324"/>
    </row>
    <row r="308" spans="3:31" s="294" customFormat="1">
      <c r="C308" s="10"/>
      <c r="D308" s="29"/>
      <c r="E308" s="36"/>
      <c r="F308" s="324"/>
      <c r="G308" s="324"/>
      <c r="H308" s="324"/>
      <c r="I308" s="324"/>
      <c r="J308" s="324"/>
      <c r="K308" s="324"/>
      <c r="L308" s="324"/>
      <c r="M308" s="324"/>
      <c r="N308" s="324"/>
      <c r="O308" s="324"/>
      <c r="P308" s="324"/>
      <c r="Q308" s="324"/>
      <c r="R308" s="324"/>
      <c r="S308" s="324"/>
      <c r="T308" s="324"/>
      <c r="U308" s="324"/>
      <c r="V308" s="324"/>
      <c r="W308" s="324"/>
      <c r="X308" s="324"/>
      <c r="Y308" s="324"/>
      <c r="Z308" s="324"/>
      <c r="AA308" s="324"/>
      <c r="AB308" s="324"/>
      <c r="AC308" s="324"/>
      <c r="AD308" s="324"/>
      <c r="AE308" s="324"/>
    </row>
    <row r="309" spans="3:31" s="294" customFormat="1">
      <c r="C309" s="10"/>
      <c r="D309" s="29"/>
      <c r="E309" s="36"/>
      <c r="F309" s="324"/>
      <c r="G309" s="324"/>
      <c r="H309" s="324"/>
      <c r="I309" s="324"/>
      <c r="J309" s="324"/>
      <c r="K309" s="324"/>
      <c r="L309" s="324"/>
      <c r="M309" s="324"/>
      <c r="N309" s="324"/>
      <c r="O309" s="324"/>
      <c r="P309" s="324"/>
      <c r="Q309" s="324"/>
      <c r="R309" s="324"/>
      <c r="S309" s="324"/>
      <c r="T309" s="324"/>
      <c r="U309" s="324"/>
      <c r="V309" s="324"/>
      <c r="W309" s="324"/>
      <c r="X309" s="324"/>
      <c r="Y309" s="324"/>
      <c r="Z309" s="324"/>
      <c r="AA309" s="324"/>
      <c r="AB309" s="324"/>
      <c r="AC309" s="324"/>
      <c r="AD309" s="324"/>
      <c r="AE309" s="324"/>
    </row>
    <row r="310" spans="3:31" s="294" customFormat="1">
      <c r="C310" s="10"/>
      <c r="D310" s="29"/>
      <c r="E310" s="36"/>
      <c r="F310" s="324"/>
      <c r="G310" s="324"/>
      <c r="H310" s="324"/>
      <c r="I310" s="324"/>
      <c r="J310" s="324"/>
      <c r="K310" s="324"/>
      <c r="L310" s="324"/>
      <c r="M310" s="324"/>
      <c r="N310" s="324"/>
      <c r="O310" s="324"/>
      <c r="P310" s="324"/>
      <c r="Q310" s="324"/>
      <c r="R310" s="324"/>
      <c r="S310" s="324"/>
      <c r="T310" s="324"/>
      <c r="U310" s="324"/>
      <c r="V310" s="324"/>
      <c r="W310" s="324"/>
      <c r="X310" s="324"/>
      <c r="Y310" s="324"/>
      <c r="Z310" s="324"/>
      <c r="AA310" s="324"/>
      <c r="AB310" s="324"/>
      <c r="AC310" s="324"/>
      <c r="AD310" s="324"/>
      <c r="AE310" s="324"/>
    </row>
    <row r="311" spans="3:31" s="294" customFormat="1">
      <c r="C311" s="10"/>
      <c r="D311" s="29"/>
      <c r="E311" s="36"/>
      <c r="F311" s="324"/>
      <c r="G311" s="324"/>
      <c r="H311" s="324"/>
      <c r="I311" s="324"/>
      <c r="J311" s="324"/>
      <c r="K311" s="324"/>
      <c r="L311" s="324"/>
      <c r="M311" s="324"/>
      <c r="N311" s="324"/>
      <c r="O311" s="324"/>
      <c r="P311" s="324"/>
      <c r="Q311" s="324"/>
      <c r="R311" s="324"/>
      <c r="S311" s="324"/>
      <c r="T311" s="324"/>
      <c r="U311" s="324"/>
      <c r="V311" s="324"/>
      <c r="W311" s="324"/>
      <c r="X311" s="324"/>
      <c r="Y311" s="324"/>
      <c r="Z311" s="324"/>
      <c r="AA311" s="324"/>
      <c r="AB311" s="324"/>
      <c r="AC311" s="324"/>
      <c r="AD311" s="324"/>
      <c r="AE311" s="324"/>
    </row>
    <row r="312" spans="3:31" s="294" customFormat="1">
      <c r="C312" s="10"/>
      <c r="D312" s="29"/>
      <c r="E312" s="36"/>
      <c r="F312" s="324"/>
      <c r="G312" s="324"/>
      <c r="H312" s="324"/>
      <c r="I312" s="324"/>
      <c r="J312" s="324"/>
      <c r="K312" s="324"/>
      <c r="L312" s="324"/>
      <c r="M312" s="324"/>
      <c r="N312" s="324"/>
      <c r="O312" s="324"/>
      <c r="P312" s="324"/>
      <c r="Q312" s="324"/>
      <c r="R312" s="324"/>
      <c r="S312" s="324"/>
      <c r="T312" s="324"/>
      <c r="U312" s="324"/>
      <c r="V312" s="324"/>
      <c r="W312" s="324"/>
      <c r="X312" s="324"/>
      <c r="Y312" s="324"/>
      <c r="Z312" s="324"/>
      <c r="AA312" s="324"/>
      <c r="AB312" s="324"/>
      <c r="AC312" s="324"/>
      <c r="AD312" s="324"/>
      <c r="AE312" s="324"/>
    </row>
    <row r="313" spans="3:31" s="294" customFormat="1">
      <c r="C313" s="10"/>
      <c r="D313" s="29"/>
      <c r="E313" s="36"/>
      <c r="F313" s="324"/>
      <c r="G313" s="324"/>
      <c r="H313" s="324"/>
      <c r="I313" s="324"/>
      <c r="J313" s="324"/>
      <c r="K313" s="324"/>
      <c r="L313" s="324"/>
      <c r="M313" s="324"/>
      <c r="N313" s="324"/>
      <c r="O313" s="324"/>
      <c r="P313" s="324"/>
      <c r="Q313" s="324"/>
      <c r="R313" s="324"/>
      <c r="S313" s="324"/>
      <c r="T313" s="324"/>
      <c r="U313" s="324"/>
      <c r="V313" s="324"/>
      <c r="W313" s="324"/>
      <c r="X313" s="324"/>
      <c r="Y313" s="324"/>
      <c r="Z313" s="324"/>
      <c r="AA313" s="324"/>
      <c r="AB313" s="324"/>
      <c r="AC313" s="324"/>
      <c r="AD313" s="324"/>
      <c r="AE313" s="324"/>
    </row>
    <row r="314" spans="3:31" s="294" customFormat="1">
      <c r="C314" s="10"/>
      <c r="D314" s="29"/>
      <c r="E314" s="36"/>
      <c r="F314" s="324"/>
      <c r="G314" s="324"/>
      <c r="H314" s="324"/>
      <c r="I314" s="324"/>
      <c r="J314" s="324"/>
      <c r="K314" s="324"/>
      <c r="L314" s="324"/>
      <c r="M314" s="324"/>
      <c r="N314" s="324"/>
      <c r="O314" s="324"/>
      <c r="P314" s="324"/>
      <c r="Q314" s="324"/>
      <c r="R314" s="324"/>
      <c r="S314" s="324"/>
      <c r="T314" s="324"/>
      <c r="U314" s="324"/>
      <c r="V314" s="324"/>
      <c r="W314" s="324"/>
      <c r="X314" s="324"/>
      <c r="Y314" s="324"/>
      <c r="Z314" s="324"/>
      <c r="AA314" s="324"/>
      <c r="AB314" s="324"/>
      <c r="AC314" s="324"/>
      <c r="AD314" s="324"/>
      <c r="AE314" s="324"/>
    </row>
    <row r="315" spans="3:31" s="294" customFormat="1">
      <c r="C315" s="10"/>
      <c r="D315" s="29"/>
      <c r="E315" s="36"/>
      <c r="F315" s="324"/>
      <c r="G315" s="324"/>
      <c r="H315" s="324"/>
      <c r="I315" s="324"/>
      <c r="J315" s="324"/>
      <c r="K315" s="324"/>
      <c r="L315" s="324"/>
      <c r="M315" s="324"/>
      <c r="N315" s="324"/>
      <c r="O315" s="324"/>
      <c r="P315" s="324"/>
      <c r="Q315" s="324"/>
      <c r="R315" s="324"/>
      <c r="S315" s="324"/>
      <c r="T315" s="324"/>
      <c r="U315" s="324"/>
      <c r="V315" s="324"/>
      <c r="W315" s="324"/>
      <c r="X315" s="324"/>
      <c r="Y315" s="324"/>
      <c r="Z315" s="324"/>
      <c r="AA315" s="324"/>
      <c r="AB315" s="324"/>
      <c r="AC315" s="324"/>
      <c r="AD315" s="324"/>
      <c r="AE315" s="324"/>
    </row>
    <row r="316" spans="3:31" s="294" customFormat="1">
      <c r="C316" s="10"/>
      <c r="D316" s="29"/>
      <c r="E316" s="36"/>
      <c r="F316" s="324"/>
      <c r="G316" s="324"/>
      <c r="H316" s="324"/>
      <c r="I316" s="324"/>
      <c r="J316" s="324"/>
      <c r="K316" s="324"/>
      <c r="L316" s="324"/>
      <c r="M316" s="324"/>
      <c r="N316" s="324"/>
      <c r="O316" s="324"/>
      <c r="P316" s="324"/>
      <c r="Q316" s="324"/>
      <c r="R316" s="324"/>
      <c r="S316" s="324"/>
      <c r="T316" s="324"/>
      <c r="U316" s="324"/>
      <c r="V316" s="324"/>
      <c r="W316" s="324"/>
      <c r="X316" s="324"/>
      <c r="Y316" s="324"/>
      <c r="Z316" s="324"/>
      <c r="AA316" s="324"/>
      <c r="AB316" s="324"/>
      <c r="AC316" s="324"/>
      <c r="AD316" s="324"/>
      <c r="AE316" s="324"/>
    </row>
    <row r="317" spans="3:31" s="294" customFormat="1">
      <c r="C317" s="10"/>
      <c r="D317" s="29"/>
      <c r="E317" s="36"/>
      <c r="F317" s="324"/>
      <c r="G317" s="324"/>
      <c r="H317" s="324"/>
      <c r="I317" s="324"/>
      <c r="J317" s="324"/>
      <c r="K317" s="324"/>
      <c r="L317" s="324"/>
      <c r="M317" s="324"/>
      <c r="N317" s="324"/>
      <c r="O317" s="324"/>
      <c r="P317" s="324"/>
      <c r="Q317" s="324"/>
      <c r="R317" s="324"/>
      <c r="S317" s="324"/>
      <c r="T317" s="324"/>
      <c r="U317" s="324"/>
      <c r="V317" s="324"/>
      <c r="W317" s="324"/>
      <c r="X317" s="324"/>
      <c r="Y317" s="324"/>
      <c r="Z317" s="324"/>
      <c r="AA317" s="324"/>
      <c r="AB317" s="324"/>
      <c r="AC317" s="324"/>
      <c r="AD317" s="324"/>
      <c r="AE317" s="324"/>
    </row>
    <row r="318" spans="3:31" s="294" customFormat="1">
      <c r="C318" s="10"/>
      <c r="D318" s="29"/>
      <c r="E318" s="36"/>
      <c r="F318" s="324"/>
      <c r="G318" s="324"/>
      <c r="H318" s="324"/>
      <c r="I318" s="324"/>
      <c r="J318" s="324"/>
      <c r="K318" s="324"/>
      <c r="L318" s="324"/>
      <c r="M318" s="324"/>
      <c r="N318" s="324"/>
      <c r="O318" s="324"/>
      <c r="P318" s="324"/>
      <c r="Q318" s="324"/>
      <c r="R318" s="324"/>
      <c r="S318" s="324"/>
      <c r="T318" s="324"/>
      <c r="U318" s="324"/>
      <c r="V318" s="324"/>
      <c r="W318" s="324"/>
      <c r="X318" s="324"/>
      <c r="Y318" s="324"/>
      <c r="Z318" s="324"/>
      <c r="AA318" s="324"/>
      <c r="AB318" s="324"/>
      <c r="AC318" s="324"/>
      <c r="AD318" s="324"/>
      <c r="AE318" s="324"/>
    </row>
    <row r="319" spans="3:31" s="294" customFormat="1">
      <c r="C319" s="10"/>
      <c r="D319" s="29"/>
      <c r="E319" s="36"/>
      <c r="F319" s="324"/>
      <c r="G319" s="324"/>
      <c r="H319" s="324"/>
      <c r="I319" s="324"/>
      <c r="J319" s="324"/>
      <c r="K319" s="324"/>
      <c r="L319" s="324"/>
      <c r="M319" s="324"/>
      <c r="N319" s="324"/>
      <c r="O319" s="324"/>
      <c r="P319" s="324"/>
      <c r="Q319" s="324"/>
      <c r="R319" s="324"/>
      <c r="S319" s="324"/>
      <c r="T319" s="324"/>
      <c r="U319" s="324"/>
      <c r="V319" s="324"/>
      <c r="W319" s="324"/>
      <c r="X319" s="324"/>
      <c r="Y319" s="324"/>
      <c r="Z319" s="324"/>
      <c r="AA319" s="324"/>
      <c r="AB319" s="324"/>
      <c r="AC319" s="324"/>
      <c r="AD319" s="324"/>
      <c r="AE319" s="324"/>
    </row>
    <row r="320" spans="3:31" s="294" customFormat="1">
      <c r="C320" s="10"/>
      <c r="D320" s="29"/>
      <c r="E320" s="36"/>
      <c r="F320" s="324"/>
      <c r="G320" s="324"/>
      <c r="H320" s="324"/>
      <c r="I320" s="324"/>
      <c r="J320" s="324"/>
      <c r="K320" s="324"/>
      <c r="L320" s="324"/>
      <c r="M320" s="324"/>
      <c r="N320" s="324"/>
      <c r="O320" s="324"/>
      <c r="P320" s="324"/>
      <c r="Q320" s="324"/>
      <c r="R320" s="324"/>
      <c r="S320" s="324"/>
      <c r="T320" s="324"/>
      <c r="U320" s="324"/>
      <c r="V320" s="324"/>
      <c r="W320" s="324"/>
      <c r="X320" s="324"/>
      <c r="Y320" s="324"/>
      <c r="Z320" s="324"/>
      <c r="AA320" s="324"/>
      <c r="AB320" s="324"/>
      <c r="AC320" s="324"/>
      <c r="AD320" s="324"/>
      <c r="AE320" s="324"/>
    </row>
    <row r="321" spans="3:31" s="294" customFormat="1">
      <c r="C321" s="10"/>
      <c r="D321" s="29"/>
      <c r="E321" s="36"/>
      <c r="F321" s="324"/>
      <c r="G321" s="324"/>
      <c r="H321" s="324"/>
      <c r="I321" s="324"/>
      <c r="J321" s="324"/>
      <c r="K321" s="324"/>
      <c r="L321" s="324"/>
      <c r="M321" s="324"/>
      <c r="N321" s="324"/>
      <c r="O321" s="324"/>
      <c r="P321" s="324"/>
      <c r="Q321" s="324"/>
      <c r="R321" s="324"/>
      <c r="S321" s="324"/>
      <c r="T321" s="324"/>
      <c r="U321" s="324"/>
      <c r="V321" s="324"/>
      <c r="W321" s="324"/>
      <c r="X321" s="324"/>
      <c r="Y321" s="324"/>
      <c r="Z321" s="324"/>
      <c r="AA321" s="324"/>
      <c r="AB321" s="324"/>
      <c r="AC321" s="324"/>
      <c r="AD321" s="324"/>
      <c r="AE321" s="324"/>
    </row>
    <row r="322" spans="3:31" s="294" customFormat="1">
      <c r="C322" s="10"/>
      <c r="D322" s="29"/>
      <c r="E322" s="36"/>
      <c r="F322" s="324"/>
      <c r="G322" s="324"/>
      <c r="H322" s="324"/>
      <c r="I322" s="324"/>
      <c r="J322" s="324"/>
      <c r="K322" s="324"/>
      <c r="L322" s="324"/>
      <c r="M322" s="324"/>
      <c r="N322" s="324"/>
      <c r="O322" s="324"/>
      <c r="P322" s="324"/>
      <c r="Q322" s="324"/>
      <c r="R322" s="324"/>
      <c r="S322" s="324"/>
      <c r="T322" s="324"/>
      <c r="U322" s="324"/>
      <c r="V322" s="324"/>
      <c r="W322" s="324"/>
      <c r="X322" s="324"/>
      <c r="Y322" s="324"/>
      <c r="Z322" s="324"/>
      <c r="AA322" s="324"/>
      <c r="AB322" s="324"/>
      <c r="AC322" s="324"/>
      <c r="AD322" s="324"/>
      <c r="AE322" s="324"/>
    </row>
    <row r="323" spans="3:31" s="294" customFormat="1">
      <c r="C323" s="10"/>
      <c r="D323" s="29"/>
      <c r="E323" s="36"/>
      <c r="F323" s="324"/>
      <c r="G323" s="324"/>
      <c r="H323" s="324"/>
      <c r="I323" s="324"/>
      <c r="J323" s="324"/>
      <c r="K323" s="324"/>
      <c r="L323" s="324"/>
      <c r="M323" s="324"/>
      <c r="N323" s="324"/>
      <c r="O323" s="324"/>
      <c r="P323" s="324"/>
      <c r="Q323" s="324"/>
      <c r="R323" s="324"/>
      <c r="S323" s="324"/>
      <c r="T323" s="324"/>
      <c r="U323" s="324"/>
      <c r="V323" s="324"/>
      <c r="W323" s="324"/>
      <c r="X323" s="324"/>
      <c r="Y323" s="324"/>
      <c r="Z323" s="324"/>
      <c r="AA323" s="324"/>
      <c r="AB323" s="324"/>
      <c r="AC323" s="324"/>
      <c r="AD323" s="324"/>
      <c r="AE323" s="324"/>
    </row>
    <row r="324" spans="3:31" s="294" customFormat="1">
      <c r="C324" s="10"/>
      <c r="D324" s="29"/>
      <c r="E324" s="36"/>
      <c r="F324" s="324"/>
      <c r="G324" s="324"/>
      <c r="H324" s="324"/>
      <c r="I324" s="324"/>
      <c r="J324" s="324"/>
      <c r="K324" s="324"/>
      <c r="L324" s="324"/>
      <c r="M324" s="324"/>
      <c r="N324" s="324"/>
      <c r="O324" s="324"/>
      <c r="P324" s="324"/>
      <c r="Q324" s="324"/>
      <c r="R324" s="324"/>
      <c r="S324" s="324"/>
      <c r="T324" s="324"/>
      <c r="U324" s="324"/>
      <c r="V324" s="324"/>
      <c r="W324" s="324"/>
      <c r="X324" s="324"/>
      <c r="Y324" s="324"/>
      <c r="Z324" s="324"/>
      <c r="AA324" s="324"/>
      <c r="AB324" s="324"/>
      <c r="AC324" s="324"/>
      <c r="AD324" s="324"/>
      <c r="AE324" s="324"/>
    </row>
    <row r="325" spans="3:31" s="294" customFormat="1">
      <c r="C325" s="10"/>
      <c r="D325" s="29"/>
      <c r="E325" s="36"/>
      <c r="F325" s="324"/>
      <c r="G325" s="324"/>
      <c r="H325" s="324"/>
      <c r="I325" s="324"/>
      <c r="J325" s="324"/>
      <c r="K325" s="324"/>
      <c r="L325" s="324"/>
      <c r="M325" s="324"/>
      <c r="N325" s="324"/>
      <c r="O325" s="324"/>
      <c r="P325" s="324"/>
      <c r="Q325" s="324"/>
      <c r="R325" s="324"/>
      <c r="S325" s="324"/>
      <c r="T325" s="324"/>
      <c r="U325" s="324"/>
      <c r="V325" s="324"/>
      <c r="W325" s="324"/>
      <c r="X325" s="324"/>
      <c r="Y325" s="324"/>
      <c r="Z325" s="324"/>
      <c r="AA325" s="324"/>
      <c r="AB325" s="324"/>
      <c r="AC325" s="324"/>
      <c r="AD325" s="324"/>
      <c r="AE325" s="324"/>
    </row>
    <row r="326" spans="3:31" s="294" customFormat="1">
      <c r="C326" s="10"/>
      <c r="D326" s="29"/>
      <c r="E326" s="36"/>
      <c r="F326" s="324"/>
      <c r="G326" s="324"/>
      <c r="H326" s="324"/>
      <c r="I326" s="324"/>
      <c r="J326" s="324"/>
      <c r="K326" s="324"/>
      <c r="L326" s="324"/>
      <c r="M326" s="324"/>
      <c r="N326" s="324"/>
      <c r="O326" s="324"/>
      <c r="P326" s="324"/>
      <c r="Q326" s="324"/>
      <c r="R326" s="324"/>
      <c r="S326" s="324"/>
      <c r="T326" s="324"/>
      <c r="U326" s="324"/>
      <c r="V326" s="324"/>
      <c r="W326" s="324"/>
      <c r="X326" s="324"/>
      <c r="Y326" s="324"/>
      <c r="Z326" s="324"/>
      <c r="AA326" s="324"/>
      <c r="AB326" s="324"/>
      <c r="AC326" s="324"/>
      <c r="AD326" s="324"/>
      <c r="AE326" s="324"/>
    </row>
    <row r="327" spans="3:31" s="294" customFormat="1">
      <c r="C327" s="10"/>
      <c r="D327" s="29"/>
      <c r="E327" s="36"/>
      <c r="F327" s="324"/>
      <c r="G327" s="324"/>
      <c r="H327" s="324"/>
      <c r="I327" s="324"/>
      <c r="J327" s="324"/>
      <c r="K327" s="324"/>
      <c r="L327" s="324"/>
      <c r="M327" s="324"/>
      <c r="N327" s="324"/>
      <c r="O327" s="324"/>
      <c r="P327" s="324"/>
      <c r="Q327" s="324"/>
      <c r="R327" s="324"/>
      <c r="S327" s="324"/>
      <c r="T327" s="324"/>
      <c r="U327" s="324"/>
      <c r="V327" s="324"/>
      <c r="W327" s="324"/>
      <c r="X327" s="324"/>
      <c r="Y327" s="324"/>
      <c r="Z327" s="324"/>
      <c r="AA327" s="324"/>
      <c r="AB327" s="324"/>
      <c r="AC327" s="324"/>
      <c r="AD327" s="324"/>
      <c r="AE327" s="324"/>
    </row>
    <row r="328" spans="3:31" s="294" customFormat="1">
      <c r="C328" s="10"/>
      <c r="D328" s="29"/>
      <c r="E328" s="36"/>
      <c r="F328" s="324"/>
      <c r="G328" s="324"/>
      <c r="H328" s="324"/>
      <c r="I328" s="324"/>
      <c r="J328" s="324"/>
      <c r="K328" s="324"/>
      <c r="L328" s="324"/>
      <c r="M328" s="324"/>
      <c r="N328" s="324"/>
      <c r="O328" s="324"/>
      <c r="P328" s="324"/>
      <c r="Q328" s="324"/>
      <c r="R328" s="324"/>
      <c r="S328" s="324"/>
      <c r="T328" s="324"/>
      <c r="U328" s="324"/>
      <c r="V328" s="324"/>
      <c r="W328" s="324"/>
      <c r="X328" s="324"/>
      <c r="Y328" s="324"/>
      <c r="Z328" s="324"/>
      <c r="AA328" s="324"/>
      <c r="AB328" s="324"/>
      <c r="AC328" s="324"/>
      <c r="AD328" s="324"/>
      <c r="AE328" s="324"/>
    </row>
    <row r="329" spans="3:31" s="294" customFormat="1">
      <c r="C329" s="10"/>
      <c r="D329" s="29"/>
      <c r="E329" s="36"/>
      <c r="F329" s="324"/>
      <c r="G329" s="324"/>
      <c r="H329" s="324"/>
      <c r="I329" s="324"/>
      <c r="J329" s="324"/>
      <c r="K329" s="324"/>
      <c r="L329" s="324"/>
      <c r="M329" s="324"/>
      <c r="N329" s="324"/>
      <c r="O329" s="324"/>
      <c r="P329" s="324"/>
      <c r="Q329" s="324"/>
      <c r="R329" s="324"/>
      <c r="S329" s="324"/>
      <c r="T329" s="324"/>
      <c r="U329" s="324"/>
      <c r="V329" s="324"/>
      <c r="W329" s="324"/>
      <c r="X329" s="324"/>
      <c r="Y329" s="324"/>
      <c r="Z329" s="324"/>
      <c r="AA329" s="324"/>
      <c r="AB329" s="324"/>
      <c r="AC329" s="324"/>
      <c r="AD329" s="324"/>
      <c r="AE329" s="324"/>
    </row>
    <row r="330" spans="3:31" s="294" customFormat="1">
      <c r="C330" s="10"/>
      <c r="D330" s="29"/>
      <c r="E330" s="36"/>
      <c r="F330" s="324"/>
      <c r="G330" s="324"/>
      <c r="H330" s="324"/>
      <c r="I330" s="324"/>
      <c r="J330" s="324"/>
      <c r="K330" s="324"/>
      <c r="L330" s="324"/>
      <c r="M330" s="324"/>
      <c r="N330" s="324"/>
      <c r="O330" s="324"/>
      <c r="P330" s="324"/>
      <c r="Q330" s="324"/>
      <c r="R330" s="324"/>
      <c r="S330" s="324"/>
      <c r="T330" s="324"/>
      <c r="U330" s="324"/>
      <c r="V330" s="324"/>
      <c r="W330" s="324"/>
      <c r="X330" s="324"/>
      <c r="Y330" s="324"/>
      <c r="Z330" s="324"/>
      <c r="AA330" s="324"/>
      <c r="AB330" s="324"/>
      <c r="AC330" s="324"/>
      <c r="AD330" s="324"/>
      <c r="AE330" s="324"/>
    </row>
    <row r="331" spans="3:31" s="294" customFormat="1">
      <c r="C331" s="10"/>
      <c r="D331" s="29"/>
      <c r="E331" s="36"/>
      <c r="F331" s="324"/>
      <c r="G331" s="324"/>
      <c r="H331" s="324"/>
      <c r="I331" s="324"/>
      <c r="J331" s="324"/>
      <c r="K331" s="324"/>
      <c r="L331" s="324"/>
      <c r="M331" s="324"/>
      <c r="N331" s="324"/>
      <c r="O331" s="324"/>
      <c r="P331" s="324"/>
      <c r="Q331" s="324"/>
      <c r="R331" s="324"/>
      <c r="S331" s="324"/>
      <c r="T331" s="324"/>
      <c r="U331" s="324"/>
      <c r="V331" s="324"/>
      <c r="W331" s="324"/>
      <c r="X331" s="324"/>
      <c r="Y331" s="324"/>
      <c r="Z331" s="324"/>
      <c r="AA331" s="324"/>
      <c r="AB331" s="324"/>
      <c r="AC331" s="324"/>
      <c r="AD331" s="324"/>
      <c r="AE331" s="324"/>
    </row>
    <row r="332" spans="3:31" s="294" customFormat="1">
      <c r="C332" s="10"/>
      <c r="D332" s="29"/>
      <c r="E332" s="36"/>
      <c r="F332" s="324"/>
      <c r="G332" s="324"/>
      <c r="H332" s="324"/>
      <c r="I332" s="324"/>
      <c r="J332" s="324"/>
      <c r="K332" s="324"/>
      <c r="L332" s="324"/>
      <c r="M332" s="324"/>
      <c r="N332" s="324"/>
      <c r="O332" s="324"/>
      <c r="P332" s="324"/>
      <c r="Q332" s="324"/>
      <c r="R332" s="324"/>
      <c r="S332" s="324"/>
      <c r="T332" s="324"/>
      <c r="U332" s="324"/>
      <c r="V332" s="324"/>
      <c r="W332" s="324"/>
      <c r="X332" s="324"/>
      <c r="Y332" s="324"/>
      <c r="Z332" s="324"/>
      <c r="AA332" s="324"/>
      <c r="AB332" s="324"/>
      <c r="AC332" s="324"/>
      <c r="AD332" s="324"/>
      <c r="AE332" s="324"/>
    </row>
    <row r="333" spans="3:31" s="294" customFormat="1">
      <c r="C333" s="10"/>
      <c r="D333" s="29"/>
      <c r="E333" s="36"/>
      <c r="F333" s="324"/>
      <c r="G333" s="324"/>
      <c r="H333" s="324"/>
      <c r="I333" s="324"/>
      <c r="J333" s="324"/>
      <c r="K333" s="324"/>
      <c r="L333" s="324"/>
      <c r="M333" s="324"/>
      <c r="N333" s="324"/>
      <c r="O333" s="324"/>
      <c r="P333" s="324"/>
      <c r="Q333" s="324"/>
      <c r="R333" s="324"/>
      <c r="S333" s="324"/>
      <c r="T333" s="324"/>
      <c r="U333" s="324"/>
      <c r="V333" s="324"/>
      <c r="W333" s="324"/>
      <c r="X333" s="324"/>
      <c r="Y333" s="324"/>
      <c r="Z333" s="324"/>
      <c r="AA333" s="324"/>
      <c r="AB333" s="324"/>
      <c r="AC333" s="324"/>
      <c r="AD333" s="324"/>
      <c r="AE333" s="324"/>
    </row>
    <row r="334" spans="3:31" s="294" customFormat="1">
      <c r="C334" s="10"/>
      <c r="D334" s="29"/>
      <c r="E334" s="36"/>
      <c r="F334" s="324"/>
      <c r="G334" s="324"/>
      <c r="H334" s="324"/>
      <c r="I334" s="324"/>
      <c r="J334" s="324"/>
      <c r="K334" s="324"/>
      <c r="L334" s="324"/>
      <c r="M334" s="324"/>
      <c r="N334" s="324"/>
      <c r="O334" s="324"/>
      <c r="P334" s="324"/>
      <c r="Q334" s="324"/>
      <c r="R334" s="324"/>
      <c r="S334" s="324"/>
      <c r="T334" s="324"/>
      <c r="U334" s="324"/>
      <c r="V334" s="324"/>
      <c r="W334" s="324"/>
      <c r="X334" s="324"/>
      <c r="Y334" s="324"/>
      <c r="Z334" s="324"/>
      <c r="AA334" s="324"/>
      <c r="AB334" s="324"/>
      <c r="AC334" s="324"/>
      <c r="AD334" s="324"/>
      <c r="AE334" s="324"/>
    </row>
    <row r="335" spans="3:31" s="294" customFormat="1">
      <c r="C335" s="10"/>
      <c r="D335" s="29"/>
      <c r="E335" s="36"/>
      <c r="F335" s="324"/>
      <c r="G335" s="324"/>
      <c r="H335" s="324"/>
      <c r="I335" s="324"/>
      <c r="J335" s="324"/>
      <c r="K335" s="324"/>
      <c r="L335" s="324"/>
      <c r="M335" s="324"/>
      <c r="N335" s="324"/>
      <c r="O335" s="324"/>
      <c r="P335" s="324"/>
      <c r="Q335" s="324"/>
      <c r="R335" s="324"/>
      <c r="S335" s="324"/>
      <c r="T335" s="324"/>
      <c r="U335" s="324"/>
      <c r="V335" s="324"/>
      <c r="W335" s="324"/>
      <c r="X335" s="324"/>
      <c r="Y335" s="324"/>
      <c r="Z335" s="324"/>
      <c r="AA335" s="324"/>
      <c r="AB335" s="324"/>
      <c r="AC335" s="324"/>
      <c r="AD335" s="324"/>
      <c r="AE335" s="324"/>
    </row>
    <row r="336" spans="3:31" s="294" customFormat="1">
      <c r="C336" s="10"/>
      <c r="D336" s="29"/>
      <c r="E336" s="36"/>
      <c r="F336" s="324"/>
      <c r="G336" s="324"/>
      <c r="H336" s="324"/>
      <c r="I336" s="324"/>
      <c r="J336" s="324"/>
      <c r="K336" s="324"/>
      <c r="L336" s="324"/>
      <c r="M336" s="324"/>
      <c r="N336" s="324"/>
      <c r="O336" s="324"/>
      <c r="P336" s="324"/>
      <c r="Q336" s="324"/>
      <c r="R336" s="324"/>
      <c r="S336" s="324"/>
      <c r="T336" s="324"/>
      <c r="U336" s="324"/>
      <c r="V336" s="324"/>
      <c r="W336" s="324"/>
      <c r="X336" s="324"/>
      <c r="Y336" s="324"/>
      <c r="Z336" s="324"/>
      <c r="AA336" s="324"/>
      <c r="AB336" s="324"/>
      <c r="AC336" s="324"/>
      <c r="AD336" s="324"/>
      <c r="AE336" s="324"/>
    </row>
    <row r="337" spans="3:31" s="294" customFormat="1">
      <c r="C337" s="10"/>
      <c r="D337" s="29"/>
      <c r="E337" s="36"/>
      <c r="F337" s="324"/>
      <c r="G337" s="324"/>
      <c r="H337" s="324"/>
      <c r="I337" s="324"/>
      <c r="J337" s="324"/>
      <c r="K337" s="324"/>
      <c r="L337" s="324"/>
      <c r="M337" s="324"/>
      <c r="N337" s="324"/>
      <c r="O337" s="324"/>
      <c r="P337" s="324"/>
      <c r="Q337" s="324"/>
      <c r="R337" s="324"/>
      <c r="S337" s="324"/>
      <c r="T337" s="324"/>
      <c r="U337" s="324"/>
      <c r="V337" s="324"/>
      <c r="W337" s="324"/>
      <c r="X337" s="324"/>
      <c r="Y337" s="324"/>
      <c r="Z337" s="324"/>
      <c r="AA337" s="324"/>
      <c r="AB337" s="324"/>
      <c r="AC337" s="324"/>
      <c r="AD337" s="324"/>
      <c r="AE337" s="324"/>
    </row>
    <row r="338" spans="3:31" s="294" customFormat="1">
      <c r="C338" s="10"/>
      <c r="D338" s="29"/>
      <c r="E338" s="36"/>
      <c r="F338" s="324"/>
      <c r="G338" s="324"/>
      <c r="H338" s="324"/>
      <c r="I338" s="324"/>
      <c r="J338" s="324"/>
      <c r="K338" s="324"/>
      <c r="L338" s="324"/>
      <c r="M338" s="324"/>
      <c r="N338" s="324"/>
      <c r="O338" s="324"/>
      <c r="P338" s="324"/>
      <c r="Q338" s="324"/>
      <c r="R338" s="324"/>
      <c r="S338" s="324"/>
      <c r="T338" s="324"/>
      <c r="U338" s="324"/>
      <c r="V338" s="324"/>
      <c r="W338" s="324"/>
      <c r="X338" s="324"/>
      <c r="Y338" s="324"/>
      <c r="Z338" s="324"/>
      <c r="AA338" s="324"/>
      <c r="AB338" s="324"/>
      <c r="AC338" s="324"/>
      <c r="AD338" s="324"/>
      <c r="AE338" s="324"/>
    </row>
    <row r="339" spans="3:31" s="294" customFormat="1">
      <c r="C339" s="10"/>
      <c r="D339" s="29"/>
      <c r="E339" s="36"/>
      <c r="F339" s="324"/>
      <c r="G339" s="324"/>
      <c r="H339" s="324"/>
      <c r="I339" s="324"/>
      <c r="J339" s="324"/>
      <c r="K339" s="324"/>
      <c r="L339" s="324"/>
      <c r="M339" s="324"/>
      <c r="N339" s="324"/>
      <c r="O339" s="324"/>
      <c r="P339" s="324"/>
      <c r="Q339" s="324"/>
      <c r="R339" s="324"/>
      <c r="S339" s="324"/>
      <c r="T339" s="324"/>
      <c r="U339" s="324"/>
      <c r="V339" s="324"/>
      <c r="W339" s="324"/>
      <c r="X339" s="324"/>
      <c r="Y339" s="324"/>
      <c r="Z339" s="324"/>
      <c r="AA339" s="324"/>
      <c r="AB339" s="324"/>
      <c r="AC339" s="324"/>
      <c r="AD339" s="324"/>
      <c r="AE339" s="324"/>
    </row>
    <row r="340" spans="3:31" s="294" customFormat="1">
      <c r="C340" s="10"/>
      <c r="D340" s="29"/>
      <c r="E340" s="36"/>
      <c r="F340" s="324"/>
      <c r="G340" s="324"/>
      <c r="H340" s="324"/>
      <c r="I340" s="324"/>
      <c r="J340" s="324"/>
      <c r="K340" s="324"/>
      <c r="L340" s="324"/>
      <c r="M340" s="324"/>
      <c r="N340" s="324"/>
      <c r="O340" s="324"/>
      <c r="P340" s="324"/>
      <c r="Q340" s="324"/>
      <c r="R340" s="324"/>
      <c r="S340" s="324"/>
      <c r="T340" s="324"/>
      <c r="U340" s="324"/>
      <c r="V340" s="324"/>
      <c r="W340" s="324"/>
      <c r="X340" s="324"/>
      <c r="Y340" s="324"/>
      <c r="Z340" s="324"/>
      <c r="AA340" s="324"/>
      <c r="AB340" s="324"/>
      <c r="AC340" s="324"/>
      <c r="AD340" s="324"/>
      <c r="AE340" s="324"/>
    </row>
    <row r="341" spans="3:31" s="294" customFormat="1">
      <c r="C341" s="10"/>
      <c r="D341" s="29"/>
      <c r="E341" s="36"/>
      <c r="F341" s="324"/>
      <c r="G341" s="324"/>
      <c r="H341" s="324"/>
      <c r="I341" s="324"/>
      <c r="J341" s="324"/>
      <c r="K341" s="324"/>
      <c r="L341" s="324"/>
      <c r="M341" s="324"/>
      <c r="N341" s="324"/>
      <c r="O341" s="324"/>
      <c r="P341" s="324"/>
      <c r="Q341" s="324"/>
      <c r="R341" s="324"/>
      <c r="S341" s="324"/>
      <c r="T341" s="324"/>
      <c r="U341" s="324"/>
      <c r="V341" s="324"/>
      <c r="W341" s="324"/>
      <c r="X341" s="324"/>
      <c r="Y341" s="324"/>
      <c r="Z341" s="324"/>
      <c r="AA341" s="324"/>
      <c r="AB341" s="324"/>
      <c r="AC341" s="324"/>
      <c r="AD341" s="324"/>
      <c r="AE341" s="324"/>
    </row>
    <row r="342" spans="3:31" s="294" customFormat="1">
      <c r="C342" s="10"/>
      <c r="D342" s="29"/>
      <c r="E342" s="36"/>
      <c r="F342" s="324"/>
      <c r="G342" s="324"/>
      <c r="H342" s="324"/>
      <c r="I342" s="324"/>
      <c r="J342" s="324"/>
      <c r="K342" s="324"/>
      <c r="L342" s="324"/>
      <c r="M342" s="324"/>
      <c r="N342" s="324"/>
      <c r="O342" s="324"/>
      <c r="P342" s="324"/>
      <c r="Q342" s="324"/>
      <c r="R342" s="324"/>
      <c r="S342" s="324"/>
      <c r="T342" s="324"/>
      <c r="U342" s="324"/>
      <c r="V342" s="324"/>
      <c r="W342" s="324"/>
      <c r="X342" s="324"/>
      <c r="Y342" s="324"/>
      <c r="Z342" s="324"/>
      <c r="AA342" s="324"/>
      <c r="AB342" s="324"/>
      <c r="AC342" s="324"/>
      <c r="AD342" s="324"/>
      <c r="AE342" s="324"/>
    </row>
    <row r="343" spans="3:31" s="294" customFormat="1">
      <c r="C343" s="10"/>
      <c r="D343" s="29"/>
      <c r="E343" s="36"/>
      <c r="F343" s="324"/>
      <c r="G343" s="324"/>
      <c r="H343" s="324"/>
      <c r="I343" s="324"/>
      <c r="J343" s="324"/>
      <c r="K343" s="324"/>
      <c r="L343" s="324"/>
      <c r="M343" s="324"/>
      <c r="N343" s="324"/>
      <c r="O343" s="324"/>
      <c r="P343" s="324"/>
      <c r="Q343" s="324"/>
      <c r="R343" s="324"/>
      <c r="S343" s="324"/>
      <c r="T343" s="324"/>
      <c r="U343" s="324"/>
      <c r="V343" s="324"/>
      <c r="W343" s="324"/>
      <c r="X343" s="324"/>
      <c r="Y343" s="324"/>
      <c r="Z343" s="324"/>
      <c r="AA343" s="324"/>
      <c r="AB343" s="324"/>
      <c r="AC343" s="324"/>
      <c r="AD343" s="324"/>
      <c r="AE343" s="324"/>
    </row>
    <row r="344" spans="3:31" s="294" customFormat="1">
      <c r="C344" s="10"/>
      <c r="D344" s="29"/>
      <c r="E344" s="36"/>
      <c r="F344" s="324"/>
      <c r="G344" s="324"/>
      <c r="H344" s="324"/>
      <c r="I344" s="324"/>
      <c r="J344" s="324"/>
      <c r="K344" s="324"/>
      <c r="L344" s="324"/>
      <c r="M344" s="324"/>
      <c r="N344" s="324"/>
      <c r="O344" s="324"/>
      <c r="P344" s="324"/>
      <c r="Q344" s="324"/>
      <c r="R344" s="324"/>
      <c r="S344" s="324"/>
      <c r="T344" s="324"/>
      <c r="U344" s="324"/>
      <c r="V344" s="324"/>
      <c r="W344" s="324"/>
      <c r="X344" s="324"/>
      <c r="Y344" s="324"/>
      <c r="Z344" s="324"/>
      <c r="AA344" s="324"/>
      <c r="AB344" s="324"/>
      <c r="AC344" s="324"/>
      <c r="AD344" s="324"/>
      <c r="AE344" s="324"/>
    </row>
    <row r="345" spans="3:31" s="294" customFormat="1">
      <c r="C345" s="10"/>
      <c r="D345" s="29"/>
      <c r="E345" s="36"/>
      <c r="F345" s="324"/>
      <c r="G345" s="324"/>
      <c r="H345" s="324"/>
      <c r="I345" s="324"/>
      <c r="J345" s="324"/>
      <c r="K345" s="324"/>
      <c r="L345" s="324"/>
      <c r="M345" s="324"/>
      <c r="N345" s="324"/>
      <c r="O345" s="324"/>
      <c r="P345" s="324"/>
      <c r="Q345" s="324"/>
      <c r="R345" s="324"/>
      <c r="S345" s="324"/>
      <c r="T345" s="324"/>
      <c r="U345" s="324"/>
      <c r="V345" s="324"/>
      <c r="W345" s="324"/>
      <c r="X345" s="324"/>
      <c r="Y345" s="324"/>
      <c r="Z345" s="324"/>
      <c r="AA345" s="324"/>
      <c r="AB345" s="324"/>
      <c r="AC345" s="324"/>
      <c r="AD345" s="324"/>
      <c r="AE345" s="324"/>
    </row>
    <row r="346" spans="3:31" s="294" customFormat="1">
      <c r="C346" s="10"/>
      <c r="D346" s="29"/>
      <c r="E346" s="36"/>
      <c r="F346" s="324"/>
      <c r="G346" s="324"/>
      <c r="H346" s="324"/>
      <c r="I346" s="324"/>
      <c r="J346" s="324"/>
      <c r="K346" s="324"/>
      <c r="L346" s="324"/>
      <c r="M346" s="324"/>
      <c r="N346" s="324"/>
      <c r="O346" s="324"/>
      <c r="P346" s="324"/>
      <c r="Q346" s="324"/>
      <c r="R346" s="324"/>
      <c r="S346" s="324"/>
      <c r="T346" s="324"/>
      <c r="U346" s="324"/>
      <c r="V346" s="324"/>
      <c r="W346" s="324"/>
      <c r="X346" s="324"/>
      <c r="Y346" s="324"/>
      <c r="Z346" s="324"/>
      <c r="AA346" s="324"/>
      <c r="AB346" s="324"/>
      <c r="AC346" s="324"/>
      <c r="AD346" s="324"/>
      <c r="AE346" s="324"/>
    </row>
    <row r="347" spans="3:31" s="294" customFormat="1">
      <c r="C347" s="10"/>
      <c r="D347" s="29"/>
      <c r="E347" s="36"/>
      <c r="F347" s="324"/>
      <c r="G347" s="324"/>
      <c r="H347" s="324"/>
      <c r="I347" s="324"/>
      <c r="J347" s="324"/>
      <c r="K347" s="324"/>
      <c r="L347" s="324"/>
      <c r="M347" s="324"/>
      <c r="N347" s="324"/>
      <c r="O347" s="324"/>
      <c r="P347" s="324"/>
      <c r="Q347" s="324"/>
      <c r="R347" s="324"/>
      <c r="S347" s="324"/>
      <c r="T347" s="324"/>
      <c r="U347" s="324"/>
      <c r="V347" s="324"/>
      <c r="W347" s="324"/>
      <c r="X347" s="324"/>
      <c r="Y347" s="324"/>
      <c r="Z347" s="324"/>
      <c r="AA347" s="324"/>
      <c r="AB347" s="324"/>
      <c r="AC347" s="324"/>
      <c r="AD347" s="324"/>
      <c r="AE347" s="324"/>
    </row>
    <row r="348" spans="3:31" s="294" customFormat="1">
      <c r="C348" s="10"/>
      <c r="D348" s="29"/>
      <c r="E348" s="36"/>
      <c r="F348" s="324"/>
      <c r="G348" s="324"/>
      <c r="H348" s="324"/>
      <c r="I348" s="324"/>
      <c r="J348" s="324"/>
      <c r="K348" s="324"/>
      <c r="L348" s="324"/>
      <c r="M348" s="324"/>
      <c r="N348" s="324"/>
      <c r="O348" s="324"/>
      <c r="P348" s="324"/>
      <c r="Q348" s="324"/>
      <c r="R348" s="324"/>
      <c r="S348" s="324"/>
      <c r="T348" s="324"/>
      <c r="U348" s="324"/>
      <c r="V348" s="324"/>
      <c r="W348" s="324"/>
      <c r="X348" s="324"/>
      <c r="Y348" s="324"/>
      <c r="Z348" s="324"/>
      <c r="AA348" s="324"/>
      <c r="AB348" s="324"/>
      <c r="AC348" s="324"/>
      <c r="AD348" s="324"/>
      <c r="AE348" s="324"/>
    </row>
    <row r="349" spans="3:31" s="294" customFormat="1">
      <c r="C349" s="10"/>
      <c r="D349" s="29"/>
      <c r="E349" s="36"/>
      <c r="F349" s="324"/>
      <c r="G349" s="324"/>
      <c r="H349" s="324"/>
      <c r="I349" s="324"/>
      <c r="J349" s="324"/>
      <c r="K349" s="324"/>
      <c r="L349" s="324"/>
      <c r="M349" s="324"/>
      <c r="N349" s="324"/>
      <c r="O349" s="324"/>
      <c r="P349" s="324"/>
      <c r="Q349" s="324"/>
      <c r="R349" s="324"/>
      <c r="S349" s="324"/>
      <c r="T349" s="324"/>
      <c r="U349" s="324"/>
      <c r="V349" s="324"/>
      <c r="W349" s="324"/>
      <c r="X349" s="324"/>
      <c r="Y349" s="324"/>
      <c r="Z349" s="324"/>
      <c r="AA349" s="324"/>
      <c r="AB349" s="324"/>
      <c r="AC349" s="324"/>
      <c r="AD349" s="324"/>
      <c r="AE349" s="324"/>
    </row>
    <row r="350" spans="3:31" s="294" customFormat="1">
      <c r="C350" s="10"/>
      <c r="D350" s="29"/>
      <c r="E350" s="36"/>
      <c r="F350" s="324"/>
      <c r="G350" s="324"/>
      <c r="H350" s="324"/>
      <c r="I350" s="324"/>
      <c r="J350" s="324"/>
      <c r="K350" s="324"/>
      <c r="L350" s="324"/>
      <c r="M350" s="324"/>
      <c r="N350" s="324"/>
      <c r="O350" s="324"/>
      <c r="P350" s="324"/>
      <c r="Q350" s="324"/>
      <c r="R350" s="324"/>
      <c r="S350" s="324"/>
      <c r="T350" s="324"/>
      <c r="U350" s="324"/>
      <c r="V350" s="324"/>
      <c r="W350" s="324"/>
      <c r="X350" s="324"/>
      <c r="Y350" s="324"/>
      <c r="Z350" s="324"/>
      <c r="AA350" s="324"/>
      <c r="AB350" s="324"/>
      <c r="AC350" s="324"/>
      <c r="AD350" s="324"/>
      <c r="AE350" s="324"/>
    </row>
    <row r="351" spans="3:31" s="294" customFormat="1">
      <c r="C351" s="10"/>
      <c r="D351" s="29"/>
      <c r="E351" s="36"/>
      <c r="F351" s="324"/>
      <c r="G351" s="324"/>
      <c r="H351" s="324"/>
      <c r="I351" s="324"/>
      <c r="J351" s="324"/>
      <c r="K351" s="324"/>
      <c r="L351" s="324"/>
      <c r="M351" s="324"/>
      <c r="N351" s="324"/>
      <c r="O351" s="324"/>
      <c r="P351" s="324"/>
      <c r="Q351" s="324"/>
      <c r="R351" s="324"/>
      <c r="S351" s="324"/>
      <c r="T351" s="324"/>
      <c r="U351" s="324"/>
      <c r="V351" s="324"/>
      <c r="W351" s="324"/>
      <c r="X351" s="324"/>
      <c r="Y351" s="324"/>
      <c r="Z351" s="324"/>
      <c r="AA351" s="324"/>
      <c r="AB351" s="324"/>
      <c r="AC351" s="324"/>
      <c r="AD351" s="324"/>
      <c r="AE351" s="324"/>
    </row>
    <row r="352" spans="3:31" s="294" customFormat="1">
      <c r="C352" s="10"/>
      <c r="D352" s="29"/>
      <c r="E352" s="36"/>
      <c r="F352" s="324"/>
      <c r="G352" s="324"/>
      <c r="H352" s="324"/>
      <c r="I352" s="324"/>
      <c r="J352" s="324"/>
      <c r="K352" s="324"/>
      <c r="L352" s="324"/>
      <c r="M352" s="324"/>
      <c r="N352" s="324"/>
      <c r="O352" s="324"/>
      <c r="P352" s="324"/>
      <c r="Q352" s="324"/>
      <c r="R352" s="324"/>
      <c r="S352" s="324"/>
      <c r="T352" s="324"/>
      <c r="U352" s="324"/>
      <c r="V352" s="324"/>
      <c r="W352" s="324"/>
      <c r="X352" s="324"/>
      <c r="Y352" s="324"/>
      <c r="Z352" s="324"/>
      <c r="AA352" s="324"/>
      <c r="AB352" s="324"/>
      <c r="AC352" s="324"/>
      <c r="AD352" s="324"/>
      <c r="AE352" s="324"/>
    </row>
    <row r="353" spans="3:31" s="294" customFormat="1">
      <c r="C353" s="10"/>
      <c r="D353" s="29"/>
      <c r="E353" s="36"/>
      <c r="F353" s="324"/>
      <c r="G353" s="324"/>
      <c r="H353" s="324"/>
      <c r="I353" s="324"/>
      <c r="J353" s="324"/>
      <c r="K353" s="324"/>
      <c r="L353" s="324"/>
      <c r="M353" s="324"/>
      <c r="N353" s="324"/>
      <c r="O353" s="324"/>
      <c r="P353" s="324"/>
      <c r="Q353" s="324"/>
      <c r="R353" s="324"/>
      <c r="S353" s="324"/>
      <c r="T353" s="324"/>
      <c r="U353" s="324"/>
      <c r="V353" s="324"/>
      <c r="W353" s="324"/>
      <c r="X353" s="324"/>
      <c r="Y353" s="324"/>
      <c r="Z353" s="324"/>
      <c r="AA353" s="324"/>
      <c r="AB353" s="324"/>
      <c r="AC353" s="324"/>
      <c r="AD353" s="324"/>
      <c r="AE353" s="324"/>
    </row>
    <row r="354" spans="3:31" s="294" customFormat="1">
      <c r="C354" s="10"/>
      <c r="D354" s="29"/>
      <c r="E354" s="36"/>
      <c r="F354" s="324"/>
      <c r="G354" s="324"/>
      <c r="H354" s="324"/>
      <c r="I354" s="324"/>
      <c r="J354" s="324"/>
      <c r="K354" s="324"/>
      <c r="L354" s="324"/>
      <c r="M354" s="324"/>
      <c r="N354" s="324"/>
      <c r="O354" s="324"/>
      <c r="P354" s="324"/>
      <c r="Q354" s="324"/>
      <c r="R354" s="324"/>
      <c r="S354" s="324"/>
      <c r="T354" s="324"/>
      <c r="U354" s="324"/>
      <c r="V354" s="324"/>
      <c r="W354" s="324"/>
      <c r="X354" s="324"/>
      <c r="Y354" s="324"/>
      <c r="Z354" s="324"/>
      <c r="AA354" s="324"/>
      <c r="AB354" s="324"/>
      <c r="AC354" s="324"/>
      <c r="AD354" s="324"/>
      <c r="AE354" s="324"/>
    </row>
    <row r="355" spans="3:31" s="294" customFormat="1">
      <c r="C355" s="10"/>
      <c r="D355" s="29"/>
      <c r="E355" s="36"/>
      <c r="F355" s="324"/>
      <c r="G355" s="324"/>
      <c r="H355" s="324"/>
      <c r="I355" s="324"/>
      <c r="J355" s="324"/>
      <c r="K355" s="324"/>
      <c r="L355" s="324"/>
      <c r="M355" s="324"/>
      <c r="N355" s="324"/>
      <c r="O355" s="324"/>
      <c r="P355" s="324"/>
      <c r="Q355" s="324"/>
      <c r="R355" s="324"/>
      <c r="S355" s="324"/>
      <c r="T355" s="324"/>
      <c r="U355" s="324"/>
      <c r="V355" s="324"/>
      <c r="W355" s="324"/>
      <c r="X355" s="324"/>
      <c r="Y355" s="324"/>
      <c r="Z355" s="324"/>
      <c r="AA355" s="324"/>
      <c r="AB355" s="324"/>
      <c r="AC355" s="324"/>
      <c r="AD355" s="324"/>
      <c r="AE355" s="324"/>
    </row>
    <row r="356" spans="3:31" s="294" customFormat="1">
      <c r="C356" s="10"/>
      <c r="D356" s="29"/>
      <c r="E356" s="36"/>
      <c r="F356" s="324"/>
      <c r="G356" s="324"/>
      <c r="H356" s="324"/>
      <c r="I356" s="324"/>
      <c r="J356" s="324"/>
      <c r="K356" s="324"/>
      <c r="L356" s="324"/>
      <c r="M356" s="324"/>
      <c r="N356" s="324"/>
      <c r="O356" s="324"/>
      <c r="P356" s="324"/>
      <c r="Q356" s="324"/>
      <c r="R356" s="324"/>
      <c r="S356" s="324"/>
      <c r="T356" s="324"/>
      <c r="U356" s="324"/>
      <c r="V356" s="324"/>
      <c r="W356" s="324"/>
      <c r="X356" s="324"/>
      <c r="Y356" s="324"/>
      <c r="Z356" s="324"/>
      <c r="AA356" s="324"/>
      <c r="AB356" s="324"/>
      <c r="AC356" s="324"/>
      <c r="AD356" s="324"/>
      <c r="AE356" s="324"/>
    </row>
    <row r="357" spans="3:31" s="294" customFormat="1">
      <c r="C357" s="10"/>
      <c r="D357" s="29"/>
      <c r="E357" s="36"/>
      <c r="F357" s="324"/>
      <c r="G357" s="324"/>
      <c r="H357" s="324"/>
      <c r="I357" s="324"/>
      <c r="J357" s="324"/>
      <c r="K357" s="324"/>
      <c r="L357" s="324"/>
      <c r="M357" s="324"/>
      <c r="N357" s="324"/>
      <c r="O357" s="324"/>
      <c r="P357" s="324"/>
      <c r="Q357" s="324"/>
      <c r="R357" s="324"/>
      <c r="S357" s="324"/>
      <c r="T357" s="324"/>
      <c r="U357" s="324"/>
      <c r="V357" s="324"/>
      <c r="W357" s="324"/>
      <c r="X357" s="324"/>
      <c r="Y357" s="324"/>
      <c r="Z357" s="324"/>
      <c r="AA357" s="324"/>
      <c r="AB357" s="324"/>
      <c r="AC357" s="324"/>
      <c r="AD357" s="324"/>
      <c r="AE357" s="324"/>
    </row>
    <row r="358" spans="3:31" s="294" customFormat="1">
      <c r="C358" s="10"/>
      <c r="D358" s="29"/>
      <c r="E358" s="36"/>
      <c r="F358" s="324"/>
      <c r="G358" s="324"/>
      <c r="H358" s="324"/>
      <c r="I358" s="324"/>
      <c r="J358" s="324"/>
      <c r="K358" s="324"/>
      <c r="L358" s="324"/>
      <c r="M358" s="324"/>
      <c r="N358" s="324"/>
      <c r="O358" s="324"/>
      <c r="P358" s="324"/>
      <c r="Q358" s="324"/>
      <c r="R358" s="324"/>
      <c r="S358" s="324"/>
      <c r="T358" s="324"/>
      <c r="U358" s="324"/>
      <c r="V358" s="324"/>
      <c r="W358" s="324"/>
      <c r="X358" s="324"/>
      <c r="Y358" s="324"/>
      <c r="Z358" s="324"/>
      <c r="AA358" s="324"/>
      <c r="AB358" s="324"/>
      <c r="AC358" s="324"/>
      <c r="AD358" s="324"/>
      <c r="AE358" s="324"/>
    </row>
    <row r="359" spans="3:31" s="294" customFormat="1">
      <c r="C359" s="10"/>
      <c r="D359" s="29"/>
      <c r="E359" s="36"/>
      <c r="F359" s="324"/>
      <c r="G359" s="324"/>
      <c r="H359" s="324"/>
      <c r="I359" s="324"/>
      <c r="J359" s="324"/>
      <c r="K359" s="324"/>
      <c r="L359" s="324"/>
      <c r="M359" s="324"/>
      <c r="N359" s="324"/>
      <c r="O359" s="324"/>
      <c r="P359" s="324"/>
      <c r="Q359" s="324"/>
      <c r="R359" s="324"/>
      <c r="S359" s="324"/>
      <c r="T359" s="324"/>
      <c r="U359" s="324"/>
      <c r="V359" s="324"/>
      <c r="W359" s="324"/>
      <c r="X359" s="324"/>
      <c r="Y359" s="324"/>
      <c r="Z359" s="324"/>
      <c r="AA359" s="324"/>
      <c r="AB359" s="324"/>
      <c r="AC359" s="324"/>
      <c r="AD359" s="324"/>
      <c r="AE359" s="324"/>
    </row>
    <row r="360" spans="3:31" s="294" customFormat="1">
      <c r="C360" s="10"/>
      <c r="D360" s="29"/>
      <c r="E360" s="36"/>
      <c r="F360" s="324"/>
      <c r="G360" s="324"/>
      <c r="H360" s="324"/>
      <c r="I360" s="324"/>
      <c r="J360" s="324"/>
      <c r="K360" s="324"/>
      <c r="L360" s="324"/>
      <c r="M360" s="324"/>
      <c r="N360" s="324"/>
      <c r="O360" s="324"/>
      <c r="P360" s="324"/>
      <c r="Q360" s="324"/>
      <c r="R360" s="324"/>
      <c r="S360" s="324"/>
      <c r="T360" s="324"/>
      <c r="U360" s="324"/>
      <c r="V360" s="324"/>
      <c r="W360" s="324"/>
      <c r="X360" s="324"/>
      <c r="Y360" s="324"/>
      <c r="Z360" s="324"/>
      <c r="AA360" s="324"/>
      <c r="AB360" s="324"/>
      <c r="AC360" s="324"/>
      <c r="AD360" s="324"/>
      <c r="AE360" s="324"/>
    </row>
    <row r="361" spans="3:31" s="294" customFormat="1">
      <c r="C361" s="10"/>
      <c r="D361" s="29"/>
      <c r="E361" s="36"/>
      <c r="F361" s="324"/>
      <c r="G361" s="324"/>
      <c r="H361" s="324"/>
      <c r="I361" s="324"/>
      <c r="J361" s="324"/>
      <c r="K361" s="324"/>
      <c r="L361" s="324"/>
      <c r="M361" s="324"/>
      <c r="N361" s="324"/>
      <c r="O361" s="324"/>
      <c r="P361" s="324"/>
      <c r="Q361" s="324"/>
      <c r="R361" s="324"/>
      <c r="S361" s="324"/>
      <c r="T361" s="324"/>
      <c r="U361" s="324"/>
      <c r="V361" s="324"/>
      <c r="W361" s="324"/>
      <c r="X361" s="324"/>
      <c r="Y361" s="324"/>
      <c r="Z361" s="324"/>
      <c r="AA361" s="324"/>
      <c r="AB361" s="324"/>
      <c r="AC361" s="324"/>
      <c r="AD361" s="324"/>
      <c r="AE361" s="324"/>
    </row>
    <row r="362" spans="3:31" s="294" customFormat="1">
      <c r="C362" s="10"/>
      <c r="D362" s="29"/>
      <c r="E362" s="36"/>
      <c r="F362" s="324"/>
      <c r="G362" s="324"/>
      <c r="H362" s="324"/>
      <c r="I362" s="324"/>
      <c r="J362" s="324"/>
      <c r="K362" s="324"/>
      <c r="L362" s="324"/>
      <c r="M362" s="324"/>
      <c r="N362" s="324"/>
      <c r="O362" s="324"/>
      <c r="P362" s="324"/>
      <c r="Q362" s="324"/>
      <c r="R362" s="324"/>
      <c r="S362" s="324"/>
      <c r="T362" s="324"/>
      <c r="U362" s="324"/>
      <c r="V362" s="324"/>
      <c r="W362" s="324"/>
      <c r="X362" s="324"/>
      <c r="Y362" s="324"/>
      <c r="Z362" s="324"/>
      <c r="AA362" s="324"/>
      <c r="AB362" s="324"/>
      <c r="AC362" s="324"/>
      <c r="AD362" s="324"/>
      <c r="AE362" s="324"/>
    </row>
    <row r="363" spans="3:31" s="294" customFormat="1">
      <c r="C363" s="10"/>
      <c r="D363" s="29"/>
      <c r="E363" s="36"/>
      <c r="F363" s="324"/>
      <c r="G363" s="324"/>
      <c r="H363" s="324"/>
      <c r="I363" s="324"/>
      <c r="J363" s="324"/>
      <c r="K363" s="324"/>
      <c r="L363" s="324"/>
      <c r="M363" s="324"/>
      <c r="N363" s="324"/>
      <c r="O363" s="324"/>
      <c r="P363" s="324"/>
      <c r="Q363" s="324"/>
      <c r="R363" s="324"/>
      <c r="S363" s="324"/>
      <c r="T363" s="324"/>
      <c r="U363" s="324"/>
      <c r="V363" s="324"/>
      <c r="W363" s="324"/>
      <c r="X363" s="324"/>
      <c r="Y363" s="324"/>
      <c r="Z363" s="324"/>
      <c r="AA363" s="324"/>
      <c r="AB363" s="324"/>
      <c r="AC363" s="324"/>
      <c r="AD363" s="324"/>
      <c r="AE363" s="324"/>
    </row>
    <row r="364" spans="3:31" s="294" customFormat="1">
      <c r="C364" s="10"/>
      <c r="D364" s="29"/>
      <c r="E364" s="36"/>
      <c r="F364" s="324"/>
      <c r="G364" s="324"/>
      <c r="H364" s="324"/>
      <c r="I364" s="324"/>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3:31" s="294" customFormat="1">
      <c r="C365" s="10"/>
      <c r="D365" s="29"/>
      <c r="E365" s="36"/>
      <c r="F365" s="324"/>
      <c r="G365" s="324"/>
      <c r="H365" s="324"/>
      <c r="I365" s="324"/>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3:31" s="294" customFormat="1">
      <c r="C366" s="10"/>
      <c r="D366" s="29"/>
      <c r="E366" s="36"/>
      <c r="F366" s="324"/>
      <c r="G366" s="324"/>
      <c r="H366" s="324"/>
      <c r="I366" s="324"/>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3:31" s="294" customFormat="1">
      <c r="C367" s="10"/>
      <c r="D367" s="29"/>
      <c r="E367" s="36"/>
      <c r="F367" s="324"/>
      <c r="G367" s="324"/>
      <c r="H367" s="324"/>
      <c r="I367" s="324"/>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3:31" s="294" customFormat="1">
      <c r="C368" s="10"/>
      <c r="D368" s="29"/>
      <c r="E368" s="36"/>
      <c r="F368" s="324"/>
      <c r="G368" s="324"/>
      <c r="H368" s="324"/>
      <c r="I368" s="324"/>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3:31" s="294" customFormat="1">
      <c r="C369" s="10"/>
      <c r="D369" s="29"/>
      <c r="E369" s="36"/>
      <c r="F369" s="324"/>
      <c r="G369" s="324"/>
      <c r="H369" s="324"/>
      <c r="I369" s="324"/>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3:31" s="294" customFormat="1">
      <c r="C370" s="10"/>
      <c r="D370" s="29"/>
      <c r="E370" s="36"/>
      <c r="F370" s="324"/>
      <c r="G370" s="324"/>
      <c r="H370" s="324"/>
      <c r="I370" s="324"/>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3:31" s="294" customFormat="1">
      <c r="C371" s="10"/>
      <c r="D371" s="29"/>
      <c r="E371" s="36"/>
      <c r="F371" s="324"/>
      <c r="G371" s="324"/>
      <c r="H371" s="324"/>
      <c r="I371" s="324"/>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3:31" s="294" customFormat="1">
      <c r="C372" s="10"/>
      <c r="D372" s="29"/>
      <c r="E372" s="36"/>
      <c r="F372" s="324"/>
      <c r="G372" s="324"/>
      <c r="H372" s="324"/>
      <c r="I372" s="324"/>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3:31" s="294" customFormat="1">
      <c r="C373" s="10"/>
      <c r="D373" s="29"/>
      <c r="E373" s="36"/>
      <c r="F373" s="324"/>
      <c r="G373" s="324"/>
      <c r="H373" s="324"/>
      <c r="I373" s="324"/>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3:31" s="294" customFormat="1">
      <c r="C374" s="10"/>
      <c r="D374" s="29"/>
      <c r="E374" s="36"/>
      <c r="F374" s="324"/>
      <c r="G374" s="324"/>
      <c r="H374" s="324"/>
      <c r="I374" s="324"/>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3:31" s="294" customFormat="1">
      <c r="C375" s="10"/>
      <c r="D375" s="29"/>
      <c r="E375" s="36"/>
      <c r="F375" s="324"/>
      <c r="G375" s="324"/>
      <c r="H375" s="324"/>
      <c r="I375" s="324"/>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3:31" s="294" customFormat="1">
      <c r="C376" s="10"/>
      <c r="D376" s="29"/>
      <c r="E376" s="36"/>
      <c r="F376" s="324"/>
      <c r="G376" s="324"/>
      <c r="H376" s="324"/>
      <c r="I376" s="324"/>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3:31" s="294" customFormat="1">
      <c r="C377" s="10"/>
      <c r="D377" s="29"/>
      <c r="E377" s="36"/>
      <c r="F377" s="324"/>
      <c r="G377" s="324"/>
      <c r="H377" s="324"/>
      <c r="I377" s="324"/>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3:31" s="294" customFormat="1">
      <c r="C378" s="10"/>
      <c r="D378" s="29"/>
      <c r="E378" s="36"/>
      <c r="F378" s="324"/>
      <c r="G378" s="324"/>
      <c r="H378" s="324"/>
      <c r="I378" s="324"/>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3:31" s="294" customFormat="1">
      <c r="C379" s="10"/>
      <c r="D379" s="29"/>
      <c r="E379" s="36"/>
      <c r="F379" s="324"/>
      <c r="G379" s="324"/>
      <c r="H379" s="324"/>
      <c r="I379" s="324"/>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3:31" s="294" customFormat="1">
      <c r="C380" s="10"/>
      <c r="D380" s="29"/>
      <c r="E380" s="36"/>
      <c r="F380" s="324"/>
      <c r="G380" s="324"/>
      <c r="H380" s="324"/>
      <c r="I380" s="324"/>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3:31" s="294" customFormat="1">
      <c r="C381" s="10"/>
      <c r="D381" s="29"/>
      <c r="E381" s="36"/>
      <c r="F381" s="324"/>
      <c r="G381" s="324"/>
      <c r="H381" s="324"/>
      <c r="I381" s="324"/>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3:31" s="294" customFormat="1">
      <c r="C382" s="10"/>
      <c r="D382" s="29"/>
      <c r="E382" s="36"/>
      <c r="F382" s="324"/>
      <c r="G382" s="324"/>
      <c r="H382" s="324"/>
      <c r="I382" s="324"/>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3:31" s="294" customFormat="1">
      <c r="C383" s="10"/>
      <c r="D383" s="29"/>
      <c r="E383" s="36"/>
      <c r="F383" s="324"/>
      <c r="G383" s="324"/>
      <c r="H383" s="324"/>
      <c r="I383" s="324"/>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3:31" s="294" customFormat="1">
      <c r="C384" s="10"/>
      <c r="D384" s="29"/>
      <c r="E384" s="36"/>
      <c r="F384" s="324"/>
      <c r="G384" s="324"/>
      <c r="H384" s="324"/>
      <c r="I384" s="324"/>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3:31" s="294" customFormat="1">
      <c r="C385" s="10"/>
      <c r="D385" s="29"/>
      <c r="E385" s="36"/>
      <c r="F385" s="324"/>
      <c r="G385" s="324"/>
      <c r="H385" s="324"/>
      <c r="I385" s="324"/>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3:31" s="294" customFormat="1">
      <c r="C386" s="10"/>
      <c r="D386" s="29"/>
      <c r="E386" s="36"/>
      <c r="F386" s="324"/>
      <c r="G386" s="324"/>
      <c r="H386" s="324"/>
      <c r="I386" s="324"/>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3:31" s="294" customFormat="1">
      <c r="C387" s="10"/>
      <c r="D387" s="29"/>
      <c r="E387" s="36"/>
      <c r="F387" s="324"/>
      <c r="G387" s="324"/>
      <c r="H387" s="324"/>
      <c r="I387" s="324"/>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3:31" s="294" customFormat="1">
      <c r="C388" s="10"/>
      <c r="D388" s="29"/>
      <c r="E388" s="36"/>
      <c r="F388" s="324"/>
      <c r="G388" s="324"/>
      <c r="H388" s="324"/>
      <c r="I388" s="324"/>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3:31" s="294" customFormat="1">
      <c r="C389" s="10"/>
      <c r="D389" s="29"/>
      <c r="E389" s="36"/>
      <c r="F389" s="324"/>
      <c r="G389" s="324"/>
      <c r="H389" s="324"/>
      <c r="I389" s="324"/>
      <c r="J389" s="324"/>
      <c r="K389" s="324"/>
      <c r="L389" s="324"/>
      <c r="M389" s="324"/>
      <c r="N389" s="324"/>
      <c r="O389" s="324"/>
      <c r="P389" s="324"/>
      <c r="Q389" s="324"/>
      <c r="R389" s="324"/>
      <c r="S389" s="324"/>
      <c r="T389" s="324"/>
      <c r="U389" s="324"/>
      <c r="V389" s="324"/>
      <c r="W389" s="324"/>
      <c r="X389" s="324"/>
      <c r="Y389" s="324"/>
      <c r="Z389" s="324"/>
      <c r="AA389" s="324"/>
      <c r="AB389" s="324"/>
      <c r="AC389" s="324"/>
      <c r="AD389" s="324"/>
      <c r="AE389" s="324"/>
    </row>
    <row r="390" spans="3:31" s="294" customFormat="1">
      <c r="C390" s="10"/>
      <c r="D390" s="29"/>
      <c r="E390" s="36"/>
      <c r="F390" s="324"/>
      <c r="G390" s="324"/>
      <c r="H390" s="324"/>
      <c r="I390" s="324"/>
      <c r="J390" s="324"/>
      <c r="K390" s="324"/>
      <c r="L390" s="324"/>
      <c r="M390" s="324"/>
      <c r="N390" s="324"/>
      <c r="O390" s="324"/>
      <c r="P390" s="324"/>
      <c r="Q390" s="324"/>
      <c r="R390" s="324"/>
      <c r="S390" s="324"/>
      <c r="T390" s="324"/>
      <c r="U390" s="324"/>
      <c r="V390" s="324"/>
      <c r="W390" s="324"/>
      <c r="X390" s="324"/>
      <c r="Y390" s="324"/>
      <c r="Z390" s="324"/>
      <c r="AA390" s="324"/>
      <c r="AB390" s="324"/>
      <c r="AC390" s="324"/>
      <c r="AD390" s="324"/>
      <c r="AE390" s="324"/>
    </row>
    <row r="391" spans="3:31" s="294" customFormat="1">
      <c r="C391" s="10"/>
      <c r="D391" s="29"/>
      <c r="E391" s="36"/>
      <c r="F391" s="324"/>
      <c r="G391" s="324"/>
      <c r="H391" s="324"/>
      <c r="I391" s="324"/>
      <c r="J391" s="324"/>
      <c r="K391" s="324"/>
      <c r="L391" s="324"/>
      <c r="M391" s="324"/>
      <c r="N391" s="324"/>
      <c r="O391" s="324"/>
      <c r="P391" s="324"/>
      <c r="Q391" s="324"/>
      <c r="R391" s="324"/>
      <c r="S391" s="324"/>
      <c r="T391" s="324"/>
      <c r="U391" s="324"/>
      <c r="V391" s="324"/>
      <c r="W391" s="324"/>
      <c r="X391" s="324"/>
      <c r="Y391" s="324"/>
      <c r="Z391" s="324"/>
      <c r="AA391" s="324"/>
      <c r="AB391" s="324"/>
      <c r="AC391" s="324"/>
      <c r="AD391" s="324"/>
      <c r="AE391" s="324"/>
    </row>
    <row r="392" spans="3:31" s="294" customFormat="1">
      <c r="C392" s="10"/>
      <c r="D392" s="29"/>
      <c r="E392" s="36"/>
      <c r="F392" s="324"/>
      <c r="G392" s="324"/>
      <c r="H392" s="324"/>
      <c r="I392" s="324"/>
      <c r="J392" s="324"/>
      <c r="K392" s="324"/>
      <c r="L392" s="324"/>
      <c r="M392" s="324"/>
      <c r="N392" s="324"/>
      <c r="O392" s="324"/>
      <c r="P392" s="324"/>
      <c r="Q392" s="324"/>
      <c r="R392" s="324"/>
      <c r="S392" s="324"/>
      <c r="T392" s="324"/>
      <c r="U392" s="324"/>
      <c r="V392" s="324"/>
      <c r="W392" s="324"/>
      <c r="X392" s="324"/>
      <c r="Y392" s="324"/>
      <c r="Z392" s="324"/>
      <c r="AA392" s="324"/>
      <c r="AB392" s="324"/>
      <c r="AC392" s="324"/>
      <c r="AD392" s="324"/>
      <c r="AE392" s="324"/>
    </row>
    <row r="393" spans="3:31" s="294" customFormat="1">
      <c r="C393" s="10"/>
      <c r="D393" s="29"/>
      <c r="E393" s="36"/>
      <c r="F393" s="324"/>
      <c r="G393" s="324"/>
      <c r="H393" s="324"/>
      <c r="I393" s="324"/>
      <c r="J393" s="324"/>
      <c r="K393" s="324"/>
      <c r="L393" s="324"/>
      <c r="M393" s="324"/>
      <c r="N393" s="324"/>
      <c r="O393" s="324"/>
      <c r="P393" s="324"/>
      <c r="Q393" s="324"/>
      <c r="R393" s="324"/>
      <c r="S393" s="324"/>
      <c r="T393" s="324"/>
      <c r="U393" s="324"/>
      <c r="V393" s="324"/>
      <c r="W393" s="324"/>
      <c r="X393" s="324"/>
      <c r="Y393" s="324"/>
      <c r="Z393" s="324"/>
      <c r="AA393" s="324"/>
      <c r="AB393" s="324"/>
      <c r="AC393" s="324"/>
      <c r="AD393" s="324"/>
      <c r="AE393" s="324"/>
    </row>
    <row r="394" spans="3:31" s="294" customFormat="1">
      <c r="C394" s="10"/>
      <c r="D394" s="29"/>
      <c r="E394" s="36"/>
      <c r="F394" s="324"/>
      <c r="G394" s="324"/>
      <c r="H394" s="324"/>
      <c r="I394" s="324"/>
      <c r="J394" s="324"/>
      <c r="K394" s="324"/>
      <c r="L394" s="324"/>
      <c r="M394" s="324"/>
      <c r="N394" s="324"/>
      <c r="O394" s="324"/>
      <c r="P394" s="324"/>
      <c r="Q394" s="324"/>
      <c r="R394" s="324"/>
      <c r="S394" s="324"/>
      <c r="T394" s="324"/>
      <c r="U394" s="324"/>
      <c r="V394" s="324"/>
      <c r="W394" s="324"/>
      <c r="X394" s="324"/>
      <c r="Y394" s="324"/>
      <c r="Z394" s="324"/>
      <c r="AA394" s="324"/>
      <c r="AB394" s="324"/>
      <c r="AC394" s="324"/>
      <c r="AD394" s="324"/>
      <c r="AE394" s="324"/>
    </row>
    <row r="395" spans="3:31" s="294" customFormat="1">
      <c r="C395" s="10"/>
      <c r="D395" s="29"/>
      <c r="E395" s="36"/>
      <c r="F395" s="324"/>
      <c r="G395" s="324"/>
      <c r="H395" s="324"/>
      <c r="I395" s="324"/>
      <c r="J395" s="324"/>
      <c r="K395" s="324"/>
      <c r="L395" s="324"/>
      <c r="M395" s="324"/>
      <c r="N395" s="324"/>
      <c r="O395" s="324"/>
      <c r="P395" s="324"/>
      <c r="Q395" s="324"/>
      <c r="R395" s="324"/>
      <c r="S395" s="324"/>
      <c r="T395" s="324"/>
      <c r="U395" s="324"/>
      <c r="V395" s="324"/>
      <c r="W395" s="324"/>
      <c r="X395" s="324"/>
      <c r="Y395" s="324"/>
      <c r="Z395" s="324"/>
      <c r="AA395" s="324"/>
      <c r="AB395" s="324"/>
      <c r="AC395" s="324"/>
      <c r="AD395" s="324"/>
      <c r="AE395" s="324"/>
    </row>
    <row r="396" spans="3:31" s="294" customFormat="1">
      <c r="C396" s="10"/>
      <c r="D396" s="29"/>
      <c r="E396" s="36"/>
      <c r="F396" s="324"/>
      <c r="G396" s="324"/>
      <c r="H396" s="324"/>
      <c r="I396" s="324"/>
      <c r="J396" s="324"/>
      <c r="K396" s="324"/>
      <c r="L396" s="324"/>
      <c r="M396" s="324"/>
      <c r="N396" s="324"/>
      <c r="O396" s="324"/>
      <c r="P396" s="324"/>
      <c r="Q396" s="324"/>
      <c r="R396" s="324"/>
      <c r="S396" s="324"/>
      <c r="T396" s="324"/>
      <c r="U396" s="324"/>
      <c r="V396" s="324"/>
      <c r="W396" s="324"/>
      <c r="X396" s="324"/>
      <c r="Y396" s="324"/>
      <c r="Z396" s="324"/>
      <c r="AA396" s="324"/>
      <c r="AB396" s="324"/>
      <c r="AC396" s="324"/>
      <c r="AD396" s="324"/>
      <c r="AE396" s="324"/>
    </row>
    <row r="397" spans="3:31" s="294" customFormat="1">
      <c r="C397" s="10"/>
      <c r="D397" s="29"/>
      <c r="E397" s="36"/>
      <c r="F397" s="324"/>
      <c r="G397" s="324"/>
      <c r="H397" s="324"/>
      <c r="I397" s="324"/>
      <c r="J397" s="324"/>
      <c r="K397" s="324"/>
      <c r="L397" s="324"/>
      <c r="M397" s="324"/>
      <c r="N397" s="324"/>
      <c r="O397" s="324"/>
      <c r="P397" s="324"/>
      <c r="Q397" s="324"/>
      <c r="R397" s="324"/>
      <c r="S397" s="324"/>
      <c r="T397" s="324"/>
      <c r="U397" s="324"/>
      <c r="V397" s="324"/>
      <c r="W397" s="324"/>
      <c r="X397" s="324"/>
      <c r="Y397" s="324"/>
      <c r="Z397" s="324"/>
      <c r="AA397" s="324"/>
      <c r="AB397" s="324"/>
      <c r="AC397" s="324"/>
      <c r="AD397" s="324"/>
      <c r="AE397" s="324"/>
    </row>
    <row r="398" spans="3:31" s="294" customFormat="1">
      <c r="C398" s="10"/>
      <c r="D398" s="29"/>
      <c r="E398" s="36"/>
      <c r="F398" s="324"/>
      <c r="G398" s="324"/>
      <c r="H398" s="324"/>
      <c r="I398" s="324"/>
      <c r="J398" s="324"/>
      <c r="K398" s="324"/>
      <c r="L398" s="324"/>
      <c r="M398" s="324"/>
      <c r="N398" s="324"/>
      <c r="O398" s="324"/>
      <c r="P398" s="324"/>
      <c r="Q398" s="324"/>
      <c r="R398" s="324"/>
      <c r="S398" s="324"/>
      <c r="T398" s="324"/>
      <c r="U398" s="324"/>
      <c r="V398" s="324"/>
      <c r="W398" s="324"/>
      <c r="X398" s="324"/>
      <c r="Y398" s="324"/>
      <c r="Z398" s="324"/>
      <c r="AA398" s="324"/>
      <c r="AB398" s="324"/>
      <c r="AC398" s="324"/>
      <c r="AD398" s="324"/>
      <c r="AE398" s="324"/>
    </row>
    <row r="399" spans="3:31" s="294" customFormat="1">
      <c r="C399" s="10"/>
      <c r="D399" s="29"/>
      <c r="E399" s="36"/>
      <c r="F399" s="324"/>
      <c r="G399" s="324"/>
      <c r="H399" s="324"/>
      <c r="I399" s="324"/>
      <c r="J399" s="324"/>
      <c r="K399" s="324"/>
      <c r="L399" s="324"/>
      <c r="M399" s="324"/>
      <c r="N399" s="324"/>
      <c r="O399" s="324"/>
      <c r="P399" s="324"/>
      <c r="Q399" s="324"/>
      <c r="R399" s="324"/>
      <c r="S399" s="324"/>
      <c r="T399" s="324"/>
      <c r="U399" s="324"/>
      <c r="V399" s="324"/>
      <c r="W399" s="324"/>
      <c r="X399" s="324"/>
      <c r="Y399" s="324"/>
      <c r="Z399" s="324"/>
      <c r="AA399" s="324"/>
      <c r="AB399" s="324"/>
      <c r="AC399" s="324"/>
      <c r="AD399" s="324"/>
      <c r="AE399" s="324"/>
    </row>
    <row r="400" spans="3:31" s="294" customFormat="1">
      <c r="C400" s="10"/>
      <c r="D400" s="29"/>
      <c r="E400" s="36"/>
      <c r="F400" s="324"/>
      <c r="G400" s="324"/>
      <c r="H400" s="324"/>
      <c r="I400" s="324"/>
      <c r="J400" s="324"/>
      <c r="K400" s="324"/>
      <c r="L400" s="324"/>
      <c r="M400" s="324"/>
      <c r="N400" s="324"/>
      <c r="O400" s="324"/>
      <c r="P400" s="324"/>
      <c r="Q400" s="324"/>
      <c r="R400" s="324"/>
      <c r="S400" s="324"/>
      <c r="T400" s="324"/>
      <c r="U400" s="324"/>
      <c r="V400" s="324"/>
      <c r="W400" s="324"/>
      <c r="X400" s="324"/>
      <c r="Y400" s="324"/>
      <c r="Z400" s="324"/>
      <c r="AA400" s="324"/>
      <c r="AB400" s="324"/>
      <c r="AC400" s="324"/>
      <c r="AD400" s="324"/>
      <c r="AE400" s="324"/>
    </row>
    <row r="401" spans="3:31" s="294" customFormat="1">
      <c r="C401" s="10"/>
      <c r="D401" s="29"/>
      <c r="E401" s="36"/>
      <c r="F401" s="324"/>
      <c r="G401" s="324"/>
      <c r="H401" s="324"/>
      <c r="I401" s="324"/>
      <c r="J401" s="324"/>
      <c r="K401" s="324"/>
      <c r="L401" s="324"/>
      <c r="M401" s="324"/>
      <c r="N401" s="324"/>
      <c r="O401" s="324"/>
      <c r="P401" s="324"/>
      <c r="Q401" s="324"/>
      <c r="R401" s="324"/>
      <c r="S401" s="324"/>
      <c r="T401" s="324"/>
      <c r="U401" s="324"/>
      <c r="V401" s="324"/>
      <c r="W401" s="324"/>
      <c r="X401" s="324"/>
      <c r="Y401" s="324"/>
      <c r="Z401" s="324"/>
      <c r="AA401" s="324"/>
      <c r="AB401" s="324"/>
      <c r="AC401" s="324"/>
      <c r="AD401" s="324"/>
      <c r="AE401" s="324"/>
    </row>
    <row r="402" spans="3:31" s="294" customFormat="1">
      <c r="C402" s="10"/>
      <c r="D402" s="29"/>
      <c r="E402" s="36"/>
      <c r="F402" s="324"/>
      <c r="G402" s="324"/>
      <c r="H402" s="324"/>
      <c r="I402" s="324"/>
      <c r="J402" s="324"/>
      <c r="K402" s="324"/>
      <c r="L402" s="324"/>
      <c r="M402" s="324"/>
      <c r="N402" s="324"/>
      <c r="O402" s="324"/>
      <c r="P402" s="324"/>
      <c r="Q402" s="324"/>
      <c r="R402" s="324"/>
      <c r="S402" s="324"/>
      <c r="T402" s="324"/>
      <c r="U402" s="324"/>
      <c r="V402" s="324"/>
      <c r="W402" s="324"/>
      <c r="X402" s="324"/>
      <c r="Y402" s="324"/>
      <c r="Z402" s="324"/>
      <c r="AA402" s="324"/>
      <c r="AB402" s="324"/>
      <c r="AC402" s="324"/>
      <c r="AD402" s="324"/>
      <c r="AE402" s="324"/>
    </row>
    <row r="403" spans="3:31" s="294" customFormat="1">
      <c r="C403" s="10"/>
      <c r="D403" s="29"/>
      <c r="E403" s="36"/>
      <c r="F403" s="324"/>
      <c r="G403" s="324"/>
      <c r="H403" s="324"/>
      <c r="I403" s="324"/>
      <c r="J403" s="324"/>
      <c r="K403" s="324"/>
      <c r="L403" s="324"/>
      <c r="M403" s="324"/>
      <c r="N403" s="324"/>
      <c r="O403" s="324"/>
      <c r="P403" s="324"/>
      <c r="Q403" s="324"/>
      <c r="R403" s="324"/>
      <c r="S403" s="324"/>
      <c r="T403" s="324"/>
      <c r="U403" s="324"/>
      <c r="V403" s="324"/>
      <c r="W403" s="324"/>
      <c r="X403" s="324"/>
      <c r="Y403" s="324"/>
      <c r="Z403" s="324"/>
      <c r="AA403" s="324"/>
      <c r="AB403" s="324"/>
      <c r="AC403" s="324"/>
      <c r="AD403" s="324"/>
      <c r="AE403" s="324"/>
    </row>
    <row r="404" spans="3:31" s="294" customFormat="1">
      <c r="C404" s="10"/>
      <c r="D404" s="29"/>
      <c r="E404" s="36"/>
      <c r="F404" s="324"/>
      <c r="G404" s="324"/>
      <c r="H404" s="324"/>
      <c r="I404" s="324"/>
      <c r="J404" s="324"/>
      <c r="K404" s="324"/>
      <c r="L404" s="324"/>
      <c r="M404" s="324"/>
      <c r="N404" s="324"/>
      <c r="O404" s="324"/>
      <c r="P404" s="324"/>
      <c r="Q404" s="324"/>
      <c r="R404" s="324"/>
      <c r="S404" s="324"/>
      <c r="T404" s="324"/>
      <c r="U404" s="324"/>
      <c r="V404" s="324"/>
      <c r="W404" s="324"/>
      <c r="X404" s="324"/>
      <c r="Y404" s="324"/>
      <c r="Z404" s="324"/>
      <c r="AA404" s="324"/>
      <c r="AB404" s="324"/>
      <c r="AC404" s="324"/>
      <c r="AD404" s="324"/>
      <c r="AE404" s="324"/>
    </row>
    <row r="405" spans="3:31" s="294" customFormat="1">
      <c r="C405" s="10"/>
      <c r="D405" s="29"/>
      <c r="E405" s="36"/>
      <c r="F405" s="324"/>
      <c r="G405" s="324"/>
      <c r="H405" s="324"/>
      <c r="I405" s="324"/>
      <c r="J405" s="324"/>
      <c r="K405" s="324"/>
      <c r="L405" s="324"/>
      <c r="M405" s="324"/>
      <c r="N405" s="324"/>
      <c r="O405" s="324"/>
      <c r="P405" s="324"/>
      <c r="Q405" s="324"/>
      <c r="R405" s="324"/>
      <c r="S405" s="324"/>
      <c r="T405" s="324"/>
      <c r="U405" s="324"/>
      <c r="V405" s="324"/>
      <c r="W405" s="324"/>
      <c r="X405" s="324"/>
      <c r="Y405" s="324"/>
      <c r="Z405" s="324"/>
      <c r="AA405" s="324"/>
      <c r="AB405" s="324"/>
      <c r="AC405" s="324"/>
      <c r="AD405" s="324"/>
      <c r="AE405" s="324"/>
    </row>
    <row r="406" spans="3:31" s="294" customFormat="1">
      <c r="C406" s="10"/>
      <c r="D406" s="29"/>
      <c r="E406" s="36"/>
      <c r="F406" s="324"/>
      <c r="G406" s="324"/>
      <c r="H406" s="324"/>
      <c r="I406" s="324"/>
      <c r="J406" s="324"/>
      <c r="K406" s="324"/>
      <c r="L406" s="324"/>
      <c r="M406" s="324"/>
      <c r="N406" s="324"/>
      <c r="O406" s="324"/>
      <c r="P406" s="324"/>
      <c r="Q406" s="324"/>
      <c r="R406" s="324"/>
      <c r="S406" s="324"/>
      <c r="T406" s="324"/>
      <c r="U406" s="324"/>
      <c r="V406" s="324"/>
      <c r="W406" s="324"/>
      <c r="X406" s="324"/>
      <c r="Y406" s="324"/>
      <c r="Z406" s="324"/>
      <c r="AA406" s="324"/>
      <c r="AB406" s="324"/>
      <c r="AC406" s="324"/>
      <c r="AD406" s="324"/>
      <c r="AE406" s="324"/>
    </row>
    <row r="407" spans="3:31" s="294" customFormat="1">
      <c r="C407" s="10"/>
      <c r="D407" s="29"/>
      <c r="E407" s="36"/>
      <c r="F407" s="324"/>
      <c r="G407" s="324"/>
      <c r="H407" s="324"/>
      <c r="I407" s="324"/>
      <c r="J407" s="324"/>
      <c r="K407" s="324"/>
      <c r="L407" s="324"/>
      <c r="M407" s="324"/>
      <c r="N407" s="324"/>
      <c r="O407" s="324"/>
      <c r="P407" s="324"/>
      <c r="Q407" s="324"/>
      <c r="R407" s="324"/>
      <c r="S407" s="324"/>
      <c r="T407" s="324"/>
      <c r="U407" s="324"/>
      <c r="V407" s="324"/>
      <c r="W407" s="324"/>
      <c r="X407" s="324"/>
      <c r="Y407" s="324"/>
      <c r="Z407" s="324"/>
      <c r="AA407" s="324"/>
      <c r="AB407" s="324"/>
      <c r="AC407" s="324"/>
      <c r="AD407" s="324"/>
      <c r="AE407" s="324"/>
    </row>
    <row r="408" spans="3:31" s="294" customFormat="1">
      <c r="C408" s="10"/>
      <c r="D408" s="29"/>
      <c r="E408" s="36"/>
      <c r="F408" s="324"/>
      <c r="G408" s="324"/>
      <c r="H408" s="324"/>
      <c r="I408" s="324"/>
      <c r="J408" s="324"/>
      <c r="K408" s="324"/>
      <c r="L408" s="324"/>
      <c r="M408" s="324"/>
      <c r="N408" s="324"/>
      <c r="O408" s="324"/>
      <c r="P408" s="324"/>
      <c r="Q408" s="324"/>
      <c r="R408" s="324"/>
      <c r="S408" s="324"/>
      <c r="T408" s="324"/>
      <c r="U408" s="324"/>
      <c r="V408" s="324"/>
      <c r="W408" s="324"/>
      <c r="X408" s="324"/>
      <c r="Y408" s="324"/>
      <c r="Z408" s="324"/>
      <c r="AA408" s="324"/>
      <c r="AB408" s="324"/>
      <c r="AC408" s="324"/>
      <c r="AD408" s="324"/>
      <c r="AE408" s="324"/>
    </row>
    <row r="409" spans="3:31" s="294" customFormat="1">
      <c r="C409" s="10"/>
      <c r="D409" s="29"/>
      <c r="E409" s="36"/>
      <c r="F409" s="324"/>
      <c r="G409" s="324"/>
      <c r="H409" s="324"/>
      <c r="I409" s="324"/>
      <c r="J409" s="324"/>
      <c r="K409" s="324"/>
      <c r="L409" s="324"/>
      <c r="M409" s="324"/>
      <c r="N409" s="324"/>
      <c r="O409" s="324"/>
      <c r="P409" s="324"/>
      <c r="Q409" s="324"/>
      <c r="R409" s="324"/>
      <c r="S409" s="324"/>
      <c r="T409" s="324"/>
      <c r="U409" s="324"/>
      <c r="V409" s="324"/>
      <c r="W409" s="324"/>
      <c r="X409" s="324"/>
      <c r="Y409" s="324"/>
      <c r="Z409" s="324"/>
      <c r="AA409" s="324"/>
      <c r="AB409" s="324"/>
      <c r="AC409" s="324"/>
      <c r="AD409" s="324"/>
      <c r="AE409" s="324"/>
    </row>
    <row r="410" spans="3:31" s="294" customFormat="1">
      <c r="C410" s="10"/>
      <c r="D410" s="29"/>
      <c r="E410" s="36"/>
      <c r="F410" s="324"/>
      <c r="G410" s="324"/>
      <c r="H410" s="324"/>
      <c r="I410" s="324"/>
      <c r="J410" s="324"/>
      <c r="K410" s="324"/>
      <c r="L410" s="324"/>
      <c r="M410" s="324"/>
      <c r="N410" s="324"/>
      <c r="O410" s="324"/>
      <c r="P410" s="324"/>
      <c r="Q410" s="324"/>
      <c r="R410" s="324"/>
      <c r="S410" s="324"/>
      <c r="T410" s="324"/>
      <c r="U410" s="324"/>
      <c r="V410" s="324"/>
      <c r="W410" s="324"/>
      <c r="X410" s="324"/>
      <c r="Y410" s="324"/>
      <c r="Z410" s="324"/>
      <c r="AA410" s="324"/>
      <c r="AB410" s="324"/>
      <c r="AC410" s="324"/>
      <c r="AD410" s="324"/>
      <c r="AE410" s="324"/>
    </row>
    <row r="411" spans="3:31" s="294" customFormat="1">
      <c r="C411" s="10"/>
      <c r="D411" s="29"/>
      <c r="E411" s="36"/>
      <c r="F411" s="324"/>
      <c r="G411" s="324"/>
      <c r="H411" s="324"/>
      <c r="I411" s="324"/>
      <c r="J411" s="324"/>
      <c r="K411" s="324"/>
      <c r="L411" s="324"/>
      <c r="M411" s="324"/>
      <c r="N411" s="324"/>
      <c r="O411" s="324"/>
      <c r="P411" s="324"/>
      <c r="Q411" s="324"/>
      <c r="R411" s="324"/>
      <c r="S411" s="324"/>
      <c r="T411" s="324"/>
      <c r="U411" s="324"/>
      <c r="V411" s="324"/>
      <c r="W411" s="324"/>
      <c r="X411" s="324"/>
      <c r="Y411" s="324"/>
      <c r="Z411" s="324"/>
      <c r="AA411" s="324"/>
      <c r="AB411" s="324"/>
      <c r="AC411" s="324"/>
      <c r="AD411" s="324"/>
      <c r="AE411" s="324"/>
    </row>
    <row r="412" spans="3:31" s="294" customFormat="1">
      <c r="C412" s="10"/>
      <c r="D412" s="29"/>
      <c r="E412" s="36"/>
      <c r="F412" s="324"/>
      <c r="G412" s="324"/>
      <c r="H412" s="324"/>
      <c r="I412" s="324"/>
      <c r="J412" s="324"/>
      <c r="K412" s="324"/>
      <c r="L412" s="324"/>
      <c r="M412" s="324"/>
      <c r="N412" s="324"/>
      <c r="O412" s="324"/>
      <c r="P412" s="324"/>
      <c r="Q412" s="324"/>
      <c r="R412" s="324"/>
      <c r="S412" s="324"/>
      <c r="T412" s="324"/>
      <c r="U412" s="324"/>
      <c r="V412" s="324"/>
      <c r="W412" s="324"/>
      <c r="X412" s="324"/>
      <c r="Y412" s="324"/>
      <c r="Z412" s="324"/>
      <c r="AA412" s="324"/>
      <c r="AB412" s="324"/>
      <c r="AC412" s="324"/>
      <c r="AD412" s="324"/>
      <c r="AE412" s="324"/>
    </row>
    <row r="413" spans="3:31" s="294" customFormat="1">
      <c r="C413" s="10"/>
      <c r="D413" s="29"/>
      <c r="E413" s="36"/>
      <c r="F413" s="324"/>
      <c r="G413" s="324"/>
      <c r="H413" s="324"/>
      <c r="I413" s="324"/>
      <c r="J413" s="324"/>
      <c r="K413" s="324"/>
      <c r="L413" s="324"/>
      <c r="M413" s="324"/>
      <c r="N413" s="324"/>
      <c r="O413" s="324"/>
      <c r="P413" s="324"/>
      <c r="Q413" s="324"/>
      <c r="R413" s="324"/>
      <c r="S413" s="324"/>
      <c r="T413" s="324"/>
      <c r="U413" s="324"/>
      <c r="V413" s="324"/>
      <c r="W413" s="324"/>
      <c r="X413" s="324"/>
      <c r="Y413" s="324"/>
      <c r="Z413" s="324"/>
      <c r="AA413" s="324"/>
      <c r="AB413" s="324"/>
      <c r="AC413" s="324"/>
      <c r="AD413" s="324"/>
      <c r="AE413" s="324"/>
    </row>
    <row r="414" spans="3:31" s="294" customFormat="1">
      <c r="C414" s="10"/>
      <c r="D414" s="29"/>
      <c r="E414" s="36"/>
      <c r="F414" s="324"/>
      <c r="G414" s="324"/>
      <c r="H414" s="324"/>
      <c r="I414" s="324"/>
      <c r="J414" s="324"/>
      <c r="K414" s="324"/>
      <c r="L414" s="324"/>
      <c r="M414" s="324"/>
      <c r="N414" s="324"/>
      <c r="O414" s="324"/>
      <c r="P414" s="324"/>
      <c r="Q414" s="324"/>
      <c r="R414" s="324"/>
      <c r="S414" s="324"/>
      <c r="T414" s="324"/>
      <c r="U414" s="324"/>
      <c r="V414" s="324"/>
      <c r="W414" s="324"/>
      <c r="X414" s="324"/>
      <c r="Y414" s="324"/>
      <c r="Z414" s="324"/>
      <c r="AA414" s="324"/>
      <c r="AB414" s="324"/>
      <c r="AC414" s="324"/>
      <c r="AD414" s="324"/>
      <c r="AE414" s="324"/>
    </row>
    <row r="415" spans="3:31" s="294" customFormat="1">
      <c r="C415" s="10"/>
      <c r="D415" s="29"/>
      <c r="E415" s="36"/>
      <c r="F415" s="324"/>
      <c r="G415" s="324"/>
      <c r="H415" s="324"/>
      <c r="I415" s="324"/>
      <c r="J415" s="324"/>
      <c r="K415" s="324"/>
      <c r="L415" s="324"/>
      <c r="M415" s="324"/>
      <c r="N415" s="324"/>
      <c r="O415" s="324"/>
      <c r="P415" s="324"/>
      <c r="Q415" s="324"/>
      <c r="R415" s="324"/>
      <c r="S415" s="324"/>
      <c r="T415" s="324"/>
      <c r="U415" s="324"/>
      <c r="V415" s="324"/>
      <c r="W415" s="324"/>
      <c r="X415" s="324"/>
      <c r="Y415" s="324"/>
      <c r="Z415" s="324"/>
      <c r="AA415" s="324"/>
      <c r="AB415" s="324"/>
      <c r="AC415" s="324"/>
      <c r="AD415" s="324"/>
      <c r="AE415" s="324"/>
    </row>
    <row r="416" spans="3:31" s="294" customFormat="1">
      <c r="C416" s="10"/>
      <c r="D416" s="29"/>
      <c r="E416" s="36"/>
      <c r="F416" s="324"/>
      <c r="G416" s="324"/>
      <c r="H416" s="324"/>
      <c r="I416" s="324"/>
      <c r="J416" s="324"/>
      <c r="K416" s="324"/>
      <c r="L416" s="324"/>
      <c r="M416" s="324"/>
      <c r="N416" s="324"/>
      <c r="O416" s="324"/>
      <c r="P416" s="324"/>
      <c r="Q416" s="324"/>
      <c r="R416" s="324"/>
      <c r="S416" s="324"/>
      <c r="T416" s="324"/>
      <c r="U416" s="324"/>
      <c r="V416" s="324"/>
      <c r="W416" s="324"/>
      <c r="X416" s="324"/>
      <c r="Y416" s="324"/>
      <c r="Z416" s="324"/>
      <c r="AA416" s="324"/>
      <c r="AB416" s="324"/>
      <c r="AC416" s="324"/>
      <c r="AD416" s="324"/>
      <c r="AE416" s="324"/>
    </row>
    <row r="417" spans="3:31" s="294" customFormat="1">
      <c r="C417" s="10"/>
      <c r="D417" s="29"/>
      <c r="E417" s="36"/>
      <c r="F417" s="324"/>
      <c r="G417" s="324"/>
      <c r="H417" s="324"/>
      <c r="I417" s="324"/>
      <c r="J417" s="324"/>
      <c r="K417" s="324"/>
      <c r="L417" s="324"/>
      <c r="M417" s="324"/>
      <c r="N417" s="324"/>
      <c r="O417" s="324"/>
      <c r="P417" s="324"/>
      <c r="Q417" s="324"/>
      <c r="R417" s="324"/>
      <c r="S417" s="324"/>
      <c r="T417" s="324"/>
      <c r="U417" s="324"/>
      <c r="V417" s="324"/>
      <c r="W417" s="324"/>
      <c r="X417" s="324"/>
      <c r="Y417" s="324"/>
      <c r="Z417" s="324"/>
      <c r="AA417" s="324"/>
      <c r="AB417" s="324"/>
      <c r="AC417" s="324"/>
      <c r="AD417" s="324"/>
      <c r="AE417" s="324"/>
    </row>
    <row r="418" spans="3:31" s="294" customFormat="1">
      <c r="C418" s="10"/>
      <c r="D418" s="29"/>
      <c r="E418" s="36"/>
      <c r="F418" s="324"/>
      <c r="G418" s="324"/>
      <c r="H418" s="324"/>
      <c r="I418" s="324"/>
      <c r="J418" s="324"/>
      <c r="K418" s="324"/>
      <c r="L418" s="324"/>
      <c r="M418" s="324"/>
      <c r="N418" s="324"/>
      <c r="O418" s="324"/>
      <c r="P418" s="324"/>
      <c r="Q418" s="324"/>
      <c r="R418" s="324"/>
      <c r="S418" s="324"/>
      <c r="T418" s="324"/>
      <c r="U418" s="324"/>
      <c r="V418" s="324"/>
      <c r="W418" s="324"/>
      <c r="X418" s="324"/>
      <c r="Y418" s="324"/>
      <c r="Z418" s="324"/>
      <c r="AA418" s="324"/>
      <c r="AB418" s="324"/>
      <c r="AC418" s="324"/>
      <c r="AD418" s="324"/>
      <c r="AE418" s="324"/>
    </row>
    <row r="419" spans="3:31" s="294" customFormat="1">
      <c r="C419" s="10"/>
      <c r="D419" s="29"/>
      <c r="E419" s="36"/>
      <c r="F419" s="324"/>
      <c r="G419" s="324"/>
      <c r="H419" s="324"/>
      <c r="I419" s="324"/>
      <c r="J419" s="324"/>
      <c r="K419" s="324"/>
      <c r="L419" s="324"/>
      <c r="M419" s="324"/>
      <c r="N419" s="324"/>
      <c r="O419" s="324"/>
      <c r="P419" s="324"/>
      <c r="Q419" s="324"/>
      <c r="R419" s="324"/>
      <c r="S419" s="324"/>
      <c r="T419" s="324"/>
      <c r="U419" s="324"/>
      <c r="V419" s="324"/>
      <c r="W419" s="324"/>
      <c r="X419" s="324"/>
      <c r="Y419" s="324"/>
      <c r="Z419" s="324"/>
      <c r="AA419" s="324"/>
      <c r="AB419" s="324"/>
      <c r="AC419" s="324"/>
      <c r="AD419" s="324"/>
      <c r="AE419" s="324"/>
    </row>
    <row r="420" spans="3:31" s="294" customFormat="1">
      <c r="C420" s="10"/>
      <c r="D420" s="29"/>
      <c r="E420" s="36"/>
      <c r="F420" s="324"/>
      <c r="G420" s="324"/>
      <c r="H420" s="324"/>
      <c r="I420" s="324"/>
      <c r="J420" s="324"/>
      <c r="K420" s="324"/>
      <c r="L420" s="324"/>
      <c r="M420" s="324"/>
      <c r="N420" s="324"/>
      <c r="O420" s="324"/>
      <c r="P420" s="324"/>
      <c r="Q420" s="324"/>
      <c r="R420" s="324"/>
      <c r="S420" s="324"/>
      <c r="T420" s="324"/>
      <c r="U420" s="324"/>
      <c r="V420" s="324"/>
      <c r="W420" s="324"/>
      <c r="X420" s="324"/>
      <c r="Y420" s="324"/>
      <c r="Z420" s="324"/>
      <c r="AA420" s="324"/>
      <c r="AB420" s="324"/>
      <c r="AC420" s="324"/>
      <c r="AD420" s="324"/>
      <c r="AE420" s="324"/>
    </row>
    <row r="421" spans="3:31" s="294" customFormat="1">
      <c r="C421" s="10"/>
      <c r="D421" s="29"/>
      <c r="E421" s="36"/>
      <c r="F421" s="324"/>
      <c r="G421" s="324"/>
      <c r="H421" s="324"/>
      <c r="I421" s="324"/>
      <c r="J421" s="324"/>
      <c r="K421" s="324"/>
      <c r="L421" s="324"/>
      <c r="M421" s="324"/>
      <c r="N421" s="324"/>
      <c r="O421" s="324"/>
      <c r="P421" s="324"/>
      <c r="Q421" s="324"/>
      <c r="R421" s="324"/>
      <c r="S421" s="324"/>
      <c r="T421" s="324"/>
      <c r="U421" s="324"/>
      <c r="V421" s="324"/>
      <c r="W421" s="324"/>
      <c r="X421" s="324"/>
      <c r="Y421" s="324"/>
      <c r="Z421" s="324"/>
      <c r="AA421" s="324"/>
      <c r="AB421" s="324"/>
      <c r="AC421" s="324"/>
      <c r="AD421" s="324"/>
      <c r="AE421" s="324"/>
    </row>
    <row r="422" spans="3:31" s="294" customFormat="1">
      <c r="C422" s="10"/>
      <c r="D422" s="29"/>
      <c r="E422" s="36"/>
      <c r="F422" s="324"/>
      <c r="G422" s="324"/>
      <c r="H422" s="324"/>
      <c r="I422" s="324"/>
      <c r="J422" s="324"/>
      <c r="K422" s="324"/>
      <c r="L422" s="324"/>
      <c r="M422" s="324"/>
      <c r="N422" s="324"/>
      <c r="O422" s="324"/>
      <c r="P422" s="324"/>
      <c r="Q422" s="324"/>
      <c r="R422" s="324"/>
      <c r="S422" s="324"/>
      <c r="T422" s="324"/>
      <c r="U422" s="324"/>
      <c r="V422" s="324"/>
      <c r="W422" s="324"/>
      <c r="X422" s="324"/>
      <c r="Y422" s="324"/>
      <c r="Z422" s="324"/>
      <c r="AA422" s="324"/>
      <c r="AB422" s="324"/>
      <c r="AC422" s="324"/>
      <c r="AD422" s="324"/>
      <c r="AE422" s="324"/>
    </row>
    <row r="423" spans="3:31" s="294" customFormat="1">
      <c r="C423" s="10"/>
      <c r="D423" s="29"/>
      <c r="E423" s="36"/>
      <c r="F423" s="324"/>
      <c r="G423" s="324"/>
      <c r="H423" s="324"/>
      <c r="I423" s="324"/>
      <c r="J423" s="324"/>
      <c r="K423" s="324"/>
      <c r="L423" s="324"/>
      <c r="M423" s="324"/>
      <c r="N423" s="324"/>
      <c r="O423" s="324"/>
      <c r="P423" s="324"/>
      <c r="Q423" s="324"/>
      <c r="R423" s="324"/>
      <c r="S423" s="324"/>
      <c r="T423" s="324"/>
      <c r="U423" s="324"/>
      <c r="V423" s="324"/>
      <c r="W423" s="324"/>
      <c r="X423" s="324"/>
      <c r="Y423" s="324"/>
      <c r="Z423" s="324"/>
      <c r="AA423" s="324"/>
      <c r="AB423" s="324"/>
      <c r="AC423" s="324"/>
      <c r="AD423" s="324"/>
      <c r="AE423" s="324"/>
    </row>
    <row r="424" spans="3:31" s="294" customFormat="1">
      <c r="C424" s="10"/>
      <c r="D424" s="29"/>
      <c r="E424" s="36"/>
      <c r="F424" s="324"/>
      <c r="G424" s="324"/>
      <c r="H424" s="324"/>
      <c r="I424" s="324"/>
      <c r="J424" s="324"/>
      <c r="K424" s="324"/>
      <c r="L424" s="324"/>
      <c r="M424" s="324"/>
      <c r="N424" s="324"/>
      <c r="O424" s="324"/>
      <c r="P424" s="324"/>
      <c r="Q424" s="324"/>
      <c r="R424" s="324"/>
      <c r="S424" s="324"/>
      <c r="T424" s="324"/>
      <c r="U424" s="324"/>
      <c r="V424" s="324"/>
      <c r="W424" s="324"/>
      <c r="X424" s="324"/>
      <c r="Y424" s="324"/>
      <c r="Z424" s="324"/>
      <c r="AA424" s="324"/>
      <c r="AB424" s="324"/>
      <c r="AC424" s="324"/>
      <c r="AD424" s="324"/>
      <c r="AE424" s="324"/>
    </row>
    <row r="425" spans="3:31" s="294" customFormat="1">
      <c r="C425" s="10"/>
      <c r="D425" s="29"/>
      <c r="E425" s="36"/>
      <c r="F425" s="324"/>
      <c r="G425" s="324"/>
      <c r="H425" s="324"/>
      <c r="I425" s="324"/>
      <c r="J425" s="324"/>
      <c r="K425" s="324"/>
      <c r="L425" s="324"/>
      <c r="M425" s="324"/>
      <c r="N425" s="324"/>
      <c r="O425" s="324"/>
      <c r="P425" s="324"/>
      <c r="Q425" s="324"/>
      <c r="R425" s="324"/>
      <c r="S425" s="324"/>
      <c r="T425" s="324"/>
      <c r="U425" s="324"/>
      <c r="V425" s="324"/>
      <c r="W425" s="324"/>
      <c r="X425" s="324"/>
      <c r="Y425" s="324"/>
      <c r="Z425" s="324"/>
      <c r="AA425" s="324"/>
      <c r="AB425" s="324"/>
      <c r="AC425" s="324"/>
      <c r="AD425" s="324"/>
      <c r="AE425" s="324"/>
    </row>
    <row r="426" spans="3:31" s="294" customFormat="1">
      <c r="C426" s="10"/>
      <c r="D426" s="29"/>
      <c r="E426" s="36"/>
      <c r="F426" s="324"/>
      <c r="G426" s="324"/>
      <c r="H426" s="324"/>
      <c r="I426" s="324"/>
      <c r="J426" s="324"/>
      <c r="K426" s="324"/>
      <c r="L426" s="324"/>
      <c r="M426" s="324"/>
      <c r="N426" s="324"/>
      <c r="O426" s="324"/>
      <c r="P426" s="324"/>
      <c r="Q426" s="324"/>
      <c r="R426" s="324"/>
      <c r="S426" s="324"/>
      <c r="T426" s="324"/>
      <c r="U426" s="324"/>
      <c r="V426" s="324"/>
      <c r="W426" s="324"/>
      <c r="X426" s="324"/>
      <c r="Y426" s="324"/>
      <c r="Z426" s="324"/>
      <c r="AA426" s="324"/>
      <c r="AB426" s="324"/>
      <c r="AC426" s="324"/>
      <c r="AD426" s="324"/>
      <c r="AE426" s="324"/>
    </row>
    <row r="427" spans="3:31" s="294" customFormat="1">
      <c r="C427" s="10"/>
      <c r="D427" s="29"/>
      <c r="E427" s="36"/>
      <c r="F427" s="324"/>
      <c r="G427" s="324"/>
      <c r="H427" s="324"/>
      <c r="I427" s="324"/>
      <c r="J427" s="324"/>
      <c r="K427" s="324"/>
      <c r="L427" s="324"/>
      <c r="M427" s="324"/>
      <c r="N427" s="324"/>
      <c r="O427" s="324"/>
      <c r="P427" s="324"/>
      <c r="Q427" s="324"/>
      <c r="R427" s="324"/>
      <c r="S427" s="324"/>
      <c r="T427" s="324"/>
      <c r="U427" s="324"/>
      <c r="V427" s="324"/>
      <c r="W427" s="324"/>
      <c r="X427" s="324"/>
      <c r="Y427" s="324"/>
      <c r="Z427" s="324"/>
      <c r="AA427" s="324"/>
      <c r="AB427" s="324"/>
      <c r="AC427" s="324"/>
      <c r="AD427" s="324"/>
      <c r="AE427" s="324"/>
    </row>
    <row r="428" spans="3:31" s="294" customFormat="1">
      <c r="C428" s="10"/>
      <c r="D428" s="29"/>
      <c r="E428" s="36"/>
      <c r="F428" s="324"/>
      <c r="G428" s="324"/>
      <c r="H428" s="324"/>
      <c r="I428" s="324"/>
      <c r="J428" s="324"/>
      <c r="K428" s="324"/>
      <c r="L428" s="324"/>
      <c r="M428" s="324"/>
      <c r="N428" s="324"/>
      <c r="O428" s="324"/>
      <c r="P428" s="324"/>
      <c r="Q428" s="324"/>
      <c r="R428" s="324"/>
      <c r="S428" s="324"/>
      <c r="T428" s="324"/>
      <c r="U428" s="324"/>
      <c r="V428" s="324"/>
      <c r="W428" s="324"/>
      <c r="X428" s="324"/>
      <c r="Y428" s="324"/>
      <c r="Z428" s="324"/>
      <c r="AA428" s="324"/>
      <c r="AB428" s="324"/>
      <c r="AC428" s="324"/>
      <c r="AD428" s="324"/>
      <c r="AE428" s="324"/>
    </row>
    <row r="429" spans="3:31" s="294" customFormat="1">
      <c r="C429" s="10"/>
      <c r="D429" s="29"/>
      <c r="E429" s="36"/>
      <c r="F429" s="324"/>
      <c r="G429" s="324"/>
      <c r="H429" s="324"/>
      <c r="I429" s="324"/>
      <c r="J429" s="324"/>
      <c r="K429" s="324"/>
      <c r="L429" s="324"/>
      <c r="M429" s="324"/>
      <c r="N429" s="324"/>
      <c r="O429" s="324"/>
      <c r="P429" s="324"/>
      <c r="Q429" s="324"/>
      <c r="R429" s="324"/>
      <c r="S429" s="324"/>
      <c r="T429" s="324"/>
      <c r="U429" s="324"/>
      <c r="V429" s="324"/>
      <c r="W429" s="324"/>
      <c r="X429" s="324"/>
      <c r="Y429" s="324"/>
      <c r="Z429" s="324"/>
      <c r="AA429" s="324"/>
      <c r="AB429" s="324"/>
      <c r="AC429" s="324"/>
      <c r="AD429" s="324"/>
      <c r="AE429" s="324"/>
    </row>
    <row r="430" spans="3:31" s="294" customFormat="1">
      <c r="C430" s="10"/>
      <c r="D430" s="29"/>
      <c r="E430" s="36"/>
      <c r="F430" s="324"/>
      <c r="G430" s="324"/>
      <c r="H430" s="324"/>
      <c r="I430" s="324"/>
      <c r="J430" s="324"/>
      <c r="K430" s="324"/>
      <c r="L430" s="324"/>
      <c r="M430" s="324"/>
      <c r="N430" s="324"/>
      <c r="O430" s="324"/>
      <c r="P430" s="324"/>
      <c r="Q430" s="324"/>
      <c r="R430" s="324"/>
      <c r="S430" s="324"/>
      <c r="T430" s="324"/>
      <c r="U430" s="324"/>
      <c r="V430" s="324"/>
      <c r="W430" s="324"/>
      <c r="X430" s="324"/>
      <c r="Y430" s="324"/>
      <c r="Z430" s="324"/>
      <c r="AA430" s="324"/>
      <c r="AB430" s="324"/>
      <c r="AC430" s="324"/>
      <c r="AD430" s="324"/>
      <c r="AE430" s="324"/>
    </row>
    <row r="431" spans="3:31" s="294" customFormat="1">
      <c r="C431" s="10"/>
      <c r="D431" s="29"/>
      <c r="E431" s="36"/>
      <c r="F431" s="324"/>
      <c r="G431" s="324"/>
      <c r="H431" s="324"/>
      <c r="I431" s="324"/>
      <c r="J431" s="324"/>
      <c r="K431" s="324"/>
      <c r="L431" s="324"/>
      <c r="M431" s="324"/>
      <c r="N431" s="324"/>
      <c r="O431" s="324"/>
      <c r="P431" s="324"/>
      <c r="Q431" s="324"/>
      <c r="R431" s="324"/>
      <c r="S431" s="324"/>
      <c r="T431" s="324"/>
      <c r="U431" s="324"/>
      <c r="V431" s="324"/>
      <c r="W431" s="324"/>
      <c r="X431" s="324"/>
      <c r="Y431" s="324"/>
      <c r="Z431" s="324"/>
      <c r="AA431" s="324"/>
      <c r="AB431" s="324"/>
      <c r="AC431" s="324"/>
      <c r="AD431" s="324"/>
      <c r="AE431" s="324"/>
    </row>
    <row r="432" spans="3:31" s="294" customFormat="1">
      <c r="C432" s="10"/>
      <c r="D432" s="29"/>
      <c r="E432" s="36"/>
      <c r="F432" s="324"/>
      <c r="G432" s="324"/>
      <c r="H432" s="324"/>
      <c r="I432" s="324"/>
      <c r="J432" s="324"/>
      <c r="K432" s="324"/>
      <c r="L432" s="324"/>
      <c r="M432" s="324"/>
      <c r="N432" s="324"/>
      <c r="O432" s="324"/>
      <c r="P432" s="324"/>
      <c r="Q432" s="324"/>
      <c r="R432" s="324"/>
      <c r="S432" s="324"/>
      <c r="T432" s="324"/>
      <c r="U432" s="324"/>
      <c r="V432" s="324"/>
      <c r="W432" s="324"/>
      <c r="X432" s="324"/>
      <c r="Y432" s="324"/>
      <c r="Z432" s="324"/>
      <c r="AA432" s="324"/>
      <c r="AB432" s="324"/>
      <c r="AC432" s="324"/>
      <c r="AD432" s="324"/>
      <c r="AE432" s="324"/>
    </row>
    <row r="433" spans="3:31" s="294" customFormat="1">
      <c r="C433" s="10"/>
      <c r="D433" s="29"/>
      <c r="E433" s="36"/>
      <c r="F433" s="324"/>
      <c r="G433" s="324"/>
      <c r="H433" s="324"/>
      <c r="I433" s="324"/>
      <c r="J433" s="324"/>
      <c r="K433" s="324"/>
      <c r="L433" s="324"/>
      <c r="M433" s="324"/>
      <c r="N433" s="324"/>
      <c r="O433" s="324"/>
      <c r="P433" s="324"/>
      <c r="Q433" s="324"/>
      <c r="R433" s="324"/>
      <c r="S433" s="324"/>
      <c r="T433" s="324"/>
      <c r="U433" s="324"/>
      <c r="V433" s="324"/>
      <c r="W433" s="324"/>
      <c r="X433" s="324"/>
      <c r="Y433" s="324"/>
      <c r="Z433" s="324"/>
      <c r="AA433" s="324"/>
      <c r="AB433" s="324"/>
      <c r="AC433" s="324"/>
      <c r="AD433" s="324"/>
      <c r="AE433" s="324"/>
    </row>
    <row r="434" spans="3:31" s="294" customFormat="1">
      <c r="C434" s="10"/>
      <c r="D434" s="29"/>
      <c r="E434" s="36"/>
      <c r="F434" s="324"/>
      <c r="G434" s="324"/>
      <c r="H434" s="324"/>
      <c r="I434" s="324"/>
      <c r="J434" s="324"/>
      <c r="K434" s="324"/>
      <c r="L434" s="324"/>
      <c r="M434" s="324"/>
      <c r="N434" s="324"/>
      <c r="O434" s="324"/>
      <c r="P434" s="324"/>
      <c r="Q434" s="324"/>
      <c r="R434" s="324"/>
      <c r="S434" s="324"/>
      <c r="T434" s="324"/>
      <c r="U434" s="324"/>
      <c r="V434" s="324"/>
      <c r="W434" s="324"/>
      <c r="X434" s="324"/>
      <c r="Y434" s="324"/>
      <c r="Z434" s="324"/>
      <c r="AA434" s="324"/>
      <c r="AB434" s="324"/>
      <c r="AC434" s="324"/>
      <c r="AD434" s="324"/>
      <c r="AE434" s="324"/>
    </row>
    <row r="435" spans="3:31" s="294" customFormat="1">
      <c r="C435" s="10"/>
      <c r="D435" s="29"/>
      <c r="E435" s="36"/>
      <c r="F435" s="324"/>
      <c r="G435" s="324"/>
      <c r="H435" s="324"/>
      <c r="I435" s="324"/>
      <c r="J435" s="324"/>
      <c r="K435" s="324"/>
      <c r="L435" s="324"/>
      <c r="M435" s="324"/>
      <c r="N435" s="324"/>
      <c r="O435" s="324"/>
      <c r="P435" s="324"/>
      <c r="Q435" s="324"/>
      <c r="R435" s="324"/>
      <c r="S435" s="324"/>
      <c r="T435" s="324"/>
      <c r="U435" s="324"/>
      <c r="V435" s="324"/>
      <c r="W435" s="324"/>
      <c r="X435" s="324"/>
      <c r="Y435" s="324"/>
      <c r="Z435" s="324"/>
      <c r="AA435" s="324"/>
      <c r="AB435" s="324"/>
      <c r="AC435" s="324"/>
      <c r="AD435" s="324"/>
      <c r="AE435" s="324"/>
    </row>
    <row r="436" spans="3:31" s="294" customFormat="1">
      <c r="C436" s="10"/>
      <c r="D436" s="29"/>
      <c r="E436" s="36"/>
      <c r="F436" s="324"/>
      <c r="G436" s="324"/>
      <c r="H436" s="324"/>
      <c r="I436" s="324"/>
      <c r="J436" s="324"/>
      <c r="K436" s="324"/>
      <c r="L436" s="324"/>
      <c r="M436" s="324"/>
      <c r="N436" s="324"/>
      <c r="O436" s="324"/>
      <c r="P436" s="324"/>
      <c r="Q436" s="324"/>
      <c r="R436" s="324"/>
      <c r="S436" s="324"/>
      <c r="T436" s="324"/>
      <c r="U436" s="324"/>
      <c r="V436" s="324"/>
      <c r="W436" s="324"/>
      <c r="X436" s="324"/>
      <c r="Y436" s="324"/>
      <c r="Z436" s="324"/>
      <c r="AA436" s="324"/>
      <c r="AB436" s="324"/>
      <c r="AC436" s="324"/>
      <c r="AD436" s="324"/>
      <c r="AE436" s="324"/>
    </row>
    <row r="437" spans="3:31" s="294" customFormat="1">
      <c r="C437" s="10"/>
      <c r="D437" s="29"/>
      <c r="E437" s="36"/>
      <c r="F437" s="324"/>
      <c r="G437" s="324"/>
      <c r="H437" s="324"/>
      <c r="I437" s="324"/>
      <c r="J437" s="324"/>
      <c r="K437" s="324"/>
      <c r="L437" s="324"/>
      <c r="M437" s="324"/>
      <c r="N437" s="324"/>
      <c r="O437" s="324"/>
      <c r="P437" s="324"/>
      <c r="Q437" s="324"/>
      <c r="R437" s="324"/>
      <c r="S437" s="324"/>
      <c r="T437" s="324"/>
      <c r="U437" s="324"/>
      <c r="V437" s="324"/>
      <c r="W437" s="324"/>
      <c r="X437" s="324"/>
      <c r="Y437" s="324"/>
      <c r="Z437" s="324"/>
      <c r="AA437" s="324"/>
      <c r="AB437" s="324"/>
      <c r="AC437" s="324"/>
      <c r="AD437" s="324"/>
      <c r="AE437" s="324"/>
    </row>
    <row r="438" spans="3:31" s="294" customFormat="1">
      <c r="C438" s="10"/>
      <c r="D438" s="29"/>
      <c r="E438" s="36"/>
      <c r="F438" s="324"/>
      <c r="G438" s="324"/>
      <c r="H438" s="324"/>
      <c r="I438" s="324"/>
      <c r="J438" s="324"/>
      <c r="K438" s="324"/>
      <c r="L438" s="324"/>
      <c r="M438" s="324"/>
      <c r="N438" s="324"/>
      <c r="O438" s="324"/>
      <c r="P438" s="324"/>
      <c r="Q438" s="324"/>
      <c r="R438" s="324"/>
      <c r="S438" s="324"/>
      <c r="T438" s="324"/>
      <c r="U438" s="324"/>
      <c r="V438" s="324"/>
      <c r="W438" s="324"/>
      <c r="X438" s="324"/>
      <c r="Y438" s="324"/>
      <c r="Z438" s="324"/>
      <c r="AA438" s="324"/>
      <c r="AB438" s="324"/>
      <c r="AC438" s="324"/>
      <c r="AD438" s="324"/>
      <c r="AE438" s="324"/>
    </row>
    <row r="439" spans="3:31" s="294" customFormat="1">
      <c r="C439" s="10"/>
      <c r="D439" s="29"/>
      <c r="E439" s="36"/>
      <c r="F439" s="324"/>
      <c r="G439" s="324"/>
      <c r="H439" s="324"/>
      <c r="I439" s="324"/>
      <c r="J439" s="324"/>
      <c r="K439" s="324"/>
      <c r="L439" s="324"/>
      <c r="M439" s="324"/>
      <c r="N439" s="324"/>
      <c r="O439" s="324"/>
      <c r="P439" s="324"/>
      <c r="Q439" s="324"/>
      <c r="R439" s="324"/>
      <c r="S439" s="324"/>
      <c r="T439" s="324"/>
      <c r="U439" s="324"/>
      <c r="V439" s="324"/>
      <c r="W439" s="324"/>
      <c r="X439" s="324"/>
      <c r="Y439" s="324"/>
      <c r="Z439" s="324"/>
      <c r="AA439" s="324"/>
      <c r="AB439" s="324"/>
      <c r="AC439" s="324"/>
      <c r="AD439" s="324"/>
      <c r="AE439" s="324"/>
    </row>
    <row r="440" spans="3:31" s="294" customFormat="1">
      <c r="C440" s="10"/>
      <c r="D440" s="29"/>
      <c r="E440" s="36"/>
      <c r="F440" s="324"/>
      <c r="G440" s="324"/>
      <c r="H440" s="324"/>
      <c r="I440" s="324"/>
      <c r="J440" s="324"/>
      <c r="K440" s="324"/>
      <c r="L440" s="324"/>
      <c r="M440" s="324"/>
      <c r="N440" s="324"/>
      <c r="O440" s="324"/>
      <c r="P440" s="324"/>
      <c r="Q440" s="324"/>
      <c r="R440" s="324"/>
      <c r="S440" s="324"/>
      <c r="T440" s="324"/>
      <c r="U440" s="324"/>
      <c r="V440" s="324"/>
      <c r="W440" s="324"/>
      <c r="X440" s="324"/>
      <c r="Y440" s="324"/>
      <c r="Z440" s="324"/>
      <c r="AA440" s="324"/>
      <c r="AB440" s="324"/>
      <c r="AC440" s="324"/>
      <c r="AD440" s="324"/>
      <c r="AE440" s="324"/>
    </row>
    <row r="441" spans="3:31" s="294" customFormat="1">
      <c r="C441" s="10"/>
      <c r="D441" s="29"/>
      <c r="E441" s="36"/>
      <c r="F441" s="324"/>
      <c r="G441" s="324"/>
      <c r="H441" s="324"/>
      <c r="I441" s="324"/>
      <c r="J441" s="324"/>
      <c r="K441" s="324"/>
      <c r="L441" s="324"/>
      <c r="M441" s="324"/>
      <c r="N441" s="324"/>
      <c r="O441" s="324"/>
      <c r="P441" s="324"/>
      <c r="Q441" s="324"/>
      <c r="R441" s="324"/>
      <c r="S441" s="324"/>
      <c r="T441" s="324"/>
      <c r="U441" s="324"/>
      <c r="V441" s="324"/>
      <c r="W441" s="324"/>
      <c r="X441" s="324"/>
      <c r="Y441" s="324"/>
      <c r="Z441" s="324"/>
      <c r="AA441" s="324"/>
      <c r="AB441" s="324"/>
      <c r="AC441" s="324"/>
      <c r="AD441" s="324"/>
      <c r="AE441" s="324"/>
    </row>
    <row r="442" spans="3:31" s="294" customFormat="1">
      <c r="C442" s="10"/>
      <c r="D442" s="29"/>
      <c r="E442" s="36"/>
      <c r="F442" s="324"/>
      <c r="G442" s="324"/>
      <c r="H442" s="324"/>
      <c r="I442" s="324"/>
      <c r="J442" s="324"/>
      <c r="K442" s="324"/>
      <c r="L442" s="324"/>
      <c r="M442" s="324"/>
      <c r="N442" s="324"/>
      <c r="O442" s="324"/>
      <c r="P442" s="324"/>
      <c r="Q442" s="324"/>
      <c r="R442" s="324"/>
      <c r="S442" s="324"/>
      <c r="T442" s="324"/>
      <c r="U442" s="324"/>
      <c r="V442" s="324"/>
      <c r="W442" s="324"/>
      <c r="X442" s="324"/>
      <c r="Y442" s="324"/>
      <c r="Z442" s="324"/>
      <c r="AA442" s="324"/>
      <c r="AB442" s="324"/>
      <c r="AC442" s="324"/>
      <c r="AD442" s="324"/>
      <c r="AE442" s="324"/>
    </row>
    <row r="443" spans="3:31" s="294" customFormat="1">
      <c r="C443" s="10"/>
      <c r="D443" s="29"/>
      <c r="E443" s="36"/>
      <c r="F443" s="324"/>
      <c r="G443" s="324"/>
      <c r="H443" s="324"/>
      <c r="I443" s="324"/>
      <c r="J443" s="324"/>
      <c r="K443" s="324"/>
      <c r="L443" s="324"/>
      <c r="M443" s="324"/>
      <c r="N443" s="324"/>
      <c r="O443" s="324"/>
      <c r="P443" s="324"/>
      <c r="Q443" s="324"/>
      <c r="R443" s="324"/>
      <c r="S443" s="324"/>
      <c r="T443" s="324"/>
      <c r="U443" s="324"/>
      <c r="V443" s="324"/>
      <c r="W443" s="324"/>
      <c r="X443" s="324"/>
      <c r="Y443" s="324"/>
      <c r="Z443" s="324"/>
      <c r="AA443" s="324"/>
      <c r="AB443" s="324"/>
      <c r="AC443" s="324"/>
      <c r="AD443" s="324"/>
      <c r="AE443" s="324"/>
    </row>
    <row r="444" spans="3:31" s="294" customFormat="1">
      <c r="C444" s="10"/>
      <c r="D444" s="29"/>
      <c r="E444" s="36"/>
      <c r="F444" s="324"/>
      <c r="G444" s="324"/>
      <c r="H444" s="324"/>
      <c r="I444" s="324"/>
      <c r="J444" s="324"/>
      <c r="K444" s="324"/>
      <c r="L444" s="324"/>
      <c r="M444" s="324"/>
      <c r="N444" s="324"/>
      <c r="O444" s="324"/>
      <c r="P444" s="324"/>
      <c r="Q444" s="324"/>
      <c r="R444" s="324"/>
      <c r="S444" s="324"/>
      <c r="T444" s="324"/>
      <c r="U444" s="324"/>
      <c r="V444" s="324"/>
      <c r="W444" s="324"/>
      <c r="X444" s="324"/>
      <c r="Y444" s="324"/>
      <c r="Z444" s="324"/>
      <c r="AA444" s="324"/>
      <c r="AB444" s="324"/>
      <c r="AC444" s="324"/>
      <c r="AD444" s="324"/>
      <c r="AE444" s="324"/>
    </row>
    <row r="445" spans="3:31" s="294" customFormat="1">
      <c r="C445" s="10"/>
      <c r="D445" s="29"/>
      <c r="E445" s="36"/>
      <c r="F445" s="324"/>
      <c r="G445" s="324"/>
      <c r="H445" s="324"/>
      <c r="I445" s="324"/>
      <c r="J445" s="324"/>
      <c r="K445" s="324"/>
      <c r="L445" s="324"/>
      <c r="M445" s="324"/>
      <c r="N445" s="324"/>
      <c r="O445" s="324"/>
      <c r="P445" s="324"/>
      <c r="Q445" s="324"/>
      <c r="R445" s="324"/>
      <c r="S445" s="324"/>
      <c r="T445" s="324"/>
      <c r="U445" s="324"/>
      <c r="V445" s="324"/>
      <c r="W445" s="324"/>
      <c r="X445" s="324"/>
      <c r="Y445" s="324"/>
      <c r="Z445" s="324"/>
      <c r="AA445" s="324"/>
      <c r="AB445" s="324"/>
      <c r="AC445" s="324"/>
      <c r="AD445" s="324"/>
      <c r="AE445" s="324"/>
    </row>
    <row r="446" spans="3:31" s="294" customFormat="1">
      <c r="C446" s="10"/>
      <c r="D446" s="29"/>
      <c r="E446" s="36"/>
      <c r="F446" s="324"/>
      <c r="G446" s="324"/>
      <c r="H446" s="324"/>
      <c r="I446" s="324"/>
      <c r="J446" s="324"/>
      <c r="K446" s="324"/>
      <c r="L446" s="324"/>
      <c r="M446" s="324"/>
      <c r="N446" s="324"/>
      <c r="O446" s="324"/>
      <c r="P446" s="324"/>
      <c r="Q446" s="324"/>
      <c r="R446" s="324"/>
      <c r="S446" s="324"/>
      <c r="T446" s="324"/>
      <c r="U446" s="324"/>
      <c r="V446" s="324"/>
      <c r="W446" s="324"/>
      <c r="X446" s="324"/>
      <c r="Y446" s="324"/>
      <c r="Z446" s="324"/>
      <c r="AA446" s="324"/>
      <c r="AB446" s="324"/>
      <c r="AC446" s="324"/>
      <c r="AD446" s="324"/>
      <c r="AE446" s="324"/>
    </row>
    <row r="447" spans="3:31" s="294" customFormat="1">
      <c r="C447" s="10"/>
      <c r="D447" s="29"/>
      <c r="E447" s="36"/>
      <c r="F447" s="324"/>
      <c r="G447" s="324"/>
      <c r="H447" s="324"/>
      <c r="I447" s="324"/>
      <c r="J447" s="324"/>
      <c r="K447" s="324"/>
      <c r="L447" s="324"/>
      <c r="M447" s="324"/>
      <c r="N447" s="324"/>
      <c r="O447" s="324"/>
      <c r="P447" s="324"/>
      <c r="Q447" s="324"/>
      <c r="R447" s="324"/>
      <c r="S447" s="324"/>
      <c r="T447" s="324"/>
      <c r="U447" s="324"/>
      <c r="V447" s="324"/>
      <c r="W447" s="324"/>
      <c r="X447" s="324"/>
      <c r="Y447" s="324"/>
      <c r="Z447" s="324"/>
      <c r="AA447" s="324"/>
      <c r="AB447" s="324"/>
      <c r="AC447" s="324"/>
      <c r="AD447" s="324"/>
      <c r="AE447" s="324"/>
    </row>
    <row r="448" spans="3:31" s="294" customFormat="1">
      <c r="C448" s="10"/>
      <c r="D448" s="29"/>
      <c r="E448" s="36"/>
      <c r="F448" s="324"/>
      <c r="G448" s="324"/>
      <c r="H448" s="324"/>
      <c r="I448" s="324"/>
      <c r="J448" s="324"/>
      <c r="K448" s="324"/>
      <c r="L448" s="324"/>
      <c r="M448" s="324"/>
      <c r="N448" s="324"/>
      <c r="O448" s="324"/>
      <c r="P448" s="324"/>
      <c r="Q448" s="324"/>
      <c r="R448" s="324"/>
      <c r="S448" s="324"/>
      <c r="T448" s="324"/>
      <c r="U448" s="324"/>
      <c r="V448" s="324"/>
      <c r="W448" s="324"/>
      <c r="X448" s="324"/>
      <c r="Y448" s="324"/>
      <c r="Z448" s="324"/>
      <c r="AA448" s="324"/>
      <c r="AB448" s="324"/>
      <c r="AC448" s="324"/>
      <c r="AD448" s="324"/>
      <c r="AE448" s="324"/>
    </row>
    <row r="449" spans="3:31" s="294" customFormat="1">
      <c r="C449" s="10"/>
      <c r="D449" s="29"/>
      <c r="E449" s="36"/>
      <c r="F449" s="324"/>
      <c r="G449" s="324"/>
      <c r="H449" s="324"/>
      <c r="I449" s="324"/>
      <c r="J449" s="324"/>
      <c r="K449" s="324"/>
      <c r="L449" s="324"/>
      <c r="M449" s="324"/>
      <c r="N449" s="324"/>
      <c r="O449" s="324"/>
      <c r="P449" s="324"/>
      <c r="Q449" s="324"/>
      <c r="R449" s="324"/>
      <c r="S449" s="324"/>
      <c r="T449" s="324"/>
      <c r="U449" s="324"/>
      <c r="V449" s="324"/>
      <c r="W449" s="324"/>
      <c r="X449" s="324"/>
      <c r="Y449" s="324"/>
      <c r="Z449" s="324"/>
      <c r="AA449" s="324"/>
      <c r="AB449" s="324"/>
      <c r="AC449" s="324"/>
      <c r="AD449" s="324"/>
      <c r="AE449" s="324"/>
    </row>
    <row r="450" spans="3:31" s="294" customFormat="1">
      <c r="C450" s="10"/>
      <c r="D450" s="29"/>
      <c r="E450" s="36"/>
      <c r="F450" s="324"/>
      <c r="G450" s="324"/>
      <c r="H450" s="324"/>
      <c r="I450" s="324"/>
      <c r="J450" s="324"/>
      <c r="K450" s="324"/>
      <c r="L450" s="324"/>
      <c r="M450" s="324"/>
      <c r="N450" s="324"/>
      <c r="O450" s="324"/>
      <c r="P450" s="324"/>
      <c r="Q450" s="324"/>
      <c r="R450" s="324"/>
      <c r="S450" s="324"/>
      <c r="T450" s="324"/>
      <c r="U450" s="324"/>
      <c r="V450" s="324"/>
      <c r="W450" s="324"/>
      <c r="X450" s="324"/>
      <c r="Y450" s="324"/>
      <c r="Z450" s="324"/>
      <c r="AA450" s="324"/>
      <c r="AB450" s="324"/>
      <c r="AC450" s="324"/>
      <c r="AD450" s="324"/>
      <c r="AE450" s="324"/>
    </row>
    <row r="451" spans="3:31" s="294" customFormat="1">
      <c r="C451" s="10"/>
      <c r="D451" s="29"/>
      <c r="E451" s="36"/>
      <c r="F451" s="324"/>
      <c r="G451" s="324"/>
      <c r="H451" s="324"/>
      <c r="I451" s="324"/>
      <c r="J451" s="324"/>
      <c r="K451" s="324"/>
      <c r="L451" s="324"/>
      <c r="M451" s="324"/>
      <c r="N451" s="324"/>
      <c r="O451" s="324"/>
      <c r="P451" s="324"/>
      <c r="Q451" s="324"/>
      <c r="R451" s="324"/>
      <c r="S451" s="324"/>
      <c r="T451" s="324"/>
      <c r="U451" s="324"/>
      <c r="V451" s="324"/>
      <c r="W451" s="324"/>
      <c r="X451" s="324"/>
      <c r="Y451" s="324"/>
      <c r="Z451" s="324"/>
      <c r="AA451" s="324"/>
      <c r="AB451" s="324"/>
      <c r="AC451" s="324"/>
      <c r="AD451" s="324"/>
      <c r="AE451" s="324"/>
    </row>
    <row r="452" spans="3:31" s="294" customFormat="1">
      <c r="C452" s="10"/>
      <c r="D452" s="29"/>
      <c r="E452" s="36"/>
      <c r="F452" s="324"/>
      <c r="G452" s="324"/>
      <c r="H452" s="324"/>
      <c r="I452" s="324"/>
      <c r="J452" s="324"/>
      <c r="K452" s="324"/>
      <c r="L452" s="324"/>
      <c r="M452" s="324"/>
      <c r="N452" s="324"/>
      <c r="O452" s="324"/>
      <c r="P452" s="324"/>
      <c r="Q452" s="324"/>
      <c r="R452" s="324"/>
      <c r="S452" s="324"/>
      <c r="T452" s="324"/>
      <c r="U452" s="324"/>
      <c r="V452" s="324"/>
      <c r="W452" s="324"/>
      <c r="X452" s="324"/>
      <c r="Y452" s="324"/>
      <c r="Z452" s="324"/>
      <c r="AA452" s="324"/>
      <c r="AB452" s="324"/>
      <c r="AC452" s="324"/>
      <c r="AD452" s="324"/>
      <c r="AE452" s="324"/>
    </row>
    <row r="453" spans="3:31" s="294" customFormat="1">
      <c r="C453" s="10"/>
      <c r="D453" s="29"/>
      <c r="E453" s="36"/>
      <c r="F453" s="324"/>
      <c r="G453" s="324"/>
      <c r="H453" s="324"/>
      <c r="I453" s="324"/>
      <c r="J453" s="324"/>
      <c r="K453" s="324"/>
      <c r="L453" s="324"/>
      <c r="M453" s="324"/>
      <c r="N453" s="324"/>
      <c r="O453" s="324"/>
      <c r="P453" s="324"/>
      <c r="Q453" s="324"/>
      <c r="R453" s="324"/>
      <c r="S453" s="324"/>
      <c r="T453" s="324"/>
      <c r="U453" s="324"/>
      <c r="V453" s="324"/>
      <c r="W453" s="324"/>
      <c r="X453" s="324"/>
      <c r="Y453" s="324"/>
      <c r="Z453" s="324"/>
      <c r="AA453" s="324"/>
      <c r="AB453" s="324"/>
      <c r="AC453" s="324"/>
      <c r="AD453" s="324"/>
      <c r="AE453" s="324"/>
    </row>
    <row r="454" spans="3:31" s="294" customFormat="1">
      <c r="C454" s="10"/>
      <c r="D454" s="29"/>
      <c r="E454" s="36"/>
      <c r="F454" s="324"/>
      <c r="G454" s="324"/>
      <c r="H454" s="324"/>
      <c r="I454" s="324"/>
      <c r="J454" s="324"/>
      <c r="K454" s="324"/>
      <c r="L454" s="324"/>
      <c r="M454" s="324"/>
      <c r="N454" s="324"/>
      <c r="O454" s="324"/>
      <c r="P454" s="324"/>
      <c r="Q454" s="324"/>
      <c r="R454" s="324"/>
      <c r="S454" s="324"/>
      <c r="T454" s="324"/>
      <c r="U454" s="324"/>
      <c r="V454" s="324"/>
      <c r="W454" s="324"/>
      <c r="X454" s="324"/>
      <c r="Y454" s="324"/>
      <c r="Z454" s="324"/>
      <c r="AA454" s="324"/>
      <c r="AB454" s="324"/>
      <c r="AC454" s="324"/>
      <c r="AD454" s="324"/>
      <c r="AE454" s="324"/>
    </row>
    <row r="455" spans="3:31" s="294" customFormat="1">
      <c r="C455" s="10"/>
      <c r="D455" s="29"/>
      <c r="E455" s="36"/>
      <c r="F455" s="324"/>
      <c r="G455" s="324"/>
      <c r="H455" s="324"/>
      <c r="I455" s="324"/>
      <c r="J455" s="324"/>
      <c r="K455" s="324"/>
      <c r="L455" s="324"/>
      <c r="M455" s="324"/>
      <c r="N455" s="324"/>
      <c r="O455" s="324"/>
      <c r="P455" s="324"/>
      <c r="Q455" s="324"/>
      <c r="R455" s="324"/>
      <c r="S455" s="324"/>
      <c r="T455" s="324"/>
      <c r="U455" s="324"/>
      <c r="V455" s="324"/>
      <c r="W455" s="324"/>
      <c r="X455" s="324"/>
      <c r="Y455" s="324"/>
      <c r="Z455" s="324"/>
      <c r="AA455" s="324"/>
      <c r="AB455" s="324"/>
      <c r="AC455" s="324"/>
      <c r="AD455" s="324"/>
      <c r="AE455" s="324"/>
    </row>
    <row r="456" spans="3:31" s="294" customFormat="1">
      <c r="C456" s="10"/>
      <c r="D456" s="29"/>
      <c r="E456" s="36"/>
      <c r="F456" s="324"/>
      <c r="G456" s="324"/>
      <c r="H456" s="324"/>
      <c r="I456" s="324"/>
      <c r="J456" s="324"/>
      <c r="K456" s="324"/>
      <c r="L456" s="324"/>
      <c r="M456" s="324"/>
      <c r="N456" s="324"/>
      <c r="O456" s="324"/>
      <c r="P456" s="324"/>
      <c r="Q456" s="324"/>
      <c r="R456" s="324"/>
      <c r="S456" s="324"/>
      <c r="T456" s="324"/>
      <c r="U456" s="324"/>
      <c r="V456" s="324"/>
      <c r="W456" s="324"/>
      <c r="X456" s="324"/>
      <c r="Y456" s="324"/>
      <c r="Z456" s="324"/>
      <c r="AA456" s="324"/>
      <c r="AB456" s="324"/>
      <c r="AC456" s="324"/>
      <c r="AD456" s="324"/>
      <c r="AE456" s="324"/>
    </row>
    <row r="457" spans="3:31" s="294" customFormat="1">
      <c r="C457" s="10"/>
      <c r="D457" s="29"/>
      <c r="E457" s="36"/>
      <c r="F457" s="324"/>
      <c r="G457" s="324"/>
      <c r="H457" s="324"/>
      <c r="I457" s="324"/>
      <c r="J457" s="324"/>
      <c r="K457" s="324"/>
      <c r="L457" s="324"/>
      <c r="M457" s="324"/>
      <c r="N457" s="324"/>
      <c r="O457" s="324"/>
      <c r="P457" s="324"/>
      <c r="Q457" s="324"/>
      <c r="R457" s="324"/>
      <c r="S457" s="324"/>
      <c r="T457" s="324"/>
      <c r="U457" s="324"/>
      <c r="V457" s="324"/>
      <c r="W457" s="324"/>
      <c r="X457" s="324"/>
      <c r="Y457" s="324"/>
      <c r="Z457" s="324"/>
      <c r="AA457" s="324"/>
      <c r="AB457" s="324"/>
      <c r="AC457" s="324"/>
      <c r="AD457" s="324"/>
      <c r="AE457" s="324"/>
    </row>
    <row r="458" spans="3:31" s="294" customFormat="1">
      <c r="C458" s="10"/>
      <c r="D458" s="29"/>
      <c r="E458" s="36"/>
      <c r="F458" s="324"/>
      <c r="G458" s="324"/>
      <c r="H458" s="324"/>
      <c r="I458" s="324"/>
      <c r="J458" s="324"/>
      <c r="K458" s="324"/>
      <c r="L458" s="324"/>
      <c r="M458" s="324"/>
      <c r="N458" s="324"/>
      <c r="O458" s="324"/>
      <c r="P458" s="324"/>
      <c r="Q458" s="324"/>
      <c r="R458" s="324"/>
      <c r="S458" s="324"/>
      <c r="T458" s="324"/>
      <c r="U458" s="324"/>
      <c r="V458" s="324"/>
      <c r="W458" s="324"/>
      <c r="X458" s="324"/>
      <c r="Y458" s="324"/>
      <c r="Z458" s="324"/>
      <c r="AA458" s="324"/>
      <c r="AB458" s="324"/>
      <c r="AC458" s="324"/>
      <c r="AD458" s="324"/>
      <c r="AE458" s="324"/>
    </row>
    <row r="459" spans="3:31" s="294" customFormat="1">
      <c r="C459" s="10"/>
      <c r="D459" s="29"/>
      <c r="E459" s="36"/>
      <c r="F459" s="324"/>
      <c r="G459" s="324"/>
      <c r="H459" s="324"/>
      <c r="I459" s="324"/>
      <c r="J459" s="324"/>
      <c r="K459" s="324"/>
      <c r="L459" s="324"/>
      <c r="M459" s="324"/>
      <c r="N459" s="324"/>
      <c r="O459" s="324"/>
      <c r="P459" s="324"/>
      <c r="Q459" s="324"/>
      <c r="R459" s="324"/>
      <c r="S459" s="324"/>
      <c r="T459" s="324"/>
      <c r="U459" s="324"/>
      <c r="V459" s="324"/>
      <c r="W459" s="324"/>
      <c r="X459" s="324"/>
      <c r="Y459" s="324"/>
      <c r="Z459" s="324"/>
      <c r="AA459" s="324"/>
      <c r="AB459" s="324"/>
      <c r="AC459" s="324"/>
      <c r="AD459" s="324"/>
      <c r="AE459" s="324"/>
    </row>
    <row r="460" spans="3:31" s="294" customFormat="1">
      <c r="C460" s="10"/>
      <c r="D460" s="29"/>
      <c r="E460" s="36"/>
      <c r="F460" s="324"/>
      <c r="G460" s="324"/>
      <c r="H460" s="324"/>
      <c r="I460" s="324"/>
      <c r="J460" s="324"/>
      <c r="K460" s="324"/>
      <c r="L460" s="324"/>
      <c r="M460" s="324"/>
      <c r="N460" s="324"/>
      <c r="O460" s="324"/>
      <c r="P460" s="324"/>
      <c r="Q460" s="324"/>
      <c r="R460" s="324"/>
      <c r="S460" s="324"/>
      <c r="T460" s="324"/>
      <c r="U460" s="324"/>
      <c r="V460" s="324"/>
      <c r="W460" s="324"/>
      <c r="X460" s="324"/>
      <c r="Y460" s="324"/>
      <c r="Z460" s="324"/>
      <c r="AA460" s="324"/>
      <c r="AB460" s="324"/>
      <c r="AC460" s="324"/>
      <c r="AD460" s="324"/>
      <c r="AE460" s="324"/>
    </row>
    <row r="461" spans="3:31" s="294" customFormat="1">
      <c r="C461" s="10"/>
      <c r="D461" s="29"/>
      <c r="E461" s="36"/>
      <c r="F461" s="324"/>
      <c r="G461" s="324"/>
      <c r="H461" s="324"/>
      <c r="I461" s="324"/>
      <c r="J461" s="324"/>
      <c r="K461" s="324"/>
      <c r="L461" s="324"/>
      <c r="M461" s="324"/>
      <c r="N461" s="324"/>
      <c r="O461" s="324"/>
      <c r="P461" s="324"/>
      <c r="Q461" s="324"/>
      <c r="R461" s="324"/>
      <c r="S461" s="324"/>
      <c r="T461" s="324"/>
      <c r="U461" s="324"/>
      <c r="V461" s="324"/>
      <c r="W461" s="324"/>
      <c r="X461" s="324"/>
      <c r="Y461" s="324"/>
      <c r="Z461" s="324"/>
      <c r="AA461" s="324"/>
      <c r="AB461" s="324"/>
      <c r="AC461" s="324"/>
      <c r="AD461" s="324"/>
      <c r="AE461" s="324"/>
    </row>
    <row r="462" spans="3:31" s="294" customFormat="1">
      <c r="C462" s="10"/>
      <c r="D462" s="29"/>
      <c r="E462" s="36"/>
      <c r="F462" s="324"/>
      <c r="G462" s="324"/>
      <c r="H462" s="324"/>
      <c r="I462" s="324"/>
      <c r="J462" s="324"/>
      <c r="K462" s="324"/>
      <c r="L462" s="324"/>
      <c r="M462" s="324"/>
      <c r="N462" s="324"/>
      <c r="O462" s="324"/>
      <c r="P462" s="324"/>
      <c r="Q462" s="324"/>
      <c r="R462" s="324"/>
      <c r="S462" s="324"/>
      <c r="T462" s="324"/>
      <c r="U462" s="324"/>
      <c r="V462" s="324"/>
      <c r="W462" s="324"/>
      <c r="X462" s="324"/>
      <c r="Y462" s="324"/>
      <c r="Z462" s="324"/>
      <c r="AA462" s="324"/>
      <c r="AB462" s="324"/>
      <c r="AC462" s="324"/>
      <c r="AD462" s="324"/>
      <c r="AE462" s="324"/>
    </row>
    <row r="463" spans="3:31" s="294" customFormat="1">
      <c r="C463" s="10"/>
      <c r="D463" s="29"/>
      <c r="E463" s="36"/>
      <c r="F463" s="324"/>
      <c r="G463" s="324"/>
      <c r="H463" s="324"/>
      <c r="I463" s="324"/>
      <c r="J463" s="324"/>
      <c r="K463" s="324"/>
      <c r="L463" s="324"/>
      <c r="M463" s="324"/>
      <c r="N463" s="324"/>
      <c r="O463" s="324"/>
      <c r="P463" s="324"/>
      <c r="Q463" s="324"/>
      <c r="R463" s="324"/>
      <c r="S463" s="324"/>
      <c r="T463" s="324"/>
      <c r="U463" s="324"/>
      <c r="V463" s="324"/>
      <c r="W463" s="324"/>
      <c r="X463" s="324"/>
      <c r="Y463" s="324"/>
      <c r="Z463" s="324"/>
      <c r="AA463" s="324"/>
      <c r="AB463" s="324"/>
      <c r="AC463" s="324"/>
      <c r="AD463" s="324"/>
      <c r="AE463" s="324"/>
    </row>
    <row r="464" spans="3:31" s="294" customFormat="1">
      <c r="C464" s="10"/>
      <c r="D464" s="29"/>
      <c r="E464" s="36"/>
      <c r="F464" s="324"/>
      <c r="G464" s="324"/>
      <c r="H464" s="324"/>
      <c r="I464" s="324"/>
      <c r="J464" s="324"/>
      <c r="K464" s="324"/>
      <c r="L464" s="324"/>
      <c r="M464" s="324"/>
      <c r="N464" s="324"/>
      <c r="O464" s="324"/>
      <c r="P464" s="324"/>
      <c r="Q464" s="324"/>
      <c r="R464" s="324"/>
      <c r="S464" s="324"/>
      <c r="T464" s="324"/>
      <c r="U464" s="324"/>
      <c r="V464" s="324"/>
      <c r="W464" s="324"/>
      <c r="X464" s="324"/>
      <c r="Y464" s="324"/>
      <c r="Z464" s="324"/>
      <c r="AA464" s="324"/>
      <c r="AB464" s="324"/>
      <c r="AC464" s="324"/>
      <c r="AD464" s="324"/>
      <c r="AE464" s="324"/>
    </row>
    <row r="465" spans="3:31" s="294" customFormat="1">
      <c r="C465" s="10"/>
      <c r="D465" s="29"/>
      <c r="E465" s="36"/>
      <c r="F465" s="324"/>
      <c r="G465" s="324"/>
      <c r="H465" s="324"/>
      <c r="I465" s="324"/>
      <c r="J465" s="324"/>
      <c r="K465" s="324"/>
      <c r="L465" s="324"/>
      <c r="M465" s="324"/>
      <c r="N465" s="324"/>
      <c r="O465" s="324"/>
      <c r="P465" s="324"/>
      <c r="Q465" s="324"/>
      <c r="R465" s="324"/>
      <c r="S465" s="324"/>
      <c r="T465" s="324"/>
      <c r="U465" s="324"/>
      <c r="V465" s="324"/>
      <c r="W465" s="324"/>
      <c r="X465" s="324"/>
      <c r="Y465" s="324"/>
      <c r="Z465" s="324"/>
      <c r="AA465" s="324"/>
      <c r="AB465" s="324"/>
      <c r="AC465" s="324"/>
      <c r="AD465" s="324"/>
      <c r="AE465" s="324"/>
    </row>
    <row r="466" spans="3:31" s="294" customFormat="1">
      <c r="C466" s="10"/>
      <c r="D466" s="29"/>
      <c r="E466" s="36"/>
      <c r="F466" s="324"/>
      <c r="G466" s="324"/>
      <c r="H466" s="324"/>
      <c r="I466" s="324"/>
      <c r="J466" s="324"/>
      <c r="K466" s="324"/>
      <c r="L466" s="324"/>
      <c r="M466" s="324"/>
      <c r="N466" s="324"/>
      <c r="O466" s="324"/>
      <c r="P466" s="324"/>
      <c r="Q466" s="324"/>
      <c r="R466" s="324"/>
      <c r="S466" s="324"/>
      <c r="T466" s="324"/>
      <c r="U466" s="324"/>
      <c r="V466" s="324"/>
      <c r="W466" s="324"/>
      <c r="X466" s="324"/>
      <c r="Y466" s="324"/>
      <c r="Z466" s="324"/>
      <c r="AA466" s="324"/>
      <c r="AB466" s="324"/>
      <c r="AC466" s="324"/>
      <c r="AD466" s="324"/>
      <c r="AE466" s="324"/>
    </row>
    <row r="467" spans="3:31" s="294" customFormat="1">
      <c r="C467" s="10"/>
      <c r="D467" s="29"/>
      <c r="E467" s="36"/>
      <c r="F467" s="324"/>
      <c r="G467" s="324"/>
      <c r="H467" s="324"/>
      <c r="I467" s="324"/>
      <c r="J467" s="324"/>
      <c r="K467" s="324"/>
      <c r="L467" s="324"/>
      <c r="M467" s="324"/>
      <c r="N467" s="324"/>
      <c r="O467" s="324"/>
      <c r="P467" s="324"/>
      <c r="Q467" s="324"/>
      <c r="R467" s="324"/>
      <c r="S467" s="324"/>
      <c r="T467" s="324"/>
      <c r="U467" s="324"/>
      <c r="V467" s="324"/>
      <c r="W467" s="324"/>
      <c r="X467" s="324"/>
      <c r="Y467" s="324"/>
      <c r="Z467" s="324"/>
      <c r="AA467" s="324"/>
      <c r="AB467" s="324"/>
      <c r="AC467" s="324"/>
      <c r="AD467" s="324"/>
      <c r="AE467" s="324"/>
    </row>
    <row r="468" spans="3:31" s="294" customFormat="1">
      <c r="C468" s="10"/>
      <c r="D468" s="29"/>
      <c r="E468" s="36"/>
      <c r="F468" s="324"/>
      <c r="G468" s="324"/>
      <c r="H468" s="324"/>
      <c r="I468" s="324"/>
      <c r="J468" s="324"/>
      <c r="K468" s="324"/>
      <c r="L468" s="324"/>
      <c r="M468" s="324"/>
      <c r="N468" s="324"/>
      <c r="O468" s="324"/>
      <c r="P468" s="324"/>
      <c r="Q468" s="324"/>
      <c r="R468" s="324"/>
      <c r="S468" s="324"/>
      <c r="T468" s="324"/>
      <c r="U468" s="324"/>
      <c r="V468" s="324"/>
      <c r="W468" s="324"/>
      <c r="X468" s="324"/>
      <c r="Y468" s="324"/>
      <c r="Z468" s="324"/>
      <c r="AA468" s="324"/>
      <c r="AB468" s="324"/>
      <c r="AC468" s="324"/>
      <c r="AD468" s="324"/>
      <c r="AE468" s="324"/>
    </row>
    <row r="469" spans="3:31" s="294" customFormat="1">
      <c r="C469" s="10"/>
      <c r="D469" s="29"/>
      <c r="E469" s="36"/>
      <c r="F469" s="324"/>
      <c r="G469" s="324"/>
      <c r="H469" s="324"/>
      <c r="I469" s="324"/>
      <c r="J469" s="324"/>
      <c r="K469" s="324"/>
      <c r="L469" s="324"/>
      <c r="M469" s="324"/>
      <c r="N469" s="324"/>
      <c r="O469" s="324"/>
      <c r="P469" s="324"/>
      <c r="Q469" s="324"/>
      <c r="R469" s="324"/>
      <c r="S469" s="324"/>
      <c r="T469" s="324"/>
      <c r="U469" s="324"/>
      <c r="V469" s="324"/>
      <c r="W469" s="324"/>
      <c r="X469" s="324"/>
      <c r="Y469" s="324"/>
      <c r="Z469" s="324"/>
      <c r="AA469" s="324"/>
      <c r="AB469" s="324"/>
      <c r="AC469" s="324"/>
      <c r="AD469" s="324"/>
      <c r="AE469" s="324"/>
    </row>
    <row r="470" spans="3:31" s="294" customFormat="1">
      <c r="C470" s="10"/>
      <c r="D470" s="29"/>
      <c r="E470" s="36"/>
      <c r="F470" s="324"/>
      <c r="G470" s="324"/>
      <c r="H470" s="324"/>
      <c r="I470" s="324"/>
      <c r="J470" s="324"/>
      <c r="K470" s="324"/>
      <c r="L470" s="324"/>
      <c r="M470" s="324"/>
      <c r="N470" s="324"/>
      <c r="O470" s="324"/>
      <c r="P470" s="324"/>
      <c r="Q470" s="324"/>
      <c r="R470" s="324"/>
      <c r="S470" s="324"/>
      <c r="T470" s="324"/>
      <c r="U470" s="324"/>
      <c r="V470" s="324"/>
      <c r="W470" s="324"/>
      <c r="X470" s="324"/>
      <c r="Y470" s="324"/>
      <c r="Z470" s="324"/>
      <c r="AA470" s="324"/>
      <c r="AB470" s="324"/>
      <c r="AC470" s="324"/>
      <c r="AD470" s="324"/>
      <c r="AE470" s="324"/>
    </row>
    <row r="471" spans="3:31" s="294" customFormat="1">
      <c r="C471" s="10"/>
      <c r="D471" s="29"/>
      <c r="E471" s="36"/>
      <c r="F471" s="324"/>
      <c r="G471" s="324"/>
      <c r="H471" s="324"/>
      <c r="I471" s="324"/>
      <c r="J471" s="324"/>
      <c r="K471" s="324"/>
      <c r="L471" s="324"/>
      <c r="M471" s="324"/>
      <c r="N471" s="324"/>
      <c r="O471" s="324"/>
      <c r="P471" s="324"/>
      <c r="Q471" s="324"/>
      <c r="R471" s="324"/>
      <c r="S471" s="324"/>
      <c r="T471" s="324"/>
      <c r="U471" s="324"/>
      <c r="V471" s="324"/>
      <c r="W471" s="324"/>
      <c r="X471" s="324"/>
      <c r="Y471" s="324"/>
      <c r="Z471" s="324"/>
      <c r="AA471" s="324"/>
      <c r="AB471" s="324"/>
      <c r="AC471" s="324"/>
      <c r="AD471" s="324"/>
      <c r="AE471" s="324"/>
    </row>
    <row r="472" spans="3:31" s="294" customFormat="1">
      <c r="C472" s="10"/>
      <c r="D472" s="29"/>
      <c r="E472" s="36"/>
      <c r="F472" s="324"/>
      <c r="G472" s="324"/>
      <c r="H472" s="324"/>
      <c r="I472" s="324"/>
      <c r="J472" s="324"/>
      <c r="K472" s="324"/>
      <c r="L472" s="324"/>
      <c r="M472" s="324"/>
      <c r="N472" s="324"/>
      <c r="O472" s="324"/>
      <c r="P472" s="324"/>
      <c r="Q472" s="324"/>
      <c r="R472" s="324"/>
      <c r="S472" s="324"/>
      <c r="T472" s="324"/>
      <c r="U472" s="324"/>
      <c r="V472" s="324"/>
      <c r="W472" s="324"/>
      <c r="X472" s="324"/>
      <c r="Y472" s="324"/>
      <c r="Z472" s="324"/>
      <c r="AA472" s="324"/>
      <c r="AB472" s="324"/>
      <c r="AC472" s="324"/>
      <c r="AD472" s="324"/>
      <c r="AE472" s="324"/>
    </row>
    <row r="473" spans="3:31" s="294" customFormat="1">
      <c r="C473" s="10"/>
      <c r="D473" s="29"/>
      <c r="E473" s="36"/>
      <c r="F473" s="324"/>
      <c r="G473" s="324"/>
      <c r="H473" s="324"/>
      <c r="I473" s="324"/>
      <c r="J473" s="324"/>
      <c r="K473" s="324"/>
      <c r="L473" s="324"/>
      <c r="M473" s="324"/>
      <c r="N473" s="324"/>
      <c r="O473" s="324"/>
      <c r="P473" s="324"/>
      <c r="Q473" s="324"/>
      <c r="R473" s="324"/>
      <c r="S473" s="324"/>
      <c r="T473" s="324"/>
      <c r="U473" s="324"/>
      <c r="V473" s="324"/>
      <c r="W473" s="324"/>
      <c r="X473" s="324"/>
      <c r="Y473" s="324"/>
      <c r="Z473" s="324"/>
      <c r="AA473" s="324"/>
      <c r="AB473" s="324"/>
      <c r="AC473" s="324"/>
      <c r="AD473" s="324"/>
      <c r="AE473" s="324"/>
    </row>
    <row r="474" spans="3:31" s="294" customFormat="1">
      <c r="C474" s="10"/>
      <c r="D474" s="29"/>
      <c r="E474" s="36"/>
      <c r="F474" s="324"/>
      <c r="G474" s="324"/>
      <c r="H474" s="324"/>
      <c r="I474" s="324"/>
      <c r="J474" s="324"/>
      <c r="K474" s="324"/>
      <c r="L474" s="324"/>
      <c r="M474" s="324"/>
      <c r="N474" s="324"/>
      <c r="O474" s="324"/>
      <c r="P474" s="324"/>
      <c r="Q474" s="324"/>
      <c r="R474" s="324"/>
      <c r="S474" s="324"/>
      <c r="T474" s="324"/>
      <c r="U474" s="324"/>
      <c r="V474" s="324"/>
      <c r="W474" s="324"/>
      <c r="X474" s="324"/>
      <c r="Y474" s="324"/>
      <c r="Z474" s="324"/>
      <c r="AA474" s="324"/>
      <c r="AB474" s="324"/>
      <c r="AC474" s="324"/>
      <c r="AD474" s="324"/>
      <c r="AE474" s="324"/>
    </row>
    <row r="475" spans="3:31" s="294" customFormat="1">
      <c r="C475" s="10"/>
      <c r="D475" s="29"/>
      <c r="E475" s="36"/>
      <c r="F475" s="324"/>
      <c r="G475" s="324"/>
      <c r="H475" s="324"/>
      <c r="I475" s="324"/>
      <c r="J475" s="324"/>
      <c r="K475" s="324"/>
      <c r="L475" s="324"/>
      <c r="M475" s="324"/>
      <c r="N475" s="324"/>
      <c r="O475" s="324"/>
      <c r="P475" s="324"/>
      <c r="Q475" s="324"/>
      <c r="R475" s="324"/>
      <c r="S475" s="324"/>
      <c r="T475" s="324"/>
      <c r="U475" s="324"/>
      <c r="V475" s="324"/>
      <c r="W475" s="324"/>
      <c r="X475" s="324"/>
      <c r="Y475" s="324"/>
      <c r="Z475" s="324"/>
      <c r="AA475" s="324"/>
      <c r="AB475" s="324"/>
      <c r="AC475" s="324"/>
      <c r="AD475" s="324"/>
      <c r="AE475" s="324"/>
    </row>
    <row r="476" spans="3:31" s="294" customFormat="1">
      <c r="C476" s="10"/>
      <c r="D476" s="29"/>
      <c r="E476" s="36"/>
      <c r="F476" s="324"/>
      <c r="G476" s="324"/>
      <c r="H476" s="324"/>
      <c r="I476" s="324"/>
      <c r="J476" s="324"/>
      <c r="K476" s="324"/>
      <c r="L476" s="324"/>
      <c r="M476" s="324"/>
      <c r="N476" s="324"/>
      <c r="O476" s="324"/>
      <c r="P476" s="324"/>
      <c r="Q476" s="324"/>
      <c r="R476" s="324"/>
      <c r="S476" s="324"/>
      <c r="T476" s="324"/>
      <c r="U476" s="324"/>
      <c r="V476" s="324"/>
      <c r="W476" s="324"/>
      <c r="X476" s="324"/>
      <c r="Y476" s="324"/>
      <c r="Z476" s="324"/>
      <c r="AA476" s="324"/>
      <c r="AB476" s="324"/>
      <c r="AC476" s="324"/>
      <c r="AD476" s="324"/>
      <c r="AE476" s="324"/>
    </row>
    <row r="477" spans="3:31" s="294" customFormat="1">
      <c r="C477" s="10"/>
      <c r="D477" s="29"/>
      <c r="E477" s="36"/>
      <c r="F477" s="324"/>
      <c r="G477" s="324"/>
      <c r="H477" s="324"/>
      <c r="I477" s="324"/>
      <c r="J477" s="324"/>
      <c r="K477" s="324"/>
      <c r="L477" s="324"/>
      <c r="M477" s="324"/>
      <c r="N477" s="324"/>
      <c r="O477" s="324"/>
      <c r="P477" s="324"/>
      <c r="Q477" s="324"/>
      <c r="R477" s="324"/>
      <c r="S477" s="324"/>
      <c r="T477" s="324"/>
      <c r="U477" s="324"/>
      <c r="V477" s="324"/>
      <c r="W477" s="324"/>
      <c r="X477" s="324"/>
      <c r="Y477" s="324"/>
      <c r="Z477" s="324"/>
      <c r="AA477" s="324"/>
      <c r="AB477" s="324"/>
      <c r="AC477" s="324"/>
      <c r="AD477" s="324"/>
      <c r="AE477" s="324"/>
    </row>
    <row r="478" spans="3:31" s="294" customFormat="1">
      <c r="C478" s="10"/>
      <c r="D478" s="29"/>
      <c r="E478" s="36"/>
      <c r="F478" s="324"/>
      <c r="G478" s="324"/>
      <c r="H478" s="324"/>
      <c r="I478" s="324"/>
      <c r="J478" s="324"/>
      <c r="K478" s="324"/>
      <c r="L478" s="324"/>
      <c r="M478" s="324"/>
      <c r="N478" s="324"/>
      <c r="O478" s="324"/>
      <c r="P478" s="324"/>
      <c r="Q478" s="324"/>
      <c r="R478" s="324"/>
      <c r="S478" s="324"/>
      <c r="T478" s="324"/>
      <c r="U478" s="324"/>
      <c r="V478" s="324"/>
      <c r="W478" s="324"/>
      <c r="X478" s="324"/>
      <c r="Y478" s="324"/>
      <c r="Z478" s="324"/>
      <c r="AA478" s="324"/>
      <c r="AB478" s="324"/>
      <c r="AC478" s="324"/>
      <c r="AD478" s="324"/>
      <c r="AE478" s="324"/>
    </row>
    <row r="479" spans="3:31" s="294" customFormat="1">
      <c r="C479" s="10"/>
      <c r="D479" s="29"/>
      <c r="E479" s="36"/>
      <c r="F479" s="324"/>
      <c r="G479" s="324"/>
      <c r="H479" s="324"/>
      <c r="I479" s="324"/>
      <c r="J479" s="324"/>
      <c r="K479" s="324"/>
      <c r="L479" s="324"/>
      <c r="M479" s="324"/>
      <c r="N479" s="324"/>
      <c r="O479" s="324"/>
      <c r="P479" s="324"/>
      <c r="Q479" s="324"/>
      <c r="R479" s="324"/>
      <c r="S479" s="324"/>
      <c r="T479" s="324"/>
      <c r="U479" s="324"/>
      <c r="V479" s="324"/>
      <c r="W479" s="324"/>
      <c r="X479" s="324"/>
      <c r="Y479" s="324"/>
      <c r="Z479" s="324"/>
      <c r="AA479" s="324"/>
      <c r="AB479" s="324"/>
      <c r="AC479" s="324"/>
      <c r="AD479" s="324"/>
      <c r="AE479" s="324"/>
    </row>
    <row r="480" spans="3:31" s="294" customFormat="1">
      <c r="C480" s="10"/>
      <c r="D480" s="29"/>
      <c r="E480" s="36"/>
      <c r="F480" s="324"/>
      <c r="G480" s="324"/>
      <c r="H480" s="324"/>
      <c r="I480" s="324"/>
      <c r="J480" s="324"/>
      <c r="K480" s="324"/>
      <c r="L480" s="324"/>
      <c r="M480" s="324"/>
      <c r="N480" s="324"/>
      <c r="O480" s="324"/>
      <c r="P480" s="324"/>
      <c r="Q480" s="324"/>
      <c r="R480" s="324"/>
      <c r="S480" s="324"/>
      <c r="T480" s="324"/>
      <c r="U480" s="324"/>
      <c r="V480" s="324"/>
      <c r="W480" s="324"/>
      <c r="X480" s="324"/>
      <c r="Y480" s="324"/>
      <c r="Z480" s="324"/>
      <c r="AA480" s="324"/>
      <c r="AB480" s="324"/>
      <c r="AC480" s="324"/>
      <c r="AD480" s="324"/>
      <c r="AE480" s="324"/>
    </row>
    <row r="481" spans="3:31" s="294" customFormat="1">
      <c r="C481" s="10"/>
      <c r="D481" s="29"/>
      <c r="E481" s="36"/>
      <c r="F481" s="324"/>
      <c r="G481" s="324"/>
      <c r="H481" s="324"/>
      <c r="I481" s="324"/>
      <c r="J481" s="324"/>
      <c r="K481" s="324"/>
      <c r="L481" s="324"/>
      <c r="M481" s="324"/>
      <c r="N481" s="324"/>
      <c r="O481" s="324"/>
      <c r="P481" s="324"/>
      <c r="Q481" s="324"/>
      <c r="R481" s="324"/>
      <c r="S481" s="324"/>
      <c r="T481" s="324"/>
      <c r="U481" s="324"/>
      <c r="V481" s="324"/>
      <c r="W481" s="324"/>
      <c r="X481" s="324"/>
      <c r="Y481" s="324"/>
      <c r="Z481" s="324"/>
      <c r="AA481" s="324"/>
      <c r="AB481" s="324"/>
      <c r="AC481" s="324"/>
      <c r="AD481" s="324"/>
      <c r="AE481" s="324"/>
    </row>
    <row r="482" spans="3:31" s="294" customFormat="1">
      <c r="C482" s="10"/>
      <c r="D482" s="29"/>
      <c r="E482" s="36"/>
      <c r="F482" s="324"/>
      <c r="G482" s="324"/>
      <c r="H482" s="324"/>
      <c r="I482" s="324"/>
      <c r="J482" s="324"/>
      <c r="K482" s="324"/>
      <c r="L482" s="324"/>
      <c r="M482" s="324"/>
      <c r="N482" s="324"/>
      <c r="O482" s="324"/>
      <c r="P482" s="324"/>
      <c r="Q482" s="324"/>
      <c r="R482" s="324"/>
      <c r="S482" s="324"/>
      <c r="T482" s="324"/>
      <c r="U482" s="324"/>
      <c r="V482" s="324"/>
      <c r="W482" s="324"/>
      <c r="X482" s="324"/>
      <c r="Y482" s="324"/>
      <c r="Z482" s="324"/>
      <c r="AA482" s="324"/>
      <c r="AB482" s="324"/>
      <c r="AC482" s="324"/>
      <c r="AD482" s="324"/>
      <c r="AE482" s="324"/>
    </row>
    <row r="483" spans="3:31" s="294" customFormat="1">
      <c r="C483" s="10"/>
      <c r="D483" s="29"/>
      <c r="E483" s="36"/>
      <c r="F483" s="324"/>
      <c r="G483" s="324"/>
      <c r="H483" s="324"/>
      <c r="I483" s="324"/>
      <c r="J483" s="324"/>
      <c r="K483" s="324"/>
      <c r="L483" s="324"/>
      <c r="M483" s="324"/>
      <c r="N483" s="324"/>
      <c r="O483" s="324"/>
      <c r="P483" s="324"/>
      <c r="Q483" s="324"/>
      <c r="R483" s="324"/>
      <c r="S483" s="324"/>
      <c r="T483" s="324"/>
      <c r="U483" s="324"/>
      <c r="V483" s="324"/>
      <c r="W483" s="324"/>
      <c r="X483" s="324"/>
      <c r="Y483" s="324"/>
      <c r="Z483" s="324"/>
      <c r="AA483" s="324"/>
      <c r="AB483" s="324"/>
      <c r="AC483" s="324"/>
      <c r="AD483" s="324"/>
      <c r="AE483" s="324"/>
    </row>
    <row r="484" spans="3:31" s="294" customFormat="1">
      <c r="C484" s="10"/>
      <c r="D484" s="29"/>
      <c r="E484" s="36"/>
      <c r="F484" s="324"/>
      <c r="G484" s="324"/>
      <c r="H484" s="324"/>
      <c r="I484" s="324"/>
      <c r="J484" s="324"/>
      <c r="K484" s="324"/>
      <c r="L484" s="324"/>
      <c r="M484" s="324"/>
      <c r="N484" s="324"/>
      <c r="O484" s="324"/>
      <c r="P484" s="324"/>
      <c r="Q484" s="324"/>
      <c r="R484" s="324"/>
      <c r="S484" s="324"/>
      <c r="T484" s="324"/>
      <c r="U484" s="324"/>
      <c r="V484" s="324"/>
      <c r="W484" s="324"/>
      <c r="X484" s="324"/>
      <c r="Y484" s="324"/>
      <c r="Z484" s="324"/>
      <c r="AA484" s="324"/>
      <c r="AB484" s="324"/>
      <c r="AC484" s="324"/>
      <c r="AD484" s="324"/>
      <c r="AE484" s="324"/>
    </row>
    <row r="485" spans="3:31" s="294" customFormat="1">
      <c r="C485" s="10"/>
      <c r="D485" s="29"/>
      <c r="E485" s="36"/>
      <c r="F485" s="324"/>
      <c r="G485" s="324"/>
      <c r="H485" s="324"/>
      <c r="I485" s="324"/>
      <c r="J485" s="324"/>
      <c r="K485" s="324"/>
      <c r="L485" s="324"/>
      <c r="M485" s="324"/>
      <c r="N485" s="324"/>
      <c r="O485" s="324"/>
      <c r="P485" s="324"/>
      <c r="Q485" s="324"/>
      <c r="R485" s="324"/>
      <c r="S485" s="324"/>
      <c r="T485" s="324"/>
      <c r="U485" s="324"/>
      <c r="V485" s="324"/>
      <c r="W485" s="324"/>
      <c r="X485" s="324"/>
      <c r="Y485" s="324"/>
      <c r="Z485" s="324"/>
      <c r="AA485" s="324"/>
      <c r="AB485" s="324"/>
      <c r="AC485" s="324"/>
      <c r="AD485" s="324"/>
      <c r="AE485" s="324"/>
    </row>
    <row r="486" spans="3:31" s="294" customFormat="1">
      <c r="C486" s="10"/>
      <c r="D486" s="29"/>
      <c r="E486" s="36"/>
      <c r="F486" s="324"/>
      <c r="G486" s="324"/>
      <c r="H486" s="324"/>
      <c r="I486" s="324"/>
      <c r="J486" s="324"/>
      <c r="K486" s="324"/>
      <c r="L486" s="324"/>
      <c r="M486" s="324"/>
      <c r="N486" s="324"/>
      <c r="O486" s="324"/>
      <c r="P486" s="324"/>
      <c r="Q486" s="324"/>
      <c r="R486" s="324"/>
      <c r="S486" s="324"/>
      <c r="T486" s="324"/>
      <c r="U486" s="324"/>
      <c r="V486" s="324"/>
      <c r="W486" s="324"/>
      <c r="X486" s="324"/>
      <c r="Y486" s="324"/>
      <c r="Z486" s="324"/>
      <c r="AA486" s="324"/>
      <c r="AB486" s="324"/>
      <c r="AC486" s="324"/>
      <c r="AD486" s="324"/>
      <c r="AE486" s="324"/>
    </row>
    <row r="487" spans="3:31" s="294" customFormat="1">
      <c r="C487" s="10"/>
      <c r="D487" s="29"/>
      <c r="E487" s="36"/>
      <c r="F487" s="324"/>
      <c r="G487" s="324"/>
      <c r="H487" s="324"/>
      <c r="I487" s="324"/>
      <c r="J487" s="324"/>
      <c r="K487" s="324"/>
      <c r="L487" s="324"/>
      <c r="M487" s="324"/>
      <c r="N487" s="324"/>
      <c r="O487" s="324"/>
      <c r="P487" s="324"/>
      <c r="Q487" s="324"/>
      <c r="R487" s="324"/>
      <c r="S487" s="324"/>
      <c r="T487" s="324"/>
      <c r="U487" s="324"/>
      <c r="V487" s="324"/>
      <c r="W487" s="324"/>
      <c r="X487" s="324"/>
      <c r="Y487" s="324"/>
      <c r="Z487" s="324"/>
      <c r="AA487" s="324"/>
      <c r="AB487" s="324"/>
      <c r="AC487" s="324"/>
      <c r="AD487" s="324"/>
      <c r="AE487" s="324"/>
    </row>
    <row r="488" spans="3:31" s="294" customFormat="1">
      <c r="C488" s="10"/>
      <c r="D488" s="29"/>
      <c r="E488" s="36"/>
      <c r="F488" s="324"/>
      <c r="G488" s="324"/>
      <c r="H488" s="324"/>
      <c r="I488" s="324"/>
      <c r="J488" s="324"/>
      <c r="K488" s="324"/>
      <c r="L488" s="324"/>
      <c r="M488" s="324"/>
      <c r="N488" s="324"/>
      <c r="O488" s="324"/>
      <c r="P488" s="324"/>
      <c r="Q488" s="324"/>
      <c r="R488" s="324"/>
      <c r="S488" s="324"/>
      <c r="T488" s="324"/>
      <c r="U488" s="324"/>
      <c r="V488" s="324"/>
      <c r="W488" s="324"/>
      <c r="X488" s="324"/>
      <c r="Y488" s="324"/>
      <c r="Z488" s="324"/>
      <c r="AA488" s="324"/>
      <c r="AB488" s="324"/>
      <c r="AC488" s="324"/>
      <c r="AD488" s="324"/>
      <c r="AE488" s="324"/>
    </row>
    <row r="489" spans="3:31" s="294" customFormat="1">
      <c r="C489" s="10"/>
      <c r="D489" s="29"/>
      <c r="E489" s="36"/>
      <c r="F489" s="324"/>
      <c r="G489" s="324"/>
      <c r="H489" s="324"/>
      <c r="I489" s="324"/>
      <c r="J489" s="324"/>
      <c r="K489" s="324"/>
      <c r="L489" s="324"/>
      <c r="M489" s="324"/>
      <c r="N489" s="324"/>
      <c r="O489" s="324"/>
      <c r="P489" s="324"/>
      <c r="Q489" s="324"/>
      <c r="R489" s="324"/>
      <c r="S489" s="324"/>
      <c r="T489" s="324"/>
      <c r="U489" s="324"/>
      <c r="V489" s="324"/>
      <c r="W489" s="324"/>
      <c r="X489" s="324"/>
      <c r="Y489" s="324"/>
      <c r="Z489" s="324"/>
      <c r="AA489" s="324"/>
      <c r="AB489" s="324"/>
      <c r="AC489" s="324"/>
      <c r="AD489" s="324"/>
      <c r="AE489" s="324"/>
    </row>
    <row r="490" spans="3:31" s="294" customFormat="1">
      <c r="C490" s="10"/>
      <c r="D490" s="29"/>
      <c r="E490" s="36"/>
      <c r="F490" s="324"/>
      <c r="G490" s="324"/>
      <c r="H490" s="324"/>
      <c r="I490" s="324"/>
      <c r="J490" s="324"/>
      <c r="K490" s="324"/>
      <c r="L490" s="324"/>
      <c r="M490" s="324"/>
      <c r="N490" s="324"/>
      <c r="O490" s="324"/>
      <c r="P490" s="324"/>
      <c r="Q490" s="324"/>
      <c r="R490" s="324"/>
      <c r="S490" s="324"/>
      <c r="T490" s="324"/>
      <c r="U490" s="324"/>
      <c r="V490" s="324"/>
      <c r="W490" s="324"/>
      <c r="X490" s="324"/>
      <c r="Y490" s="324"/>
      <c r="Z490" s="324"/>
      <c r="AA490" s="324"/>
      <c r="AB490" s="324"/>
      <c r="AC490" s="324"/>
      <c r="AD490" s="324"/>
      <c r="AE490" s="324"/>
    </row>
    <row r="491" spans="3:31" s="294" customFormat="1">
      <c r="C491" s="10"/>
      <c r="D491" s="29"/>
      <c r="E491" s="36"/>
      <c r="F491" s="324"/>
      <c r="G491" s="324"/>
      <c r="H491" s="324"/>
      <c r="I491" s="324"/>
      <c r="J491" s="324"/>
      <c r="K491" s="324"/>
      <c r="L491" s="324"/>
      <c r="M491" s="324"/>
      <c r="N491" s="324"/>
      <c r="O491" s="324"/>
      <c r="P491" s="324"/>
      <c r="Q491" s="324"/>
      <c r="R491" s="324"/>
      <c r="S491" s="324"/>
      <c r="T491" s="324"/>
      <c r="U491" s="324"/>
      <c r="V491" s="324"/>
      <c r="W491" s="324"/>
      <c r="X491" s="324"/>
      <c r="Y491" s="324"/>
      <c r="Z491" s="324"/>
      <c r="AA491" s="324"/>
      <c r="AB491" s="324"/>
      <c r="AC491" s="324"/>
      <c r="AD491" s="324"/>
      <c r="AE491" s="324"/>
    </row>
    <row r="492" spans="3:31" s="294" customFormat="1">
      <c r="C492" s="10"/>
      <c r="D492" s="29"/>
      <c r="E492" s="36"/>
      <c r="F492" s="324"/>
      <c r="G492" s="324"/>
      <c r="H492" s="324"/>
      <c r="I492" s="324"/>
      <c r="J492" s="324"/>
      <c r="K492" s="324"/>
      <c r="L492" s="324"/>
      <c r="M492" s="324"/>
      <c r="N492" s="324"/>
      <c r="O492" s="324"/>
      <c r="P492" s="324"/>
      <c r="Q492" s="324"/>
      <c r="R492" s="324"/>
      <c r="S492" s="324"/>
      <c r="T492" s="324"/>
      <c r="U492" s="324"/>
      <c r="V492" s="324"/>
      <c r="W492" s="324"/>
      <c r="X492" s="324"/>
      <c r="Y492" s="324"/>
      <c r="Z492" s="324"/>
      <c r="AA492" s="324"/>
      <c r="AB492" s="324"/>
      <c r="AC492" s="324"/>
      <c r="AD492" s="324"/>
      <c r="AE492" s="324"/>
    </row>
    <row r="493" spans="3:31" s="294" customFormat="1">
      <c r="C493" s="10"/>
      <c r="D493" s="29"/>
      <c r="E493" s="36"/>
      <c r="F493" s="324"/>
      <c r="G493" s="324"/>
      <c r="H493" s="324"/>
      <c r="I493" s="324"/>
      <c r="J493" s="324"/>
      <c r="K493" s="324"/>
      <c r="L493" s="324"/>
      <c r="M493" s="324"/>
      <c r="N493" s="324"/>
      <c r="O493" s="324"/>
      <c r="P493" s="324"/>
      <c r="Q493" s="324"/>
      <c r="R493" s="324"/>
      <c r="S493" s="324"/>
      <c r="T493" s="324"/>
      <c r="U493" s="324"/>
      <c r="V493" s="324"/>
      <c r="W493" s="324"/>
      <c r="X493" s="324"/>
      <c r="Y493" s="324"/>
      <c r="Z493" s="324"/>
      <c r="AA493" s="324"/>
      <c r="AB493" s="324"/>
      <c r="AC493" s="324"/>
      <c r="AD493" s="324"/>
      <c r="AE493" s="324"/>
    </row>
    <row r="494" spans="3:31" s="294" customFormat="1">
      <c r="C494" s="10"/>
      <c r="D494" s="29"/>
      <c r="E494" s="36"/>
      <c r="F494" s="324"/>
      <c r="G494" s="324"/>
      <c r="H494" s="324"/>
      <c r="I494" s="324"/>
      <c r="J494" s="324"/>
      <c r="K494" s="324"/>
      <c r="L494" s="324"/>
      <c r="M494" s="324"/>
      <c r="N494" s="324"/>
      <c r="O494" s="324"/>
      <c r="P494" s="324"/>
      <c r="Q494" s="324"/>
      <c r="R494" s="324"/>
      <c r="S494" s="324"/>
      <c r="T494" s="324"/>
      <c r="U494" s="324"/>
      <c r="V494" s="324"/>
      <c r="W494" s="324"/>
      <c r="X494" s="324"/>
      <c r="Y494" s="324"/>
      <c r="Z494" s="324"/>
      <c r="AA494" s="324"/>
      <c r="AB494" s="324"/>
      <c r="AC494" s="324"/>
      <c r="AD494" s="324"/>
      <c r="AE494" s="324"/>
    </row>
    <row r="495" spans="3:31" s="294" customFormat="1">
      <c r="C495" s="10"/>
      <c r="D495" s="29"/>
      <c r="E495" s="36"/>
      <c r="F495" s="324"/>
      <c r="G495" s="324"/>
      <c r="H495" s="324"/>
      <c r="I495" s="324"/>
      <c r="J495" s="324"/>
      <c r="K495" s="324"/>
      <c r="L495" s="324"/>
      <c r="M495" s="324"/>
      <c r="N495" s="324"/>
      <c r="O495" s="324"/>
      <c r="P495" s="324"/>
      <c r="Q495" s="324"/>
      <c r="R495" s="324"/>
      <c r="S495" s="324"/>
      <c r="T495" s="324"/>
      <c r="U495" s="324"/>
      <c r="V495" s="324"/>
      <c r="W495" s="324"/>
      <c r="X495" s="324"/>
      <c r="Y495" s="324"/>
      <c r="Z495" s="324"/>
      <c r="AA495" s="324"/>
      <c r="AB495" s="324"/>
      <c r="AC495" s="324"/>
      <c r="AD495" s="324"/>
      <c r="AE495" s="324"/>
    </row>
    <row r="496" spans="3:31" s="294" customFormat="1">
      <c r="C496" s="10"/>
      <c r="D496" s="29"/>
      <c r="E496" s="36"/>
      <c r="F496" s="324"/>
      <c r="G496" s="324"/>
      <c r="H496" s="324"/>
      <c r="I496" s="324"/>
      <c r="J496" s="324"/>
      <c r="K496" s="324"/>
      <c r="L496" s="324"/>
      <c r="M496" s="324"/>
      <c r="N496" s="324"/>
      <c r="O496" s="324"/>
      <c r="P496" s="324"/>
      <c r="Q496" s="324"/>
      <c r="R496" s="324"/>
      <c r="S496" s="324"/>
      <c r="T496" s="324"/>
      <c r="U496" s="324"/>
      <c r="V496" s="324"/>
      <c r="W496" s="324"/>
      <c r="X496" s="324"/>
      <c r="Y496" s="324"/>
      <c r="Z496" s="324"/>
      <c r="AA496" s="324"/>
      <c r="AB496" s="324"/>
      <c r="AC496" s="324"/>
      <c r="AD496" s="324"/>
      <c r="AE496" s="324"/>
    </row>
    <row r="497" spans="3:31" s="294" customFormat="1">
      <c r="C497" s="10"/>
      <c r="D497" s="29"/>
      <c r="E497" s="36"/>
      <c r="F497" s="324"/>
      <c r="G497" s="324"/>
      <c r="H497" s="324"/>
      <c r="I497" s="324"/>
      <c r="J497" s="324"/>
      <c r="K497" s="324"/>
      <c r="L497" s="324"/>
      <c r="M497" s="324"/>
      <c r="N497" s="324"/>
      <c r="O497" s="324"/>
      <c r="P497" s="324"/>
      <c r="Q497" s="324"/>
      <c r="R497" s="324"/>
      <c r="S497" s="324"/>
      <c r="T497" s="324"/>
      <c r="U497" s="324"/>
      <c r="V497" s="324"/>
      <c r="W497" s="324"/>
      <c r="X497" s="324"/>
      <c r="Y497" s="324"/>
      <c r="Z497" s="324"/>
      <c r="AA497" s="324"/>
      <c r="AB497" s="324"/>
      <c r="AC497" s="324"/>
      <c r="AD497" s="324"/>
      <c r="AE497" s="324"/>
    </row>
    <row r="498" spans="3:31" s="294" customFormat="1">
      <c r="C498" s="10"/>
      <c r="D498" s="29"/>
      <c r="E498" s="36"/>
      <c r="F498" s="324"/>
      <c r="G498" s="324"/>
      <c r="H498" s="324"/>
      <c r="I498" s="324"/>
      <c r="J498" s="324"/>
      <c r="K498" s="324"/>
      <c r="L498" s="324"/>
      <c r="M498" s="324"/>
      <c r="N498" s="324"/>
      <c r="O498" s="324"/>
      <c r="P498" s="324"/>
      <c r="Q498" s="324"/>
      <c r="R498" s="324"/>
      <c r="S498" s="324"/>
      <c r="T498" s="324"/>
      <c r="U498" s="324"/>
      <c r="V498" s="324"/>
      <c r="W498" s="324"/>
      <c r="X498" s="324"/>
      <c r="Y498" s="324"/>
      <c r="Z498" s="324"/>
      <c r="AA498" s="324"/>
      <c r="AB498" s="324"/>
      <c r="AC498" s="324"/>
      <c r="AD498" s="324"/>
      <c r="AE498" s="324"/>
    </row>
    <row r="499" spans="3:31" s="294" customFormat="1">
      <c r="C499" s="10"/>
      <c r="D499" s="29"/>
      <c r="E499" s="36"/>
      <c r="F499" s="324"/>
      <c r="G499" s="324"/>
      <c r="H499" s="324"/>
      <c r="I499" s="324"/>
      <c r="J499" s="324"/>
      <c r="K499" s="324"/>
      <c r="L499" s="324"/>
      <c r="M499" s="324"/>
      <c r="N499" s="324"/>
      <c r="O499" s="324"/>
      <c r="P499" s="324"/>
      <c r="Q499" s="324"/>
      <c r="R499" s="324"/>
      <c r="S499" s="324"/>
      <c r="T499" s="324"/>
      <c r="U499" s="324"/>
      <c r="V499" s="324"/>
      <c r="W499" s="324"/>
      <c r="X499" s="324"/>
      <c r="Y499" s="324"/>
      <c r="Z499" s="324"/>
      <c r="AA499" s="324"/>
      <c r="AB499" s="324"/>
      <c r="AC499" s="324"/>
      <c r="AD499" s="324"/>
      <c r="AE499" s="324"/>
    </row>
    <row r="500" spans="3:31" s="294" customFormat="1">
      <c r="C500" s="10"/>
      <c r="D500" s="29"/>
      <c r="E500" s="36"/>
      <c r="F500" s="324"/>
      <c r="G500" s="324"/>
      <c r="H500" s="324"/>
      <c r="I500" s="324"/>
      <c r="J500" s="324"/>
      <c r="K500" s="324"/>
      <c r="L500" s="324"/>
      <c r="M500" s="324"/>
      <c r="N500" s="324"/>
      <c r="O500" s="324"/>
      <c r="P500" s="324"/>
      <c r="Q500" s="324"/>
      <c r="R500" s="324"/>
      <c r="S500" s="324"/>
      <c r="T500" s="324"/>
      <c r="U500" s="324"/>
      <c r="V500" s="324"/>
      <c r="W500" s="324"/>
      <c r="X500" s="324"/>
      <c r="Y500" s="324"/>
      <c r="Z500" s="324"/>
      <c r="AA500" s="324"/>
      <c r="AB500" s="324"/>
      <c r="AC500" s="324"/>
      <c r="AD500" s="324"/>
      <c r="AE500" s="324"/>
    </row>
    <row r="501" spans="3:31" s="294" customFormat="1">
      <c r="C501" s="10"/>
      <c r="D501" s="29"/>
      <c r="E501" s="36"/>
      <c r="F501" s="324"/>
      <c r="G501" s="324"/>
      <c r="H501" s="324"/>
      <c r="I501" s="324"/>
      <c r="J501" s="324"/>
      <c r="K501" s="324"/>
      <c r="L501" s="324"/>
      <c r="M501" s="324"/>
      <c r="N501" s="324"/>
      <c r="O501" s="324"/>
      <c r="P501" s="324"/>
      <c r="Q501" s="324"/>
      <c r="R501" s="324"/>
      <c r="S501" s="324"/>
      <c r="T501" s="324"/>
      <c r="U501" s="324"/>
      <c r="V501" s="324"/>
      <c r="W501" s="324"/>
      <c r="X501" s="324"/>
      <c r="Y501" s="324"/>
      <c r="Z501" s="324"/>
      <c r="AA501" s="324"/>
      <c r="AB501" s="324"/>
      <c r="AC501" s="324"/>
      <c r="AD501" s="324"/>
      <c r="AE501" s="324"/>
    </row>
    <row r="502" spans="3:31" s="294" customFormat="1">
      <c r="C502" s="10"/>
      <c r="D502" s="29"/>
      <c r="E502" s="36"/>
      <c r="F502" s="324"/>
      <c r="G502" s="324"/>
      <c r="H502" s="324"/>
      <c r="I502" s="324"/>
      <c r="J502" s="324"/>
      <c r="K502" s="324"/>
      <c r="L502" s="324"/>
      <c r="M502" s="324"/>
      <c r="N502" s="324"/>
      <c r="O502" s="324"/>
      <c r="P502" s="324"/>
      <c r="Q502" s="324"/>
      <c r="R502" s="324"/>
      <c r="S502" s="324"/>
      <c r="T502" s="324"/>
      <c r="U502" s="324"/>
      <c r="V502" s="324"/>
      <c r="W502" s="324"/>
      <c r="X502" s="324"/>
      <c r="Y502" s="324"/>
      <c r="Z502" s="324"/>
      <c r="AA502" s="324"/>
      <c r="AB502" s="324"/>
      <c r="AC502" s="324"/>
      <c r="AD502" s="324"/>
      <c r="AE502" s="324"/>
    </row>
    <row r="503" spans="3:31" s="294" customFormat="1">
      <c r="C503" s="10"/>
      <c r="D503" s="29"/>
      <c r="E503" s="36"/>
      <c r="F503" s="324"/>
      <c r="G503" s="324"/>
      <c r="H503" s="324"/>
      <c r="I503" s="324"/>
      <c r="J503" s="324"/>
      <c r="K503" s="324"/>
      <c r="L503" s="324"/>
      <c r="M503" s="324"/>
      <c r="N503" s="324"/>
      <c r="O503" s="324"/>
      <c r="P503" s="324"/>
      <c r="Q503" s="324"/>
      <c r="R503" s="324"/>
      <c r="S503" s="324"/>
      <c r="T503" s="324"/>
      <c r="U503" s="324"/>
      <c r="V503" s="324"/>
      <c r="W503" s="324"/>
      <c r="X503" s="324"/>
      <c r="Y503" s="324"/>
      <c r="Z503" s="324"/>
      <c r="AA503" s="324"/>
      <c r="AB503" s="324"/>
      <c r="AC503" s="324"/>
      <c r="AD503" s="324"/>
      <c r="AE503" s="324"/>
    </row>
    <row r="504" spans="3:31" s="294" customFormat="1">
      <c r="C504" s="10"/>
      <c r="D504" s="29"/>
      <c r="E504" s="36"/>
      <c r="F504" s="324"/>
      <c r="G504" s="324"/>
      <c r="H504" s="324"/>
      <c r="I504" s="324"/>
      <c r="J504" s="324"/>
      <c r="K504" s="324"/>
      <c r="L504" s="324"/>
      <c r="M504" s="324"/>
      <c r="N504" s="324"/>
      <c r="O504" s="324"/>
      <c r="P504" s="324"/>
      <c r="Q504" s="324"/>
      <c r="R504" s="324"/>
      <c r="S504" s="324"/>
      <c r="T504" s="324"/>
      <c r="U504" s="324"/>
      <c r="V504" s="324"/>
      <c r="W504" s="324"/>
      <c r="X504" s="324"/>
      <c r="Y504" s="324"/>
      <c r="Z504" s="324"/>
      <c r="AA504" s="324"/>
      <c r="AB504" s="324"/>
      <c r="AC504" s="324"/>
      <c r="AD504" s="324"/>
      <c r="AE504" s="324"/>
    </row>
    <row r="505" spans="3:31" s="294" customFormat="1">
      <c r="C505" s="10"/>
      <c r="D505" s="29"/>
      <c r="E505" s="36"/>
      <c r="F505" s="324"/>
      <c r="G505" s="324"/>
      <c r="H505" s="324"/>
      <c r="I505" s="324"/>
      <c r="J505" s="324"/>
      <c r="K505" s="324"/>
      <c r="L505" s="324"/>
      <c r="M505" s="324"/>
      <c r="N505" s="324"/>
      <c r="O505" s="324"/>
      <c r="P505" s="324"/>
      <c r="Q505" s="324"/>
      <c r="R505" s="324"/>
      <c r="S505" s="324"/>
      <c r="T505" s="324"/>
      <c r="U505" s="324"/>
      <c r="V505" s="324"/>
      <c r="W505" s="324"/>
      <c r="X505" s="324"/>
      <c r="Y505" s="324"/>
      <c r="Z505" s="324"/>
      <c r="AA505" s="324"/>
      <c r="AB505" s="324"/>
      <c r="AC505" s="324"/>
      <c r="AD505" s="324"/>
      <c r="AE505" s="324"/>
    </row>
    <row r="506" spans="3:31" s="294" customFormat="1">
      <c r="C506" s="10"/>
      <c r="D506" s="29"/>
      <c r="E506" s="36"/>
      <c r="F506" s="324"/>
      <c r="G506" s="324"/>
      <c r="H506" s="324"/>
      <c r="I506" s="324"/>
      <c r="J506" s="324"/>
      <c r="K506" s="324"/>
      <c r="L506" s="324"/>
      <c r="M506" s="324"/>
      <c r="N506" s="324"/>
      <c r="O506" s="324"/>
      <c r="P506" s="324"/>
      <c r="Q506" s="324"/>
      <c r="R506" s="324"/>
      <c r="S506" s="324"/>
      <c r="T506" s="324"/>
      <c r="U506" s="324"/>
      <c r="V506" s="324"/>
      <c r="W506" s="324"/>
      <c r="X506" s="324"/>
      <c r="Y506" s="324"/>
      <c r="Z506" s="324"/>
      <c r="AA506" s="324"/>
      <c r="AB506" s="324"/>
      <c r="AC506" s="324"/>
      <c r="AD506" s="324"/>
      <c r="AE506" s="324"/>
    </row>
    <row r="507" spans="3:31" s="294" customFormat="1">
      <c r="C507" s="10"/>
      <c r="D507" s="29"/>
      <c r="E507" s="36"/>
      <c r="F507" s="324"/>
      <c r="G507" s="324"/>
      <c r="H507" s="324"/>
      <c r="I507" s="324"/>
      <c r="J507" s="324"/>
      <c r="K507" s="324"/>
      <c r="L507" s="324"/>
      <c r="M507" s="324"/>
      <c r="N507" s="324"/>
      <c r="O507" s="324"/>
      <c r="P507" s="324"/>
      <c r="Q507" s="324"/>
      <c r="R507" s="324"/>
      <c r="S507" s="324"/>
      <c r="T507" s="324"/>
      <c r="U507" s="324"/>
      <c r="V507" s="324"/>
      <c r="W507" s="324"/>
      <c r="X507" s="324"/>
      <c r="Y507" s="324"/>
      <c r="Z507" s="324"/>
      <c r="AA507" s="324"/>
      <c r="AB507" s="324"/>
      <c r="AC507" s="324"/>
      <c r="AD507" s="324"/>
      <c r="AE507" s="324"/>
    </row>
    <row r="508" spans="3:31" s="294" customFormat="1">
      <c r="C508" s="10"/>
      <c r="D508" s="29"/>
      <c r="E508" s="36"/>
      <c r="F508" s="324"/>
      <c r="G508" s="324"/>
      <c r="H508" s="324"/>
      <c r="I508" s="324"/>
      <c r="J508" s="324"/>
      <c r="K508" s="324"/>
      <c r="L508" s="324"/>
      <c r="M508" s="324"/>
      <c r="N508" s="324"/>
      <c r="O508" s="324"/>
      <c r="P508" s="324"/>
      <c r="Q508" s="324"/>
      <c r="R508" s="324"/>
      <c r="S508" s="324"/>
      <c r="T508" s="324"/>
      <c r="U508" s="324"/>
      <c r="V508" s="324"/>
      <c r="W508" s="324"/>
      <c r="X508" s="324"/>
      <c r="Y508" s="324"/>
      <c r="Z508" s="324"/>
      <c r="AA508" s="324"/>
      <c r="AB508" s="324"/>
      <c r="AC508" s="324"/>
      <c r="AD508" s="324"/>
      <c r="AE508" s="324"/>
    </row>
    <row r="509" spans="3:31" s="294" customFormat="1">
      <c r="C509" s="10"/>
      <c r="D509" s="29"/>
      <c r="E509" s="36"/>
      <c r="F509" s="324"/>
      <c r="G509" s="324"/>
      <c r="H509" s="324"/>
      <c r="I509" s="324"/>
      <c r="J509" s="324"/>
      <c r="K509" s="324"/>
      <c r="L509" s="324"/>
      <c r="M509" s="324"/>
      <c r="N509" s="324"/>
      <c r="O509" s="324"/>
      <c r="P509" s="324"/>
      <c r="Q509" s="324"/>
      <c r="R509" s="324"/>
      <c r="S509" s="324"/>
      <c r="T509" s="324"/>
      <c r="U509" s="324"/>
      <c r="V509" s="324"/>
      <c r="W509" s="324"/>
      <c r="X509" s="324"/>
      <c r="Y509" s="324"/>
      <c r="Z509" s="324"/>
      <c r="AA509" s="324"/>
      <c r="AB509" s="324"/>
      <c r="AC509" s="324"/>
      <c r="AD509" s="324"/>
      <c r="AE509" s="324"/>
    </row>
    <row r="510" spans="3:31" s="294" customFormat="1">
      <c r="C510" s="10"/>
      <c r="D510" s="29"/>
      <c r="E510" s="36"/>
      <c r="F510" s="324"/>
      <c r="G510" s="324"/>
      <c r="H510" s="324"/>
      <c r="I510" s="324"/>
      <c r="J510" s="324"/>
      <c r="K510" s="324"/>
      <c r="L510" s="324"/>
      <c r="M510" s="324"/>
      <c r="N510" s="324"/>
      <c r="O510" s="324"/>
      <c r="P510" s="324"/>
      <c r="Q510" s="324"/>
      <c r="R510" s="324"/>
      <c r="S510" s="324"/>
      <c r="T510" s="324"/>
      <c r="U510" s="324"/>
      <c r="V510" s="324"/>
      <c r="W510" s="324"/>
      <c r="X510" s="324"/>
      <c r="Y510" s="324"/>
      <c r="Z510" s="324"/>
      <c r="AA510" s="324"/>
      <c r="AB510" s="324"/>
      <c r="AC510" s="324"/>
      <c r="AD510" s="324"/>
      <c r="AE510" s="324"/>
    </row>
    <row r="511" spans="3:31" s="294" customFormat="1">
      <c r="C511" s="10"/>
      <c r="D511" s="29"/>
      <c r="E511" s="36"/>
      <c r="F511" s="324"/>
      <c r="G511" s="324"/>
      <c r="H511" s="324"/>
      <c r="I511" s="324"/>
      <c r="J511" s="324"/>
      <c r="K511" s="324"/>
      <c r="L511" s="324"/>
      <c r="M511" s="324"/>
      <c r="N511" s="324"/>
      <c r="O511" s="324"/>
      <c r="P511" s="324"/>
      <c r="Q511" s="324"/>
      <c r="R511" s="324"/>
      <c r="S511" s="324"/>
      <c r="T511" s="324"/>
      <c r="U511" s="324"/>
      <c r="V511" s="324"/>
      <c r="W511" s="324"/>
      <c r="X511" s="324"/>
      <c r="Y511" s="324"/>
      <c r="Z511" s="324"/>
      <c r="AA511" s="324"/>
      <c r="AB511" s="324"/>
      <c r="AC511" s="324"/>
      <c r="AD511" s="324"/>
      <c r="AE511" s="324"/>
    </row>
    <row r="512" spans="3:31" s="294" customFormat="1">
      <c r="C512" s="10"/>
      <c r="D512" s="29"/>
      <c r="E512" s="36"/>
      <c r="F512" s="324"/>
      <c r="G512" s="324"/>
      <c r="H512" s="324"/>
      <c r="I512" s="324"/>
      <c r="J512" s="324"/>
      <c r="K512" s="324"/>
      <c r="L512" s="324"/>
      <c r="M512" s="324"/>
      <c r="N512" s="324"/>
      <c r="O512" s="324"/>
      <c r="P512" s="324"/>
      <c r="Q512" s="324"/>
      <c r="R512" s="324"/>
      <c r="S512" s="324"/>
      <c r="T512" s="324"/>
      <c r="U512" s="324"/>
      <c r="V512" s="324"/>
      <c r="W512" s="324"/>
      <c r="X512" s="324"/>
      <c r="Y512" s="324"/>
      <c r="Z512" s="324"/>
      <c r="AA512" s="324"/>
      <c r="AB512" s="324"/>
      <c r="AC512" s="324"/>
      <c r="AD512" s="324"/>
      <c r="AE512" s="324"/>
    </row>
    <row r="513" spans="3:31" s="294" customFormat="1">
      <c r="C513" s="10"/>
      <c r="D513" s="29"/>
      <c r="E513" s="36"/>
      <c r="F513" s="324"/>
      <c r="G513" s="324"/>
      <c r="H513" s="324"/>
      <c r="I513" s="324"/>
      <c r="J513" s="324"/>
      <c r="K513" s="324"/>
      <c r="L513" s="324"/>
      <c r="M513" s="324"/>
      <c r="N513" s="324"/>
      <c r="O513" s="324"/>
      <c r="P513" s="324"/>
      <c r="Q513" s="324"/>
      <c r="R513" s="324"/>
      <c r="S513" s="324"/>
      <c r="T513" s="324"/>
      <c r="U513" s="324"/>
      <c r="V513" s="324"/>
      <c r="W513" s="324"/>
      <c r="X513" s="324"/>
      <c r="Y513" s="324"/>
      <c r="Z513" s="324"/>
      <c r="AA513" s="324"/>
      <c r="AB513" s="324"/>
      <c r="AC513" s="324"/>
      <c r="AD513" s="324"/>
      <c r="AE513" s="324"/>
    </row>
    <row r="514" spans="3:31" s="294" customFormat="1">
      <c r="C514" s="10"/>
      <c r="D514" s="29"/>
      <c r="E514" s="36"/>
      <c r="F514" s="324"/>
      <c r="G514" s="324"/>
      <c r="H514" s="324"/>
      <c r="I514" s="324"/>
      <c r="J514" s="324"/>
      <c r="K514" s="324"/>
      <c r="L514" s="324"/>
      <c r="M514" s="324"/>
      <c r="N514" s="324"/>
      <c r="O514" s="324"/>
      <c r="P514" s="324"/>
      <c r="Q514" s="324"/>
      <c r="R514" s="324"/>
      <c r="S514" s="324"/>
      <c r="T514" s="324"/>
      <c r="U514" s="324"/>
      <c r="V514" s="324"/>
      <c r="W514" s="324"/>
      <c r="X514" s="324"/>
      <c r="Y514" s="324"/>
      <c r="Z514" s="324"/>
      <c r="AA514" s="324"/>
      <c r="AB514" s="324"/>
      <c r="AC514" s="324"/>
      <c r="AD514" s="324"/>
      <c r="AE514" s="324"/>
    </row>
    <row r="515" spans="3:31" s="294" customFormat="1">
      <c r="C515" s="10"/>
      <c r="D515" s="29"/>
      <c r="E515" s="36"/>
      <c r="F515" s="324"/>
      <c r="G515" s="324"/>
      <c r="H515" s="324"/>
      <c r="I515" s="324"/>
      <c r="J515" s="324"/>
      <c r="K515" s="324"/>
      <c r="L515" s="324"/>
      <c r="M515" s="324"/>
      <c r="N515" s="324"/>
      <c r="O515" s="324"/>
      <c r="P515" s="324"/>
      <c r="Q515" s="324"/>
      <c r="R515" s="324"/>
      <c r="S515" s="324"/>
      <c r="T515" s="324"/>
      <c r="U515" s="324"/>
      <c r="V515" s="324"/>
      <c r="W515" s="324"/>
      <c r="X515" s="324"/>
      <c r="Y515" s="324"/>
      <c r="Z515" s="324"/>
      <c r="AA515" s="324"/>
      <c r="AB515" s="324"/>
      <c r="AC515" s="324"/>
      <c r="AD515" s="324"/>
      <c r="AE515" s="324"/>
    </row>
    <row r="516" spans="3:31" s="294" customFormat="1">
      <c r="C516" s="10"/>
      <c r="D516" s="29"/>
      <c r="E516" s="36"/>
      <c r="F516" s="324"/>
      <c r="G516" s="324"/>
      <c r="H516" s="324"/>
      <c r="I516" s="324"/>
      <c r="J516" s="324"/>
      <c r="K516" s="324"/>
      <c r="L516" s="324"/>
      <c r="M516" s="324"/>
      <c r="N516" s="324"/>
      <c r="O516" s="324"/>
      <c r="P516" s="324"/>
      <c r="Q516" s="324"/>
      <c r="R516" s="324"/>
      <c r="S516" s="324"/>
      <c r="T516" s="324"/>
      <c r="U516" s="324"/>
      <c r="V516" s="324"/>
      <c r="W516" s="324"/>
      <c r="X516" s="324"/>
      <c r="Y516" s="324"/>
      <c r="Z516" s="324"/>
      <c r="AA516" s="324"/>
      <c r="AB516" s="324"/>
      <c r="AC516" s="324"/>
      <c r="AD516" s="324"/>
      <c r="AE516" s="324"/>
    </row>
    <row r="517" spans="3:31" s="294" customFormat="1">
      <c r="C517" s="10"/>
      <c r="D517" s="29"/>
      <c r="E517" s="36"/>
      <c r="F517" s="324"/>
      <c r="G517" s="324"/>
      <c r="H517" s="324"/>
      <c r="I517" s="324"/>
      <c r="J517" s="324"/>
      <c r="K517" s="324"/>
      <c r="L517" s="324"/>
      <c r="M517" s="324"/>
      <c r="N517" s="324"/>
      <c r="O517" s="324"/>
      <c r="P517" s="324"/>
      <c r="Q517" s="324"/>
      <c r="R517" s="324"/>
      <c r="S517" s="324"/>
      <c r="T517" s="324"/>
      <c r="U517" s="324"/>
      <c r="V517" s="324"/>
      <c r="W517" s="324"/>
      <c r="X517" s="324"/>
      <c r="Y517" s="324"/>
      <c r="Z517" s="324"/>
      <c r="AA517" s="324"/>
      <c r="AB517" s="324"/>
      <c r="AC517" s="324"/>
      <c r="AD517" s="324"/>
      <c r="AE517" s="324"/>
    </row>
    <row r="518" spans="3:31" s="294" customFormat="1">
      <c r="C518" s="10"/>
      <c r="D518" s="29"/>
      <c r="E518" s="36"/>
      <c r="F518" s="324"/>
      <c r="G518" s="324"/>
      <c r="H518" s="324"/>
      <c r="I518" s="324"/>
      <c r="J518" s="324"/>
      <c r="K518" s="324"/>
      <c r="L518" s="324"/>
      <c r="M518" s="324"/>
      <c r="N518" s="324"/>
      <c r="O518" s="324"/>
      <c r="P518" s="324"/>
      <c r="Q518" s="324"/>
      <c r="R518" s="324"/>
      <c r="S518" s="324"/>
      <c r="T518" s="324"/>
      <c r="U518" s="324"/>
      <c r="V518" s="324"/>
      <c r="W518" s="324"/>
      <c r="X518" s="324"/>
      <c r="Y518" s="324"/>
      <c r="Z518" s="324"/>
      <c r="AA518" s="324"/>
      <c r="AB518" s="324"/>
      <c r="AC518" s="324"/>
      <c r="AD518" s="324"/>
      <c r="AE518" s="324"/>
    </row>
    <row r="519" spans="3:31" s="294" customFormat="1">
      <c r="C519" s="10"/>
      <c r="D519" s="29"/>
      <c r="E519" s="36"/>
      <c r="F519" s="324"/>
      <c r="G519" s="324"/>
      <c r="H519" s="324"/>
      <c r="I519" s="324"/>
      <c r="J519" s="324"/>
      <c r="K519" s="324"/>
      <c r="L519" s="324"/>
      <c r="M519" s="324"/>
      <c r="N519" s="324"/>
      <c r="O519" s="324"/>
      <c r="P519" s="324"/>
      <c r="Q519" s="324"/>
      <c r="R519" s="324"/>
      <c r="S519" s="324"/>
      <c r="T519" s="324"/>
      <c r="U519" s="324"/>
      <c r="V519" s="324"/>
      <c r="W519" s="324"/>
      <c r="X519" s="324"/>
      <c r="Y519" s="324"/>
      <c r="Z519" s="324"/>
      <c r="AA519" s="324"/>
      <c r="AB519" s="324"/>
      <c r="AC519" s="324"/>
      <c r="AD519" s="324"/>
      <c r="AE519" s="324"/>
    </row>
    <row r="520" spans="3:31" s="294" customFormat="1">
      <c r="C520" s="10"/>
      <c r="D520" s="29"/>
      <c r="E520" s="36"/>
      <c r="F520" s="324"/>
      <c r="G520" s="324"/>
      <c r="H520" s="324"/>
      <c r="I520" s="324"/>
      <c r="J520" s="324"/>
      <c r="K520" s="324"/>
      <c r="L520" s="324"/>
      <c r="M520" s="324"/>
      <c r="N520" s="324"/>
      <c r="O520" s="324"/>
      <c r="P520" s="324"/>
      <c r="Q520" s="324"/>
      <c r="R520" s="324"/>
      <c r="S520" s="324"/>
      <c r="T520" s="324"/>
      <c r="U520" s="324"/>
      <c r="V520" s="324"/>
      <c r="W520" s="324"/>
      <c r="X520" s="324"/>
      <c r="Y520" s="324"/>
      <c r="Z520" s="324"/>
      <c r="AA520" s="324"/>
      <c r="AB520" s="324"/>
      <c r="AC520" s="324"/>
      <c r="AD520" s="324"/>
      <c r="AE520" s="324"/>
    </row>
    <row r="521" spans="3:31" s="294" customFormat="1">
      <c r="C521" s="10"/>
      <c r="D521" s="29"/>
      <c r="E521" s="36"/>
      <c r="F521" s="324"/>
      <c r="G521" s="324"/>
      <c r="H521" s="324"/>
      <c r="I521" s="324"/>
      <c r="J521" s="324"/>
      <c r="K521" s="324"/>
      <c r="L521" s="324"/>
      <c r="M521" s="324"/>
      <c r="N521" s="324"/>
      <c r="O521" s="324"/>
      <c r="P521" s="324"/>
      <c r="Q521" s="324"/>
      <c r="R521" s="324"/>
      <c r="S521" s="324"/>
      <c r="T521" s="324"/>
      <c r="U521" s="324"/>
      <c r="V521" s="324"/>
      <c r="W521" s="324"/>
      <c r="X521" s="324"/>
      <c r="Y521" s="324"/>
      <c r="Z521" s="324"/>
      <c r="AA521" s="324"/>
      <c r="AB521" s="324"/>
      <c r="AC521" s="324"/>
      <c r="AD521" s="324"/>
      <c r="AE521" s="324"/>
    </row>
    <row r="522" spans="3:31" s="294" customFormat="1">
      <c r="C522" s="10"/>
      <c r="D522" s="29"/>
      <c r="E522" s="36"/>
      <c r="F522" s="324"/>
      <c r="G522" s="324"/>
      <c r="H522" s="324"/>
      <c r="I522" s="324"/>
      <c r="J522" s="324"/>
      <c r="K522" s="324"/>
      <c r="L522" s="324"/>
      <c r="M522" s="324"/>
      <c r="N522" s="324"/>
      <c r="O522" s="324"/>
      <c r="P522" s="324"/>
      <c r="Q522" s="324"/>
      <c r="R522" s="324"/>
      <c r="S522" s="324"/>
      <c r="T522" s="324"/>
      <c r="U522" s="324"/>
      <c r="V522" s="324"/>
      <c r="W522" s="324"/>
      <c r="X522" s="324"/>
      <c r="Y522" s="324"/>
      <c r="Z522" s="324"/>
      <c r="AA522" s="324"/>
      <c r="AB522" s="324"/>
      <c r="AC522" s="324"/>
      <c r="AD522" s="324"/>
      <c r="AE522" s="324"/>
    </row>
    <row r="523" spans="3:31" s="294" customFormat="1">
      <c r="C523" s="10"/>
      <c r="D523" s="29"/>
      <c r="E523" s="36"/>
      <c r="F523" s="324"/>
      <c r="G523" s="324"/>
      <c r="H523" s="324"/>
      <c r="I523" s="324"/>
      <c r="J523" s="324"/>
      <c r="K523" s="324"/>
      <c r="L523" s="324"/>
      <c r="M523" s="324"/>
      <c r="N523" s="324"/>
      <c r="O523" s="324"/>
      <c r="P523" s="324"/>
      <c r="Q523" s="324"/>
      <c r="R523" s="324"/>
      <c r="S523" s="324"/>
      <c r="T523" s="324"/>
      <c r="U523" s="324"/>
      <c r="V523" s="324"/>
      <c r="W523" s="324"/>
      <c r="X523" s="324"/>
      <c r="Y523" s="324"/>
      <c r="Z523" s="324"/>
      <c r="AA523" s="324"/>
      <c r="AB523" s="324"/>
      <c r="AC523" s="324"/>
      <c r="AD523" s="324"/>
      <c r="AE523" s="324"/>
    </row>
    <row r="524" spans="3:31" s="294" customFormat="1">
      <c r="C524" s="10"/>
      <c r="D524" s="29"/>
      <c r="E524" s="36"/>
      <c r="F524" s="324"/>
      <c r="G524" s="324"/>
      <c r="H524" s="324"/>
      <c r="I524" s="324"/>
      <c r="J524" s="324"/>
      <c r="K524" s="324"/>
      <c r="L524" s="324"/>
      <c r="M524" s="324"/>
      <c r="N524" s="324"/>
      <c r="O524" s="324"/>
      <c r="P524" s="324"/>
      <c r="Q524" s="324"/>
      <c r="R524" s="324"/>
      <c r="S524" s="324"/>
      <c r="T524" s="324"/>
      <c r="U524" s="324"/>
      <c r="V524" s="324"/>
      <c r="W524" s="324"/>
      <c r="X524" s="324"/>
      <c r="Y524" s="324"/>
      <c r="Z524" s="324"/>
      <c r="AA524" s="324"/>
      <c r="AB524" s="324"/>
      <c r="AC524" s="324"/>
      <c r="AD524" s="324"/>
      <c r="AE524" s="324"/>
    </row>
    <row r="525" spans="3:31" s="294" customFormat="1">
      <c r="C525" s="10"/>
      <c r="D525" s="29"/>
      <c r="E525" s="36"/>
      <c r="F525" s="324"/>
      <c r="G525" s="324"/>
      <c r="H525" s="324"/>
      <c r="I525" s="324"/>
      <c r="J525" s="324"/>
      <c r="K525" s="324"/>
      <c r="L525" s="324"/>
      <c r="M525" s="324"/>
      <c r="N525" s="324"/>
      <c r="O525" s="324"/>
      <c r="P525" s="324"/>
      <c r="Q525" s="324"/>
      <c r="R525" s="324"/>
      <c r="S525" s="324"/>
      <c r="T525" s="324"/>
      <c r="U525" s="324"/>
      <c r="V525" s="324"/>
      <c r="W525" s="324"/>
      <c r="X525" s="324"/>
      <c r="Y525" s="324"/>
      <c r="Z525" s="324"/>
      <c r="AA525" s="324"/>
      <c r="AB525" s="324"/>
      <c r="AC525" s="324"/>
      <c r="AD525" s="324"/>
      <c r="AE525" s="324"/>
    </row>
    <row r="526" spans="3:31" s="294" customFormat="1">
      <c r="C526" s="10"/>
      <c r="D526" s="29"/>
      <c r="E526" s="36"/>
      <c r="F526" s="324"/>
      <c r="G526" s="324"/>
      <c r="H526" s="324"/>
      <c r="I526" s="324"/>
      <c r="J526" s="324"/>
      <c r="K526" s="324"/>
      <c r="L526" s="324"/>
      <c r="M526" s="324"/>
      <c r="N526" s="324"/>
      <c r="O526" s="324"/>
      <c r="P526" s="324"/>
      <c r="Q526" s="324"/>
      <c r="R526" s="324"/>
      <c r="S526" s="324"/>
      <c r="T526" s="324"/>
      <c r="U526" s="324"/>
      <c r="V526" s="324"/>
      <c r="W526" s="324"/>
      <c r="X526" s="324"/>
      <c r="Y526" s="324"/>
      <c r="Z526" s="324"/>
      <c r="AA526" s="324"/>
      <c r="AB526" s="324"/>
      <c r="AC526" s="324"/>
      <c r="AD526" s="324"/>
      <c r="AE526" s="324"/>
    </row>
    <row r="527" spans="3:31" s="294" customFormat="1">
      <c r="C527" s="10"/>
      <c r="D527" s="29"/>
      <c r="E527" s="36"/>
      <c r="F527" s="324"/>
      <c r="G527" s="324"/>
      <c r="H527" s="324"/>
      <c r="I527" s="324"/>
      <c r="J527" s="324"/>
      <c r="K527" s="324"/>
      <c r="L527" s="324"/>
      <c r="M527" s="324"/>
      <c r="N527" s="324"/>
      <c r="O527" s="324"/>
      <c r="P527" s="324"/>
      <c r="Q527" s="324"/>
      <c r="R527" s="324"/>
      <c r="S527" s="324"/>
      <c r="T527" s="324"/>
      <c r="U527" s="324"/>
      <c r="V527" s="324"/>
      <c r="W527" s="324"/>
      <c r="X527" s="324"/>
      <c r="Y527" s="324"/>
      <c r="Z527" s="324"/>
      <c r="AA527" s="324"/>
      <c r="AB527" s="324"/>
      <c r="AC527" s="324"/>
      <c r="AD527" s="324"/>
      <c r="AE527" s="324"/>
    </row>
    <row r="528" spans="3:31" s="294" customFormat="1">
      <c r="C528" s="10"/>
      <c r="D528" s="29"/>
      <c r="E528" s="36"/>
      <c r="F528" s="324"/>
      <c r="G528" s="324"/>
      <c r="H528" s="324"/>
      <c r="I528" s="324"/>
      <c r="J528" s="324"/>
      <c r="K528" s="324"/>
      <c r="L528" s="324"/>
      <c r="M528" s="324"/>
      <c r="N528" s="324"/>
      <c r="O528" s="324"/>
      <c r="P528" s="324"/>
      <c r="Q528" s="324"/>
      <c r="R528" s="324"/>
      <c r="S528" s="324"/>
      <c r="T528" s="324"/>
      <c r="U528" s="324"/>
      <c r="V528" s="324"/>
      <c r="W528" s="324"/>
      <c r="X528" s="324"/>
      <c r="Y528" s="324"/>
      <c r="Z528" s="324"/>
      <c r="AA528" s="324"/>
      <c r="AB528" s="324"/>
      <c r="AC528" s="324"/>
      <c r="AD528" s="324"/>
      <c r="AE528" s="324"/>
    </row>
    <row r="529" spans="3:31" s="294" customFormat="1">
      <c r="C529" s="10"/>
      <c r="D529" s="29"/>
      <c r="E529" s="36"/>
      <c r="F529" s="324"/>
      <c r="G529" s="324"/>
      <c r="H529" s="324"/>
      <c r="I529" s="324"/>
      <c r="J529" s="324"/>
      <c r="K529" s="324"/>
      <c r="L529" s="324"/>
      <c r="M529" s="324"/>
      <c r="N529" s="324"/>
      <c r="O529" s="324"/>
      <c r="P529" s="324"/>
      <c r="Q529" s="324"/>
      <c r="R529" s="324"/>
      <c r="S529" s="324"/>
      <c r="T529" s="324"/>
      <c r="U529" s="324"/>
      <c r="V529" s="324"/>
      <c r="W529" s="324"/>
      <c r="X529" s="324"/>
      <c r="Y529" s="324"/>
      <c r="Z529" s="324"/>
      <c r="AA529" s="324"/>
      <c r="AB529" s="324"/>
      <c r="AC529" s="324"/>
      <c r="AD529" s="324"/>
      <c r="AE529" s="324"/>
    </row>
    <row r="530" spans="3:31" s="294" customFormat="1">
      <c r="C530" s="10"/>
      <c r="D530" s="29"/>
      <c r="E530" s="36"/>
      <c r="F530" s="324"/>
      <c r="G530" s="324"/>
      <c r="H530" s="324"/>
      <c r="I530" s="324"/>
      <c r="J530" s="324"/>
      <c r="K530" s="324"/>
      <c r="L530" s="324"/>
      <c r="M530" s="324"/>
      <c r="N530" s="324"/>
      <c r="O530" s="324"/>
      <c r="P530" s="324"/>
      <c r="Q530" s="324"/>
      <c r="R530" s="324"/>
      <c r="S530" s="324"/>
      <c r="T530" s="324"/>
      <c r="U530" s="324"/>
      <c r="V530" s="324"/>
      <c r="W530" s="324"/>
      <c r="X530" s="324"/>
      <c r="Y530" s="324"/>
      <c r="Z530" s="324"/>
      <c r="AA530" s="324"/>
      <c r="AB530" s="324"/>
      <c r="AC530" s="324"/>
      <c r="AD530" s="324"/>
      <c r="AE530" s="324"/>
    </row>
    <row r="531" spans="3:31" s="294" customFormat="1">
      <c r="C531" s="10"/>
      <c r="D531" s="29"/>
      <c r="E531" s="36"/>
      <c r="F531" s="324"/>
      <c r="G531" s="324"/>
      <c r="H531" s="324"/>
      <c r="I531" s="324"/>
      <c r="J531" s="324"/>
      <c r="K531" s="324"/>
      <c r="L531" s="324"/>
      <c r="M531" s="324"/>
      <c r="N531" s="324"/>
      <c r="O531" s="324"/>
      <c r="P531" s="324"/>
      <c r="Q531" s="324"/>
      <c r="R531" s="324"/>
      <c r="S531" s="324"/>
      <c r="T531" s="324"/>
      <c r="U531" s="324"/>
      <c r="V531" s="324"/>
      <c r="W531" s="324"/>
      <c r="X531" s="324"/>
      <c r="Y531" s="324"/>
      <c r="Z531" s="324"/>
      <c r="AA531" s="324"/>
      <c r="AB531" s="324"/>
      <c r="AC531" s="324"/>
      <c r="AD531" s="324"/>
      <c r="AE531" s="324"/>
    </row>
    <row r="532" spans="3:31" s="294" customFormat="1">
      <c r="C532" s="10"/>
      <c r="D532" s="29"/>
      <c r="E532" s="36"/>
      <c r="F532" s="324"/>
      <c r="G532" s="324"/>
      <c r="H532" s="324"/>
      <c r="I532" s="324"/>
      <c r="J532" s="324"/>
      <c r="K532" s="324"/>
      <c r="L532" s="324"/>
      <c r="M532" s="324"/>
      <c r="N532" s="324"/>
      <c r="O532" s="324"/>
      <c r="P532" s="324"/>
      <c r="Q532" s="324"/>
      <c r="R532" s="324"/>
      <c r="S532" s="324"/>
      <c r="T532" s="324"/>
      <c r="U532" s="324"/>
      <c r="V532" s="324"/>
      <c r="W532" s="324"/>
      <c r="X532" s="324"/>
      <c r="Y532" s="324"/>
      <c r="Z532" s="324"/>
      <c r="AA532" s="324"/>
      <c r="AB532" s="324"/>
      <c r="AC532" s="324"/>
      <c r="AD532" s="324"/>
      <c r="AE532" s="324"/>
    </row>
    <row r="533" spans="3:31" s="294" customFormat="1">
      <c r="C533" s="10"/>
      <c r="D533" s="29"/>
      <c r="E533" s="36"/>
      <c r="F533" s="324"/>
      <c r="G533" s="324"/>
      <c r="H533" s="324"/>
      <c r="I533" s="324"/>
      <c r="J533" s="324"/>
      <c r="K533" s="324"/>
      <c r="L533" s="324"/>
      <c r="M533" s="324"/>
      <c r="N533" s="324"/>
      <c r="O533" s="324"/>
      <c r="P533" s="324"/>
      <c r="Q533" s="324"/>
      <c r="R533" s="324"/>
      <c r="S533" s="324"/>
      <c r="T533" s="324"/>
      <c r="U533" s="324"/>
      <c r="V533" s="324"/>
      <c r="W533" s="324"/>
      <c r="X533" s="324"/>
      <c r="Y533" s="324"/>
      <c r="Z533" s="324"/>
      <c r="AA533" s="324"/>
      <c r="AB533" s="324"/>
      <c r="AC533" s="324"/>
      <c r="AD533" s="324"/>
      <c r="AE533" s="324"/>
    </row>
    <row r="534" spans="3:31" s="294" customFormat="1">
      <c r="C534" s="10"/>
      <c r="D534" s="29"/>
      <c r="E534" s="36"/>
      <c r="F534" s="324"/>
      <c r="G534" s="324"/>
      <c r="H534" s="324"/>
      <c r="I534" s="324"/>
      <c r="J534" s="324"/>
      <c r="K534" s="324"/>
      <c r="L534" s="324"/>
      <c r="M534" s="324"/>
      <c r="N534" s="324"/>
      <c r="O534" s="324"/>
      <c r="P534" s="324"/>
      <c r="Q534" s="324"/>
      <c r="R534" s="324"/>
      <c r="S534" s="324"/>
      <c r="T534" s="324"/>
      <c r="U534" s="324"/>
      <c r="V534" s="324"/>
      <c r="W534" s="324"/>
      <c r="X534" s="324"/>
      <c r="Y534" s="324"/>
      <c r="Z534" s="324"/>
      <c r="AA534" s="324"/>
      <c r="AB534" s="324"/>
      <c r="AC534" s="324"/>
      <c r="AD534" s="324"/>
      <c r="AE534" s="324"/>
    </row>
    <row r="535" spans="3:31" s="294" customFormat="1">
      <c r="C535" s="10"/>
      <c r="D535" s="29"/>
      <c r="E535" s="36"/>
      <c r="F535" s="324"/>
      <c r="G535" s="324"/>
      <c r="H535" s="324"/>
      <c r="I535" s="324"/>
      <c r="J535" s="324"/>
      <c r="K535" s="324"/>
      <c r="L535" s="324"/>
      <c r="M535" s="324"/>
      <c r="N535" s="324"/>
      <c r="O535" s="324"/>
      <c r="P535" s="324"/>
      <c r="Q535" s="324"/>
      <c r="R535" s="324"/>
      <c r="S535" s="324"/>
      <c r="T535" s="324"/>
      <c r="U535" s="324"/>
      <c r="V535" s="324"/>
      <c r="W535" s="324"/>
      <c r="X535" s="324"/>
      <c r="Y535" s="324"/>
      <c r="Z535" s="324"/>
      <c r="AA535" s="324"/>
      <c r="AB535" s="324"/>
      <c r="AC535" s="324"/>
      <c r="AD535" s="324"/>
      <c r="AE535" s="324"/>
    </row>
    <row r="536" spans="3:31" s="294" customFormat="1">
      <c r="C536" s="10"/>
      <c r="D536" s="29"/>
      <c r="E536" s="36"/>
      <c r="F536" s="324"/>
      <c r="G536" s="324"/>
      <c r="H536" s="324"/>
      <c r="I536" s="324"/>
      <c r="J536" s="324"/>
      <c r="K536" s="324"/>
      <c r="L536" s="324"/>
      <c r="M536" s="324"/>
      <c r="N536" s="324"/>
      <c r="O536" s="324"/>
      <c r="P536" s="324"/>
      <c r="Q536" s="324"/>
      <c r="R536" s="324"/>
      <c r="S536" s="324"/>
      <c r="T536" s="324"/>
      <c r="U536" s="324"/>
      <c r="V536" s="324"/>
      <c r="W536" s="324"/>
      <c r="X536" s="324"/>
      <c r="Y536" s="324"/>
      <c r="Z536" s="324"/>
      <c r="AA536" s="324"/>
      <c r="AB536" s="324"/>
      <c r="AC536" s="324"/>
      <c r="AD536" s="324"/>
      <c r="AE536" s="324"/>
    </row>
    <row r="537" spans="3:31" s="294" customFormat="1">
      <c r="C537" s="10"/>
      <c r="D537" s="29"/>
      <c r="E537" s="36"/>
      <c r="F537" s="324"/>
      <c r="G537" s="324"/>
      <c r="H537" s="324"/>
      <c r="I537" s="324"/>
      <c r="J537" s="324"/>
      <c r="K537" s="324"/>
      <c r="L537" s="324"/>
      <c r="M537" s="324"/>
      <c r="N537" s="324"/>
      <c r="O537" s="324"/>
      <c r="P537" s="324"/>
      <c r="Q537" s="324"/>
      <c r="R537" s="324"/>
      <c r="S537" s="324"/>
      <c r="T537" s="324"/>
      <c r="U537" s="324"/>
      <c r="V537" s="324"/>
      <c r="W537" s="324"/>
      <c r="X537" s="324"/>
      <c r="Y537" s="324"/>
      <c r="Z537" s="324"/>
      <c r="AA537" s="324"/>
      <c r="AB537" s="324"/>
      <c r="AC537" s="324"/>
      <c r="AD537" s="324"/>
      <c r="AE537" s="324"/>
    </row>
    <row r="538" spans="3:31" s="294" customFormat="1">
      <c r="C538" s="10"/>
      <c r="D538" s="29"/>
      <c r="E538" s="36"/>
      <c r="F538" s="324"/>
      <c r="G538" s="324"/>
      <c r="H538" s="324"/>
      <c r="I538" s="324"/>
      <c r="J538" s="324"/>
      <c r="K538" s="324"/>
      <c r="L538" s="324"/>
      <c r="M538" s="324"/>
      <c r="N538" s="324"/>
      <c r="O538" s="324"/>
      <c r="P538" s="324"/>
      <c r="Q538" s="324"/>
      <c r="R538" s="324"/>
      <c r="S538" s="324"/>
      <c r="T538" s="324"/>
      <c r="U538" s="324"/>
      <c r="V538" s="324"/>
      <c r="W538" s="324"/>
      <c r="X538" s="324"/>
      <c r="Y538" s="324"/>
      <c r="Z538" s="324"/>
      <c r="AA538" s="324"/>
      <c r="AB538" s="324"/>
      <c r="AC538" s="324"/>
      <c r="AD538" s="324"/>
      <c r="AE538" s="324"/>
    </row>
    <row r="539" spans="3:31" s="294" customFormat="1">
      <c r="C539" s="10"/>
      <c r="D539" s="29"/>
      <c r="E539" s="36"/>
      <c r="F539" s="324"/>
      <c r="G539" s="324"/>
      <c r="H539" s="324"/>
      <c r="I539" s="324"/>
      <c r="J539" s="324"/>
      <c r="K539" s="324"/>
      <c r="L539" s="324"/>
      <c r="M539" s="324"/>
      <c r="N539" s="324"/>
      <c r="O539" s="324"/>
      <c r="P539" s="324"/>
      <c r="Q539" s="324"/>
      <c r="R539" s="324"/>
      <c r="S539" s="324"/>
      <c r="T539" s="324"/>
      <c r="U539" s="324"/>
      <c r="V539" s="324"/>
      <c r="W539" s="324"/>
      <c r="X539" s="324"/>
      <c r="Y539" s="324"/>
      <c r="Z539" s="324"/>
      <c r="AA539" s="324"/>
      <c r="AB539" s="324"/>
      <c r="AC539" s="324"/>
      <c r="AD539" s="324"/>
      <c r="AE539" s="324"/>
    </row>
    <row r="540" spans="3:31" s="294" customFormat="1">
      <c r="C540" s="10"/>
      <c r="D540" s="29"/>
      <c r="E540" s="36"/>
      <c r="F540" s="324"/>
      <c r="G540" s="324"/>
      <c r="H540" s="324"/>
      <c r="I540" s="324"/>
      <c r="J540" s="324"/>
      <c r="K540" s="324"/>
      <c r="L540" s="324"/>
      <c r="M540" s="324"/>
      <c r="N540" s="324"/>
      <c r="O540" s="324"/>
      <c r="P540" s="324"/>
      <c r="Q540" s="324"/>
      <c r="R540" s="324"/>
      <c r="S540" s="324"/>
      <c r="T540" s="324"/>
      <c r="U540" s="324"/>
      <c r="V540" s="324"/>
      <c r="W540" s="324"/>
      <c r="X540" s="324"/>
      <c r="Y540" s="324"/>
      <c r="Z540" s="324"/>
      <c r="AA540" s="324"/>
      <c r="AB540" s="324"/>
      <c r="AC540" s="324"/>
      <c r="AD540" s="324"/>
      <c r="AE540" s="324"/>
    </row>
    <row r="541" spans="3:31" s="294" customFormat="1">
      <c r="C541" s="10"/>
      <c r="D541" s="29"/>
      <c r="E541" s="36"/>
      <c r="F541" s="324"/>
      <c r="G541" s="324"/>
      <c r="H541" s="324"/>
      <c r="I541" s="324"/>
      <c r="J541" s="324"/>
      <c r="K541" s="324"/>
      <c r="L541" s="324"/>
      <c r="M541" s="324"/>
      <c r="N541" s="324"/>
      <c r="O541" s="324"/>
      <c r="P541" s="324"/>
      <c r="Q541" s="324"/>
      <c r="R541" s="324"/>
      <c r="S541" s="324"/>
      <c r="T541" s="324"/>
      <c r="U541" s="324"/>
      <c r="V541" s="324"/>
      <c r="W541" s="324"/>
      <c r="X541" s="324"/>
      <c r="Y541" s="324"/>
      <c r="Z541" s="324"/>
      <c r="AA541" s="324"/>
      <c r="AB541" s="324"/>
      <c r="AC541" s="324"/>
      <c r="AD541" s="324"/>
      <c r="AE541" s="324"/>
    </row>
    <row r="542" spans="3:31" s="294" customFormat="1">
      <c r="C542" s="10"/>
      <c r="D542" s="29"/>
      <c r="E542" s="36"/>
      <c r="F542" s="324"/>
      <c r="G542" s="324"/>
      <c r="H542" s="324"/>
      <c r="I542" s="324"/>
      <c r="J542" s="324"/>
      <c r="K542" s="324"/>
      <c r="L542" s="324"/>
      <c r="M542" s="324"/>
      <c r="N542" s="324"/>
      <c r="O542" s="324"/>
      <c r="P542" s="324"/>
      <c r="Q542" s="324"/>
      <c r="R542" s="324"/>
      <c r="S542" s="324"/>
      <c r="T542" s="324"/>
      <c r="U542" s="324"/>
      <c r="V542" s="324"/>
      <c r="W542" s="324"/>
      <c r="X542" s="324"/>
      <c r="Y542" s="324"/>
      <c r="Z542" s="324"/>
      <c r="AA542" s="324"/>
      <c r="AB542" s="324"/>
      <c r="AC542" s="324"/>
      <c r="AD542" s="324"/>
      <c r="AE542" s="324"/>
    </row>
    <row r="543" spans="3:31" s="294" customFormat="1">
      <c r="C543" s="10"/>
      <c r="D543" s="29"/>
      <c r="E543" s="36"/>
      <c r="F543" s="324"/>
      <c r="G543" s="324"/>
      <c r="H543" s="324"/>
      <c r="I543" s="324"/>
      <c r="J543" s="324"/>
      <c r="K543" s="324"/>
      <c r="L543" s="324"/>
      <c r="M543" s="324"/>
      <c r="N543" s="324"/>
      <c r="O543" s="324"/>
      <c r="P543" s="324"/>
      <c r="Q543" s="324"/>
      <c r="R543" s="324"/>
      <c r="S543" s="324"/>
      <c r="T543" s="324"/>
      <c r="U543" s="324"/>
      <c r="V543" s="324"/>
      <c r="W543" s="324"/>
      <c r="X543" s="324"/>
      <c r="Y543" s="324"/>
      <c r="Z543" s="324"/>
      <c r="AA543" s="324"/>
      <c r="AB543" s="324"/>
      <c r="AC543" s="324"/>
      <c r="AD543" s="324"/>
      <c r="AE543" s="324"/>
    </row>
    <row r="544" spans="3:31" s="294" customFormat="1">
      <c r="C544" s="10"/>
      <c r="D544" s="29"/>
      <c r="E544" s="36"/>
      <c r="F544" s="324"/>
      <c r="G544" s="324"/>
      <c r="H544" s="324"/>
      <c r="I544" s="324"/>
      <c r="J544" s="324"/>
      <c r="K544" s="324"/>
      <c r="L544" s="324"/>
      <c r="M544" s="324"/>
      <c r="N544" s="324"/>
      <c r="O544" s="324"/>
      <c r="P544" s="324"/>
      <c r="Q544" s="324"/>
      <c r="R544" s="324"/>
      <c r="S544" s="324"/>
      <c r="T544" s="324"/>
      <c r="U544" s="324"/>
      <c r="V544" s="324"/>
      <c r="W544" s="324"/>
      <c r="X544" s="324"/>
      <c r="Y544" s="324"/>
      <c r="Z544" s="324"/>
      <c r="AA544" s="324"/>
      <c r="AB544" s="324"/>
      <c r="AC544" s="324"/>
      <c r="AD544" s="324"/>
      <c r="AE544" s="324"/>
    </row>
    <row r="545" spans="3:31" s="294" customFormat="1">
      <c r="C545" s="10"/>
      <c r="D545" s="29"/>
      <c r="E545" s="36"/>
      <c r="F545" s="324"/>
      <c r="G545" s="324"/>
      <c r="H545" s="324"/>
      <c r="I545" s="324"/>
      <c r="J545" s="324"/>
      <c r="K545" s="324"/>
      <c r="L545" s="324"/>
      <c r="M545" s="324"/>
      <c r="N545" s="324"/>
      <c r="O545" s="324"/>
      <c r="P545" s="324"/>
      <c r="Q545" s="324"/>
      <c r="R545" s="324"/>
      <c r="S545" s="324"/>
      <c r="T545" s="324"/>
      <c r="U545" s="324"/>
      <c r="V545" s="324"/>
      <c r="W545" s="324"/>
      <c r="X545" s="324"/>
      <c r="Y545" s="324"/>
      <c r="Z545" s="324"/>
      <c r="AA545" s="324"/>
      <c r="AB545" s="324"/>
      <c r="AC545" s="324"/>
      <c r="AD545" s="324"/>
      <c r="AE545" s="324"/>
    </row>
    <row r="546" spans="3:31" s="294" customFormat="1">
      <c r="C546" s="10"/>
      <c r="D546" s="29"/>
      <c r="E546" s="36"/>
      <c r="F546" s="324"/>
      <c r="G546" s="324"/>
      <c r="H546" s="324"/>
      <c r="I546" s="324"/>
      <c r="J546" s="324"/>
      <c r="K546" s="324"/>
      <c r="L546" s="324"/>
      <c r="M546" s="324"/>
      <c r="N546" s="324"/>
      <c r="O546" s="324"/>
      <c r="P546" s="324"/>
      <c r="Q546" s="324"/>
      <c r="R546" s="324"/>
      <c r="S546" s="324"/>
      <c r="T546" s="324"/>
      <c r="U546" s="324"/>
      <c r="V546" s="324"/>
      <c r="W546" s="324"/>
      <c r="X546" s="324"/>
      <c r="Y546" s="324"/>
      <c r="Z546" s="324"/>
      <c r="AA546" s="324"/>
      <c r="AB546" s="324"/>
      <c r="AC546" s="324"/>
      <c r="AD546" s="324"/>
      <c r="AE546" s="324"/>
    </row>
    <row r="547" spans="3:31" s="294" customFormat="1">
      <c r="C547" s="10"/>
      <c r="D547" s="29"/>
      <c r="E547" s="36"/>
      <c r="F547" s="324"/>
      <c r="G547" s="324"/>
      <c r="H547" s="324"/>
      <c r="I547" s="324"/>
      <c r="J547" s="324"/>
      <c r="K547" s="324"/>
      <c r="L547" s="324"/>
      <c r="M547" s="324"/>
      <c r="N547" s="324"/>
      <c r="O547" s="324"/>
      <c r="P547" s="324"/>
      <c r="Q547" s="324"/>
      <c r="R547" s="324"/>
      <c r="S547" s="324"/>
      <c r="T547" s="324"/>
      <c r="U547" s="324"/>
      <c r="V547" s="324"/>
      <c r="W547" s="324"/>
      <c r="X547" s="324"/>
      <c r="Y547" s="324"/>
      <c r="Z547" s="324"/>
      <c r="AA547" s="324"/>
      <c r="AB547" s="324"/>
      <c r="AC547" s="324"/>
      <c r="AD547" s="324"/>
      <c r="AE547" s="324"/>
    </row>
    <row r="548" spans="3:31" s="294" customFormat="1">
      <c r="C548" s="10"/>
      <c r="D548" s="29"/>
      <c r="E548" s="36"/>
      <c r="F548" s="324"/>
      <c r="G548" s="324"/>
      <c r="H548" s="324"/>
      <c r="I548" s="324"/>
      <c r="J548" s="324"/>
      <c r="K548" s="324"/>
      <c r="L548" s="324"/>
      <c r="M548" s="324"/>
      <c r="N548" s="324"/>
      <c r="O548" s="324"/>
      <c r="P548" s="324"/>
      <c r="Q548" s="324"/>
      <c r="R548" s="324"/>
      <c r="S548" s="324"/>
      <c r="T548" s="324"/>
      <c r="U548" s="324"/>
      <c r="V548" s="324"/>
      <c r="W548" s="324"/>
      <c r="X548" s="324"/>
      <c r="Y548" s="324"/>
      <c r="Z548" s="324"/>
      <c r="AA548" s="324"/>
      <c r="AB548" s="324"/>
      <c r="AC548" s="324"/>
      <c r="AD548" s="324"/>
      <c r="AE548" s="324"/>
    </row>
    <row r="549" spans="3:31" s="294" customFormat="1">
      <c r="C549" s="10"/>
      <c r="D549" s="29"/>
      <c r="E549" s="36"/>
      <c r="F549" s="324"/>
      <c r="G549" s="324"/>
      <c r="H549" s="324"/>
      <c r="I549" s="324"/>
      <c r="J549" s="324"/>
      <c r="K549" s="324"/>
      <c r="L549" s="324"/>
      <c r="M549" s="324"/>
      <c r="N549" s="324"/>
      <c r="O549" s="324"/>
      <c r="P549" s="324"/>
      <c r="Q549" s="324"/>
      <c r="R549" s="324"/>
      <c r="S549" s="324"/>
      <c r="T549" s="324"/>
      <c r="U549" s="324"/>
      <c r="V549" s="324"/>
      <c r="W549" s="324"/>
      <c r="X549" s="324"/>
      <c r="Y549" s="324"/>
      <c r="Z549" s="324"/>
      <c r="AA549" s="324"/>
      <c r="AB549" s="324"/>
      <c r="AC549" s="324"/>
      <c r="AD549" s="324"/>
      <c r="AE549" s="324"/>
    </row>
    <row r="550" spans="3:31" s="294" customFormat="1">
      <c r="C550" s="10"/>
      <c r="D550" s="29"/>
      <c r="E550" s="36"/>
      <c r="F550" s="324"/>
      <c r="G550" s="324"/>
      <c r="H550" s="324"/>
      <c r="I550" s="324"/>
      <c r="J550" s="324"/>
      <c r="K550" s="324"/>
      <c r="L550" s="324"/>
      <c r="M550" s="324"/>
      <c r="N550" s="324"/>
      <c r="O550" s="324"/>
      <c r="P550" s="324"/>
      <c r="Q550" s="324"/>
      <c r="R550" s="324"/>
      <c r="S550" s="324"/>
      <c r="T550" s="324"/>
      <c r="U550" s="324"/>
      <c r="V550" s="324"/>
      <c r="W550" s="324"/>
      <c r="X550" s="324"/>
      <c r="Y550" s="324"/>
      <c r="Z550" s="324"/>
      <c r="AA550" s="324"/>
      <c r="AB550" s="324"/>
      <c r="AC550" s="324"/>
      <c r="AD550" s="324"/>
      <c r="AE550" s="324"/>
    </row>
    <row r="551" spans="3:31" s="294" customFormat="1">
      <c r="C551" s="10"/>
      <c r="D551" s="29"/>
      <c r="E551" s="36"/>
      <c r="F551" s="324"/>
      <c r="G551" s="324"/>
      <c r="H551" s="324"/>
      <c r="I551" s="324"/>
      <c r="J551" s="324"/>
      <c r="K551" s="324"/>
      <c r="L551" s="324"/>
      <c r="M551" s="324"/>
      <c r="N551" s="324"/>
      <c r="O551" s="324"/>
      <c r="P551" s="324"/>
      <c r="Q551" s="324"/>
      <c r="R551" s="324"/>
      <c r="S551" s="324"/>
      <c r="T551" s="324"/>
      <c r="U551" s="324"/>
      <c r="V551" s="324"/>
      <c r="W551" s="324"/>
      <c r="X551" s="324"/>
      <c r="Y551" s="324"/>
      <c r="Z551" s="324"/>
      <c r="AA551" s="324"/>
      <c r="AB551" s="324"/>
      <c r="AC551" s="324"/>
      <c r="AD551" s="324"/>
      <c r="AE551" s="324"/>
    </row>
    <row r="552" spans="3:31" s="294" customFormat="1">
      <c r="C552" s="10"/>
      <c r="D552" s="29"/>
      <c r="E552" s="36"/>
      <c r="F552" s="324"/>
      <c r="G552" s="324"/>
      <c r="H552" s="324"/>
      <c r="I552" s="324"/>
      <c r="J552" s="324"/>
      <c r="K552" s="324"/>
      <c r="L552" s="324"/>
      <c r="M552" s="324"/>
      <c r="N552" s="324"/>
      <c r="O552" s="324"/>
      <c r="P552" s="324"/>
      <c r="Q552" s="324"/>
      <c r="R552" s="324"/>
      <c r="S552" s="324"/>
      <c r="T552" s="324"/>
      <c r="U552" s="324"/>
      <c r="V552" s="324"/>
      <c r="W552" s="324"/>
      <c r="X552" s="324"/>
      <c r="Y552" s="324"/>
      <c r="Z552" s="324"/>
      <c r="AA552" s="324"/>
      <c r="AB552" s="324"/>
      <c r="AC552" s="324"/>
      <c r="AD552" s="324"/>
      <c r="AE552" s="324"/>
    </row>
    <row r="553" spans="3:31" s="294" customFormat="1">
      <c r="C553" s="10"/>
      <c r="D553" s="29"/>
      <c r="E553" s="36"/>
      <c r="F553" s="324"/>
      <c r="G553" s="324"/>
      <c r="H553" s="324"/>
      <c r="I553" s="324"/>
      <c r="J553" s="324"/>
      <c r="K553" s="324"/>
      <c r="L553" s="324"/>
      <c r="M553" s="324"/>
      <c r="N553" s="324"/>
      <c r="O553" s="324"/>
      <c r="P553" s="324"/>
      <c r="Q553" s="324"/>
      <c r="R553" s="324"/>
      <c r="S553" s="324"/>
      <c r="T553" s="324"/>
      <c r="U553" s="324"/>
      <c r="V553" s="324"/>
      <c r="W553" s="324"/>
      <c r="X553" s="324"/>
      <c r="Y553" s="324"/>
      <c r="Z553" s="324"/>
      <c r="AA553" s="324"/>
      <c r="AB553" s="324"/>
      <c r="AC553" s="324"/>
      <c r="AD553" s="324"/>
      <c r="AE553" s="324"/>
    </row>
    <row r="554" spans="3:31" s="294" customFormat="1">
      <c r="C554" s="10"/>
      <c r="D554" s="29"/>
      <c r="E554" s="36"/>
      <c r="F554" s="324"/>
      <c r="G554" s="324"/>
      <c r="H554" s="324"/>
      <c r="I554" s="324"/>
      <c r="J554" s="324"/>
      <c r="K554" s="324"/>
      <c r="L554" s="324"/>
      <c r="M554" s="324"/>
      <c r="N554" s="324"/>
      <c r="O554" s="324"/>
      <c r="P554" s="324"/>
      <c r="Q554" s="324"/>
      <c r="R554" s="324"/>
      <c r="S554" s="324"/>
      <c r="T554" s="324"/>
      <c r="U554" s="324"/>
      <c r="V554" s="324"/>
      <c r="W554" s="324"/>
      <c r="X554" s="324"/>
      <c r="Y554" s="324"/>
      <c r="Z554" s="324"/>
      <c r="AA554" s="324"/>
      <c r="AB554" s="324"/>
      <c r="AC554" s="324"/>
      <c r="AD554" s="324"/>
      <c r="AE554" s="324"/>
    </row>
    <row r="555" spans="3:31" s="294" customFormat="1">
      <c r="C555" s="10"/>
      <c r="D555" s="29"/>
      <c r="E555" s="36"/>
      <c r="F555" s="324"/>
      <c r="G555" s="324"/>
      <c r="H555" s="324"/>
      <c r="I555" s="324"/>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row>
    <row r="556" spans="3:31" s="294" customFormat="1">
      <c r="C556" s="10"/>
      <c r="D556" s="29"/>
      <c r="E556" s="36"/>
      <c r="F556" s="324"/>
      <c r="G556" s="324"/>
      <c r="H556" s="324"/>
      <c r="I556" s="324"/>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row>
    <row r="557" spans="3:31" s="294" customFormat="1">
      <c r="C557" s="10"/>
      <c r="D557" s="29"/>
      <c r="E557" s="36"/>
      <c r="F557" s="324"/>
      <c r="G557" s="324"/>
      <c r="H557" s="324"/>
      <c r="I557" s="324"/>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row>
    <row r="558" spans="3:31" s="294" customFormat="1">
      <c r="C558" s="10"/>
      <c r="D558" s="29"/>
      <c r="E558" s="36"/>
      <c r="F558" s="324"/>
      <c r="G558" s="324"/>
      <c r="H558" s="324"/>
      <c r="I558" s="324"/>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row>
    <row r="559" spans="3:31" s="294" customFormat="1">
      <c r="C559" s="10"/>
      <c r="D559" s="29"/>
      <c r="E559" s="36"/>
      <c r="F559" s="324"/>
      <c r="G559" s="324"/>
      <c r="H559" s="324"/>
      <c r="I559" s="324"/>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row>
    <row r="560" spans="3:31" s="294" customFormat="1">
      <c r="C560" s="10"/>
      <c r="D560" s="29"/>
      <c r="E560" s="36"/>
      <c r="F560" s="324"/>
      <c r="G560" s="324"/>
      <c r="H560" s="324"/>
      <c r="I560" s="324"/>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row>
    <row r="561" spans="3:31" s="294" customFormat="1">
      <c r="C561" s="10"/>
      <c r="D561" s="29"/>
      <c r="E561" s="36"/>
      <c r="F561" s="324"/>
      <c r="G561" s="324"/>
      <c r="H561" s="324"/>
      <c r="I561" s="324"/>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row>
    <row r="562" spans="3:31" s="294" customFormat="1">
      <c r="C562" s="10"/>
      <c r="D562" s="29"/>
      <c r="E562" s="36"/>
      <c r="F562" s="324"/>
      <c r="G562" s="324"/>
      <c r="H562" s="324"/>
      <c r="I562" s="324"/>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row>
    <row r="563" spans="3:31" s="294" customFormat="1">
      <c r="C563" s="10"/>
      <c r="D563" s="29"/>
      <c r="E563" s="36"/>
      <c r="F563" s="324"/>
      <c r="G563" s="324"/>
      <c r="H563" s="324"/>
      <c r="I563" s="324"/>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3:31" s="294" customFormat="1">
      <c r="C564" s="10"/>
      <c r="D564" s="29"/>
      <c r="E564" s="36"/>
      <c r="F564" s="324"/>
      <c r="G564" s="324"/>
      <c r="H564" s="324"/>
      <c r="I564" s="324"/>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3:31" s="294" customFormat="1">
      <c r="C565" s="10"/>
      <c r="D565" s="29"/>
      <c r="E565" s="36"/>
      <c r="F565" s="324"/>
      <c r="G565" s="324"/>
      <c r="H565" s="324"/>
      <c r="I565" s="324"/>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3:31" s="294" customFormat="1">
      <c r="C566" s="10"/>
      <c r="D566" s="29"/>
      <c r="E566" s="36"/>
      <c r="F566" s="324"/>
      <c r="G566" s="324"/>
      <c r="H566" s="324"/>
      <c r="I566" s="324"/>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3:31" s="294" customFormat="1">
      <c r="C567" s="10"/>
      <c r="D567" s="29"/>
      <c r="E567" s="36"/>
      <c r="F567" s="324"/>
      <c r="G567" s="324"/>
      <c r="H567" s="324"/>
      <c r="I567" s="324"/>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3:31" s="294" customFormat="1">
      <c r="C568" s="10"/>
      <c r="D568" s="29"/>
      <c r="E568" s="36"/>
      <c r="F568" s="324"/>
      <c r="G568" s="324"/>
      <c r="H568" s="324"/>
      <c r="I568" s="324"/>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3:31" s="294" customFormat="1">
      <c r="C569" s="10"/>
      <c r="D569" s="29"/>
      <c r="E569" s="36"/>
      <c r="F569" s="324"/>
      <c r="G569" s="324"/>
      <c r="H569" s="324"/>
      <c r="I569" s="324"/>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3:31" s="294" customFormat="1">
      <c r="C570" s="10"/>
      <c r="D570" s="29"/>
      <c r="E570" s="36"/>
      <c r="F570" s="324"/>
      <c r="G570" s="324"/>
      <c r="H570" s="324"/>
      <c r="I570" s="324"/>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3:31" s="294" customFormat="1">
      <c r="C571" s="10"/>
      <c r="D571" s="29"/>
      <c r="E571" s="36"/>
      <c r="F571" s="324"/>
      <c r="G571" s="324"/>
      <c r="H571" s="324"/>
      <c r="I571" s="324"/>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3:31" s="294" customFormat="1">
      <c r="C572" s="10"/>
      <c r="D572" s="29"/>
      <c r="E572" s="36"/>
      <c r="F572" s="324"/>
      <c r="G572" s="324"/>
      <c r="H572" s="324"/>
      <c r="I572" s="324"/>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3:31" s="294" customFormat="1">
      <c r="C573" s="10"/>
      <c r="D573" s="29"/>
      <c r="E573" s="36"/>
      <c r="F573" s="324"/>
      <c r="G573" s="324"/>
      <c r="H573" s="324"/>
      <c r="I573" s="324"/>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3:31" s="294" customFormat="1">
      <c r="C574" s="10"/>
      <c r="D574" s="29"/>
      <c r="E574" s="36"/>
      <c r="F574" s="324"/>
      <c r="G574" s="324"/>
      <c r="H574" s="324"/>
      <c r="I574" s="324"/>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3:31" s="294" customFormat="1">
      <c r="C575" s="10"/>
      <c r="D575" s="29"/>
      <c r="E575" s="36"/>
      <c r="F575" s="324"/>
      <c r="G575" s="324"/>
      <c r="H575" s="324"/>
      <c r="I575" s="324"/>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3:31" s="294" customFormat="1">
      <c r="C576" s="10"/>
      <c r="D576" s="29"/>
      <c r="E576" s="36"/>
      <c r="F576" s="324"/>
      <c r="G576" s="324"/>
      <c r="H576" s="324"/>
      <c r="I576" s="324"/>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3:31" s="294" customFormat="1">
      <c r="C577" s="10"/>
      <c r="D577" s="29"/>
      <c r="E577" s="36"/>
      <c r="F577" s="324"/>
      <c r="G577" s="324"/>
      <c r="H577" s="324"/>
      <c r="I577" s="324"/>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3:31" s="294" customFormat="1">
      <c r="C578" s="10"/>
      <c r="D578" s="29"/>
      <c r="E578" s="36"/>
      <c r="F578" s="324"/>
      <c r="G578" s="324"/>
      <c r="H578" s="324"/>
      <c r="I578" s="324"/>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3:31" s="294" customFormat="1">
      <c r="C579" s="10"/>
      <c r="D579" s="29"/>
      <c r="E579" s="36"/>
      <c r="F579" s="324"/>
      <c r="G579" s="324"/>
      <c r="H579" s="324"/>
      <c r="I579" s="324"/>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3:31" s="294" customFormat="1">
      <c r="C580" s="10"/>
      <c r="D580" s="29"/>
      <c r="E580" s="36"/>
      <c r="F580" s="324"/>
      <c r="G580" s="324"/>
      <c r="H580" s="324"/>
      <c r="I580" s="324"/>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3:31" s="294" customFormat="1">
      <c r="C581" s="10"/>
      <c r="D581" s="29"/>
      <c r="E581" s="36"/>
      <c r="F581" s="324"/>
      <c r="G581" s="324"/>
      <c r="H581" s="324"/>
      <c r="I581" s="324"/>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3:31" s="294" customFormat="1">
      <c r="C582" s="10"/>
      <c r="D582" s="29"/>
      <c r="E582" s="36"/>
      <c r="F582" s="324"/>
      <c r="G582" s="324"/>
      <c r="H582" s="324"/>
      <c r="I582" s="324"/>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3:31" s="294" customFormat="1">
      <c r="C583" s="10"/>
      <c r="D583" s="29"/>
      <c r="E583" s="36"/>
      <c r="F583" s="324"/>
      <c r="G583" s="324"/>
      <c r="H583" s="324"/>
      <c r="I583" s="324"/>
      <c r="J583" s="324"/>
      <c r="K583" s="324"/>
      <c r="L583" s="324"/>
      <c r="M583" s="324"/>
      <c r="N583" s="324"/>
      <c r="O583" s="324"/>
      <c r="P583" s="324"/>
      <c r="Q583" s="324"/>
      <c r="R583" s="324"/>
      <c r="S583" s="324"/>
      <c r="T583" s="324"/>
      <c r="U583" s="324"/>
      <c r="V583" s="324"/>
      <c r="W583" s="324"/>
      <c r="X583" s="324"/>
      <c r="Y583" s="324"/>
      <c r="Z583" s="324"/>
      <c r="AA583" s="324"/>
      <c r="AB583" s="324"/>
      <c r="AC583" s="324"/>
      <c r="AD583" s="324"/>
      <c r="AE583" s="324"/>
    </row>
    <row r="584" spans="3:31" s="294" customFormat="1">
      <c r="C584" s="10"/>
      <c r="D584" s="29"/>
      <c r="E584" s="36"/>
      <c r="F584" s="324"/>
      <c r="G584" s="324"/>
      <c r="H584" s="324"/>
      <c r="I584" s="324"/>
      <c r="J584" s="324"/>
      <c r="K584" s="324"/>
      <c r="L584" s="324"/>
      <c r="M584" s="324"/>
      <c r="N584" s="324"/>
      <c r="O584" s="324"/>
      <c r="P584" s="324"/>
      <c r="Q584" s="324"/>
      <c r="R584" s="324"/>
      <c r="S584" s="324"/>
      <c r="T584" s="324"/>
      <c r="U584" s="324"/>
      <c r="V584" s="324"/>
      <c r="W584" s="324"/>
      <c r="X584" s="324"/>
      <c r="Y584" s="324"/>
      <c r="Z584" s="324"/>
      <c r="AA584" s="324"/>
      <c r="AB584" s="324"/>
      <c r="AC584" s="324"/>
      <c r="AD584" s="324"/>
      <c r="AE584" s="324"/>
    </row>
    <row r="585" spans="3:31" s="294" customFormat="1">
      <c r="C585" s="10"/>
      <c r="D585" s="29"/>
      <c r="E585" s="36"/>
      <c r="F585" s="324"/>
      <c r="G585" s="324"/>
      <c r="H585" s="324"/>
      <c r="I585" s="324"/>
      <c r="J585" s="324"/>
      <c r="K585" s="324"/>
      <c r="L585" s="324"/>
      <c r="M585" s="324"/>
      <c r="N585" s="324"/>
      <c r="O585" s="324"/>
      <c r="P585" s="324"/>
      <c r="Q585" s="324"/>
      <c r="R585" s="324"/>
      <c r="S585" s="324"/>
      <c r="T585" s="324"/>
      <c r="U585" s="324"/>
      <c r="V585" s="324"/>
      <c r="W585" s="324"/>
      <c r="X585" s="324"/>
      <c r="Y585" s="324"/>
      <c r="Z585" s="324"/>
      <c r="AA585" s="324"/>
      <c r="AB585" s="324"/>
      <c r="AC585" s="324"/>
      <c r="AD585" s="324"/>
      <c r="AE585" s="324"/>
    </row>
    <row r="586" spans="3:31" s="294" customFormat="1">
      <c r="C586" s="10"/>
      <c r="D586" s="29"/>
      <c r="E586" s="36"/>
      <c r="F586" s="324"/>
      <c r="G586" s="324"/>
      <c r="H586" s="324"/>
      <c r="I586" s="324"/>
      <c r="J586" s="324"/>
      <c r="K586" s="324"/>
      <c r="L586" s="324"/>
      <c r="M586" s="324"/>
      <c r="N586" s="324"/>
      <c r="O586" s="324"/>
      <c r="P586" s="324"/>
      <c r="Q586" s="324"/>
      <c r="R586" s="324"/>
      <c r="S586" s="324"/>
      <c r="T586" s="324"/>
      <c r="U586" s="324"/>
      <c r="V586" s="324"/>
      <c r="W586" s="324"/>
      <c r="X586" s="324"/>
      <c r="Y586" s="324"/>
      <c r="Z586" s="324"/>
      <c r="AA586" s="324"/>
      <c r="AB586" s="324"/>
      <c r="AC586" s="324"/>
      <c r="AD586" s="324"/>
      <c r="AE586" s="324"/>
    </row>
    <row r="587" spans="3:31" s="294" customFormat="1">
      <c r="C587" s="10"/>
      <c r="D587" s="29"/>
      <c r="E587" s="36"/>
      <c r="F587" s="324"/>
      <c r="G587" s="324"/>
      <c r="H587" s="324"/>
      <c r="I587" s="324"/>
      <c r="J587" s="324"/>
      <c r="K587" s="324"/>
      <c r="L587" s="324"/>
      <c r="M587" s="324"/>
      <c r="N587" s="324"/>
      <c r="O587" s="324"/>
      <c r="P587" s="324"/>
      <c r="Q587" s="324"/>
      <c r="R587" s="324"/>
      <c r="S587" s="324"/>
      <c r="T587" s="324"/>
      <c r="U587" s="324"/>
      <c r="V587" s="324"/>
      <c r="W587" s="324"/>
      <c r="X587" s="324"/>
      <c r="Y587" s="324"/>
      <c r="Z587" s="324"/>
      <c r="AA587" s="324"/>
      <c r="AB587" s="324"/>
      <c r="AC587" s="324"/>
      <c r="AD587" s="324"/>
      <c r="AE587" s="324"/>
    </row>
    <row r="588" spans="3:31" s="294" customFormat="1">
      <c r="C588" s="10"/>
      <c r="D588" s="29"/>
      <c r="E588" s="36"/>
      <c r="F588" s="324"/>
      <c r="G588" s="324"/>
      <c r="H588" s="324"/>
      <c r="I588" s="324"/>
      <c r="J588" s="324"/>
      <c r="K588" s="324"/>
      <c r="L588" s="324"/>
      <c r="M588" s="324"/>
      <c r="N588" s="324"/>
      <c r="O588" s="324"/>
      <c r="P588" s="324"/>
      <c r="Q588" s="324"/>
      <c r="R588" s="324"/>
      <c r="S588" s="324"/>
      <c r="T588" s="324"/>
      <c r="U588" s="324"/>
      <c r="V588" s="324"/>
      <c r="W588" s="324"/>
      <c r="X588" s="324"/>
      <c r="Y588" s="324"/>
      <c r="Z588" s="324"/>
      <c r="AA588" s="324"/>
      <c r="AB588" s="324"/>
      <c r="AC588" s="324"/>
      <c r="AD588" s="324"/>
      <c r="AE588" s="324"/>
    </row>
    <row r="589" spans="3:31" s="294" customFormat="1">
      <c r="C589" s="10"/>
      <c r="D589" s="29"/>
      <c r="E589" s="36"/>
      <c r="F589" s="324"/>
      <c r="G589" s="324"/>
      <c r="H589" s="324"/>
      <c r="I589" s="324"/>
      <c r="J589" s="324"/>
      <c r="K589" s="324"/>
      <c r="L589" s="324"/>
      <c r="M589" s="324"/>
      <c r="N589" s="324"/>
      <c r="O589" s="324"/>
      <c r="P589" s="324"/>
      <c r="Q589" s="324"/>
      <c r="R589" s="324"/>
      <c r="S589" s="324"/>
      <c r="T589" s="324"/>
      <c r="U589" s="324"/>
      <c r="V589" s="324"/>
      <c r="W589" s="324"/>
      <c r="X589" s="324"/>
      <c r="Y589" s="324"/>
      <c r="Z589" s="324"/>
      <c r="AA589" s="324"/>
      <c r="AB589" s="324"/>
      <c r="AC589" s="324"/>
      <c r="AD589" s="324"/>
      <c r="AE589" s="324"/>
    </row>
    <row r="590" spans="3:31" s="294" customFormat="1">
      <c r="C590" s="10"/>
      <c r="D590" s="29"/>
      <c r="E590" s="36"/>
      <c r="F590" s="324"/>
      <c r="G590" s="324"/>
      <c r="H590" s="324"/>
      <c r="I590" s="324"/>
      <c r="J590" s="324"/>
      <c r="K590" s="324"/>
      <c r="L590" s="324"/>
      <c r="M590" s="324"/>
      <c r="N590" s="324"/>
      <c r="O590" s="324"/>
      <c r="P590" s="324"/>
      <c r="Q590" s="324"/>
      <c r="R590" s="324"/>
      <c r="S590" s="324"/>
      <c r="T590" s="324"/>
      <c r="U590" s="324"/>
      <c r="V590" s="324"/>
      <c r="W590" s="324"/>
      <c r="X590" s="324"/>
      <c r="Y590" s="324"/>
      <c r="Z590" s="324"/>
      <c r="AA590" s="324"/>
      <c r="AB590" s="324"/>
      <c r="AC590" s="324"/>
      <c r="AD590" s="324"/>
      <c r="AE590" s="324"/>
    </row>
    <row r="591" spans="3:31" s="294" customFormat="1">
      <c r="C591" s="10"/>
      <c r="D591" s="29"/>
      <c r="E591" s="36"/>
      <c r="F591" s="324"/>
      <c r="G591" s="324"/>
      <c r="H591" s="324"/>
      <c r="I591" s="324"/>
      <c r="J591" s="324"/>
      <c r="K591" s="324"/>
      <c r="L591" s="324"/>
      <c r="M591" s="324"/>
      <c r="N591" s="324"/>
      <c r="O591" s="324"/>
      <c r="P591" s="324"/>
      <c r="Q591" s="324"/>
      <c r="R591" s="324"/>
      <c r="S591" s="324"/>
      <c r="T591" s="324"/>
      <c r="U591" s="324"/>
      <c r="V591" s="324"/>
      <c r="W591" s="324"/>
      <c r="X591" s="324"/>
      <c r="Y591" s="324"/>
      <c r="Z591" s="324"/>
      <c r="AA591" s="324"/>
      <c r="AB591" s="324"/>
      <c r="AC591" s="324"/>
      <c r="AD591" s="324"/>
      <c r="AE591" s="324"/>
    </row>
    <row r="592" spans="3:31" s="294" customFormat="1">
      <c r="C592" s="10"/>
      <c r="D592" s="29"/>
      <c r="E592" s="36"/>
      <c r="F592" s="324"/>
      <c r="G592" s="324"/>
      <c r="H592" s="324"/>
      <c r="I592" s="324"/>
      <c r="J592" s="324"/>
      <c r="K592" s="324"/>
      <c r="L592" s="324"/>
      <c r="M592" s="324"/>
      <c r="N592" s="324"/>
      <c r="O592" s="324"/>
      <c r="P592" s="324"/>
      <c r="Q592" s="324"/>
      <c r="R592" s="324"/>
      <c r="S592" s="324"/>
      <c r="T592" s="324"/>
      <c r="U592" s="324"/>
      <c r="V592" s="324"/>
      <c r="W592" s="324"/>
      <c r="X592" s="324"/>
      <c r="Y592" s="324"/>
      <c r="Z592" s="324"/>
      <c r="AA592" s="324"/>
      <c r="AB592" s="324"/>
      <c r="AC592" s="324"/>
      <c r="AD592" s="324"/>
      <c r="AE592" s="324"/>
    </row>
    <row r="593" spans="3:31" s="294" customFormat="1">
      <c r="C593" s="10"/>
      <c r="D593" s="29"/>
      <c r="E593" s="36"/>
      <c r="F593" s="324"/>
      <c r="G593" s="324"/>
      <c r="H593" s="324"/>
      <c r="I593" s="324"/>
      <c r="J593" s="324"/>
      <c r="K593" s="324"/>
      <c r="L593" s="324"/>
      <c r="M593" s="324"/>
      <c r="N593" s="324"/>
      <c r="O593" s="324"/>
      <c r="P593" s="324"/>
      <c r="Q593" s="324"/>
      <c r="R593" s="324"/>
      <c r="S593" s="324"/>
      <c r="T593" s="324"/>
      <c r="U593" s="324"/>
      <c r="V593" s="324"/>
      <c r="W593" s="324"/>
      <c r="X593" s="324"/>
      <c r="Y593" s="324"/>
      <c r="Z593" s="324"/>
      <c r="AA593" s="324"/>
      <c r="AB593" s="324"/>
      <c r="AC593" s="324"/>
      <c r="AD593" s="324"/>
      <c r="AE593" s="324"/>
    </row>
    <row r="594" spans="3:31" s="294" customFormat="1">
      <c r="C594" s="10"/>
      <c r="D594" s="29"/>
      <c r="E594" s="36"/>
      <c r="F594" s="324"/>
      <c r="G594" s="324"/>
      <c r="H594" s="324"/>
      <c r="I594" s="324"/>
      <c r="J594" s="324"/>
      <c r="K594" s="324"/>
      <c r="L594" s="324"/>
      <c r="M594" s="324"/>
      <c r="N594" s="324"/>
      <c r="O594" s="324"/>
      <c r="P594" s="324"/>
      <c r="Q594" s="324"/>
      <c r="R594" s="324"/>
      <c r="S594" s="324"/>
      <c r="T594" s="324"/>
      <c r="U594" s="324"/>
      <c r="V594" s="324"/>
      <c r="W594" s="324"/>
      <c r="X594" s="324"/>
      <c r="Y594" s="324"/>
      <c r="Z594" s="324"/>
      <c r="AA594" s="324"/>
      <c r="AB594" s="324"/>
      <c r="AC594" s="324"/>
      <c r="AD594" s="324"/>
      <c r="AE594" s="324"/>
    </row>
    <row r="595" spans="3:31" s="294" customFormat="1">
      <c r="C595" s="10"/>
      <c r="D595" s="29"/>
      <c r="E595" s="36"/>
      <c r="F595" s="324"/>
      <c r="G595" s="324"/>
      <c r="H595" s="324"/>
      <c r="I595" s="324"/>
      <c r="J595" s="324"/>
      <c r="K595" s="324"/>
      <c r="L595" s="324"/>
      <c r="M595" s="324"/>
      <c r="N595" s="324"/>
      <c r="O595" s="324"/>
      <c r="P595" s="324"/>
      <c r="Q595" s="324"/>
      <c r="R595" s="324"/>
      <c r="S595" s="324"/>
      <c r="T595" s="324"/>
      <c r="U595" s="324"/>
      <c r="V595" s="324"/>
      <c r="W595" s="324"/>
      <c r="X595" s="324"/>
      <c r="Y595" s="324"/>
      <c r="Z595" s="324"/>
      <c r="AA595" s="324"/>
      <c r="AB595" s="324"/>
      <c r="AC595" s="324"/>
      <c r="AD595" s="324"/>
      <c r="AE595" s="324"/>
    </row>
    <row r="596" spans="3:31" s="294" customFormat="1">
      <c r="C596" s="10"/>
      <c r="D596" s="29"/>
      <c r="E596" s="36"/>
      <c r="F596" s="324"/>
      <c r="G596" s="324"/>
      <c r="H596" s="324"/>
      <c r="I596" s="324"/>
      <c r="J596" s="324"/>
      <c r="K596" s="324"/>
      <c r="L596" s="324"/>
      <c r="M596" s="324"/>
      <c r="N596" s="324"/>
      <c r="O596" s="324"/>
      <c r="P596" s="324"/>
      <c r="Q596" s="324"/>
      <c r="R596" s="324"/>
      <c r="S596" s="324"/>
      <c r="T596" s="324"/>
      <c r="U596" s="324"/>
      <c r="V596" s="324"/>
      <c r="W596" s="324"/>
      <c r="X596" s="324"/>
      <c r="Y596" s="324"/>
      <c r="Z596" s="324"/>
      <c r="AA596" s="324"/>
      <c r="AB596" s="324"/>
      <c r="AC596" s="324"/>
      <c r="AD596" s="324"/>
      <c r="AE596" s="324"/>
    </row>
    <row r="597" spans="3:31" s="294" customFormat="1">
      <c r="C597" s="10"/>
      <c r="D597" s="29"/>
      <c r="E597" s="36"/>
      <c r="F597" s="324"/>
      <c r="G597" s="324"/>
      <c r="H597" s="324"/>
      <c r="I597" s="324"/>
      <c r="J597" s="324"/>
      <c r="K597" s="324"/>
      <c r="L597" s="324"/>
      <c r="M597" s="324"/>
      <c r="N597" s="324"/>
      <c r="O597" s="324"/>
      <c r="P597" s="324"/>
      <c r="Q597" s="324"/>
      <c r="R597" s="324"/>
      <c r="S597" s="324"/>
      <c r="T597" s="324"/>
      <c r="U597" s="324"/>
      <c r="V597" s="324"/>
      <c r="W597" s="324"/>
      <c r="X597" s="324"/>
      <c r="Y597" s="324"/>
      <c r="Z597" s="324"/>
      <c r="AA597" s="324"/>
      <c r="AB597" s="324"/>
      <c r="AC597" s="324"/>
      <c r="AD597" s="324"/>
      <c r="AE597" s="324"/>
    </row>
    <row r="598" spans="3:31" s="294" customFormat="1">
      <c r="C598" s="10"/>
      <c r="D598" s="29"/>
      <c r="E598" s="36"/>
      <c r="F598" s="324"/>
      <c r="G598" s="324"/>
      <c r="H598" s="324"/>
      <c r="I598" s="324"/>
      <c r="J598" s="324"/>
      <c r="K598" s="324"/>
      <c r="L598" s="324"/>
      <c r="M598" s="324"/>
      <c r="N598" s="324"/>
      <c r="O598" s="324"/>
      <c r="P598" s="324"/>
      <c r="Q598" s="324"/>
      <c r="R598" s="324"/>
      <c r="S598" s="324"/>
      <c r="T598" s="324"/>
      <c r="U598" s="324"/>
      <c r="V598" s="324"/>
      <c r="W598" s="324"/>
      <c r="X598" s="324"/>
      <c r="Y598" s="324"/>
      <c r="Z598" s="324"/>
      <c r="AA598" s="324"/>
      <c r="AB598" s="324"/>
      <c r="AC598" s="324"/>
      <c r="AD598" s="324"/>
      <c r="AE598" s="324"/>
    </row>
    <row r="599" spans="3:31" s="294" customFormat="1">
      <c r="C599" s="10"/>
      <c r="D599" s="29"/>
      <c r="E599" s="36"/>
      <c r="F599" s="324"/>
      <c r="G599" s="324"/>
      <c r="H599" s="324"/>
      <c r="I599" s="324"/>
      <c r="J599" s="324"/>
      <c r="K599" s="324"/>
      <c r="L599" s="324"/>
      <c r="M599" s="324"/>
      <c r="N599" s="324"/>
      <c r="O599" s="324"/>
      <c r="P599" s="324"/>
      <c r="Q599" s="324"/>
      <c r="R599" s="324"/>
      <c r="S599" s="324"/>
      <c r="T599" s="324"/>
      <c r="U599" s="324"/>
      <c r="V599" s="324"/>
      <c r="W599" s="324"/>
      <c r="X599" s="324"/>
      <c r="Y599" s="324"/>
      <c r="Z599" s="324"/>
      <c r="AA599" s="324"/>
      <c r="AB599" s="324"/>
      <c r="AC599" s="324"/>
      <c r="AD599" s="324"/>
      <c r="AE599" s="324"/>
    </row>
    <row r="600" spans="3:31" s="294" customFormat="1">
      <c r="C600" s="10"/>
      <c r="D600" s="29"/>
      <c r="E600" s="36"/>
      <c r="F600" s="324"/>
      <c r="G600" s="324"/>
      <c r="H600" s="324"/>
      <c r="I600" s="324"/>
      <c r="J600" s="324"/>
      <c r="K600" s="324"/>
      <c r="L600" s="324"/>
      <c r="M600" s="324"/>
      <c r="N600" s="324"/>
      <c r="O600" s="324"/>
      <c r="P600" s="324"/>
      <c r="Q600" s="324"/>
      <c r="R600" s="324"/>
      <c r="S600" s="324"/>
      <c r="T600" s="324"/>
      <c r="U600" s="324"/>
      <c r="V600" s="324"/>
      <c r="W600" s="324"/>
      <c r="X600" s="324"/>
      <c r="Y600" s="324"/>
      <c r="Z600" s="324"/>
      <c r="AA600" s="324"/>
      <c r="AB600" s="324"/>
      <c r="AC600" s="324"/>
      <c r="AD600" s="324"/>
      <c r="AE600" s="324"/>
    </row>
    <row r="601" spans="3:31" s="294" customFormat="1">
      <c r="C601" s="10"/>
      <c r="D601" s="29"/>
      <c r="E601" s="36"/>
      <c r="F601" s="324"/>
      <c r="G601" s="324"/>
      <c r="H601" s="324"/>
      <c r="I601" s="324"/>
      <c r="J601" s="324"/>
      <c r="K601" s="324"/>
      <c r="L601" s="324"/>
      <c r="M601" s="324"/>
      <c r="N601" s="324"/>
      <c r="O601" s="324"/>
      <c r="P601" s="324"/>
      <c r="Q601" s="324"/>
      <c r="R601" s="324"/>
      <c r="S601" s="324"/>
      <c r="T601" s="324"/>
      <c r="U601" s="324"/>
      <c r="V601" s="324"/>
      <c r="W601" s="324"/>
      <c r="X601" s="324"/>
      <c r="Y601" s="324"/>
      <c r="Z601" s="324"/>
      <c r="AA601" s="324"/>
      <c r="AB601" s="324"/>
      <c r="AC601" s="324"/>
      <c r="AD601" s="324"/>
      <c r="AE601" s="324"/>
    </row>
    <row r="602" spans="3:31" s="294" customFormat="1">
      <c r="C602" s="10"/>
      <c r="D602" s="29"/>
      <c r="E602" s="36"/>
      <c r="F602" s="324"/>
      <c r="G602" s="324"/>
      <c r="H602" s="324"/>
      <c r="I602" s="324"/>
      <c r="J602" s="324"/>
      <c r="K602" s="324"/>
      <c r="L602" s="324"/>
      <c r="M602" s="324"/>
      <c r="N602" s="324"/>
      <c r="O602" s="324"/>
      <c r="P602" s="324"/>
      <c r="Q602" s="324"/>
      <c r="R602" s="324"/>
      <c r="S602" s="324"/>
      <c r="T602" s="324"/>
      <c r="U602" s="324"/>
      <c r="V602" s="324"/>
      <c r="W602" s="324"/>
      <c r="X602" s="324"/>
      <c r="Y602" s="324"/>
      <c r="Z602" s="324"/>
      <c r="AA602" s="324"/>
      <c r="AB602" s="324"/>
      <c r="AC602" s="324"/>
      <c r="AD602" s="324"/>
      <c r="AE602" s="324"/>
    </row>
    <row r="603" spans="3:31" s="294" customFormat="1">
      <c r="C603" s="10"/>
      <c r="D603" s="29"/>
      <c r="E603" s="36"/>
      <c r="F603" s="324"/>
      <c r="G603" s="324"/>
      <c r="H603" s="324"/>
      <c r="I603" s="324"/>
      <c r="J603" s="324"/>
      <c r="K603" s="324"/>
      <c r="L603" s="324"/>
      <c r="M603" s="324"/>
      <c r="N603" s="324"/>
      <c r="O603" s="324"/>
      <c r="P603" s="324"/>
      <c r="Q603" s="324"/>
      <c r="R603" s="324"/>
      <c r="S603" s="324"/>
      <c r="T603" s="324"/>
      <c r="U603" s="324"/>
      <c r="V603" s="324"/>
      <c r="W603" s="324"/>
      <c r="X603" s="324"/>
      <c r="Y603" s="324"/>
      <c r="Z603" s="324"/>
      <c r="AA603" s="324"/>
      <c r="AB603" s="324"/>
      <c r="AC603" s="324"/>
      <c r="AD603" s="324"/>
      <c r="AE603" s="324"/>
    </row>
    <row r="604" spans="3:31" s="294" customFormat="1">
      <c r="C604" s="10"/>
      <c r="D604" s="29"/>
      <c r="E604" s="36"/>
      <c r="F604" s="324"/>
      <c r="G604" s="324"/>
      <c r="H604" s="324"/>
      <c r="I604" s="324"/>
      <c r="J604" s="324"/>
      <c r="K604" s="324"/>
      <c r="L604" s="324"/>
      <c r="M604" s="324"/>
      <c r="N604" s="324"/>
      <c r="O604" s="324"/>
      <c r="P604" s="324"/>
      <c r="Q604" s="324"/>
      <c r="R604" s="324"/>
      <c r="S604" s="324"/>
      <c r="T604" s="324"/>
      <c r="U604" s="324"/>
      <c r="V604" s="324"/>
      <c r="W604" s="324"/>
      <c r="X604" s="324"/>
      <c r="Y604" s="324"/>
      <c r="Z604" s="324"/>
      <c r="AA604" s="324"/>
      <c r="AB604" s="324"/>
      <c r="AC604" s="324"/>
      <c r="AD604" s="324"/>
      <c r="AE604" s="324"/>
    </row>
    <row r="605" spans="3:31" s="294" customFormat="1">
      <c r="C605" s="10"/>
      <c r="D605" s="29"/>
      <c r="E605" s="36"/>
      <c r="F605" s="324"/>
      <c r="G605" s="324"/>
      <c r="H605" s="324"/>
      <c r="I605" s="324"/>
      <c r="J605" s="324"/>
      <c r="K605" s="324"/>
      <c r="L605" s="324"/>
      <c r="M605" s="324"/>
      <c r="N605" s="324"/>
      <c r="O605" s="324"/>
      <c r="P605" s="324"/>
      <c r="Q605" s="324"/>
      <c r="R605" s="324"/>
      <c r="S605" s="324"/>
      <c r="T605" s="324"/>
      <c r="U605" s="324"/>
      <c r="V605" s="324"/>
      <c r="W605" s="324"/>
      <c r="X605" s="324"/>
      <c r="Y605" s="324"/>
      <c r="Z605" s="324"/>
      <c r="AA605" s="324"/>
      <c r="AB605" s="324"/>
      <c r="AC605" s="324"/>
      <c r="AD605" s="324"/>
      <c r="AE605" s="324"/>
    </row>
    <row r="606" spans="3:31" s="294" customFormat="1">
      <c r="C606" s="10"/>
      <c r="D606" s="29"/>
      <c r="E606" s="36"/>
      <c r="F606" s="324"/>
      <c r="G606" s="324"/>
      <c r="H606" s="324"/>
      <c r="I606" s="324"/>
      <c r="J606" s="324"/>
      <c r="K606" s="324"/>
      <c r="L606" s="324"/>
      <c r="M606" s="324"/>
      <c r="N606" s="324"/>
      <c r="O606" s="324"/>
      <c r="P606" s="324"/>
      <c r="Q606" s="324"/>
      <c r="R606" s="324"/>
      <c r="S606" s="324"/>
      <c r="T606" s="324"/>
      <c r="U606" s="324"/>
      <c r="V606" s="324"/>
      <c r="W606" s="324"/>
      <c r="X606" s="324"/>
      <c r="Y606" s="324"/>
      <c r="Z606" s="324"/>
      <c r="AA606" s="324"/>
      <c r="AB606" s="324"/>
      <c r="AC606" s="324"/>
      <c r="AD606" s="324"/>
      <c r="AE606" s="324"/>
    </row>
    <row r="607" spans="3:31" s="294" customFormat="1">
      <c r="C607" s="10"/>
      <c r="D607" s="29"/>
      <c r="E607" s="36"/>
      <c r="F607" s="324"/>
      <c r="G607" s="324"/>
      <c r="H607" s="324"/>
      <c r="I607" s="324"/>
      <c r="J607" s="324"/>
      <c r="K607" s="324"/>
      <c r="L607" s="324"/>
      <c r="M607" s="324"/>
      <c r="N607" s="324"/>
      <c r="O607" s="324"/>
      <c r="P607" s="324"/>
      <c r="Q607" s="324"/>
      <c r="R607" s="324"/>
      <c r="S607" s="324"/>
      <c r="T607" s="324"/>
      <c r="U607" s="324"/>
      <c r="V607" s="324"/>
      <c r="W607" s="324"/>
      <c r="X607" s="324"/>
      <c r="Y607" s="324"/>
      <c r="Z607" s="324"/>
      <c r="AA607" s="324"/>
      <c r="AB607" s="324"/>
      <c r="AC607" s="324"/>
      <c r="AD607" s="324"/>
      <c r="AE607" s="324"/>
    </row>
    <row r="608" spans="3:31" s="294" customFormat="1">
      <c r="C608" s="10"/>
      <c r="D608" s="29"/>
      <c r="E608" s="36"/>
      <c r="F608" s="324"/>
      <c r="G608" s="324"/>
      <c r="H608" s="324"/>
      <c r="I608" s="324"/>
      <c r="J608" s="324"/>
      <c r="K608" s="324"/>
      <c r="L608" s="324"/>
      <c r="M608" s="324"/>
      <c r="N608" s="324"/>
      <c r="O608" s="324"/>
      <c r="P608" s="324"/>
      <c r="Q608" s="324"/>
      <c r="R608" s="324"/>
      <c r="S608" s="324"/>
      <c r="T608" s="324"/>
      <c r="U608" s="324"/>
      <c r="V608" s="324"/>
      <c r="W608" s="324"/>
      <c r="X608" s="324"/>
      <c r="Y608" s="324"/>
      <c r="Z608" s="324"/>
      <c r="AA608" s="324"/>
      <c r="AB608" s="324"/>
      <c r="AC608" s="324"/>
      <c r="AD608" s="324"/>
      <c r="AE608" s="324"/>
    </row>
    <row r="609" spans="3:31" s="294" customFormat="1">
      <c r="C609" s="10"/>
      <c r="D609" s="29"/>
      <c r="E609" s="36"/>
      <c r="F609" s="324"/>
      <c r="G609" s="324"/>
      <c r="H609" s="324"/>
      <c r="I609" s="324"/>
      <c r="J609" s="324"/>
      <c r="K609" s="324"/>
      <c r="L609" s="324"/>
      <c r="M609" s="324"/>
      <c r="N609" s="324"/>
      <c r="O609" s="324"/>
      <c r="P609" s="324"/>
      <c r="Q609" s="324"/>
      <c r="R609" s="324"/>
      <c r="S609" s="324"/>
      <c r="T609" s="324"/>
      <c r="U609" s="324"/>
      <c r="V609" s="324"/>
      <c r="W609" s="324"/>
      <c r="X609" s="324"/>
      <c r="Y609" s="324"/>
      <c r="Z609" s="324"/>
      <c r="AA609" s="324"/>
      <c r="AB609" s="324"/>
      <c r="AC609" s="324"/>
      <c r="AD609" s="324"/>
      <c r="AE609" s="324"/>
    </row>
    <row r="610" spans="3:31" s="294" customFormat="1">
      <c r="C610" s="10"/>
      <c r="D610" s="29"/>
      <c r="E610" s="36"/>
      <c r="F610" s="324"/>
      <c r="G610" s="324"/>
      <c r="H610" s="324"/>
      <c r="I610" s="324"/>
      <c r="J610" s="324"/>
      <c r="K610" s="324"/>
      <c r="L610" s="324"/>
      <c r="M610" s="324"/>
      <c r="N610" s="324"/>
      <c r="O610" s="324"/>
      <c r="P610" s="324"/>
      <c r="Q610" s="324"/>
      <c r="R610" s="324"/>
      <c r="S610" s="324"/>
      <c r="T610" s="324"/>
      <c r="U610" s="324"/>
      <c r="V610" s="324"/>
      <c r="W610" s="324"/>
      <c r="X610" s="324"/>
      <c r="Y610" s="324"/>
      <c r="Z610" s="324"/>
      <c r="AA610" s="324"/>
      <c r="AB610" s="324"/>
      <c r="AC610" s="324"/>
      <c r="AD610" s="324"/>
      <c r="AE610" s="324"/>
    </row>
    <row r="611" spans="3:31" s="294" customFormat="1">
      <c r="C611" s="10"/>
      <c r="D611" s="29"/>
      <c r="E611" s="36"/>
      <c r="F611" s="324"/>
      <c r="G611" s="324"/>
      <c r="H611" s="324"/>
      <c r="I611" s="324"/>
      <c r="J611" s="324"/>
      <c r="K611" s="324"/>
      <c r="L611" s="324"/>
      <c r="M611" s="324"/>
      <c r="N611" s="324"/>
      <c r="O611" s="324"/>
      <c r="P611" s="324"/>
      <c r="Q611" s="324"/>
      <c r="R611" s="324"/>
      <c r="S611" s="324"/>
      <c r="T611" s="324"/>
      <c r="U611" s="324"/>
      <c r="V611" s="324"/>
      <c r="W611" s="324"/>
      <c r="X611" s="324"/>
      <c r="Y611" s="324"/>
      <c r="Z611" s="324"/>
      <c r="AA611" s="324"/>
      <c r="AB611" s="324"/>
      <c r="AC611" s="324"/>
      <c r="AD611" s="324"/>
      <c r="AE611" s="324"/>
    </row>
    <row r="612" spans="3:31" s="294" customFormat="1">
      <c r="C612" s="10"/>
      <c r="D612" s="29"/>
      <c r="E612" s="36"/>
      <c r="F612" s="324"/>
      <c r="G612" s="324"/>
      <c r="H612" s="324"/>
      <c r="I612" s="324"/>
      <c r="J612" s="324"/>
      <c r="K612" s="324"/>
      <c r="L612" s="324"/>
      <c r="M612" s="324"/>
      <c r="N612" s="324"/>
      <c r="O612" s="324"/>
      <c r="P612" s="324"/>
      <c r="Q612" s="324"/>
      <c r="R612" s="324"/>
      <c r="S612" s="324"/>
      <c r="T612" s="324"/>
      <c r="U612" s="324"/>
      <c r="V612" s="324"/>
      <c r="W612" s="324"/>
      <c r="X612" s="324"/>
      <c r="Y612" s="324"/>
      <c r="Z612" s="324"/>
      <c r="AA612" s="324"/>
      <c r="AB612" s="324"/>
      <c r="AC612" s="324"/>
      <c r="AD612" s="324"/>
      <c r="AE612" s="324"/>
    </row>
    <row r="613" spans="3:31" s="294" customFormat="1">
      <c r="C613" s="10"/>
      <c r="D613" s="29"/>
      <c r="E613" s="36"/>
      <c r="F613" s="324"/>
      <c r="G613" s="324"/>
      <c r="H613" s="324"/>
      <c r="I613" s="324"/>
      <c r="J613" s="324"/>
      <c r="K613" s="324"/>
      <c r="L613" s="324"/>
      <c r="M613" s="324"/>
      <c r="N613" s="324"/>
      <c r="O613" s="324"/>
      <c r="P613" s="324"/>
      <c r="Q613" s="324"/>
      <c r="R613" s="324"/>
      <c r="S613" s="324"/>
      <c r="T613" s="324"/>
      <c r="U613" s="324"/>
      <c r="V613" s="324"/>
      <c r="W613" s="324"/>
      <c r="X613" s="324"/>
      <c r="Y613" s="324"/>
      <c r="Z613" s="324"/>
      <c r="AA613" s="324"/>
      <c r="AB613" s="324"/>
      <c r="AC613" s="324"/>
      <c r="AD613" s="324"/>
      <c r="AE613" s="324"/>
    </row>
    <row r="614" spans="3:31" s="294" customFormat="1">
      <c r="C614" s="10"/>
      <c r="D614" s="29"/>
      <c r="E614" s="36"/>
      <c r="F614" s="324"/>
      <c r="G614" s="324"/>
      <c r="H614" s="324"/>
      <c r="I614" s="324"/>
      <c r="J614" s="324"/>
      <c r="K614" s="324"/>
      <c r="L614" s="324"/>
      <c r="M614" s="324"/>
      <c r="N614" s="324"/>
      <c r="O614" s="324"/>
      <c r="P614" s="324"/>
      <c r="Q614" s="324"/>
      <c r="R614" s="324"/>
      <c r="S614" s="324"/>
      <c r="T614" s="324"/>
      <c r="U614" s="324"/>
      <c r="V614" s="324"/>
      <c r="W614" s="324"/>
      <c r="X614" s="324"/>
      <c r="Y614" s="324"/>
      <c r="Z614" s="324"/>
      <c r="AA614" s="324"/>
      <c r="AB614" s="324"/>
      <c r="AC614" s="324"/>
      <c r="AD614" s="324"/>
      <c r="AE614" s="324"/>
    </row>
    <row r="615" spans="3:31" s="294" customFormat="1">
      <c r="C615" s="10"/>
      <c r="D615" s="29"/>
      <c r="E615" s="36"/>
      <c r="F615" s="324"/>
      <c r="G615" s="324"/>
      <c r="H615" s="324"/>
      <c r="I615" s="324"/>
      <c r="J615" s="324"/>
      <c r="K615" s="324"/>
      <c r="L615" s="324"/>
      <c r="M615" s="324"/>
      <c r="N615" s="324"/>
      <c r="O615" s="324"/>
      <c r="P615" s="324"/>
      <c r="Q615" s="324"/>
      <c r="R615" s="324"/>
      <c r="S615" s="324"/>
      <c r="T615" s="324"/>
      <c r="U615" s="324"/>
      <c r="V615" s="324"/>
      <c r="W615" s="324"/>
      <c r="X615" s="324"/>
      <c r="Y615" s="324"/>
      <c r="Z615" s="324"/>
      <c r="AA615" s="324"/>
      <c r="AB615" s="324"/>
      <c r="AC615" s="324"/>
      <c r="AD615" s="324"/>
      <c r="AE615" s="324"/>
    </row>
    <row r="616" spans="3:31" s="294" customFormat="1">
      <c r="C616" s="10"/>
      <c r="D616" s="29"/>
      <c r="E616" s="36"/>
      <c r="F616" s="324"/>
      <c r="G616" s="324"/>
      <c r="H616" s="324"/>
      <c r="I616" s="324"/>
      <c r="J616" s="324"/>
      <c r="K616" s="324"/>
      <c r="L616" s="324"/>
      <c r="M616" s="324"/>
      <c r="N616" s="324"/>
      <c r="O616" s="324"/>
      <c r="P616" s="324"/>
      <c r="Q616" s="324"/>
      <c r="R616" s="324"/>
      <c r="S616" s="324"/>
      <c r="T616" s="324"/>
      <c r="U616" s="324"/>
      <c r="V616" s="324"/>
      <c r="W616" s="324"/>
      <c r="X616" s="324"/>
      <c r="Y616" s="324"/>
      <c r="Z616" s="324"/>
      <c r="AA616" s="324"/>
      <c r="AB616" s="324"/>
      <c r="AC616" s="324"/>
      <c r="AD616" s="324"/>
      <c r="AE616" s="324"/>
    </row>
    <row r="617" spans="3:31" s="294" customFormat="1">
      <c r="C617" s="10"/>
      <c r="D617" s="29"/>
      <c r="E617" s="36"/>
      <c r="F617" s="324"/>
      <c r="G617" s="324"/>
      <c r="H617" s="324"/>
      <c r="I617" s="324"/>
      <c r="J617" s="324"/>
      <c r="K617" s="324"/>
      <c r="L617" s="324"/>
      <c r="M617" s="324"/>
      <c r="N617" s="324"/>
      <c r="O617" s="324"/>
      <c r="P617" s="324"/>
      <c r="Q617" s="324"/>
      <c r="R617" s="324"/>
      <c r="S617" s="324"/>
      <c r="T617" s="324"/>
      <c r="U617" s="324"/>
      <c r="V617" s="324"/>
      <c r="W617" s="324"/>
      <c r="X617" s="324"/>
      <c r="Y617" s="324"/>
      <c r="Z617" s="324"/>
      <c r="AA617" s="324"/>
      <c r="AB617" s="324"/>
      <c r="AC617" s="324"/>
      <c r="AD617" s="324"/>
      <c r="AE617" s="324"/>
    </row>
    <row r="618" spans="3:31" s="294" customFormat="1">
      <c r="C618" s="10"/>
      <c r="D618" s="29"/>
      <c r="E618" s="36"/>
      <c r="F618" s="324"/>
      <c r="G618" s="324"/>
      <c r="H618" s="324"/>
      <c r="I618" s="324"/>
      <c r="J618" s="324"/>
      <c r="K618" s="324"/>
      <c r="L618" s="324"/>
      <c r="M618" s="324"/>
      <c r="N618" s="324"/>
      <c r="O618" s="324"/>
      <c r="P618" s="324"/>
      <c r="Q618" s="324"/>
      <c r="R618" s="324"/>
      <c r="S618" s="324"/>
      <c r="T618" s="324"/>
      <c r="U618" s="324"/>
      <c r="V618" s="324"/>
      <c r="W618" s="324"/>
      <c r="X618" s="324"/>
      <c r="Y618" s="324"/>
      <c r="Z618" s="324"/>
      <c r="AA618" s="324"/>
      <c r="AB618" s="324"/>
      <c r="AC618" s="324"/>
      <c r="AD618" s="324"/>
      <c r="AE618" s="324"/>
    </row>
    <row r="619" spans="3:31" s="294" customFormat="1">
      <c r="C619" s="10"/>
      <c r="D619" s="29"/>
      <c r="E619" s="36"/>
      <c r="F619" s="324"/>
      <c r="G619" s="324"/>
      <c r="H619" s="324"/>
      <c r="I619" s="324"/>
      <c r="J619" s="324"/>
      <c r="K619" s="324"/>
      <c r="L619" s="324"/>
      <c r="M619" s="324"/>
      <c r="N619" s="324"/>
      <c r="O619" s="324"/>
      <c r="P619" s="324"/>
      <c r="Q619" s="324"/>
      <c r="R619" s="324"/>
      <c r="S619" s="324"/>
      <c r="T619" s="324"/>
      <c r="U619" s="324"/>
      <c r="V619" s="324"/>
      <c r="W619" s="324"/>
      <c r="X619" s="324"/>
      <c r="Y619" s="324"/>
      <c r="Z619" s="324"/>
      <c r="AA619" s="324"/>
      <c r="AB619" s="324"/>
      <c r="AC619" s="324"/>
      <c r="AD619" s="324"/>
      <c r="AE619" s="324"/>
    </row>
    <row r="620" spans="3:31" s="294" customFormat="1">
      <c r="C620" s="10"/>
      <c r="D620" s="29"/>
      <c r="E620" s="36"/>
      <c r="F620" s="324"/>
      <c r="G620" s="324"/>
      <c r="H620" s="324"/>
      <c r="I620" s="324"/>
      <c r="J620" s="324"/>
      <c r="K620" s="324"/>
      <c r="L620" s="324"/>
      <c r="M620" s="324"/>
      <c r="N620" s="324"/>
      <c r="O620" s="324"/>
      <c r="P620" s="324"/>
      <c r="Q620" s="324"/>
      <c r="R620" s="324"/>
      <c r="S620" s="324"/>
      <c r="T620" s="324"/>
      <c r="U620" s="324"/>
      <c r="V620" s="324"/>
      <c r="W620" s="324"/>
      <c r="X620" s="324"/>
      <c r="Y620" s="324"/>
      <c r="Z620" s="324"/>
      <c r="AA620" s="324"/>
      <c r="AB620" s="324"/>
      <c r="AC620" s="324"/>
      <c r="AD620" s="324"/>
      <c r="AE620" s="324"/>
    </row>
    <row r="621" spans="3:31" s="294" customFormat="1">
      <c r="C621" s="10"/>
      <c r="D621" s="29"/>
      <c r="E621" s="36"/>
      <c r="F621" s="324"/>
      <c r="G621" s="324"/>
      <c r="H621" s="324"/>
      <c r="I621" s="324"/>
      <c r="J621" s="324"/>
      <c r="K621" s="324"/>
      <c r="L621" s="324"/>
      <c r="M621" s="324"/>
      <c r="N621" s="324"/>
      <c r="O621" s="324"/>
      <c r="P621" s="324"/>
      <c r="Q621" s="324"/>
      <c r="R621" s="324"/>
      <c r="S621" s="324"/>
      <c r="T621" s="324"/>
      <c r="U621" s="324"/>
      <c r="V621" s="324"/>
      <c r="W621" s="324"/>
      <c r="X621" s="324"/>
      <c r="Y621" s="324"/>
      <c r="Z621" s="324"/>
      <c r="AA621" s="324"/>
      <c r="AB621" s="324"/>
      <c r="AC621" s="324"/>
      <c r="AD621" s="324"/>
      <c r="AE621" s="324"/>
    </row>
    <row r="622" spans="3:31" s="294" customFormat="1">
      <c r="C622" s="10"/>
      <c r="D622" s="29"/>
      <c r="E622" s="36"/>
      <c r="F622" s="324"/>
      <c r="G622" s="324"/>
      <c r="H622" s="324"/>
      <c r="I622" s="324"/>
      <c r="J622" s="324"/>
      <c r="K622" s="324"/>
      <c r="L622" s="324"/>
      <c r="M622" s="324"/>
      <c r="N622" s="324"/>
      <c r="O622" s="324"/>
      <c r="P622" s="324"/>
      <c r="Q622" s="324"/>
      <c r="R622" s="324"/>
      <c r="S622" s="324"/>
      <c r="T622" s="324"/>
      <c r="U622" s="324"/>
      <c r="V622" s="324"/>
      <c r="W622" s="324"/>
      <c r="X622" s="324"/>
      <c r="Y622" s="324"/>
      <c r="Z622" s="324"/>
      <c r="AA622" s="324"/>
      <c r="AB622" s="324"/>
      <c r="AC622" s="324"/>
      <c r="AD622" s="324"/>
      <c r="AE622" s="324"/>
    </row>
    <row r="623" spans="3:31" s="294" customFormat="1">
      <c r="C623" s="10"/>
      <c r="D623" s="29"/>
      <c r="E623" s="36"/>
      <c r="F623" s="324"/>
      <c r="G623" s="324"/>
      <c r="H623" s="324"/>
      <c r="I623" s="324"/>
      <c r="J623" s="324"/>
      <c r="K623" s="324"/>
      <c r="L623" s="324"/>
      <c r="M623" s="324"/>
      <c r="N623" s="324"/>
      <c r="O623" s="324"/>
      <c r="P623" s="324"/>
      <c r="Q623" s="324"/>
      <c r="R623" s="324"/>
      <c r="S623" s="324"/>
      <c r="T623" s="324"/>
      <c r="U623" s="324"/>
      <c r="V623" s="324"/>
      <c r="W623" s="324"/>
      <c r="X623" s="324"/>
      <c r="Y623" s="324"/>
      <c r="Z623" s="324"/>
      <c r="AA623" s="324"/>
      <c r="AB623" s="324"/>
      <c r="AC623" s="324"/>
      <c r="AD623" s="324"/>
      <c r="AE623" s="324"/>
    </row>
    <row r="624" spans="3:31" s="294" customFormat="1">
      <c r="C624" s="10"/>
      <c r="D624" s="29"/>
      <c r="E624" s="36"/>
      <c r="F624" s="324"/>
      <c r="G624" s="324"/>
      <c r="H624" s="324"/>
      <c r="I624" s="324"/>
      <c r="J624" s="324"/>
      <c r="K624" s="324"/>
      <c r="L624" s="324"/>
      <c r="M624" s="324"/>
      <c r="N624" s="324"/>
      <c r="O624" s="324"/>
      <c r="P624" s="324"/>
      <c r="Q624" s="324"/>
      <c r="R624" s="324"/>
      <c r="S624" s="324"/>
      <c r="T624" s="324"/>
      <c r="U624" s="324"/>
      <c r="V624" s="324"/>
      <c r="W624" s="324"/>
      <c r="X624" s="324"/>
      <c r="Y624" s="324"/>
      <c r="Z624" s="324"/>
      <c r="AA624" s="324"/>
      <c r="AB624" s="324"/>
      <c r="AC624" s="324"/>
      <c r="AD624" s="324"/>
      <c r="AE624" s="324"/>
    </row>
    <row r="625" spans="3:31" s="294" customFormat="1">
      <c r="C625" s="10"/>
      <c r="D625" s="29"/>
      <c r="E625" s="36"/>
      <c r="F625" s="324"/>
      <c r="G625" s="324"/>
      <c r="H625" s="324"/>
      <c r="I625" s="324"/>
      <c r="J625" s="324"/>
      <c r="K625" s="324"/>
      <c r="L625" s="324"/>
      <c r="M625" s="324"/>
      <c r="N625" s="324"/>
      <c r="O625" s="324"/>
      <c r="P625" s="324"/>
      <c r="Q625" s="324"/>
      <c r="R625" s="324"/>
      <c r="S625" s="324"/>
      <c r="T625" s="324"/>
      <c r="U625" s="324"/>
      <c r="V625" s="324"/>
      <c r="W625" s="324"/>
      <c r="X625" s="324"/>
      <c r="Y625" s="324"/>
      <c r="Z625" s="324"/>
      <c r="AA625" s="324"/>
      <c r="AB625" s="324"/>
      <c r="AC625" s="324"/>
      <c r="AD625" s="324"/>
      <c r="AE625" s="324"/>
    </row>
    <row r="626" spans="3:31" s="294" customFormat="1">
      <c r="C626" s="10"/>
      <c r="D626" s="29"/>
      <c r="E626" s="36"/>
      <c r="F626" s="324"/>
      <c r="G626" s="324"/>
      <c r="H626" s="324"/>
      <c r="I626" s="324"/>
      <c r="J626" s="324"/>
      <c r="K626" s="324"/>
      <c r="L626" s="324"/>
      <c r="M626" s="324"/>
      <c r="N626" s="324"/>
      <c r="O626" s="324"/>
      <c r="P626" s="324"/>
      <c r="Q626" s="324"/>
      <c r="R626" s="324"/>
      <c r="S626" s="324"/>
      <c r="T626" s="324"/>
      <c r="U626" s="324"/>
      <c r="V626" s="324"/>
      <c r="W626" s="324"/>
      <c r="X626" s="324"/>
      <c r="Y626" s="324"/>
      <c r="Z626" s="324"/>
      <c r="AA626" s="324"/>
      <c r="AB626" s="324"/>
      <c r="AC626" s="324"/>
      <c r="AD626" s="324"/>
      <c r="AE626" s="324"/>
    </row>
    <row r="627" spans="3:31" s="294" customFormat="1">
      <c r="C627" s="10"/>
      <c r="D627" s="29"/>
      <c r="E627" s="36"/>
      <c r="F627" s="324"/>
      <c r="G627" s="324"/>
      <c r="H627" s="324"/>
      <c r="I627" s="324"/>
      <c r="J627" s="324"/>
      <c r="K627" s="324"/>
      <c r="L627" s="324"/>
      <c r="M627" s="324"/>
      <c r="N627" s="324"/>
      <c r="O627" s="324"/>
      <c r="P627" s="324"/>
      <c r="Q627" s="324"/>
      <c r="R627" s="324"/>
      <c r="S627" s="324"/>
      <c r="T627" s="324"/>
      <c r="U627" s="324"/>
      <c r="V627" s="324"/>
      <c r="W627" s="324"/>
      <c r="X627" s="324"/>
      <c r="Y627" s="324"/>
      <c r="Z627" s="324"/>
      <c r="AA627" s="324"/>
      <c r="AB627" s="324"/>
      <c r="AC627" s="324"/>
      <c r="AD627" s="324"/>
      <c r="AE627" s="324"/>
    </row>
    <row r="628" spans="3:31" s="294" customFormat="1">
      <c r="C628" s="10"/>
      <c r="D628" s="29"/>
      <c r="E628" s="36"/>
      <c r="F628" s="324"/>
      <c r="G628" s="324"/>
      <c r="H628" s="324"/>
      <c r="I628" s="324"/>
      <c r="J628" s="324"/>
      <c r="K628" s="324"/>
      <c r="L628" s="324"/>
      <c r="M628" s="324"/>
      <c r="N628" s="324"/>
      <c r="O628" s="324"/>
      <c r="P628" s="324"/>
      <c r="Q628" s="324"/>
      <c r="R628" s="324"/>
      <c r="S628" s="324"/>
      <c r="T628" s="324"/>
      <c r="U628" s="324"/>
      <c r="V628" s="324"/>
      <c r="W628" s="324"/>
      <c r="X628" s="324"/>
      <c r="Y628" s="324"/>
      <c r="Z628" s="324"/>
      <c r="AA628" s="324"/>
      <c r="AB628" s="324"/>
      <c r="AC628" s="324"/>
      <c r="AD628" s="324"/>
      <c r="AE628" s="324"/>
    </row>
    <row r="629" spans="3:31" s="294" customFormat="1">
      <c r="C629" s="10"/>
      <c r="D629" s="29"/>
      <c r="E629" s="36"/>
      <c r="F629" s="324"/>
      <c r="G629" s="324"/>
      <c r="H629" s="324"/>
      <c r="I629" s="324"/>
      <c r="J629" s="324"/>
      <c r="K629" s="324"/>
      <c r="L629" s="324"/>
      <c r="M629" s="324"/>
      <c r="N629" s="324"/>
      <c r="O629" s="324"/>
      <c r="P629" s="324"/>
      <c r="Q629" s="324"/>
      <c r="R629" s="324"/>
      <c r="S629" s="324"/>
      <c r="T629" s="324"/>
      <c r="U629" s="324"/>
      <c r="V629" s="324"/>
      <c r="W629" s="324"/>
      <c r="X629" s="324"/>
      <c r="Y629" s="324"/>
      <c r="Z629" s="324"/>
      <c r="AA629" s="324"/>
      <c r="AB629" s="324"/>
      <c r="AC629" s="324"/>
      <c r="AD629" s="324"/>
      <c r="AE629" s="324"/>
    </row>
    <row r="630" spans="3:31" s="294" customFormat="1">
      <c r="C630" s="10"/>
      <c r="D630" s="29"/>
      <c r="E630" s="36"/>
      <c r="F630" s="324"/>
      <c r="G630" s="324"/>
      <c r="H630" s="324"/>
      <c r="I630" s="324"/>
      <c r="J630" s="324"/>
      <c r="K630" s="324"/>
      <c r="L630" s="324"/>
      <c r="M630" s="324"/>
      <c r="N630" s="324"/>
      <c r="O630" s="324"/>
      <c r="P630" s="324"/>
      <c r="Q630" s="324"/>
      <c r="R630" s="324"/>
      <c r="S630" s="324"/>
      <c r="T630" s="324"/>
      <c r="U630" s="324"/>
      <c r="V630" s="324"/>
      <c r="W630" s="324"/>
      <c r="X630" s="324"/>
      <c r="Y630" s="324"/>
      <c r="Z630" s="324"/>
      <c r="AA630" s="324"/>
      <c r="AB630" s="324"/>
      <c r="AC630" s="324"/>
      <c r="AD630" s="324"/>
      <c r="AE630" s="324"/>
    </row>
    <row r="631" spans="3:31" s="294" customFormat="1">
      <c r="C631" s="10"/>
      <c r="D631" s="29"/>
      <c r="E631" s="36"/>
      <c r="F631" s="324"/>
      <c r="G631" s="324"/>
      <c r="H631" s="324"/>
      <c r="I631" s="324"/>
      <c r="J631" s="324"/>
      <c r="K631" s="324"/>
      <c r="L631" s="324"/>
      <c r="M631" s="324"/>
      <c r="N631" s="324"/>
      <c r="O631" s="324"/>
      <c r="P631" s="324"/>
      <c r="Q631" s="324"/>
      <c r="R631" s="324"/>
      <c r="S631" s="324"/>
      <c r="T631" s="324"/>
      <c r="U631" s="324"/>
      <c r="V631" s="324"/>
      <c r="W631" s="324"/>
      <c r="X631" s="324"/>
      <c r="Y631" s="324"/>
      <c r="Z631" s="324"/>
      <c r="AA631" s="324"/>
      <c r="AB631" s="324"/>
      <c r="AC631" s="324"/>
      <c r="AD631" s="324"/>
      <c r="AE631" s="324"/>
    </row>
    <row r="632" spans="3:31" s="294" customFormat="1">
      <c r="C632" s="10"/>
      <c r="D632" s="29"/>
      <c r="E632" s="36"/>
      <c r="F632" s="324"/>
      <c r="G632" s="324"/>
      <c r="H632" s="324"/>
      <c r="I632" s="324"/>
      <c r="J632" s="324"/>
      <c r="K632" s="324"/>
      <c r="L632" s="324"/>
      <c r="M632" s="324"/>
      <c r="N632" s="324"/>
      <c r="O632" s="324"/>
      <c r="P632" s="324"/>
      <c r="Q632" s="324"/>
      <c r="R632" s="324"/>
      <c r="S632" s="324"/>
      <c r="T632" s="324"/>
      <c r="U632" s="324"/>
      <c r="V632" s="324"/>
      <c r="W632" s="324"/>
      <c r="X632" s="324"/>
      <c r="Y632" s="324"/>
      <c r="Z632" s="324"/>
      <c r="AA632" s="324"/>
      <c r="AB632" s="324"/>
      <c r="AC632" s="324"/>
      <c r="AD632" s="324"/>
      <c r="AE632" s="324"/>
    </row>
    <row r="633" spans="3:31" s="294" customFormat="1">
      <c r="C633" s="10"/>
      <c r="D633" s="29"/>
      <c r="E633" s="36"/>
      <c r="F633" s="324"/>
      <c r="G633" s="324"/>
      <c r="H633" s="324"/>
      <c r="I633" s="324"/>
      <c r="J633" s="324"/>
      <c r="K633" s="324"/>
      <c r="L633" s="324"/>
      <c r="M633" s="324"/>
      <c r="N633" s="324"/>
      <c r="O633" s="324"/>
      <c r="P633" s="324"/>
      <c r="Q633" s="324"/>
      <c r="R633" s="324"/>
      <c r="S633" s="324"/>
      <c r="T633" s="324"/>
      <c r="U633" s="324"/>
      <c r="V633" s="324"/>
      <c r="W633" s="324"/>
      <c r="X633" s="324"/>
      <c r="Y633" s="324"/>
      <c r="Z633" s="324"/>
      <c r="AA633" s="324"/>
      <c r="AB633" s="324"/>
      <c r="AC633" s="324"/>
      <c r="AD633" s="324"/>
      <c r="AE633" s="324"/>
    </row>
    <row r="634" spans="3:31" s="294" customFormat="1">
      <c r="C634" s="10"/>
      <c r="D634" s="29"/>
      <c r="E634" s="36"/>
      <c r="F634" s="324"/>
      <c r="G634" s="324"/>
      <c r="H634" s="324"/>
      <c r="I634" s="324"/>
      <c r="J634" s="324"/>
      <c r="K634" s="324"/>
      <c r="L634" s="324"/>
      <c r="M634" s="324"/>
      <c r="N634" s="324"/>
      <c r="O634" s="324"/>
      <c r="P634" s="324"/>
      <c r="Q634" s="324"/>
      <c r="R634" s="324"/>
      <c r="S634" s="324"/>
      <c r="T634" s="324"/>
      <c r="U634" s="324"/>
      <c r="V634" s="324"/>
      <c r="W634" s="324"/>
      <c r="X634" s="324"/>
      <c r="Y634" s="324"/>
      <c r="Z634" s="324"/>
      <c r="AA634" s="324"/>
      <c r="AB634" s="324"/>
      <c r="AC634" s="324"/>
      <c r="AD634" s="324"/>
      <c r="AE634" s="324"/>
    </row>
    <row r="635" spans="3:31" s="294" customFormat="1">
      <c r="C635" s="10"/>
      <c r="D635" s="29"/>
      <c r="E635" s="36"/>
      <c r="F635" s="324"/>
      <c r="G635" s="324"/>
      <c r="H635" s="324"/>
      <c r="I635" s="324"/>
      <c r="J635" s="324"/>
      <c r="K635" s="324"/>
      <c r="L635" s="324"/>
      <c r="M635" s="324"/>
      <c r="N635" s="324"/>
      <c r="O635" s="324"/>
      <c r="P635" s="324"/>
      <c r="Q635" s="324"/>
      <c r="R635" s="324"/>
      <c r="S635" s="324"/>
      <c r="T635" s="324"/>
      <c r="U635" s="324"/>
      <c r="V635" s="324"/>
      <c r="W635" s="324"/>
      <c r="X635" s="324"/>
      <c r="Y635" s="324"/>
      <c r="Z635" s="324"/>
      <c r="AA635" s="324"/>
      <c r="AB635" s="324"/>
      <c r="AC635" s="324"/>
      <c r="AD635" s="324"/>
      <c r="AE635" s="324"/>
    </row>
    <row r="636" spans="3:31" s="294" customFormat="1">
      <c r="C636" s="10"/>
      <c r="D636" s="29"/>
      <c r="E636" s="36"/>
      <c r="F636" s="324"/>
      <c r="G636" s="324"/>
      <c r="H636" s="324"/>
      <c r="I636" s="324"/>
      <c r="J636" s="324"/>
      <c r="K636" s="324"/>
      <c r="L636" s="324"/>
      <c r="M636" s="324"/>
      <c r="N636" s="324"/>
      <c r="O636" s="324"/>
      <c r="P636" s="324"/>
      <c r="Q636" s="324"/>
      <c r="R636" s="324"/>
      <c r="S636" s="324"/>
      <c r="T636" s="324"/>
      <c r="U636" s="324"/>
      <c r="V636" s="324"/>
      <c r="W636" s="324"/>
      <c r="X636" s="324"/>
      <c r="Y636" s="324"/>
      <c r="Z636" s="324"/>
      <c r="AA636" s="324"/>
      <c r="AB636" s="324"/>
      <c r="AC636" s="324"/>
      <c r="AD636" s="324"/>
      <c r="AE636" s="324"/>
    </row>
    <row r="637" spans="3:31" s="294" customFormat="1">
      <c r="C637" s="10"/>
      <c r="D637" s="29"/>
      <c r="E637" s="36"/>
      <c r="F637" s="324"/>
      <c r="G637" s="324"/>
      <c r="H637" s="324"/>
      <c r="I637" s="324"/>
      <c r="J637" s="324"/>
      <c r="K637" s="324"/>
      <c r="L637" s="324"/>
      <c r="M637" s="324"/>
      <c r="N637" s="324"/>
      <c r="O637" s="324"/>
      <c r="P637" s="324"/>
      <c r="Q637" s="324"/>
      <c r="R637" s="324"/>
      <c r="S637" s="324"/>
      <c r="T637" s="324"/>
      <c r="U637" s="324"/>
      <c r="V637" s="324"/>
      <c r="W637" s="324"/>
      <c r="X637" s="324"/>
      <c r="Y637" s="324"/>
      <c r="Z637" s="324"/>
      <c r="AA637" s="324"/>
      <c r="AB637" s="324"/>
      <c r="AC637" s="324"/>
      <c r="AD637" s="324"/>
      <c r="AE637" s="324"/>
    </row>
    <row r="638" spans="3:31" s="294" customFormat="1">
      <c r="C638" s="10"/>
      <c r="D638" s="29"/>
      <c r="E638" s="36"/>
      <c r="F638" s="324"/>
      <c r="G638" s="324"/>
      <c r="H638" s="324"/>
      <c r="I638" s="324"/>
      <c r="J638" s="324"/>
      <c r="K638" s="324"/>
      <c r="L638" s="324"/>
      <c r="M638" s="324"/>
      <c r="N638" s="324"/>
      <c r="O638" s="324"/>
      <c r="P638" s="324"/>
      <c r="Q638" s="324"/>
      <c r="R638" s="324"/>
      <c r="S638" s="324"/>
      <c r="T638" s="324"/>
      <c r="U638" s="324"/>
      <c r="V638" s="324"/>
      <c r="W638" s="324"/>
      <c r="X638" s="324"/>
      <c r="Y638" s="324"/>
      <c r="Z638" s="324"/>
      <c r="AA638" s="324"/>
      <c r="AB638" s="324"/>
      <c r="AC638" s="324"/>
      <c r="AD638" s="324"/>
      <c r="AE638" s="324"/>
    </row>
    <row r="639" spans="3:31" s="294" customFormat="1">
      <c r="C639" s="10"/>
      <c r="D639" s="29"/>
      <c r="E639" s="36"/>
      <c r="F639" s="324"/>
      <c r="G639" s="324"/>
      <c r="H639" s="324"/>
      <c r="I639" s="324"/>
      <c r="J639" s="324"/>
      <c r="K639" s="324"/>
      <c r="L639" s="324"/>
      <c r="M639" s="324"/>
      <c r="N639" s="324"/>
      <c r="O639" s="324"/>
      <c r="P639" s="324"/>
      <c r="Q639" s="324"/>
      <c r="R639" s="324"/>
      <c r="S639" s="324"/>
      <c r="T639" s="324"/>
      <c r="U639" s="324"/>
      <c r="V639" s="324"/>
      <c r="W639" s="324"/>
      <c r="X639" s="324"/>
      <c r="Y639" s="324"/>
      <c r="Z639" s="324"/>
      <c r="AA639" s="324"/>
      <c r="AB639" s="324"/>
      <c r="AC639" s="324"/>
      <c r="AD639" s="324"/>
      <c r="AE639" s="324"/>
    </row>
    <row r="640" spans="3:31" s="294" customFormat="1">
      <c r="C640" s="10"/>
      <c r="D640" s="29"/>
      <c r="E640" s="36"/>
      <c r="F640" s="324"/>
      <c r="G640" s="324"/>
      <c r="H640" s="324"/>
      <c r="I640" s="324"/>
      <c r="J640" s="324"/>
      <c r="K640" s="324"/>
      <c r="L640" s="324"/>
      <c r="M640" s="324"/>
      <c r="N640" s="324"/>
      <c r="O640" s="324"/>
      <c r="P640" s="324"/>
      <c r="Q640" s="324"/>
      <c r="R640" s="324"/>
      <c r="S640" s="324"/>
      <c r="T640" s="324"/>
      <c r="U640" s="324"/>
      <c r="V640" s="324"/>
      <c r="W640" s="324"/>
      <c r="X640" s="324"/>
      <c r="Y640" s="324"/>
      <c r="Z640" s="324"/>
      <c r="AA640" s="324"/>
      <c r="AB640" s="324"/>
      <c r="AC640" s="324"/>
      <c r="AD640" s="324"/>
      <c r="AE640" s="324"/>
    </row>
    <row r="641" spans="3:31" s="294" customFormat="1">
      <c r="C641" s="10"/>
      <c r="D641" s="29"/>
      <c r="E641" s="36"/>
      <c r="F641" s="324"/>
      <c r="G641" s="324"/>
      <c r="H641" s="324"/>
      <c r="I641" s="324"/>
      <c r="J641" s="324"/>
      <c r="K641" s="324"/>
      <c r="L641" s="324"/>
      <c r="M641" s="324"/>
      <c r="N641" s="324"/>
      <c r="O641" s="324"/>
      <c r="P641" s="324"/>
      <c r="Q641" s="324"/>
      <c r="R641" s="324"/>
      <c r="S641" s="324"/>
      <c r="T641" s="324"/>
      <c r="U641" s="324"/>
      <c r="V641" s="324"/>
      <c r="W641" s="324"/>
      <c r="X641" s="324"/>
      <c r="Y641" s="324"/>
      <c r="Z641" s="324"/>
      <c r="AA641" s="324"/>
      <c r="AB641" s="324"/>
      <c r="AC641" s="324"/>
      <c r="AD641" s="324"/>
      <c r="AE641" s="324"/>
    </row>
    <row r="642" spans="3:31" s="294" customFormat="1">
      <c r="C642" s="10"/>
      <c r="D642" s="29"/>
      <c r="E642" s="36"/>
      <c r="F642" s="324"/>
      <c r="G642" s="324"/>
      <c r="H642" s="324"/>
      <c r="I642" s="324"/>
      <c r="J642" s="324"/>
      <c r="K642" s="324"/>
      <c r="L642" s="324"/>
      <c r="M642" s="324"/>
      <c r="N642" s="324"/>
      <c r="O642" s="324"/>
      <c r="P642" s="324"/>
      <c r="Q642" s="324"/>
      <c r="R642" s="324"/>
      <c r="S642" s="324"/>
      <c r="T642" s="324"/>
      <c r="U642" s="324"/>
      <c r="V642" s="324"/>
      <c r="W642" s="324"/>
      <c r="X642" s="324"/>
      <c r="Y642" s="324"/>
      <c r="Z642" s="324"/>
      <c r="AA642" s="324"/>
      <c r="AB642" s="324"/>
      <c r="AC642" s="324"/>
      <c r="AD642" s="324"/>
      <c r="AE642" s="324"/>
    </row>
    <row r="643" spans="3:31" s="294" customFormat="1">
      <c r="C643" s="10"/>
      <c r="D643" s="29"/>
      <c r="E643" s="36"/>
      <c r="F643" s="324"/>
      <c r="G643" s="324"/>
      <c r="H643" s="324"/>
      <c r="I643" s="324"/>
      <c r="J643" s="324"/>
      <c r="K643" s="324"/>
      <c r="L643" s="324"/>
      <c r="M643" s="324"/>
      <c r="N643" s="324"/>
      <c r="O643" s="324"/>
      <c r="P643" s="324"/>
      <c r="Q643" s="324"/>
      <c r="R643" s="324"/>
      <c r="S643" s="324"/>
      <c r="T643" s="324"/>
      <c r="U643" s="324"/>
      <c r="V643" s="324"/>
      <c r="W643" s="324"/>
      <c r="X643" s="324"/>
      <c r="Y643" s="324"/>
      <c r="Z643" s="324"/>
      <c r="AA643" s="324"/>
      <c r="AB643" s="324"/>
      <c r="AC643" s="324"/>
      <c r="AD643" s="324"/>
      <c r="AE643" s="324"/>
    </row>
    <row r="644" spans="3:31" s="294" customFormat="1">
      <c r="C644" s="10"/>
      <c r="D644" s="29"/>
      <c r="E644" s="36"/>
      <c r="F644" s="324"/>
      <c r="G644" s="324"/>
      <c r="H644" s="324"/>
      <c r="I644" s="324"/>
      <c r="J644" s="324"/>
      <c r="K644" s="324"/>
      <c r="L644" s="324"/>
      <c r="M644" s="324"/>
      <c r="N644" s="324"/>
      <c r="O644" s="324"/>
      <c r="P644" s="324"/>
      <c r="Q644" s="324"/>
      <c r="R644" s="324"/>
      <c r="S644" s="324"/>
      <c r="T644" s="324"/>
      <c r="U644" s="324"/>
      <c r="V644" s="324"/>
      <c r="W644" s="324"/>
      <c r="X644" s="324"/>
      <c r="Y644" s="324"/>
      <c r="Z644" s="324"/>
      <c r="AA644" s="324"/>
      <c r="AB644" s="324"/>
      <c r="AC644" s="324"/>
      <c r="AD644" s="324"/>
      <c r="AE644" s="324"/>
    </row>
    <row r="645" spans="3:31" s="294" customFormat="1">
      <c r="C645" s="10"/>
      <c r="D645" s="29"/>
      <c r="E645" s="36"/>
      <c r="F645" s="324"/>
      <c r="G645" s="324"/>
      <c r="H645" s="324"/>
      <c r="I645" s="324"/>
      <c r="J645" s="324"/>
      <c r="K645" s="324"/>
      <c r="L645" s="324"/>
      <c r="M645" s="324"/>
      <c r="N645" s="324"/>
      <c r="O645" s="324"/>
      <c r="P645" s="324"/>
      <c r="Q645" s="324"/>
      <c r="R645" s="324"/>
      <c r="S645" s="324"/>
      <c r="T645" s="324"/>
      <c r="U645" s="324"/>
      <c r="V645" s="324"/>
      <c r="W645" s="324"/>
      <c r="X645" s="324"/>
      <c r="Y645" s="324"/>
      <c r="Z645" s="324"/>
      <c r="AA645" s="324"/>
      <c r="AB645" s="324"/>
      <c r="AC645" s="324"/>
      <c r="AD645" s="324"/>
      <c r="AE645" s="324"/>
    </row>
    <row r="646" spans="3:31" s="294" customFormat="1">
      <c r="C646" s="10"/>
      <c r="D646" s="29"/>
      <c r="E646" s="36"/>
      <c r="F646" s="324"/>
      <c r="G646" s="324"/>
      <c r="H646" s="324"/>
      <c r="I646" s="324"/>
      <c r="J646" s="324"/>
      <c r="K646" s="324"/>
      <c r="L646" s="324"/>
      <c r="M646" s="324"/>
      <c r="N646" s="324"/>
      <c r="O646" s="324"/>
      <c r="P646" s="324"/>
      <c r="Q646" s="324"/>
      <c r="R646" s="324"/>
      <c r="S646" s="324"/>
      <c r="T646" s="324"/>
      <c r="U646" s="324"/>
      <c r="V646" s="324"/>
      <c r="W646" s="324"/>
      <c r="X646" s="324"/>
      <c r="Y646" s="324"/>
      <c r="Z646" s="324"/>
      <c r="AA646" s="324"/>
      <c r="AB646" s="324"/>
      <c r="AC646" s="324"/>
      <c r="AD646" s="324"/>
      <c r="AE646" s="324"/>
    </row>
    <row r="647" spans="3:31" s="294" customFormat="1">
      <c r="C647" s="10"/>
      <c r="D647" s="29"/>
      <c r="E647" s="36"/>
      <c r="F647" s="324"/>
      <c r="G647" s="324"/>
      <c r="H647" s="324"/>
      <c r="I647" s="324"/>
      <c r="J647" s="324"/>
      <c r="K647" s="324"/>
      <c r="L647" s="324"/>
      <c r="M647" s="324"/>
      <c r="N647" s="324"/>
      <c r="O647" s="324"/>
      <c r="P647" s="324"/>
      <c r="Q647" s="324"/>
      <c r="R647" s="324"/>
      <c r="S647" s="324"/>
      <c r="T647" s="324"/>
      <c r="U647" s="324"/>
      <c r="V647" s="324"/>
      <c r="W647" s="324"/>
      <c r="X647" s="324"/>
      <c r="Y647" s="324"/>
      <c r="Z647" s="324"/>
      <c r="AA647" s="324"/>
      <c r="AB647" s="324"/>
      <c r="AC647" s="324"/>
      <c r="AD647" s="324"/>
      <c r="AE647" s="324"/>
    </row>
    <row r="648" spans="3:31" s="294" customFormat="1">
      <c r="C648" s="10"/>
      <c r="D648" s="29"/>
      <c r="E648" s="36"/>
      <c r="F648" s="324"/>
      <c r="G648" s="324"/>
      <c r="H648" s="324"/>
      <c r="I648" s="324"/>
      <c r="J648" s="324"/>
      <c r="K648" s="324"/>
      <c r="L648" s="324"/>
      <c r="M648" s="324"/>
      <c r="N648" s="324"/>
      <c r="O648" s="324"/>
      <c r="P648" s="324"/>
      <c r="Q648" s="324"/>
      <c r="R648" s="324"/>
      <c r="S648" s="324"/>
      <c r="T648" s="324"/>
      <c r="U648" s="324"/>
      <c r="V648" s="324"/>
      <c r="W648" s="324"/>
      <c r="X648" s="324"/>
      <c r="Y648" s="324"/>
      <c r="Z648" s="324"/>
      <c r="AA648" s="324"/>
      <c r="AB648" s="324"/>
      <c r="AC648" s="324"/>
      <c r="AD648" s="324"/>
      <c r="AE648" s="324"/>
    </row>
    <row r="649" spans="3:31" s="294" customFormat="1">
      <c r="C649" s="10"/>
      <c r="D649" s="29"/>
      <c r="E649" s="36"/>
      <c r="F649" s="324"/>
      <c r="G649" s="324"/>
      <c r="H649" s="324"/>
      <c r="I649" s="324"/>
      <c r="J649" s="324"/>
      <c r="K649" s="324"/>
      <c r="L649" s="324"/>
      <c r="M649" s="324"/>
      <c r="N649" s="324"/>
      <c r="O649" s="324"/>
      <c r="P649" s="324"/>
      <c r="Q649" s="324"/>
      <c r="R649" s="324"/>
      <c r="S649" s="324"/>
      <c r="T649" s="324"/>
      <c r="U649" s="324"/>
      <c r="V649" s="324"/>
      <c r="W649" s="324"/>
      <c r="X649" s="324"/>
      <c r="Y649" s="324"/>
      <c r="Z649" s="324"/>
      <c r="AA649" s="324"/>
      <c r="AB649" s="324"/>
      <c r="AC649" s="324"/>
      <c r="AD649" s="324"/>
      <c r="AE649" s="324"/>
    </row>
    <row r="650" spans="3:31" s="294" customFormat="1">
      <c r="C650" s="10"/>
      <c r="D650" s="29"/>
      <c r="E650" s="36"/>
      <c r="F650" s="324"/>
      <c r="G650" s="324"/>
      <c r="H650" s="324"/>
      <c r="I650" s="324"/>
      <c r="J650" s="324"/>
      <c r="K650" s="324"/>
      <c r="L650" s="324"/>
      <c r="M650" s="324"/>
      <c r="N650" s="324"/>
      <c r="O650" s="324"/>
      <c r="P650" s="324"/>
      <c r="Q650" s="324"/>
      <c r="R650" s="324"/>
      <c r="S650" s="324"/>
      <c r="T650" s="324"/>
      <c r="U650" s="324"/>
      <c r="V650" s="324"/>
      <c r="W650" s="324"/>
      <c r="X650" s="324"/>
      <c r="Y650" s="324"/>
      <c r="Z650" s="324"/>
      <c r="AA650" s="324"/>
      <c r="AB650" s="324"/>
      <c r="AC650" s="324"/>
      <c r="AD650" s="324"/>
      <c r="AE650" s="324"/>
    </row>
    <row r="651" spans="3:31" s="294" customFormat="1">
      <c r="C651" s="10"/>
      <c r="D651" s="29"/>
      <c r="E651" s="36"/>
      <c r="F651" s="324"/>
      <c r="G651" s="324"/>
      <c r="H651" s="324"/>
      <c r="I651" s="324"/>
      <c r="J651" s="324"/>
      <c r="K651" s="324"/>
      <c r="L651" s="324"/>
      <c r="M651" s="324"/>
      <c r="N651" s="324"/>
      <c r="O651" s="324"/>
      <c r="P651" s="324"/>
      <c r="Q651" s="324"/>
      <c r="R651" s="324"/>
      <c r="S651" s="324"/>
      <c r="T651" s="324"/>
      <c r="U651" s="324"/>
      <c r="V651" s="324"/>
      <c r="W651" s="324"/>
      <c r="X651" s="324"/>
      <c r="Y651" s="324"/>
      <c r="Z651" s="324"/>
      <c r="AA651" s="324"/>
      <c r="AB651" s="324"/>
      <c r="AC651" s="324"/>
      <c r="AD651" s="324"/>
      <c r="AE651" s="324"/>
    </row>
    <row r="652" spans="3:31" s="294" customFormat="1">
      <c r="C652" s="10"/>
      <c r="D652" s="29"/>
      <c r="E652" s="36"/>
      <c r="F652" s="324"/>
      <c r="G652" s="324"/>
      <c r="H652" s="324"/>
      <c r="I652" s="324"/>
      <c r="J652" s="324"/>
      <c r="K652" s="324"/>
      <c r="L652" s="324"/>
      <c r="M652" s="324"/>
      <c r="N652" s="324"/>
      <c r="O652" s="324"/>
      <c r="P652" s="324"/>
      <c r="Q652" s="324"/>
      <c r="R652" s="324"/>
      <c r="S652" s="324"/>
      <c r="T652" s="324"/>
      <c r="U652" s="324"/>
      <c r="V652" s="324"/>
      <c r="W652" s="324"/>
      <c r="X652" s="324"/>
      <c r="Y652" s="324"/>
      <c r="Z652" s="324"/>
      <c r="AA652" s="324"/>
      <c r="AB652" s="324"/>
      <c r="AC652" s="324"/>
      <c r="AD652" s="324"/>
      <c r="AE652" s="324"/>
    </row>
    <row r="653" spans="3:31" s="294" customFormat="1">
      <c r="C653" s="10"/>
      <c r="D653" s="29"/>
      <c r="E653" s="36"/>
      <c r="F653" s="324"/>
      <c r="G653" s="324"/>
      <c r="H653" s="324"/>
      <c r="I653" s="324"/>
      <c r="J653" s="324"/>
      <c r="K653" s="324"/>
      <c r="L653" s="324"/>
      <c r="M653" s="324"/>
      <c r="N653" s="324"/>
      <c r="O653" s="324"/>
      <c r="P653" s="324"/>
      <c r="Q653" s="324"/>
      <c r="R653" s="324"/>
      <c r="S653" s="324"/>
      <c r="T653" s="324"/>
      <c r="U653" s="324"/>
      <c r="V653" s="324"/>
      <c r="W653" s="324"/>
      <c r="X653" s="324"/>
      <c r="Y653" s="324"/>
      <c r="Z653" s="324"/>
      <c r="AA653" s="324"/>
      <c r="AB653" s="324"/>
      <c r="AC653" s="324"/>
      <c r="AD653" s="324"/>
      <c r="AE653" s="324"/>
    </row>
    <row r="654" spans="3:31" s="294" customFormat="1">
      <c r="C654" s="10"/>
      <c r="D654" s="29"/>
      <c r="E654" s="36"/>
      <c r="F654" s="324"/>
      <c r="G654" s="324"/>
      <c r="H654" s="324"/>
      <c r="I654" s="324"/>
      <c r="J654" s="324"/>
      <c r="K654" s="324"/>
      <c r="L654" s="324"/>
      <c r="M654" s="324"/>
      <c r="N654" s="324"/>
      <c r="O654" s="324"/>
      <c r="P654" s="324"/>
      <c r="Q654" s="324"/>
      <c r="R654" s="324"/>
      <c r="S654" s="324"/>
      <c r="T654" s="324"/>
      <c r="U654" s="324"/>
      <c r="V654" s="324"/>
      <c r="W654" s="324"/>
      <c r="X654" s="324"/>
      <c r="Y654" s="324"/>
      <c r="Z654" s="324"/>
      <c r="AA654" s="324"/>
      <c r="AB654" s="324"/>
      <c r="AC654" s="324"/>
      <c r="AD654" s="324"/>
      <c r="AE654" s="324"/>
    </row>
    <row r="655" spans="3:31" s="294" customFormat="1">
      <c r="C655" s="10"/>
      <c r="D655" s="29"/>
      <c r="E655" s="36"/>
      <c r="F655" s="324"/>
      <c r="G655" s="324"/>
      <c r="H655" s="324"/>
      <c r="I655" s="324"/>
      <c r="J655" s="324"/>
      <c r="K655" s="324"/>
      <c r="L655" s="324"/>
      <c r="M655" s="324"/>
      <c r="N655" s="324"/>
      <c r="O655" s="324"/>
      <c r="P655" s="324"/>
      <c r="Q655" s="324"/>
      <c r="R655" s="324"/>
      <c r="S655" s="324"/>
      <c r="T655" s="324"/>
      <c r="U655" s="324"/>
      <c r="V655" s="324"/>
      <c r="W655" s="324"/>
      <c r="X655" s="324"/>
      <c r="Y655" s="324"/>
      <c r="Z655" s="324"/>
      <c r="AA655" s="324"/>
      <c r="AB655" s="324"/>
      <c r="AC655" s="324"/>
      <c r="AD655" s="324"/>
      <c r="AE655" s="324"/>
    </row>
    <row r="656" spans="3:31" s="294" customFormat="1">
      <c r="C656" s="10"/>
      <c r="D656" s="29"/>
      <c r="E656" s="36"/>
      <c r="F656" s="324"/>
      <c r="G656" s="324"/>
      <c r="H656" s="324"/>
      <c r="I656" s="324"/>
      <c r="J656" s="324"/>
      <c r="K656" s="324"/>
      <c r="L656" s="324"/>
      <c r="M656" s="324"/>
      <c r="N656" s="324"/>
      <c r="O656" s="324"/>
      <c r="P656" s="324"/>
      <c r="Q656" s="324"/>
      <c r="R656" s="324"/>
      <c r="S656" s="324"/>
      <c r="T656" s="324"/>
      <c r="U656" s="324"/>
      <c r="V656" s="324"/>
      <c r="W656" s="324"/>
      <c r="X656" s="324"/>
      <c r="Y656" s="324"/>
      <c r="Z656" s="324"/>
      <c r="AA656" s="324"/>
      <c r="AB656" s="324"/>
      <c r="AC656" s="324"/>
      <c r="AD656" s="324"/>
      <c r="AE656" s="324"/>
    </row>
    <row r="657" spans="3:31" s="294" customFormat="1">
      <c r="C657" s="10"/>
      <c r="D657" s="29"/>
      <c r="E657" s="36"/>
      <c r="F657" s="324"/>
      <c r="G657" s="324"/>
      <c r="H657" s="324"/>
      <c r="I657" s="324"/>
      <c r="J657" s="324"/>
      <c r="K657" s="324"/>
      <c r="L657" s="324"/>
      <c r="M657" s="324"/>
      <c r="N657" s="324"/>
      <c r="O657" s="324"/>
      <c r="P657" s="324"/>
      <c r="Q657" s="324"/>
      <c r="R657" s="324"/>
      <c r="S657" s="324"/>
      <c r="T657" s="324"/>
      <c r="U657" s="324"/>
      <c r="V657" s="324"/>
      <c r="W657" s="324"/>
      <c r="X657" s="324"/>
      <c r="Y657" s="324"/>
      <c r="Z657" s="324"/>
      <c r="AA657" s="324"/>
      <c r="AB657" s="324"/>
      <c r="AC657" s="324"/>
      <c r="AD657" s="324"/>
      <c r="AE657" s="324"/>
    </row>
    <row r="658" spans="3:31" s="294" customFormat="1">
      <c r="C658" s="10"/>
      <c r="D658" s="29"/>
      <c r="E658" s="36"/>
      <c r="F658" s="324"/>
      <c r="G658" s="324"/>
      <c r="H658" s="324"/>
      <c r="I658" s="324"/>
      <c r="J658" s="324"/>
      <c r="K658" s="324"/>
      <c r="L658" s="324"/>
      <c r="M658" s="324"/>
      <c r="N658" s="324"/>
      <c r="O658" s="324"/>
      <c r="P658" s="324"/>
      <c r="Q658" s="324"/>
      <c r="R658" s="324"/>
      <c r="S658" s="324"/>
      <c r="T658" s="324"/>
      <c r="U658" s="324"/>
      <c r="V658" s="324"/>
      <c r="W658" s="324"/>
      <c r="X658" s="324"/>
      <c r="Y658" s="324"/>
      <c r="Z658" s="324"/>
      <c r="AA658" s="324"/>
      <c r="AB658" s="324"/>
      <c r="AC658" s="324"/>
      <c r="AD658" s="324"/>
      <c r="AE658" s="324"/>
    </row>
    <row r="659" spans="3:31" s="294" customFormat="1">
      <c r="C659" s="10"/>
      <c r="D659" s="29"/>
      <c r="E659" s="36"/>
      <c r="F659" s="324"/>
      <c r="G659" s="324"/>
      <c r="H659" s="324"/>
      <c r="I659" s="324"/>
      <c r="J659" s="324"/>
      <c r="K659" s="324"/>
      <c r="L659" s="324"/>
      <c r="M659" s="324"/>
      <c r="N659" s="324"/>
      <c r="O659" s="324"/>
      <c r="P659" s="324"/>
      <c r="Q659" s="324"/>
      <c r="R659" s="324"/>
      <c r="S659" s="324"/>
      <c r="T659" s="324"/>
      <c r="U659" s="324"/>
      <c r="V659" s="324"/>
      <c r="W659" s="324"/>
      <c r="X659" s="324"/>
      <c r="Y659" s="324"/>
      <c r="Z659" s="324"/>
      <c r="AA659" s="324"/>
      <c r="AB659" s="324"/>
      <c r="AC659" s="324"/>
      <c r="AD659" s="324"/>
      <c r="AE659" s="324"/>
    </row>
    <row r="660" spans="3:31" s="294" customFormat="1">
      <c r="C660" s="10"/>
      <c r="D660" s="29"/>
      <c r="E660" s="36"/>
      <c r="F660" s="324"/>
      <c r="G660" s="324"/>
      <c r="H660" s="324"/>
      <c r="I660" s="324"/>
      <c r="J660" s="324"/>
      <c r="K660" s="324"/>
      <c r="L660" s="324"/>
      <c r="M660" s="324"/>
      <c r="N660" s="324"/>
      <c r="O660" s="324"/>
      <c r="P660" s="324"/>
      <c r="Q660" s="324"/>
      <c r="R660" s="324"/>
      <c r="S660" s="324"/>
      <c r="T660" s="324"/>
      <c r="U660" s="324"/>
      <c r="V660" s="324"/>
      <c r="W660" s="324"/>
      <c r="X660" s="324"/>
      <c r="Y660" s="324"/>
      <c r="Z660" s="324"/>
      <c r="AA660" s="324"/>
      <c r="AB660" s="324"/>
      <c r="AC660" s="324"/>
      <c r="AD660" s="324"/>
      <c r="AE660" s="324"/>
    </row>
    <row r="661" spans="3:31" s="294" customFormat="1">
      <c r="C661" s="10"/>
      <c r="D661" s="29"/>
      <c r="E661" s="36"/>
      <c r="F661" s="324"/>
      <c r="G661" s="324"/>
      <c r="H661" s="324"/>
      <c r="I661" s="324"/>
      <c r="J661" s="324"/>
      <c r="K661" s="324"/>
      <c r="L661" s="324"/>
      <c r="M661" s="324"/>
      <c r="N661" s="324"/>
      <c r="O661" s="324"/>
      <c r="P661" s="324"/>
      <c r="Q661" s="324"/>
      <c r="R661" s="324"/>
      <c r="S661" s="324"/>
      <c r="T661" s="324"/>
      <c r="U661" s="324"/>
      <c r="V661" s="324"/>
      <c r="W661" s="324"/>
      <c r="X661" s="324"/>
      <c r="Y661" s="324"/>
      <c r="Z661" s="324"/>
      <c r="AA661" s="324"/>
      <c r="AB661" s="324"/>
      <c r="AC661" s="324"/>
      <c r="AD661" s="324"/>
      <c r="AE661" s="324"/>
    </row>
    <row r="662" spans="3:31" s="294" customFormat="1">
      <c r="C662" s="10"/>
      <c r="D662" s="29"/>
      <c r="E662" s="36"/>
      <c r="F662" s="324"/>
      <c r="G662" s="324"/>
      <c r="H662" s="324"/>
      <c r="I662" s="324"/>
      <c r="J662" s="324"/>
      <c r="K662" s="324"/>
      <c r="L662" s="324"/>
      <c r="M662" s="324"/>
      <c r="N662" s="324"/>
      <c r="O662" s="324"/>
      <c r="P662" s="324"/>
      <c r="Q662" s="324"/>
      <c r="R662" s="324"/>
      <c r="S662" s="324"/>
      <c r="T662" s="324"/>
      <c r="U662" s="324"/>
      <c r="V662" s="324"/>
      <c r="W662" s="324"/>
      <c r="X662" s="324"/>
      <c r="Y662" s="324"/>
      <c r="Z662" s="324"/>
      <c r="AA662" s="324"/>
      <c r="AB662" s="324"/>
      <c r="AC662" s="324"/>
      <c r="AD662" s="324"/>
      <c r="AE662" s="324"/>
    </row>
    <row r="663" spans="3:31" s="294" customFormat="1">
      <c r="C663" s="10"/>
      <c r="D663" s="29"/>
      <c r="E663" s="36"/>
      <c r="F663" s="324"/>
      <c r="G663" s="324"/>
      <c r="H663" s="324"/>
      <c r="I663" s="324"/>
      <c r="J663" s="324"/>
      <c r="K663" s="324"/>
      <c r="L663" s="324"/>
      <c r="M663" s="324"/>
      <c r="N663" s="324"/>
      <c r="O663" s="324"/>
      <c r="P663" s="324"/>
      <c r="Q663" s="324"/>
      <c r="R663" s="324"/>
      <c r="S663" s="324"/>
      <c r="T663" s="324"/>
      <c r="U663" s="324"/>
      <c r="V663" s="324"/>
      <c r="W663" s="324"/>
      <c r="X663" s="324"/>
      <c r="Y663" s="324"/>
      <c r="Z663" s="324"/>
      <c r="AA663" s="324"/>
      <c r="AB663" s="324"/>
      <c r="AC663" s="324"/>
      <c r="AD663" s="324"/>
      <c r="AE663" s="324"/>
    </row>
    <row r="664" spans="3:31" s="294" customFormat="1">
      <c r="C664" s="10"/>
      <c r="D664" s="29"/>
      <c r="E664" s="36"/>
      <c r="F664" s="324"/>
      <c r="G664" s="324"/>
      <c r="H664" s="324"/>
      <c r="I664" s="324"/>
      <c r="J664" s="324"/>
      <c r="K664" s="324"/>
      <c r="L664" s="324"/>
      <c r="M664" s="324"/>
      <c r="N664" s="324"/>
      <c r="O664" s="324"/>
      <c r="P664" s="324"/>
      <c r="Q664" s="324"/>
      <c r="R664" s="324"/>
      <c r="S664" s="324"/>
      <c r="T664" s="324"/>
      <c r="U664" s="324"/>
      <c r="V664" s="324"/>
      <c r="W664" s="324"/>
      <c r="X664" s="324"/>
      <c r="Y664" s="324"/>
      <c r="Z664" s="324"/>
      <c r="AA664" s="324"/>
      <c r="AB664" s="324"/>
      <c r="AC664" s="324"/>
      <c r="AD664" s="324"/>
      <c r="AE664" s="324"/>
    </row>
    <row r="665" spans="3:31" s="294" customFormat="1">
      <c r="C665" s="10"/>
      <c r="D665" s="29"/>
      <c r="E665" s="36"/>
      <c r="F665" s="324"/>
      <c r="G665" s="324"/>
      <c r="H665" s="324"/>
      <c r="I665" s="324"/>
      <c r="J665" s="324"/>
      <c r="K665" s="324"/>
      <c r="L665" s="324"/>
      <c r="M665" s="324"/>
      <c r="N665" s="324"/>
      <c r="O665" s="324"/>
      <c r="P665" s="324"/>
      <c r="Q665" s="324"/>
      <c r="R665" s="324"/>
      <c r="S665" s="324"/>
      <c r="T665" s="324"/>
      <c r="U665" s="324"/>
      <c r="V665" s="324"/>
      <c r="W665" s="324"/>
      <c r="X665" s="324"/>
      <c r="Y665" s="324"/>
      <c r="Z665" s="324"/>
      <c r="AA665" s="324"/>
      <c r="AB665" s="324"/>
      <c r="AC665" s="324"/>
      <c r="AD665" s="324"/>
      <c r="AE665" s="324"/>
    </row>
    <row r="666" spans="3:31" s="294" customFormat="1">
      <c r="C666" s="10"/>
      <c r="D666" s="29"/>
      <c r="E666" s="36"/>
      <c r="F666" s="324"/>
      <c r="G666" s="324"/>
      <c r="H666" s="324"/>
      <c r="I666" s="324"/>
      <c r="J666" s="324"/>
      <c r="K666" s="324"/>
      <c r="L666" s="324"/>
      <c r="M666" s="324"/>
      <c r="N666" s="324"/>
      <c r="O666" s="324"/>
      <c r="P666" s="324"/>
      <c r="Q666" s="324"/>
      <c r="R666" s="324"/>
      <c r="S666" s="324"/>
      <c r="T666" s="324"/>
      <c r="U666" s="324"/>
      <c r="V666" s="324"/>
      <c r="W666" s="324"/>
      <c r="X666" s="324"/>
      <c r="Y666" s="324"/>
      <c r="Z666" s="324"/>
      <c r="AA666" s="324"/>
      <c r="AB666" s="324"/>
      <c r="AC666" s="324"/>
      <c r="AD666" s="324"/>
      <c r="AE666" s="324"/>
    </row>
    <row r="667" spans="3:31" s="294" customFormat="1">
      <c r="C667" s="10"/>
      <c r="D667" s="29"/>
      <c r="E667" s="36"/>
      <c r="F667" s="324"/>
      <c r="G667" s="324"/>
      <c r="H667" s="324"/>
      <c r="I667" s="324"/>
      <c r="J667" s="324"/>
      <c r="K667" s="324"/>
      <c r="L667" s="324"/>
      <c r="M667" s="324"/>
      <c r="N667" s="324"/>
      <c r="O667" s="324"/>
      <c r="P667" s="324"/>
      <c r="Q667" s="324"/>
      <c r="R667" s="324"/>
      <c r="S667" s="324"/>
      <c r="T667" s="324"/>
      <c r="U667" s="324"/>
      <c r="V667" s="324"/>
      <c r="W667" s="324"/>
      <c r="X667" s="324"/>
      <c r="Y667" s="324"/>
      <c r="Z667" s="324"/>
      <c r="AA667" s="324"/>
      <c r="AB667" s="324"/>
      <c r="AC667" s="324"/>
      <c r="AD667" s="324"/>
      <c r="AE667" s="324"/>
    </row>
    <row r="668" spans="3:31" s="294" customFormat="1">
      <c r="C668" s="10"/>
      <c r="D668" s="29"/>
      <c r="E668" s="36"/>
      <c r="F668" s="324"/>
      <c r="G668" s="324"/>
      <c r="H668" s="324"/>
      <c r="I668" s="324"/>
      <c r="J668" s="324"/>
      <c r="K668" s="324"/>
      <c r="L668" s="324"/>
      <c r="M668" s="324"/>
      <c r="N668" s="324"/>
      <c r="O668" s="324"/>
      <c r="P668" s="324"/>
      <c r="Q668" s="324"/>
      <c r="R668" s="324"/>
      <c r="S668" s="324"/>
      <c r="T668" s="324"/>
      <c r="U668" s="324"/>
      <c r="V668" s="324"/>
      <c r="W668" s="324"/>
      <c r="X668" s="324"/>
      <c r="Y668" s="324"/>
      <c r="Z668" s="324"/>
      <c r="AA668" s="324"/>
      <c r="AB668" s="324"/>
      <c r="AC668" s="324"/>
      <c r="AD668" s="324"/>
      <c r="AE668" s="324"/>
    </row>
    <row r="669" spans="3:31" s="294" customFormat="1">
      <c r="C669" s="10"/>
      <c r="D669" s="29"/>
      <c r="E669" s="36"/>
      <c r="F669" s="324"/>
      <c r="G669" s="324"/>
      <c r="H669" s="324"/>
      <c r="I669" s="324"/>
      <c r="J669" s="324"/>
      <c r="K669" s="324"/>
      <c r="L669" s="324"/>
      <c r="M669" s="324"/>
      <c r="N669" s="324"/>
      <c r="O669" s="324"/>
      <c r="P669" s="324"/>
      <c r="Q669" s="324"/>
      <c r="R669" s="324"/>
      <c r="S669" s="324"/>
      <c r="T669" s="324"/>
      <c r="U669" s="324"/>
      <c r="V669" s="324"/>
      <c r="W669" s="324"/>
      <c r="X669" s="324"/>
      <c r="Y669" s="324"/>
      <c r="Z669" s="324"/>
      <c r="AA669" s="324"/>
      <c r="AB669" s="324"/>
      <c r="AC669" s="324"/>
      <c r="AD669" s="324"/>
      <c r="AE669" s="324"/>
    </row>
    <row r="670" spans="3:31" s="294" customFormat="1">
      <c r="C670" s="10"/>
      <c r="D670" s="29"/>
      <c r="E670" s="36"/>
      <c r="F670" s="324"/>
      <c r="G670" s="324"/>
      <c r="H670" s="324"/>
      <c r="I670" s="324"/>
      <c r="J670" s="324"/>
      <c r="K670" s="324"/>
      <c r="L670" s="324"/>
      <c r="M670" s="324"/>
      <c r="N670" s="324"/>
      <c r="O670" s="324"/>
      <c r="P670" s="324"/>
      <c r="Q670" s="324"/>
      <c r="R670" s="324"/>
      <c r="S670" s="324"/>
      <c r="T670" s="324"/>
      <c r="U670" s="324"/>
      <c r="V670" s="324"/>
      <c r="W670" s="324"/>
      <c r="X670" s="324"/>
      <c r="Y670" s="324"/>
      <c r="Z670" s="324"/>
      <c r="AA670" s="324"/>
      <c r="AB670" s="324"/>
      <c r="AC670" s="324"/>
      <c r="AD670" s="324"/>
      <c r="AE670" s="324"/>
    </row>
    <row r="671" spans="3:31" s="294" customFormat="1">
      <c r="C671" s="10"/>
      <c r="D671" s="29"/>
      <c r="E671" s="36"/>
      <c r="F671" s="324"/>
      <c r="G671" s="324"/>
      <c r="H671" s="324"/>
      <c r="I671" s="324"/>
      <c r="J671" s="324"/>
      <c r="K671" s="324"/>
      <c r="L671" s="324"/>
      <c r="M671" s="324"/>
      <c r="N671" s="324"/>
      <c r="O671" s="324"/>
      <c r="P671" s="324"/>
      <c r="Q671" s="324"/>
      <c r="R671" s="324"/>
      <c r="S671" s="324"/>
      <c r="T671" s="324"/>
      <c r="U671" s="324"/>
      <c r="V671" s="324"/>
      <c r="W671" s="324"/>
      <c r="X671" s="324"/>
      <c r="Y671" s="324"/>
      <c r="Z671" s="324"/>
      <c r="AA671" s="324"/>
      <c r="AB671" s="324"/>
      <c r="AC671" s="324"/>
      <c r="AD671" s="324"/>
      <c r="AE671" s="324"/>
    </row>
    <row r="672" spans="3:31" s="294" customFormat="1">
      <c r="C672" s="10"/>
      <c r="D672" s="29"/>
      <c r="E672" s="36"/>
      <c r="F672" s="324"/>
      <c r="G672" s="324"/>
      <c r="H672" s="324"/>
      <c r="I672" s="324"/>
      <c r="J672" s="324"/>
      <c r="K672" s="324"/>
      <c r="L672" s="324"/>
      <c r="M672" s="324"/>
      <c r="N672" s="324"/>
      <c r="O672" s="324"/>
      <c r="P672" s="324"/>
      <c r="Q672" s="324"/>
      <c r="R672" s="324"/>
      <c r="S672" s="324"/>
      <c r="T672" s="324"/>
      <c r="U672" s="324"/>
      <c r="V672" s="324"/>
      <c r="W672" s="324"/>
      <c r="X672" s="324"/>
      <c r="Y672" s="324"/>
      <c r="Z672" s="324"/>
      <c r="AA672" s="324"/>
      <c r="AB672" s="324"/>
      <c r="AC672" s="324"/>
      <c r="AD672" s="324"/>
      <c r="AE672" s="324"/>
    </row>
    <row r="673" spans="3:31" s="294" customFormat="1">
      <c r="C673" s="10"/>
      <c r="D673" s="29"/>
      <c r="E673" s="36"/>
      <c r="F673" s="324"/>
      <c r="G673" s="324"/>
      <c r="H673" s="324"/>
      <c r="I673" s="324"/>
      <c r="J673" s="324"/>
      <c r="K673" s="324"/>
      <c r="L673" s="324"/>
      <c r="M673" s="324"/>
      <c r="N673" s="324"/>
      <c r="O673" s="324"/>
      <c r="P673" s="324"/>
      <c r="Q673" s="324"/>
      <c r="R673" s="324"/>
      <c r="S673" s="324"/>
      <c r="T673" s="324"/>
      <c r="U673" s="324"/>
      <c r="V673" s="324"/>
      <c r="W673" s="324"/>
      <c r="X673" s="324"/>
      <c r="Y673" s="324"/>
      <c r="Z673" s="324"/>
      <c r="AA673" s="324"/>
      <c r="AB673" s="324"/>
      <c r="AC673" s="324"/>
      <c r="AD673" s="324"/>
      <c r="AE673" s="324"/>
    </row>
    <row r="674" spans="3:31" s="294" customFormat="1">
      <c r="C674" s="10"/>
      <c r="D674" s="29"/>
      <c r="E674" s="36"/>
      <c r="F674" s="324"/>
      <c r="G674" s="324"/>
      <c r="H674" s="324"/>
      <c r="I674" s="324"/>
      <c r="J674" s="324"/>
      <c r="K674" s="324"/>
      <c r="L674" s="324"/>
      <c r="M674" s="324"/>
      <c r="N674" s="324"/>
      <c r="O674" s="324"/>
      <c r="P674" s="324"/>
      <c r="Q674" s="324"/>
      <c r="R674" s="324"/>
      <c r="S674" s="324"/>
      <c r="T674" s="324"/>
      <c r="U674" s="324"/>
      <c r="V674" s="324"/>
      <c r="W674" s="324"/>
      <c r="X674" s="324"/>
      <c r="Y674" s="324"/>
      <c r="Z674" s="324"/>
      <c r="AA674" s="324"/>
      <c r="AB674" s="324"/>
      <c r="AC674" s="324"/>
      <c r="AD674" s="324"/>
      <c r="AE674" s="324"/>
    </row>
    <row r="675" spans="3:31" s="294" customFormat="1">
      <c r="C675" s="10"/>
      <c r="D675" s="29"/>
      <c r="E675" s="36"/>
      <c r="F675" s="324"/>
      <c r="G675" s="324"/>
      <c r="H675" s="324"/>
      <c r="I675" s="324"/>
      <c r="J675" s="324"/>
      <c r="K675" s="324"/>
      <c r="L675" s="324"/>
      <c r="M675" s="324"/>
      <c r="N675" s="324"/>
      <c r="O675" s="324"/>
      <c r="P675" s="324"/>
      <c r="Q675" s="324"/>
      <c r="R675" s="324"/>
      <c r="S675" s="324"/>
      <c r="T675" s="324"/>
      <c r="U675" s="324"/>
      <c r="V675" s="324"/>
      <c r="W675" s="324"/>
      <c r="X675" s="324"/>
      <c r="Y675" s="324"/>
      <c r="Z675" s="324"/>
      <c r="AA675" s="324"/>
      <c r="AB675" s="324"/>
      <c r="AC675" s="324"/>
      <c r="AD675" s="324"/>
      <c r="AE675" s="324"/>
    </row>
    <row r="676" spans="3:31" s="294" customFormat="1">
      <c r="C676" s="10"/>
      <c r="D676" s="29"/>
      <c r="E676" s="36"/>
      <c r="F676" s="324"/>
      <c r="G676" s="324"/>
      <c r="H676" s="324"/>
      <c r="I676" s="324"/>
      <c r="J676" s="324"/>
      <c r="K676" s="324"/>
      <c r="L676" s="324"/>
      <c r="M676" s="324"/>
      <c r="N676" s="324"/>
      <c r="O676" s="324"/>
      <c r="P676" s="324"/>
      <c r="Q676" s="324"/>
      <c r="R676" s="324"/>
      <c r="S676" s="324"/>
      <c r="T676" s="324"/>
      <c r="U676" s="324"/>
      <c r="V676" s="324"/>
      <c r="W676" s="324"/>
      <c r="X676" s="324"/>
      <c r="Y676" s="324"/>
      <c r="Z676" s="324"/>
      <c r="AA676" s="324"/>
      <c r="AB676" s="324"/>
      <c r="AC676" s="324"/>
      <c r="AD676" s="324"/>
      <c r="AE676" s="324"/>
    </row>
    <row r="677" spans="3:31" s="294" customFormat="1">
      <c r="C677" s="10"/>
      <c r="D677" s="29"/>
      <c r="E677" s="36"/>
      <c r="F677" s="324"/>
      <c r="G677" s="324"/>
      <c r="H677" s="324"/>
      <c r="I677" s="324"/>
      <c r="J677" s="324"/>
      <c r="K677" s="324"/>
      <c r="L677" s="324"/>
      <c r="M677" s="324"/>
      <c r="N677" s="324"/>
      <c r="O677" s="324"/>
      <c r="P677" s="324"/>
      <c r="Q677" s="324"/>
      <c r="R677" s="324"/>
      <c r="S677" s="324"/>
      <c r="T677" s="324"/>
      <c r="U677" s="324"/>
      <c r="V677" s="324"/>
      <c r="W677" s="324"/>
      <c r="X677" s="324"/>
      <c r="Y677" s="324"/>
      <c r="Z677" s="324"/>
      <c r="AA677" s="324"/>
      <c r="AB677" s="324"/>
      <c r="AC677" s="324"/>
      <c r="AD677" s="324"/>
      <c r="AE677" s="324"/>
    </row>
    <row r="678" spans="3:31" s="294" customFormat="1">
      <c r="C678" s="10"/>
      <c r="D678" s="29"/>
      <c r="E678" s="36"/>
      <c r="F678" s="324"/>
      <c r="G678" s="324"/>
      <c r="H678" s="324"/>
      <c r="I678" s="324"/>
      <c r="J678" s="324"/>
      <c r="K678" s="324"/>
      <c r="L678" s="324"/>
      <c r="M678" s="324"/>
      <c r="N678" s="324"/>
      <c r="O678" s="324"/>
      <c r="P678" s="324"/>
      <c r="Q678" s="324"/>
      <c r="R678" s="324"/>
      <c r="S678" s="324"/>
      <c r="T678" s="324"/>
      <c r="U678" s="324"/>
      <c r="V678" s="324"/>
      <c r="W678" s="324"/>
      <c r="X678" s="324"/>
      <c r="Y678" s="324"/>
      <c r="Z678" s="324"/>
      <c r="AA678" s="324"/>
      <c r="AB678" s="324"/>
      <c r="AC678" s="324"/>
      <c r="AD678" s="324"/>
      <c r="AE678" s="324"/>
    </row>
    <row r="679" spans="3:31" s="294" customFormat="1">
      <c r="C679" s="10"/>
      <c r="D679" s="29"/>
      <c r="E679" s="36"/>
      <c r="F679" s="324"/>
      <c r="G679" s="324"/>
      <c r="H679" s="324"/>
      <c r="I679" s="324"/>
      <c r="J679" s="324"/>
      <c r="K679" s="324"/>
      <c r="L679" s="324"/>
      <c r="M679" s="324"/>
      <c r="N679" s="324"/>
      <c r="O679" s="324"/>
      <c r="P679" s="324"/>
      <c r="Q679" s="324"/>
      <c r="R679" s="324"/>
      <c r="S679" s="324"/>
      <c r="T679" s="324"/>
      <c r="U679" s="324"/>
      <c r="V679" s="324"/>
      <c r="W679" s="324"/>
      <c r="X679" s="324"/>
      <c r="Y679" s="324"/>
      <c r="Z679" s="324"/>
      <c r="AA679" s="324"/>
      <c r="AB679" s="324"/>
      <c r="AC679" s="324"/>
      <c r="AD679" s="324"/>
      <c r="AE679" s="324"/>
    </row>
    <row r="680" spans="3:31" s="294" customFormat="1">
      <c r="C680" s="10"/>
      <c r="D680" s="29"/>
      <c r="E680" s="36"/>
      <c r="F680" s="324"/>
      <c r="G680" s="324"/>
      <c r="H680" s="324"/>
      <c r="I680" s="324"/>
      <c r="J680" s="324"/>
      <c r="K680" s="324"/>
      <c r="L680" s="324"/>
      <c r="M680" s="324"/>
      <c r="N680" s="324"/>
      <c r="O680" s="324"/>
      <c r="P680" s="324"/>
      <c r="Q680" s="324"/>
      <c r="R680" s="324"/>
      <c r="S680" s="324"/>
      <c r="T680" s="324"/>
      <c r="U680" s="324"/>
      <c r="V680" s="324"/>
      <c r="W680" s="324"/>
      <c r="X680" s="324"/>
      <c r="Y680" s="324"/>
      <c r="Z680" s="324"/>
      <c r="AA680" s="324"/>
      <c r="AB680" s="324"/>
      <c r="AC680" s="324"/>
      <c r="AD680" s="324"/>
      <c r="AE680" s="324"/>
    </row>
    <row r="681" spans="3:31" s="294" customFormat="1">
      <c r="C681" s="10"/>
      <c r="D681" s="29"/>
      <c r="E681" s="36"/>
      <c r="F681" s="324"/>
      <c r="G681" s="324"/>
      <c r="H681" s="324"/>
      <c r="I681" s="324"/>
      <c r="J681" s="324"/>
      <c r="K681" s="324"/>
      <c r="L681" s="324"/>
      <c r="M681" s="324"/>
      <c r="N681" s="324"/>
      <c r="O681" s="324"/>
      <c r="P681" s="324"/>
      <c r="Q681" s="324"/>
      <c r="R681" s="324"/>
      <c r="S681" s="324"/>
      <c r="T681" s="324"/>
      <c r="U681" s="324"/>
      <c r="V681" s="324"/>
      <c r="W681" s="324"/>
      <c r="X681" s="324"/>
      <c r="Y681" s="324"/>
      <c r="Z681" s="324"/>
      <c r="AA681" s="324"/>
      <c r="AB681" s="324"/>
      <c r="AC681" s="324"/>
      <c r="AD681" s="324"/>
      <c r="AE681" s="324"/>
    </row>
    <row r="682" spans="3:31" s="294" customFormat="1">
      <c r="C682" s="10"/>
      <c r="D682" s="29"/>
      <c r="E682" s="36"/>
      <c r="F682" s="324"/>
      <c r="G682" s="324"/>
      <c r="H682" s="324"/>
      <c r="I682" s="324"/>
      <c r="J682" s="324"/>
      <c r="K682" s="324"/>
      <c r="L682" s="324"/>
      <c r="M682" s="324"/>
      <c r="N682" s="324"/>
      <c r="O682" s="324"/>
      <c r="P682" s="324"/>
      <c r="Q682" s="324"/>
      <c r="R682" s="324"/>
      <c r="S682" s="324"/>
      <c r="T682" s="324"/>
      <c r="U682" s="324"/>
      <c r="V682" s="324"/>
      <c r="W682" s="324"/>
      <c r="X682" s="324"/>
      <c r="Y682" s="324"/>
      <c r="Z682" s="324"/>
      <c r="AA682" s="324"/>
      <c r="AB682" s="324"/>
      <c r="AC682" s="324"/>
      <c r="AD682" s="324"/>
      <c r="AE682" s="324"/>
    </row>
    <row r="683" spans="3:31" s="294" customFormat="1">
      <c r="C683" s="10"/>
      <c r="D683" s="29"/>
      <c r="E683" s="36"/>
      <c r="F683" s="324"/>
      <c r="G683" s="324"/>
      <c r="H683" s="324"/>
      <c r="I683" s="324"/>
      <c r="J683" s="324"/>
      <c r="K683" s="324"/>
      <c r="L683" s="324"/>
      <c r="M683" s="324"/>
      <c r="N683" s="324"/>
      <c r="O683" s="324"/>
      <c r="P683" s="324"/>
      <c r="Q683" s="324"/>
      <c r="R683" s="324"/>
      <c r="S683" s="324"/>
      <c r="T683" s="324"/>
      <c r="U683" s="324"/>
      <c r="V683" s="324"/>
      <c r="W683" s="324"/>
      <c r="X683" s="324"/>
      <c r="Y683" s="324"/>
      <c r="Z683" s="324"/>
      <c r="AA683" s="324"/>
      <c r="AB683" s="324"/>
      <c r="AC683" s="324"/>
      <c r="AD683" s="324"/>
      <c r="AE683" s="324"/>
    </row>
    <row r="684" spans="3:31" s="294" customFormat="1">
      <c r="C684" s="10"/>
      <c r="D684" s="29"/>
      <c r="E684" s="36"/>
      <c r="F684" s="324"/>
      <c r="G684" s="324"/>
      <c r="H684" s="324"/>
      <c r="I684" s="324"/>
      <c r="J684" s="324"/>
      <c r="K684" s="324"/>
      <c r="L684" s="324"/>
      <c r="M684" s="324"/>
      <c r="N684" s="324"/>
      <c r="O684" s="324"/>
      <c r="P684" s="324"/>
      <c r="Q684" s="324"/>
      <c r="R684" s="324"/>
      <c r="S684" s="324"/>
      <c r="T684" s="324"/>
      <c r="U684" s="324"/>
      <c r="V684" s="324"/>
      <c r="W684" s="324"/>
      <c r="X684" s="324"/>
      <c r="Y684" s="324"/>
      <c r="Z684" s="324"/>
      <c r="AA684" s="324"/>
      <c r="AB684" s="324"/>
      <c r="AC684" s="324"/>
      <c r="AD684" s="324"/>
      <c r="AE684" s="324"/>
    </row>
    <row r="685" spans="3:31" s="294" customFormat="1">
      <c r="C685" s="10"/>
      <c r="D685" s="29"/>
      <c r="E685" s="36"/>
      <c r="F685" s="324"/>
      <c r="G685" s="324"/>
      <c r="H685" s="324"/>
      <c r="I685" s="324"/>
      <c r="J685" s="324"/>
      <c r="K685" s="324"/>
      <c r="L685" s="324"/>
      <c r="M685" s="324"/>
      <c r="N685" s="324"/>
      <c r="O685" s="324"/>
      <c r="P685" s="324"/>
      <c r="Q685" s="324"/>
      <c r="R685" s="324"/>
      <c r="S685" s="324"/>
      <c r="T685" s="324"/>
      <c r="U685" s="324"/>
      <c r="V685" s="324"/>
      <c r="W685" s="324"/>
      <c r="X685" s="324"/>
      <c r="Y685" s="324"/>
      <c r="Z685" s="324"/>
      <c r="AA685" s="324"/>
      <c r="AB685" s="324"/>
      <c r="AC685" s="324"/>
      <c r="AD685" s="324"/>
      <c r="AE685" s="324"/>
    </row>
    <row r="686" spans="3:31" s="294" customFormat="1">
      <c r="C686" s="10"/>
      <c r="D686" s="29"/>
      <c r="E686" s="36"/>
      <c r="F686" s="324"/>
      <c r="G686" s="324"/>
      <c r="H686" s="324"/>
      <c r="I686" s="324"/>
      <c r="J686" s="324"/>
      <c r="K686" s="324"/>
      <c r="L686" s="324"/>
      <c r="M686" s="324"/>
      <c r="N686" s="324"/>
      <c r="O686" s="324"/>
      <c r="P686" s="324"/>
      <c r="Q686" s="324"/>
      <c r="R686" s="324"/>
      <c r="S686" s="324"/>
      <c r="T686" s="324"/>
      <c r="U686" s="324"/>
      <c r="V686" s="324"/>
      <c r="W686" s="324"/>
      <c r="X686" s="324"/>
      <c r="Y686" s="324"/>
      <c r="Z686" s="324"/>
      <c r="AA686" s="324"/>
      <c r="AB686" s="324"/>
      <c r="AC686" s="324"/>
      <c r="AD686" s="324"/>
      <c r="AE686" s="324"/>
    </row>
    <row r="687" spans="3:31" s="294" customFormat="1">
      <c r="C687" s="10"/>
      <c r="D687" s="29"/>
      <c r="E687" s="36"/>
      <c r="F687" s="324"/>
      <c r="G687" s="324"/>
      <c r="H687" s="324"/>
      <c r="I687" s="324"/>
      <c r="J687" s="324"/>
      <c r="K687" s="324"/>
      <c r="L687" s="324"/>
      <c r="M687" s="324"/>
      <c r="N687" s="324"/>
      <c r="O687" s="324"/>
      <c r="P687" s="324"/>
      <c r="Q687" s="324"/>
      <c r="R687" s="324"/>
      <c r="S687" s="324"/>
      <c r="T687" s="324"/>
      <c r="U687" s="324"/>
      <c r="V687" s="324"/>
      <c r="W687" s="324"/>
      <c r="X687" s="324"/>
      <c r="Y687" s="324"/>
      <c r="Z687" s="324"/>
      <c r="AA687" s="324"/>
      <c r="AB687" s="324"/>
      <c r="AC687" s="324"/>
      <c r="AD687" s="324"/>
      <c r="AE687" s="324"/>
    </row>
    <row r="688" spans="3:31" s="294" customFormat="1">
      <c r="C688" s="10"/>
      <c r="D688" s="29"/>
      <c r="E688" s="36"/>
      <c r="F688" s="324"/>
      <c r="G688" s="324"/>
      <c r="H688" s="324"/>
      <c r="I688" s="324"/>
      <c r="J688" s="324"/>
      <c r="K688" s="324"/>
      <c r="L688" s="324"/>
      <c r="M688" s="324"/>
      <c r="N688" s="324"/>
      <c r="O688" s="324"/>
      <c r="P688" s="324"/>
      <c r="Q688" s="324"/>
      <c r="R688" s="324"/>
      <c r="S688" s="324"/>
      <c r="T688" s="324"/>
      <c r="U688" s="324"/>
      <c r="V688" s="324"/>
      <c r="W688" s="324"/>
      <c r="X688" s="324"/>
      <c r="Y688" s="324"/>
      <c r="Z688" s="324"/>
      <c r="AA688" s="324"/>
      <c r="AB688" s="324"/>
      <c r="AC688" s="324"/>
      <c r="AD688" s="324"/>
      <c r="AE688" s="324"/>
    </row>
    <row r="689" spans="3:31" s="294" customFormat="1">
      <c r="C689" s="10"/>
      <c r="D689" s="29"/>
      <c r="E689" s="36"/>
      <c r="F689" s="324"/>
      <c r="G689" s="324"/>
      <c r="H689" s="324"/>
      <c r="I689" s="324"/>
      <c r="J689" s="324"/>
      <c r="K689" s="324"/>
      <c r="L689" s="324"/>
      <c r="M689" s="324"/>
      <c r="N689" s="324"/>
      <c r="O689" s="324"/>
      <c r="P689" s="324"/>
      <c r="Q689" s="324"/>
      <c r="R689" s="324"/>
      <c r="S689" s="324"/>
      <c r="T689" s="324"/>
      <c r="U689" s="324"/>
      <c r="V689" s="324"/>
      <c r="W689" s="324"/>
      <c r="X689" s="324"/>
      <c r="Y689" s="324"/>
      <c r="Z689" s="324"/>
      <c r="AA689" s="324"/>
      <c r="AB689" s="324"/>
      <c r="AC689" s="324"/>
      <c r="AD689" s="324"/>
      <c r="AE689" s="324"/>
    </row>
    <row r="690" spans="3:31" s="294" customFormat="1">
      <c r="C690" s="10"/>
      <c r="D690" s="29"/>
      <c r="E690" s="36"/>
      <c r="F690" s="324"/>
      <c r="G690" s="324"/>
      <c r="H690" s="324"/>
      <c r="I690" s="324"/>
      <c r="J690" s="324"/>
      <c r="K690" s="324"/>
      <c r="L690" s="324"/>
      <c r="M690" s="324"/>
      <c r="N690" s="324"/>
      <c r="O690" s="324"/>
      <c r="P690" s="324"/>
      <c r="Q690" s="324"/>
      <c r="R690" s="324"/>
      <c r="S690" s="324"/>
      <c r="T690" s="324"/>
      <c r="U690" s="324"/>
      <c r="V690" s="324"/>
      <c r="W690" s="324"/>
      <c r="X690" s="324"/>
      <c r="Y690" s="324"/>
      <c r="Z690" s="324"/>
      <c r="AA690" s="324"/>
      <c r="AB690" s="324"/>
      <c r="AC690" s="324"/>
      <c r="AD690" s="324"/>
      <c r="AE690" s="324"/>
    </row>
    <row r="691" spans="3:31" s="294" customFormat="1">
      <c r="C691" s="10"/>
      <c r="D691" s="29"/>
      <c r="E691" s="36"/>
      <c r="F691" s="324"/>
      <c r="G691" s="324"/>
      <c r="H691" s="324"/>
      <c r="I691" s="324"/>
      <c r="J691" s="324"/>
      <c r="K691" s="324"/>
      <c r="L691" s="324"/>
      <c r="M691" s="324"/>
      <c r="N691" s="324"/>
      <c r="O691" s="324"/>
      <c r="P691" s="324"/>
      <c r="Q691" s="324"/>
      <c r="R691" s="324"/>
      <c r="S691" s="324"/>
      <c r="T691" s="324"/>
      <c r="U691" s="324"/>
      <c r="V691" s="324"/>
      <c r="W691" s="324"/>
      <c r="X691" s="324"/>
      <c r="Y691" s="324"/>
      <c r="Z691" s="324"/>
      <c r="AA691" s="324"/>
      <c r="AB691" s="324"/>
      <c r="AC691" s="324"/>
      <c r="AD691" s="324"/>
      <c r="AE691" s="324"/>
    </row>
    <row r="692" spans="3:31" s="294" customFormat="1">
      <c r="C692" s="10"/>
      <c r="D692" s="29"/>
      <c r="E692" s="36"/>
      <c r="F692" s="324"/>
      <c r="G692" s="324"/>
      <c r="H692" s="324"/>
      <c r="I692" s="324"/>
      <c r="J692" s="324"/>
      <c r="K692" s="324"/>
      <c r="L692" s="324"/>
      <c r="M692" s="324"/>
      <c r="N692" s="324"/>
      <c r="O692" s="324"/>
      <c r="P692" s="324"/>
      <c r="Q692" s="324"/>
      <c r="R692" s="324"/>
      <c r="S692" s="324"/>
      <c r="T692" s="324"/>
      <c r="U692" s="324"/>
      <c r="V692" s="324"/>
      <c r="W692" s="324"/>
      <c r="X692" s="324"/>
      <c r="Y692" s="324"/>
      <c r="Z692" s="324"/>
      <c r="AA692" s="324"/>
      <c r="AB692" s="324"/>
      <c r="AC692" s="324"/>
      <c r="AD692" s="324"/>
      <c r="AE692" s="324"/>
    </row>
    <row r="693" spans="3:31" s="294" customFormat="1">
      <c r="C693" s="10"/>
      <c r="D693" s="29"/>
      <c r="E693" s="36"/>
      <c r="F693" s="324"/>
      <c r="G693" s="324"/>
      <c r="H693" s="324"/>
      <c r="I693" s="324"/>
      <c r="J693" s="324"/>
      <c r="K693" s="324"/>
      <c r="L693" s="324"/>
      <c r="M693" s="324"/>
      <c r="N693" s="324"/>
      <c r="O693" s="324"/>
      <c r="P693" s="324"/>
      <c r="Q693" s="324"/>
      <c r="R693" s="324"/>
      <c r="S693" s="324"/>
      <c r="T693" s="324"/>
      <c r="U693" s="324"/>
      <c r="V693" s="324"/>
      <c r="W693" s="324"/>
      <c r="X693" s="324"/>
      <c r="Y693" s="324"/>
      <c r="Z693" s="324"/>
      <c r="AA693" s="324"/>
      <c r="AB693" s="324"/>
      <c r="AC693" s="324"/>
      <c r="AD693" s="324"/>
      <c r="AE693" s="324"/>
    </row>
    <row r="694" spans="3:31" s="294" customFormat="1">
      <c r="C694" s="10"/>
      <c r="D694" s="29"/>
      <c r="E694" s="36"/>
      <c r="F694" s="324"/>
      <c r="G694" s="324"/>
      <c r="H694" s="324"/>
      <c r="I694" s="324"/>
      <c r="J694" s="324"/>
      <c r="K694" s="324"/>
      <c r="L694" s="324"/>
      <c r="M694" s="324"/>
      <c r="N694" s="324"/>
      <c r="O694" s="324"/>
      <c r="P694" s="324"/>
      <c r="Q694" s="324"/>
      <c r="R694" s="324"/>
      <c r="S694" s="324"/>
      <c r="T694" s="324"/>
      <c r="U694" s="324"/>
      <c r="V694" s="324"/>
      <c r="W694" s="324"/>
      <c r="X694" s="324"/>
      <c r="Y694" s="324"/>
      <c r="Z694" s="324"/>
      <c r="AA694" s="324"/>
      <c r="AB694" s="324"/>
      <c r="AC694" s="324"/>
      <c r="AD694" s="324"/>
      <c r="AE694" s="324"/>
    </row>
    <row r="695" spans="3:31" s="294" customFormat="1">
      <c r="C695" s="10"/>
      <c r="D695" s="29"/>
      <c r="E695" s="36"/>
      <c r="F695" s="324"/>
      <c r="G695" s="324"/>
      <c r="H695" s="324"/>
      <c r="I695" s="324"/>
      <c r="J695" s="324"/>
      <c r="K695" s="324"/>
      <c r="L695" s="324"/>
      <c r="M695" s="324"/>
      <c r="N695" s="324"/>
      <c r="O695" s="324"/>
      <c r="P695" s="324"/>
      <c r="Q695" s="324"/>
      <c r="R695" s="324"/>
      <c r="S695" s="324"/>
      <c r="T695" s="324"/>
      <c r="U695" s="324"/>
      <c r="V695" s="324"/>
      <c r="W695" s="324"/>
      <c r="X695" s="324"/>
      <c r="Y695" s="324"/>
      <c r="Z695" s="324"/>
      <c r="AA695" s="324"/>
      <c r="AB695" s="324"/>
      <c r="AC695" s="324"/>
      <c r="AD695" s="324"/>
      <c r="AE695" s="324"/>
    </row>
    <row r="696" spans="3:31" s="294" customFormat="1">
      <c r="C696" s="10"/>
      <c r="D696" s="29"/>
      <c r="E696" s="36"/>
      <c r="F696" s="324"/>
      <c r="G696" s="324"/>
      <c r="H696" s="324"/>
      <c r="I696" s="324"/>
      <c r="J696" s="324"/>
      <c r="K696" s="324"/>
      <c r="L696" s="324"/>
      <c r="M696" s="324"/>
      <c r="N696" s="324"/>
      <c r="O696" s="324"/>
      <c r="P696" s="324"/>
      <c r="Q696" s="324"/>
      <c r="R696" s="324"/>
      <c r="S696" s="324"/>
      <c r="T696" s="324"/>
      <c r="U696" s="324"/>
      <c r="V696" s="324"/>
      <c r="W696" s="324"/>
      <c r="X696" s="324"/>
      <c r="Y696" s="324"/>
      <c r="Z696" s="324"/>
      <c r="AA696" s="324"/>
      <c r="AB696" s="324"/>
      <c r="AC696" s="324"/>
      <c r="AD696" s="324"/>
      <c r="AE696" s="324"/>
    </row>
    <row r="697" spans="3:31" s="294" customFormat="1">
      <c r="C697" s="10"/>
      <c r="D697" s="29"/>
      <c r="E697" s="36"/>
      <c r="F697" s="324"/>
      <c r="G697" s="324"/>
      <c r="H697" s="324"/>
      <c r="I697" s="324"/>
      <c r="J697" s="324"/>
      <c r="K697" s="324"/>
      <c r="L697" s="324"/>
      <c r="M697" s="324"/>
      <c r="N697" s="324"/>
      <c r="O697" s="324"/>
      <c r="P697" s="324"/>
      <c r="Q697" s="324"/>
      <c r="R697" s="324"/>
      <c r="S697" s="324"/>
      <c r="T697" s="324"/>
      <c r="U697" s="324"/>
      <c r="V697" s="324"/>
      <c r="W697" s="324"/>
      <c r="X697" s="324"/>
      <c r="Y697" s="324"/>
      <c r="Z697" s="324"/>
      <c r="AA697" s="324"/>
      <c r="AB697" s="324"/>
      <c r="AC697" s="324"/>
      <c r="AD697" s="324"/>
      <c r="AE697" s="324"/>
    </row>
    <row r="698" spans="3:31" s="294" customFormat="1">
      <c r="C698" s="10"/>
      <c r="D698" s="29"/>
      <c r="E698" s="36"/>
      <c r="F698" s="324"/>
      <c r="G698" s="324"/>
      <c r="H698" s="324"/>
      <c r="I698" s="324"/>
      <c r="J698" s="324"/>
      <c r="K698" s="324"/>
      <c r="L698" s="324"/>
      <c r="M698" s="324"/>
      <c r="N698" s="324"/>
      <c r="O698" s="324"/>
      <c r="P698" s="324"/>
      <c r="Q698" s="324"/>
      <c r="R698" s="324"/>
      <c r="S698" s="324"/>
      <c r="T698" s="324"/>
      <c r="U698" s="324"/>
      <c r="V698" s="324"/>
      <c r="W698" s="324"/>
      <c r="X698" s="324"/>
      <c r="Y698" s="324"/>
      <c r="Z698" s="324"/>
      <c r="AA698" s="324"/>
      <c r="AB698" s="324"/>
      <c r="AC698" s="324"/>
      <c r="AD698" s="324"/>
      <c r="AE698" s="324"/>
    </row>
    <row r="699" spans="3:31" s="294" customFormat="1">
      <c r="C699" s="10"/>
      <c r="D699" s="29"/>
      <c r="E699" s="36"/>
      <c r="F699" s="324"/>
      <c r="G699" s="324"/>
      <c r="H699" s="324"/>
      <c r="I699" s="324"/>
      <c r="J699" s="324"/>
      <c r="K699" s="324"/>
      <c r="L699" s="324"/>
      <c r="M699" s="324"/>
      <c r="N699" s="324"/>
      <c r="O699" s="324"/>
      <c r="P699" s="324"/>
      <c r="Q699" s="324"/>
      <c r="R699" s="324"/>
      <c r="S699" s="324"/>
      <c r="T699" s="324"/>
      <c r="U699" s="324"/>
      <c r="V699" s="324"/>
      <c r="W699" s="324"/>
      <c r="X699" s="324"/>
      <c r="Y699" s="324"/>
      <c r="Z699" s="324"/>
      <c r="AA699" s="324"/>
      <c r="AB699" s="324"/>
      <c r="AC699" s="324"/>
      <c r="AD699" s="324"/>
      <c r="AE699" s="324"/>
    </row>
    <row r="700" spans="3:31" s="294" customFormat="1">
      <c r="C700" s="10"/>
      <c r="D700" s="29"/>
      <c r="E700" s="36"/>
      <c r="F700" s="324"/>
      <c r="G700" s="324"/>
      <c r="H700" s="324"/>
      <c r="I700" s="324"/>
      <c r="J700" s="324"/>
      <c r="K700" s="324"/>
      <c r="L700" s="324"/>
      <c r="M700" s="324"/>
      <c r="N700" s="324"/>
      <c r="O700" s="324"/>
      <c r="P700" s="324"/>
      <c r="Q700" s="324"/>
      <c r="R700" s="324"/>
      <c r="S700" s="324"/>
      <c r="T700" s="324"/>
      <c r="U700" s="324"/>
      <c r="V700" s="324"/>
      <c r="W700" s="324"/>
      <c r="X700" s="324"/>
      <c r="Y700" s="324"/>
      <c r="Z700" s="324"/>
      <c r="AA700" s="324"/>
      <c r="AB700" s="324"/>
      <c r="AC700" s="324"/>
      <c r="AD700" s="324"/>
      <c r="AE700" s="324"/>
    </row>
    <row r="701" spans="3:31" s="294" customFormat="1">
      <c r="C701" s="10"/>
      <c r="D701" s="29"/>
      <c r="E701" s="36"/>
      <c r="F701" s="324"/>
      <c r="G701" s="324"/>
      <c r="H701" s="324"/>
      <c r="I701" s="324"/>
      <c r="J701" s="324"/>
      <c r="K701" s="324"/>
      <c r="L701" s="324"/>
      <c r="M701" s="324"/>
      <c r="N701" s="324"/>
      <c r="O701" s="324"/>
      <c r="P701" s="324"/>
      <c r="Q701" s="324"/>
      <c r="R701" s="324"/>
      <c r="S701" s="324"/>
      <c r="T701" s="324"/>
      <c r="U701" s="324"/>
      <c r="V701" s="324"/>
      <c r="W701" s="324"/>
      <c r="X701" s="324"/>
      <c r="Y701" s="324"/>
      <c r="Z701" s="324"/>
      <c r="AA701" s="324"/>
      <c r="AB701" s="324"/>
      <c r="AC701" s="324"/>
      <c r="AD701" s="324"/>
      <c r="AE701" s="324"/>
    </row>
    <row r="702" spans="3:31" s="294" customFormat="1">
      <c r="C702" s="10"/>
      <c r="D702" s="29"/>
      <c r="E702" s="36"/>
      <c r="F702" s="324"/>
      <c r="G702" s="324"/>
      <c r="H702" s="324"/>
      <c r="I702" s="324"/>
      <c r="J702" s="324"/>
      <c r="K702" s="324"/>
      <c r="L702" s="324"/>
      <c r="M702" s="324"/>
      <c r="N702" s="324"/>
      <c r="O702" s="324"/>
      <c r="P702" s="324"/>
      <c r="Q702" s="324"/>
      <c r="R702" s="324"/>
      <c r="S702" s="324"/>
      <c r="T702" s="324"/>
      <c r="U702" s="324"/>
      <c r="V702" s="324"/>
      <c r="W702" s="324"/>
      <c r="X702" s="324"/>
      <c r="Y702" s="324"/>
      <c r="Z702" s="324"/>
      <c r="AA702" s="324"/>
      <c r="AB702" s="324"/>
      <c r="AC702" s="324"/>
      <c r="AD702" s="324"/>
      <c r="AE702" s="324"/>
    </row>
    <row r="703" spans="3:31" s="294" customFormat="1">
      <c r="C703" s="10"/>
      <c r="D703" s="29"/>
      <c r="E703" s="36"/>
      <c r="F703" s="324"/>
      <c r="G703" s="324"/>
      <c r="H703" s="324"/>
      <c r="I703" s="324"/>
      <c r="J703" s="324"/>
      <c r="K703" s="324"/>
      <c r="L703" s="324"/>
      <c r="M703" s="324"/>
      <c r="N703" s="324"/>
      <c r="O703" s="324"/>
      <c r="P703" s="324"/>
      <c r="Q703" s="324"/>
      <c r="R703" s="324"/>
      <c r="S703" s="324"/>
      <c r="T703" s="324"/>
      <c r="U703" s="324"/>
      <c r="V703" s="324"/>
      <c r="W703" s="324"/>
      <c r="X703" s="324"/>
      <c r="Y703" s="324"/>
      <c r="Z703" s="324"/>
      <c r="AA703" s="324"/>
      <c r="AB703" s="324"/>
      <c r="AC703" s="324"/>
      <c r="AD703" s="324"/>
      <c r="AE703" s="324"/>
    </row>
    <row r="704" spans="3:31" s="294" customFormat="1">
      <c r="C704" s="10"/>
      <c r="D704" s="29"/>
      <c r="E704" s="36"/>
      <c r="F704" s="324"/>
      <c r="G704" s="324"/>
      <c r="H704" s="324"/>
      <c r="I704" s="324"/>
      <c r="J704" s="324"/>
      <c r="K704" s="324"/>
      <c r="L704" s="324"/>
      <c r="M704" s="324"/>
      <c r="N704" s="324"/>
      <c r="O704" s="324"/>
      <c r="P704" s="324"/>
      <c r="Q704" s="324"/>
      <c r="R704" s="324"/>
      <c r="S704" s="324"/>
      <c r="T704" s="324"/>
      <c r="U704" s="324"/>
      <c r="V704" s="324"/>
      <c r="W704" s="324"/>
      <c r="X704" s="324"/>
      <c r="Y704" s="324"/>
      <c r="Z704" s="324"/>
      <c r="AA704" s="324"/>
      <c r="AB704" s="324"/>
      <c r="AC704" s="324"/>
      <c r="AD704" s="324"/>
      <c r="AE704" s="324"/>
    </row>
    <row r="705" spans="3:31" s="294" customFormat="1">
      <c r="C705" s="10"/>
      <c r="D705" s="29"/>
      <c r="E705" s="36"/>
      <c r="F705" s="324"/>
      <c r="G705" s="324"/>
      <c r="H705" s="324"/>
      <c r="I705" s="324"/>
      <c r="J705" s="324"/>
      <c r="K705" s="324"/>
      <c r="L705" s="324"/>
      <c r="M705" s="324"/>
      <c r="N705" s="324"/>
      <c r="O705" s="324"/>
      <c r="P705" s="324"/>
      <c r="Q705" s="324"/>
      <c r="R705" s="324"/>
      <c r="S705" s="324"/>
      <c r="T705" s="324"/>
      <c r="U705" s="324"/>
      <c r="V705" s="324"/>
      <c r="W705" s="324"/>
      <c r="X705" s="324"/>
      <c r="Y705" s="324"/>
      <c r="Z705" s="324"/>
      <c r="AA705" s="324"/>
      <c r="AB705" s="324"/>
      <c r="AC705" s="324"/>
      <c r="AD705" s="324"/>
      <c r="AE705" s="324"/>
    </row>
    <row r="706" spans="3:31" s="294" customFormat="1">
      <c r="C706" s="10"/>
      <c r="D706" s="29"/>
      <c r="E706" s="36"/>
      <c r="F706" s="324"/>
      <c r="G706" s="324"/>
      <c r="H706" s="324"/>
      <c r="I706" s="324"/>
      <c r="J706" s="324"/>
      <c r="K706" s="324"/>
      <c r="L706" s="324"/>
      <c r="M706" s="324"/>
      <c r="N706" s="324"/>
      <c r="O706" s="324"/>
      <c r="P706" s="324"/>
      <c r="Q706" s="324"/>
      <c r="R706" s="324"/>
      <c r="S706" s="324"/>
      <c r="T706" s="324"/>
      <c r="U706" s="324"/>
      <c r="V706" s="324"/>
      <c r="W706" s="324"/>
      <c r="X706" s="324"/>
      <c r="Y706" s="324"/>
      <c r="Z706" s="324"/>
      <c r="AA706" s="324"/>
      <c r="AB706" s="324"/>
      <c r="AC706" s="324"/>
      <c r="AD706" s="324"/>
      <c r="AE706" s="324"/>
    </row>
    <row r="707" spans="3:31" s="294" customFormat="1">
      <c r="C707" s="10"/>
      <c r="D707" s="29"/>
      <c r="E707" s="36"/>
      <c r="F707" s="324"/>
      <c r="G707" s="324"/>
      <c r="H707" s="324"/>
      <c r="I707" s="324"/>
      <c r="J707" s="324"/>
      <c r="K707" s="324"/>
      <c r="L707" s="324"/>
      <c r="M707" s="324"/>
      <c r="N707" s="324"/>
      <c r="O707" s="324"/>
      <c r="P707" s="324"/>
      <c r="Q707" s="324"/>
      <c r="R707" s="324"/>
      <c r="S707" s="324"/>
      <c r="T707" s="324"/>
      <c r="U707" s="324"/>
      <c r="V707" s="324"/>
      <c r="W707" s="324"/>
      <c r="X707" s="324"/>
      <c r="Y707" s="324"/>
      <c r="Z707" s="324"/>
      <c r="AA707" s="324"/>
      <c r="AB707" s="324"/>
      <c r="AC707" s="324"/>
      <c r="AD707" s="324"/>
      <c r="AE707" s="324"/>
    </row>
    <row r="708" spans="3:31" s="294" customFormat="1">
      <c r="C708" s="10"/>
      <c r="D708" s="29"/>
      <c r="E708" s="36"/>
      <c r="F708" s="324"/>
      <c r="G708" s="324"/>
      <c r="H708" s="324"/>
      <c r="I708" s="324"/>
      <c r="J708" s="324"/>
      <c r="K708" s="324"/>
      <c r="L708" s="324"/>
      <c r="M708" s="324"/>
      <c r="N708" s="324"/>
      <c r="O708" s="324"/>
      <c r="P708" s="324"/>
      <c r="Q708" s="324"/>
      <c r="R708" s="324"/>
      <c r="S708" s="324"/>
      <c r="T708" s="324"/>
      <c r="U708" s="324"/>
      <c r="V708" s="324"/>
      <c r="W708" s="324"/>
      <c r="X708" s="324"/>
      <c r="Y708" s="324"/>
      <c r="Z708" s="324"/>
      <c r="AA708" s="324"/>
      <c r="AB708" s="324"/>
      <c r="AC708" s="324"/>
      <c r="AD708" s="324"/>
      <c r="AE708" s="324"/>
    </row>
    <row r="709" spans="3:31" s="294" customFormat="1">
      <c r="C709" s="10"/>
      <c r="D709" s="29"/>
      <c r="E709" s="36"/>
      <c r="F709" s="324"/>
      <c r="G709" s="324"/>
      <c r="H709" s="324"/>
      <c r="I709" s="324"/>
      <c r="J709" s="324"/>
      <c r="K709" s="324"/>
      <c r="L709" s="324"/>
      <c r="M709" s="324"/>
      <c r="N709" s="324"/>
      <c r="O709" s="324"/>
      <c r="P709" s="324"/>
      <c r="Q709" s="324"/>
      <c r="R709" s="324"/>
      <c r="S709" s="324"/>
      <c r="T709" s="324"/>
      <c r="U709" s="324"/>
      <c r="V709" s="324"/>
      <c r="W709" s="324"/>
      <c r="X709" s="324"/>
      <c r="Y709" s="324"/>
      <c r="Z709" s="324"/>
      <c r="AA709" s="324"/>
      <c r="AB709" s="324"/>
      <c r="AC709" s="324"/>
      <c r="AD709" s="324"/>
      <c r="AE709" s="324"/>
    </row>
    <row r="710" spans="3:31" s="294" customFormat="1">
      <c r="C710" s="10"/>
      <c r="D710" s="29"/>
      <c r="E710" s="36"/>
      <c r="F710" s="324"/>
      <c r="G710" s="324"/>
      <c r="H710" s="324"/>
      <c r="I710" s="324"/>
      <c r="J710" s="324"/>
      <c r="K710" s="324"/>
      <c r="L710" s="324"/>
      <c r="M710" s="324"/>
      <c r="N710" s="324"/>
      <c r="O710" s="324"/>
      <c r="P710" s="324"/>
      <c r="Q710" s="324"/>
      <c r="R710" s="324"/>
      <c r="S710" s="324"/>
      <c r="T710" s="324"/>
      <c r="U710" s="324"/>
      <c r="V710" s="324"/>
      <c r="W710" s="324"/>
      <c r="X710" s="324"/>
      <c r="Y710" s="324"/>
      <c r="Z710" s="324"/>
      <c r="AA710" s="324"/>
      <c r="AB710" s="324"/>
      <c r="AC710" s="324"/>
      <c r="AD710" s="324"/>
      <c r="AE710" s="324"/>
    </row>
    <row r="711" spans="3:31" s="294" customFormat="1">
      <c r="C711" s="10"/>
      <c r="D711" s="29"/>
      <c r="E711" s="36"/>
      <c r="F711" s="324"/>
      <c r="G711" s="324"/>
      <c r="H711" s="324"/>
      <c r="I711" s="324"/>
      <c r="J711" s="324"/>
      <c r="K711" s="324"/>
      <c r="L711" s="324"/>
      <c r="M711" s="324"/>
      <c r="N711" s="324"/>
      <c r="O711" s="324"/>
      <c r="P711" s="324"/>
      <c r="Q711" s="324"/>
      <c r="R711" s="324"/>
      <c r="S711" s="324"/>
      <c r="T711" s="324"/>
      <c r="U711" s="324"/>
      <c r="V711" s="324"/>
      <c r="W711" s="324"/>
      <c r="X711" s="324"/>
      <c r="Y711" s="324"/>
      <c r="Z711" s="324"/>
      <c r="AA711" s="324"/>
      <c r="AB711" s="324"/>
      <c r="AC711" s="324"/>
      <c r="AD711" s="324"/>
      <c r="AE711" s="324"/>
    </row>
    <row r="712" spans="3:31" s="294" customFormat="1">
      <c r="C712" s="10"/>
      <c r="D712" s="29"/>
      <c r="E712" s="36"/>
      <c r="F712" s="324"/>
      <c r="G712" s="324"/>
      <c r="H712" s="324"/>
      <c r="I712" s="324"/>
      <c r="J712" s="324"/>
      <c r="K712" s="324"/>
      <c r="L712" s="324"/>
      <c r="M712" s="324"/>
      <c r="N712" s="324"/>
      <c r="O712" s="324"/>
      <c r="P712" s="324"/>
      <c r="Q712" s="324"/>
      <c r="R712" s="324"/>
      <c r="S712" s="324"/>
      <c r="T712" s="324"/>
      <c r="U712" s="324"/>
      <c r="V712" s="324"/>
      <c r="W712" s="324"/>
      <c r="X712" s="324"/>
      <c r="Y712" s="324"/>
      <c r="Z712" s="324"/>
      <c r="AA712" s="324"/>
      <c r="AB712" s="324"/>
      <c r="AC712" s="324"/>
      <c r="AD712" s="324"/>
      <c r="AE712" s="324"/>
    </row>
    <row r="713" spans="3:31" s="294" customFormat="1">
      <c r="C713" s="10"/>
      <c r="D713" s="29"/>
      <c r="E713" s="36"/>
      <c r="F713" s="324"/>
      <c r="G713" s="324"/>
      <c r="H713" s="324"/>
      <c r="I713" s="324"/>
      <c r="J713" s="324"/>
      <c r="K713" s="324"/>
      <c r="L713" s="324"/>
      <c r="M713" s="324"/>
      <c r="N713" s="324"/>
      <c r="O713" s="324"/>
      <c r="P713" s="324"/>
      <c r="Q713" s="324"/>
      <c r="R713" s="324"/>
      <c r="S713" s="324"/>
      <c r="T713" s="324"/>
      <c r="U713" s="324"/>
      <c r="V713" s="324"/>
      <c r="W713" s="324"/>
      <c r="X713" s="324"/>
      <c r="Y713" s="324"/>
      <c r="Z713" s="324"/>
      <c r="AA713" s="324"/>
      <c r="AB713" s="324"/>
      <c r="AC713" s="324"/>
      <c r="AD713" s="324"/>
      <c r="AE713" s="324"/>
    </row>
    <row r="714" spans="3:31" s="294" customFormat="1">
      <c r="C714" s="10"/>
      <c r="D714" s="29"/>
      <c r="E714" s="36"/>
      <c r="F714" s="324"/>
      <c r="G714" s="324"/>
      <c r="H714" s="324"/>
      <c r="I714" s="324"/>
      <c r="J714" s="324"/>
      <c r="K714" s="324"/>
      <c r="L714" s="324"/>
      <c r="M714" s="324"/>
      <c r="N714" s="324"/>
      <c r="O714" s="324"/>
      <c r="P714" s="324"/>
      <c r="Q714" s="324"/>
      <c r="R714" s="324"/>
      <c r="S714" s="324"/>
      <c r="T714" s="324"/>
      <c r="U714" s="324"/>
      <c r="V714" s="324"/>
      <c r="W714" s="324"/>
      <c r="X714" s="324"/>
      <c r="Y714" s="324"/>
      <c r="Z714" s="324"/>
      <c r="AA714" s="324"/>
      <c r="AB714" s="324"/>
      <c r="AC714" s="324"/>
      <c r="AD714" s="324"/>
      <c r="AE714" s="324"/>
    </row>
    <row r="715" spans="3:31" s="294" customFormat="1">
      <c r="C715" s="10"/>
      <c r="D715" s="29"/>
      <c r="E715" s="36"/>
      <c r="F715" s="324"/>
      <c r="G715" s="324"/>
      <c r="H715" s="324"/>
      <c r="I715" s="324"/>
      <c r="J715" s="324"/>
      <c r="K715" s="324"/>
      <c r="L715" s="324"/>
      <c r="M715" s="324"/>
      <c r="N715" s="324"/>
      <c r="O715" s="324"/>
      <c r="P715" s="324"/>
      <c r="Q715" s="324"/>
      <c r="R715" s="324"/>
      <c r="S715" s="324"/>
      <c r="T715" s="324"/>
      <c r="U715" s="324"/>
      <c r="V715" s="324"/>
      <c r="W715" s="324"/>
      <c r="X715" s="324"/>
      <c r="Y715" s="324"/>
      <c r="Z715" s="324"/>
      <c r="AA715" s="324"/>
      <c r="AB715" s="324"/>
      <c r="AC715" s="324"/>
      <c r="AD715" s="324"/>
      <c r="AE715" s="324"/>
    </row>
    <row r="716" spans="3:31" s="294" customFormat="1">
      <c r="C716" s="10"/>
      <c r="D716" s="29"/>
      <c r="E716" s="36"/>
      <c r="F716" s="324"/>
      <c r="G716" s="324"/>
      <c r="H716" s="324"/>
      <c r="I716" s="324"/>
      <c r="J716" s="324"/>
      <c r="K716" s="324"/>
      <c r="L716" s="324"/>
      <c r="M716" s="324"/>
      <c r="N716" s="324"/>
      <c r="O716" s="324"/>
      <c r="P716" s="324"/>
      <c r="Q716" s="324"/>
      <c r="R716" s="324"/>
      <c r="S716" s="324"/>
      <c r="T716" s="324"/>
      <c r="U716" s="324"/>
      <c r="V716" s="324"/>
      <c r="W716" s="324"/>
      <c r="X716" s="324"/>
      <c r="Y716" s="324"/>
      <c r="Z716" s="324"/>
      <c r="AA716" s="324"/>
      <c r="AB716" s="324"/>
      <c r="AC716" s="324"/>
      <c r="AD716" s="324"/>
      <c r="AE716" s="324"/>
    </row>
    <row r="717" spans="3:31" s="294" customFormat="1">
      <c r="C717" s="10"/>
      <c r="D717" s="29"/>
      <c r="E717" s="36"/>
      <c r="F717" s="324"/>
      <c r="G717" s="324"/>
      <c r="H717" s="324"/>
      <c r="I717" s="324"/>
      <c r="J717" s="324"/>
      <c r="K717" s="324"/>
      <c r="L717" s="324"/>
      <c r="M717" s="324"/>
      <c r="N717" s="324"/>
      <c r="O717" s="324"/>
      <c r="P717" s="324"/>
      <c r="Q717" s="324"/>
      <c r="R717" s="324"/>
      <c r="S717" s="324"/>
      <c r="T717" s="324"/>
      <c r="U717" s="324"/>
      <c r="V717" s="324"/>
      <c r="W717" s="324"/>
      <c r="X717" s="324"/>
      <c r="Y717" s="324"/>
      <c r="Z717" s="324"/>
      <c r="AA717" s="324"/>
      <c r="AB717" s="324"/>
      <c r="AC717" s="324"/>
      <c r="AD717" s="324"/>
      <c r="AE717" s="324"/>
    </row>
    <row r="718" spans="3:31" s="294" customFormat="1">
      <c r="C718" s="10"/>
      <c r="D718" s="29"/>
      <c r="E718" s="36"/>
      <c r="F718" s="324"/>
      <c r="G718" s="324"/>
      <c r="H718" s="324"/>
      <c r="I718" s="324"/>
      <c r="J718" s="324"/>
      <c r="K718" s="324"/>
      <c r="L718" s="324"/>
      <c r="M718" s="324"/>
      <c r="N718" s="324"/>
      <c r="O718" s="324"/>
      <c r="P718" s="324"/>
      <c r="Q718" s="324"/>
      <c r="R718" s="324"/>
      <c r="S718" s="324"/>
      <c r="T718" s="324"/>
      <c r="U718" s="324"/>
      <c r="V718" s="324"/>
      <c r="W718" s="324"/>
      <c r="X718" s="324"/>
      <c r="Y718" s="324"/>
      <c r="Z718" s="324"/>
      <c r="AA718" s="324"/>
      <c r="AB718" s="324"/>
      <c r="AC718" s="324"/>
      <c r="AD718" s="324"/>
      <c r="AE718" s="324"/>
    </row>
    <row r="719" spans="3:31" s="294" customFormat="1">
      <c r="C719" s="10"/>
      <c r="D719" s="29"/>
      <c r="E719" s="36"/>
      <c r="F719" s="324"/>
      <c r="G719" s="324"/>
      <c r="H719" s="324"/>
      <c r="I719" s="324"/>
      <c r="J719" s="324"/>
      <c r="K719" s="324"/>
      <c r="L719" s="324"/>
      <c r="M719" s="324"/>
      <c r="N719" s="324"/>
      <c r="O719" s="324"/>
      <c r="P719" s="324"/>
      <c r="Q719" s="324"/>
      <c r="R719" s="324"/>
      <c r="S719" s="324"/>
      <c r="T719" s="324"/>
      <c r="U719" s="324"/>
      <c r="V719" s="324"/>
      <c r="W719" s="324"/>
      <c r="X719" s="324"/>
      <c r="Y719" s="324"/>
      <c r="Z719" s="324"/>
      <c r="AA719" s="324"/>
      <c r="AB719" s="324"/>
      <c r="AC719" s="324"/>
      <c r="AD719" s="324"/>
      <c r="AE719" s="324"/>
    </row>
    <row r="720" spans="3:31" s="294" customFormat="1">
      <c r="C720" s="10"/>
      <c r="D720" s="29"/>
      <c r="E720" s="36"/>
      <c r="F720" s="324"/>
      <c r="G720" s="324"/>
      <c r="H720" s="324"/>
      <c r="I720" s="324"/>
      <c r="J720" s="324"/>
      <c r="K720" s="324"/>
      <c r="L720" s="324"/>
      <c r="M720" s="324"/>
      <c r="N720" s="324"/>
      <c r="O720" s="324"/>
      <c r="P720" s="324"/>
      <c r="Q720" s="324"/>
      <c r="R720" s="324"/>
      <c r="S720" s="324"/>
      <c r="T720" s="324"/>
      <c r="U720" s="324"/>
      <c r="V720" s="324"/>
      <c r="W720" s="324"/>
      <c r="X720" s="324"/>
      <c r="Y720" s="324"/>
      <c r="Z720" s="324"/>
      <c r="AA720" s="324"/>
      <c r="AB720" s="324"/>
      <c r="AC720" s="324"/>
      <c r="AD720" s="324"/>
      <c r="AE720" s="324"/>
    </row>
    <row r="721" spans="3:31" s="294" customFormat="1">
      <c r="C721" s="10"/>
      <c r="D721" s="29"/>
      <c r="E721" s="36"/>
      <c r="F721" s="324"/>
      <c r="G721" s="324"/>
      <c r="H721" s="324"/>
      <c r="I721" s="324"/>
      <c r="J721" s="324"/>
      <c r="K721" s="324"/>
      <c r="L721" s="324"/>
      <c r="M721" s="324"/>
      <c r="N721" s="324"/>
      <c r="O721" s="324"/>
      <c r="P721" s="324"/>
      <c r="Q721" s="324"/>
      <c r="R721" s="324"/>
      <c r="S721" s="324"/>
      <c r="T721" s="324"/>
      <c r="U721" s="324"/>
      <c r="V721" s="324"/>
      <c r="W721" s="324"/>
      <c r="X721" s="324"/>
      <c r="Y721" s="324"/>
      <c r="Z721" s="324"/>
      <c r="AA721" s="324"/>
      <c r="AB721" s="324"/>
      <c r="AC721" s="324"/>
      <c r="AD721" s="324"/>
      <c r="AE721" s="324"/>
    </row>
    <row r="722" spans="3:31" s="294" customFormat="1">
      <c r="C722" s="10"/>
      <c r="D722" s="29"/>
      <c r="E722" s="36"/>
      <c r="F722" s="324"/>
      <c r="G722" s="324"/>
      <c r="H722" s="324"/>
      <c r="I722" s="324"/>
      <c r="J722" s="324"/>
      <c r="K722" s="324"/>
      <c r="L722" s="324"/>
      <c r="M722" s="324"/>
      <c r="N722" s="324"/>
      <c r="O722" s="324"/>
      <c r="P722" s="324"/>
      <c r="Q722" s="324"/>
      <c r="R722" s="324"/>
      <c r="S722" s="324"/>
      <c r="T722" s="324"/>
      <c r="U722" s="324"/>
      <c r="V722" s="324"/>
      <c r="W722" s="324"/>
      <c r="X722" s="324"/>
      <c r="Y722" s="324"/>
      <c r="Z722" s="324"/>
      <c r="AA722" s="324"/>
      <c r="AB722" s="324"/>
      <c r="AC722" s="324"/>
      <c r="AD722" s="324"/>
      <c r="AE722" s="324"/>
    </row>
    <row r="723" spans="3:31" s="294" customFormat="1">
      <c r="C723" s="10"/>
      <c r="D723" s="29"/>
      <c r="E723" s="36"/>
      <c r="F723" s="324"/>
      <c r="G723" s="324"/>
      <c r="H723" s="324"/>
      <c r="I723" s="324"/>
      <c r="J723" s="324"/>
      <c r="K723" s="324"/>
      <c r="L723" s="324"/>
      <c r="M723" s="324"/>
      <c r="N723" s="324"/>
      <c r="O723" s="324"/>
      <c r="P723" s="324"/>
      <c r="Q723" s="324"/>
      <c r="R723" s="324"/>
      <c r="S723" s="324"/>
      <c r="T723" s="324"/>
      <c r="U723" s="324"/>
      <c r="V723" s="324"/>
      <c r="W723" s="324"/>
      <c r="X723" s="324"/>
      <c r="Y723" s="324"/>
      <c r="Z723" s="324"/>
      <c r="AA723" s="324"/>
      <c r="AB723" s="324"/>
      <c r="AC723" s="324"/>
      <c r="AD723" s="324"/>
      <c r="AE723" s="324"/>
    </row>
    <row r="724" spans="3:31" s="294" customFormat="1">
      <c r="C724" s="10"/>
      <c r="D724" s="29"/>
      <c r="E724" s="36"/>
      <c r="F724" s="324"/>
      <c r="G724" s="324"/>
      <c r="H724" s="324"/>
      <c r="I724" s="324"/>
      <c r="J724" s="324"/>
      <c r="K724" s="324"/>
      <c r="L724" s="324"/>
      <c r="M724" s="324"/>
      <c r="N724" s="324"/>
      <c r="O724" s="324"/>
      <c r="P724" s="324"/>
      <c r="Q724" s="324"/>
      <c r="R724" s="324"/>
      <c r="S724" s="324"/>
      <c r="T724" s="324"/>
      <c r="U724" s="324"/>
      <c r="V724" s="324"/>
      <c r="W724" s="324"/>
      <c r="X724" s="324"/>
      <c r="Y724" s="324"/>
      <c r="Z724" s="324"/>
      <c r="AA724" s="324"/>
      <c r="AB724" s="324"/>
      <c r="AC724" s="324"/>
      <c r="AD724" s="324"/>
      <c r="AE724" s="324"/>
    </row>
    <row r="725" spans="3:31" s="294" customFormat="1">
      <c r="C725" s="10"/>
      <c r="D725" s="29"/>
      <c r="E725" s="36"/>
      <c r="F725" s="324"/>
      <c r="G725" s="324"/>
      <c r="H725" s="324"/>
      <c r="I725" s="324"/>
      <c r="J725" s="324"/>
      <c r="K725" s="324"/>
      <c r="L725" s="324"/>
      <c r="M725" s="324"/>
      <c r="N725" s="324"/>
      <c r="O725" s="324"/>
      <c r="P725" s="324"/>
      <c r="Q725" s="324"/>
      <c r="R725" s="324"/>
      <c r="S725" s="324"/>
      <c r="T725" s="324"/>
      <c r="U725" s="324"/>
      <c r="V725" s="324"/>
      <c r="W725" s="324"/>
      <c r="X725" s="324"/>
      <c r="Y725" s="324"/>
      <c r="Z725" s="324"/>
      <c r="AA725" s="324"/>
      <c r="AB725" s="324"/>
      <c r="AC725" s="324"/>
      <c r="AD725" s="324"/>
      <c r="AE725" s="324"/>
    </row>
    <row r="726" spans="3:31" s="294" customFormat="1">
      <c r="C726" s="10"/>
      <c r="D726" s="29"/>
      <c r="E726" s="36"/>
      <c r="F726" s="324"/>
      <c r="G726" s="324"/>
      <c r="H726" s="324"/>
      <c r="I726" s="324"/>
      <c r="J726" s="324"/>
      <c r="K726" s="324"/>
      <c r="L726" s="324"/>
      <c r="M726" s="324"/>
      <c r="N726" s="324"/>
      <c r="O726" s="324"/>
      <c r="P726" s="324"/>
      <c r="Q726" s="324"/>
      <c r="R726" s="324"/>
      <c r="S726" s="324"/>
      <c r="T726" s="324"/>
      <c r="U726" s="324"/>
      <c r="V726" s="324"/>
      <c r="W726" s="324"/>
      <c r="X726" s="324"/>
      <c r="Y726" s="324"/>
      <c r="Z726" s="324"/>
      <c r="AA726" s="324"/>
      <c r="AB726" s="324"/>
      <c r="AC726" s="324"/>
      <c r="AD726" s="324"/>
      <c r="AE726" s="324"/>
    </row>
    <row r="727" spans="3:31" s="294" customFormat="1">
      <c r="C727" s="10"/>
      <c r="D727" s="29"/>
      <c r="E727" s="36"/>
      <c r="F727" s="324"/>
      <c r="G727" s="324"/>
      <c r="H727" s="324"/>
      <c r="I727" s="324"/>
      <c r="J727" s="324"/>
      <c r="K727" s="324"/>
      <c r="L727" s="324"/>
      <c r="M727" s="324"/>
      <c r="N727" s="324"/>
      <c r="O727" s="324"/>
      <c r="P727" s="324"/>
      <c r="Q727" s="324"/>
      <c r="R727" s="324"/>
      <c r="S727" s="324"/>
      <c r="T727" s="324"/>
      <c r="U727" s="324"/>
      <c r="V727" s="324"/>
      <c r="W727" s="324"/>
      <c r="X727" s="324"/>
      <c r="Y727" s="324"/>
      <c r="Z727" s="324"/>
      <c r="AA727" s="324"/>
      <c r="AB727" s="324"/>
      <c r="AC727" s="324"/>
      <c r="AD727" s="324"/>
      <c r="AE727" s="324"/>
    </row>
    <row r="728" spans="3:31" s="294" customFormat="1">
      <c r="C728" s="10"/>
      <c r="D728" s="29"/>
      <c r="E728" s="36"/>
      <c r="F728" s="324"/>
      <c r="G728" s="324"/>
      <c r="H728" s="324"/>
      <c r="I728" s="324"/>
      <c r="J728" s="324"/>
      <c r="K728" s="324"/>
      <c r="L728" s="324"/>
      <c r="M728" s="324"/>
      <c r="N728" s="324"/>
      <c r="O728" s="324"/>
      <c r="P728" s="324"/>
      <c r="Q728" s="324"/>
      <c r="R728" s="324"/>
      <c r="S728" s="324"/>
      <c r="T728" s="324"/>
      <c r="U728" s="324"/>
      <c r="V728" s="324"/>
      <c r="W728" s="324"/>
      <c r="X728" s="324"/>
      <c r="Y728" s="324"/>
      <c r="Z728" s="324"/>
      <c r="AA728" s="324"/>
      <c r="AB728" s="324"/>
      <c r="AC728" s="324"/>
      <c r="AD728" s="324"/>
      <c r="AE728" s="324"/>
    </row>
    <row r="729" spans="3:31" s="294" customFormat="1">
      <c r="C729" s="10"/>
      <c r="D729" s="29"/>
      <c r="E729" s="36"/>
      <c r="F729" s="324"/>
      <c r="G729" s="324"/>
      <c r="H729" s="324"/>
      <c r="I729" s="324"/>
      <c r="J729" s="324"/>
      <c r="K729" s="324"/>
      <c r="L729" s="324"/>
      <c r="M729" s="324"/>
      <c r="N729" s="324"/>
      <c r="O729" s="324"/>
      <c r="P729" s="324"/>
      <c r="Q729" s="324"/>
      <c r="R729" s="324"/>
      <c r="S729" s="324"/>
      <c r="T729" s="324"/>
      <c r="U729" s="324"/>
      <c r="V729" s="324"/>
      <c r="W729" s="324"/>
      <c r="X729" s="324"/>
      <c r="Y729" s="324"/>
      <c r="Z729" s="324"/>
      <c r="AA729" s="324"/>
      <c r="AB729" s="324"/>
      <c r="AC729" s="324"/>
      <c r="AD729" s="324"/>
      <c r="AE729" s="324"/>
    </row>
    <row r="730" spans="3:31" s="294" customFormat="1">
      <c r="C730" s="10"/>
      <c r="D730" s="29"/>
      <c r="E730" s="36"/>
      <c r="F730" s="324"/>
      <c r="G730" s="324"/>
      <c r="H730" s="324"/>
      <c r="I730" s="324"/>
      <c r="J730" s="324"/>
      <c r="K730" s="324"/>
      <c r="L730" s="324"/>
      <c r="M730" s="324"/>
      <c r="N730" s="324"/>
      <c r="O730" s="324"/>
      <c r="P730" s="324"/>
      <c r="Q730" s="324"/>
      <c r="R730" s="324"/>
      <c r="S730" s="324"/>
      <c r="T730" s="324"/>
      <c r="U730" s="324"/>
      <c r="V730" s="324"/>
      <c r="W730" s="324"/>
      <c r="X730" s="324"/>
      <c r="Y730" s="324"/>
      <c r="Z730" s="324"/>
      <c r="AA730" s="324"/>
      <c r="AB730" s="324"/>
      <c r="AC730" s="324"/>
      <c r="AD730" s="324"/>
      <c r="AE730" s="324"/>
    </row>
    <row r="731" spans="3:31" s="294" customFormat="1">
      <c r="C731" s="10"/>
      <c r="D731" s="29"/>
      <c r="E731" s="36"/>
      <c r="F731" s="324"/>
      <c r="G731" s="324"/>
      <c r="H731" s="324"/>
      <c r="I731" s="324"/>
      <c r="J731" s="324"/>
      <c r="K731" s="324"/>
      <c r="L731" s="324"/>
      <c r="M731" s="324"/>
      <c r="N731" s="324"/>
      <c r="O731" s="324"/>
      <c r="P731" s="324"/>
      <c r="Q731" s="324"/>
      <c r="R731" s="324"/>
      <c r="S731" s="324"/>
      <c r="T731" s="324"/>
      <c r="U731" s="324"/>
      <c r="V731" s="324"/>
      <c r="W731" s="324"/>
      <c r="X731" s="324"/>
      <c r="Y731" s="324"/>
      <c r="Z731" s="324"/>
      <c r="AA731" s="324"/>
      <c r="AB731" s="324"/>
      <c r="AC731" s="324"/>
      <c r="AD731" s="324"/>
      <c r="AE731" s="324"/>
    </row>
    <row r="732" spans="3:31" s="294" customFormat="1">
      <c r="C732" s="10"/>
      <c r="D732" s="29"/>
      <c r="E732" s="36"/>
      <c r="F732" s="324"/>
      <c r="G732" s="324"/>
      <c r="H732" s="324"/>
      <c r="I732" s="324"/>
      <c r="J732" s="324"/>
      <c r="K732" s="324"/>
      <c r="L732" s="324"/>
      <c r="M732" s="324"/>
      <c r="N732" s="324"/>
      <c r="O732" s="324"/>
      <c r="P732" s="324"/>
      <c r="Q732" s="324"/>
      <c r="R732" s="324"/>
      <c r="S732" s="324"/>
      <c r="T732" s="324"/>
      <c r="U732" s="324"/>
      <c r="V732" s="324"/>
      <c r="W732" s="324"/>
      <c r="X732" s="324"/>
      <c r="Y732" s="324"/>
      <c r="Z732" s="324"/>
      <c r="AA732" s="324"/>
      <c r="AB732" s="324"/>
      <c r="AC732" s="324"/>
      <c r="AD732" s="324"/>
      <c r="AE732" s="324"/>
    </row>
    <row r="733" spans="3:31" s="294" customFormat="1">
      <c r="C733" s="10"/>
      <c r="D733" s="29"/>
      <c r="E733" s="36"/>
      <c r="F733" s="324"/>
      <c r="G733" s="324"/>
      <c r="H733" s="324"/>
      <c r="I733" s="324"/>
      <c r="J733" s="324"/>
      <c r="K733" s="324"/>
      <c r="L733" s="324"/>
      <c r="M733" s="324"/>
      <c r="N733" s="324"/>
      <c r="O733" s="324"/>
      <c r="P733" s="324"/>
      <c r="Q733" s="324"/>
      <c r="R733" s="324"/>
      <c r="S733" s="324"/>
      <c r="T733" s="324"/>
      <c r="U733" s="324"/>
      <c r="V733" s="324"/>
      <c r="W733" s="324"/>
      <c r="X733" s="324"/>
      <c r="Y733" s="324"/>
      <c r="Z733" s="324"/>
      <c r="AA733" s="324"/>
      <c r="AB733" s="324"/>
      <c r="AC733" s="324"/>
      <c r="AD733" s="324"/>
      <c r="AE733" s="324"/>
    </row>
    <row r="734" spans="3:31" s="294" customFormat="1">
      <c r="C734" s="10"/>
      <c r="D734" s="29"/>
      <c r="E734" s="36"/>
      <c r="F734" s="324"/>
      <c r="G734" s="324"/>
      <c r="H734" s="324"/>
      <c r="I734" s="324"/>
      <c r="J734" s="324"/>
      <c r="K734" s="324"/>
      <c r="L734" s="324"/>
      <c r="M734" s="324"/>
      <c r="N734" s="324"/>
      <c r="O734" s="324"/>
      <c r="P734" s="324"/>
      <c r="Q734" s="324"/>
      <c r="R734" s="324"/>
      <c r="S734" s="324"/>
      <c r="T734" s="324"/>
      <c r="U734" s="324"/>
      <c r="V734" s="324"/>
      <c r="W734" s="324"/>
      <c r="X734" s="324"/>
      <c r="Y734" s="324"/>
      <c r="Z734" s="324"/>
      <c r="AA734" s="324"/>
      <c r="AB734" s="324"/>
      <c r="AC734" s="324"/>
      <c r="AD734" s="324"/>
      <c r="AE734" s="324"/>
    </row>
    <row r="735" spans="3:31" s="294" customFormat="1">
      <c r="C735" s="10"/>
      <c r="D735" s="29"/>
      <c r="E735" s="36"/>
      <c r="F735" s="324"/>
      <c r="G735" s="324"/>
      <c r="H735" s="324"/>
      <c r="I735" s="324"/>
      <c r="J735" s="324"/>
      <c r="K735" s="324"/>
      <c r="L735" s="324"/>
      <c r="M735" s="324"/>
      <c r="N735" s="324"/>
      <c r="O735" s="324"/>
      <c r="P735" s="324"/>
      <c r="Q735" s="324"/>
      <c r="R735" s="324"/>
      <c r="S735" s="324"/>
      <c r="T735" s="324"/>
      <c r="U735" s="324"/>
      <c r="V735" s="324"/>
      <c r="W735" s="324"/>
      <c r="X735" s="324"/>
      <c r="Y735" s="324"/>
      <c r="Z735" s="324"/>
      <c r="AA735" s="324"/>
      <c r="AB735" s="324"/>
      <c r="AC735" s="324"/>
      <c r="AD735" s="324"/>
      <c r="AE735" s="324"/>
    </row>
    <row r="736" spans="3:31" s="294" customFormat="1">
      <c r="C736" s="10"/>
      <c r="D736" s="29"/>
      <c r="E736" s="36"/>
      <c r="F736" s="324"/>
      <c r="G736" s="324"/>
      <c r="H736" s="324"/>
      <c r="I736" s="324"/>
      <c r="J736" s="324"/>
      <c r="K736" s="324"/>
      <c r="L736" s="324"/>
      <c r="M736" s="324"/>
      <c r="N736" s="324"/>
      <c r="O736" s="324"/>
      <c r="P736" s="324"/>
      <c r="Q736" s="324"/>
      <c r="R736" s="324"/>
      <c r="S736" s="324"/>
      <c r="T736" s="324"/>
      <c r="U736" s="324"/>
      <c r="V736" s="324"/>
      <c r="W736" s="324"/>
      <c r="X736" s="324"/>
      <c r="Y736" s="324"/>
      <c r="Z736" s="324"/>
      <c r="AA736" s="324"/>
      <c r="AB736" s="324"/>
      <c r="AC736" s="324"/>
      <c r="AD736" s="324"/>
      <c r="AE736" s="324"/>
    </row>
    <row r="737" spans="3:31" s="294" customFormat="1">
      <c r="C737" s="10"/>
      <c r="D737" s="29"/>
      <c r="E737" s="36"/>
      <c r="F737" s="324"/>
      <c r="G737" s="324"/>
      <c r="H737" s="324"/>
      <c r="I737" s="324"/>
      <c r="J737" s="324"/>
      <c r="K737" s="324"/>
      <c r="L737" s="324"/>
      <c r="M737" s="324"/>
      <c r="N737" s="324"/>
      <c r="O737" s="324"/>
      <c r="P737" s="324"/>
      <c r="Q737" s="324"/>
      <c r="R737" s="324"/>
      <c r="S737" s="324"/>
      <c r="T737" s="324"/>
      <c r="U737" s="324"/>
      <c r="V737" s="324"/>
      <c r="W737" s="324"/>
      <c r="X737" s="324"/>
      <c r="Y737" s="324"/>
      <c r="Z737" s="324"/>
      <c r="AA737" s="324"/>
      <c r="AB737" s="324"/>
      <c r="AC737" s="324"/>
      <c r="AD737" s="324"/>
      <c r="AE737" s="324"/>
    </row>
    <row r="738" spans="3:31" s="294" customFormat="1">
      <c r="C738" s="10"/>
      <c r="D738" s="29"/>
      <c r="E738" s="36"/>
      <c r="F738" s="324"/>
      <c r="G738" s="324"/>
      <c r="H738" s="324"/>
      <c r="I738" s="324"/>
      <c r="J738" s="324"/>
      <c r="K738" s="324"/>
      <c r="L738" s="324"/>
      <c r="M738" s="324"/>
      <c r="N738" s="324"/>
      <c r="O738" s="324"/>
      <c r="P738" s="324"/>
      <c r="Q738" s="324"/>
      <c r="R738" s="324"/>
      <c r="S738" s="324"/>
      <c r="T738" s="324"/>
      <c r="U738" s="324"/>
      <c r="V738" s="324"/>
      <c r="W738" s="324"/>
      <c r="X738" s="324"/>
      <c r="Y738" s="324"/>
      <c r="Z738" s="324"/>
      <c r="AA738" s="324"/>
      <c r="AB738" s="324"/>
      <c r="AC738" s="324"/>
      <c r="AD738" s="324"/>
      <c r="AE738" s="324"/>
    </row>
    <row r="739" spans="3:31" s="294" customFormat="1">
      <c r="C739" s="10"/>
      <c r="D739" s="29"/>
      <c r="E739" s="36"/>
      <c r="F739" s="324"/>
      <c r="G739" s="324"/>
      <c r="H739" s="324"/>
      <c r="I739" s="324"/>
      <c r="J739" s="324"/>
      <c r="K739" s="324"/>
      <c r="L739" s="324"/>
      <c r="M739" s="324"/>
      <c r="N739" s="324"/>
      <c r="O739" s="324"/>
      <c r="P739" s="324"/>
      <c r="Q739" s="324"/>
      <c r="R739" s="324"/>
      <c r="S739" s="324"/>
      <c r="T739" s="324"/>
      <c r="U739" s="324"/>
      <c r="V739" s="324"/>
      <c r="W739" s="324"/>
      <c r="X739" s="324"/>
      <c r="Y739" s="324"/>
      <c r="Z739" s="324"/>
      <c r="AA739" s="324"/>
      <c r="AB739" s="324"/>
      <c r="AC739" s="324"/>
      <c r="AD739" s="324"/>
      <c r="AE739" s="324"/>
    </row>
    <row r="740" spans="3:31" s="294" customFormat="1">
      <c r="C740" s="10"/>
      <c r="D740" s="29"/>
      <c r="E740" s="36"/>
      <c r="F740" s="324"/>
      <c r="G740" s="324"/>
      <c r="H740" s="324"/>
      <c r="I740" s="324"/>
      <c r="J740" s="324"/>
      <c r="K740" s="324"/>
      <c r="L740" s="324"/>
      <c r="M740" s="324"/>
      <c r="N740" s="324"/>
      <c r="O740" s="324"/>
      <c r="P740" s="324"/>
      <c r="Q740" s="324"/>
      <c r="R740" s="324"/>
      <c r="S740" s="324"/>
      <c r="T740" s="324"/>
      <c r="U740" s="324"/>
      <c r="V740" s="324"/>
      <c r="W740" s="324"/>
      <c r="X740" s="324"/>
      <c r="Y740" s="324"/>
      <c r="Z740" s="324"/>
      <c r="AA740" s="324"/>
      <c r="AB740" s="324"/>
      <c r="AC740" s="324"/>
      <c r="AD740" s="324"/>
      <c r="AE740" s="324"/>
    </row>
    <row r="741" spans="3:31" s="294" customFormat="1">
      <c r="C741" s="10"/>
      <c r="D741" s="29"/>
      <c r="E741" s="36"/>
      <c r="F741" s="324"/>
      <c r="G741" s="324"/>
      <c r="H741" s="324"/>
      <c r="I741" s="324"/>
      <c r="J741" s="324"/>
      <c r="K741" s="324"/>
      <c r="L741" s="324"/>
      <c r="M741" s="324"/>
      <c r="N741" s="324"/>
      <c r="O741" s="324"/>
      <c r="P741" s="324"/>
      <c r="Q741" s="324"/>
      <c r="R741" s="324"/>
      <c r="S741" s="324"/>
      <c r="T741" s="324"/>
      <c r="U741" s="324"/>
      <c r="V741" s="324"/>
      <c r="W741" s="324"/>
      <c r="X741" s="324"/>
      <c r="Y741" s="324"/>
      <c r="Z741" s="324"/>
      <c r="AA741" s="324"/>
      <c r="AB741" s="324"/>
      <c r="AC741" s="324"/>
      <c r="AD741" s="324"/>
      <c r="AE741" s="324"/>
    </row>
    <row r="742" spans="3:31" s="294" customFormat="1">
      <c r="C742" s="10"/>
      <c r="D742" s="29"/>
      <c r="E742" s="36"/>
      <c r="F742" s="324"/>
      <c r="G742" s="324"/>
      <c r="H742" s="324"/>
      <c r="I742" s="324"/>
      <c r="J742" s="324"/>
      <c r="K742" s="324"/>
      <c r="L742" s="324"/>
      <c r="M742" s="324"/>
      <c r="N742" s="324"/>
      <c r="O742" s="324"/>
      <c r="P742" s="324"/>
      <c r="Q742" s="324"/>
      <c r="R742" s="324"/>
      <c r="S742" s="324"/>
      <c r="T742" s="324"/>
      <c r="U742" s="324"/>
      <c r="V742" s="324"/>
      <c r="W742" s="324"/>
      <c r="X742" s="324"/>
      <c r="Y742" s="324"/>
      <c r="Z742" s="324"/>
      <c r="AA742" s="324"/>
      <c r="AB742" s="324"/>
      <c r="AC742" s="324"/>
      <c r="AD742" s="324"/>
      <c r="AE742" s="324"/>
    </row>
    <row r="743" spans="3:31" s="294" customFormat="1">
      <c r="C743" s="10"/>
      <c r="D743" s="29"/>
      <c r="E743" s="36"/>
      <c r="F743" s="324"/>
      <c r="G743" s="324"/>
      <c r="H743" s="324"/>
      <c r="I743" s="324"/>
      <c r="J743" s="324"/>
      <c r="K743" s="324"/>
      <c r="L743" s="324"/>
      <c r="M743" s="324"/>
      <c r="N743" s="324"/>
      <c r="O743" s="324"/>
      <c r="P743" s="324"/>
      <c r="Q743" s="324"/>
      <c r="R743" s="324"/>
      <c r="S743" s="324"/>
      <c r="T743" s="324"/>
      <c r="U743" s="324"/>
      <c r="V743" s="324"/>
      <c r="W743" s="324"/>
      <c r="X743" s="324"/>
      <c r="Y743" s="324"/>
      <c r="Z743" s="324"/>
      <c r="AA743" s="324"/>
      <c r="AB743" s="324"/>
      <c r="AC743" s="324"/>
      <c r="AD743" s="324"/>
      <c r="AE743" s="324"/>
    </row>
    <row r="744" spans="3:31" s="294" customFormat="1">
      <c r="C744" s="10"/>
      <c r="D744" s="29"/>
      <c r="E744" s="36"/>
      <c r="F744" s="324"/>
      <c r="G744" s="324"/>
      <c r="H744" s="324"/>
      <c r="I744" s="324"/>
      <c r="J744" s="324"/>
      <c r="K744" s="324"/>
      <c r="L744" s="324"/>
      <c r="M744" s="324"/>
      <c r="N744" s="324"/>
      <c r="O744" s="324"/>
      <c r="P744" s="324"/>
      <c r="Q744" s="324"/>
      <c r="R744" s="324"/>
      <c r="S744" s="324"/>
      <c r="T744" s="324"/>
      <c r="U744" s="324"/>
      <c r="V744" s="324"/>
      <c r="W744" s="324"/>
      <c r="X744" s="324"/>
      <c r="Y744" s="324"/>
      <c r="Z744" s="324"/>
      <c r="AA744" s="324"/>
      <c r="AB744" s="324"/>
      <c r="AC744" s="324"/>
      <c r="AD744" s="324"/>
      <c r="AE744" s="324"/>
    </row>
    <row r="745" spans="3:31" s="294" customFormat="1">
      <c r="C745" s="10"/>
      <c r="D745" s="29"/>
      <c r="E745" s="36"/>
      <c r="F745" s="324"/>
      <c r="G745" s="324"/>
      <c r="H745" s="324"/>
      <c r="I745" s="324"/>
      <c r="J745" s="324"/>
      <c r="K745" s="324"/>
      <c r="L745" s="324"/>
      <c r="M745" s="324"/>
      <c r="N745" s="324"/>
      <c r="O745" s="324"/>
      <c r="P745" s="324"/>
      <c r="Q745" s="324"/>
      <c r="R745" s="324"/>
      <c r="S745" s="324"/>
      <c r="T745" s="324"/>
      <c r="U745" s="324"/>
      <c r="V745" s="324"/>
      <c r="W745" s="324"/>
      <c r="X745" s="324"/>
      <c r="Y745" s="324"/>
      <c r="Z745" s="324"/>
      <c r="AA745" s="324"/>
      <c r="AB745" s="324"/>
      <c r="AC745" s="324"/>
      <c r="AD745" s="324"/>
      <c r="AE745" s="324"/>
    </row>
    <row r="746" spans="3:31" s="294" customFormat="1">
      <c r="C746" s="10"/>
      <c r="D746" s="29"/>
      <c r="E746" s="36"/>
      <c r="F746" s="324"/>
      <c r="G746" s="324"/>
      <c r="H746" s="324"/>
      <c r="I746" s="324"/>
      <c r="J746" s="324"/>
      <c r="K746" s="324"/>
      <c r="L746" s="324"/>
      <c r="M746" s="324"/>
      <c r="N746" s="324"/>
      <c r="O746" s="324"/>
      <c r="P746" s="324"/>
      <c r="Q746" s="324"/>
      <c r="R746" s="324"/>
      <c r="S746" s="324"/>
      <c r="T746" s="324"/>
      <c r="U746" s="324"/>
      <c r="V746" s="324"/>
      <c r="W746" s="324"/>
      <c r="X746" s="324"/>
      <c r="Y746" s="324"/>
      <c r="Z746" s="324"/>
      <c r="AA746" s="324"/>
      <c r="AB746" s="324"/>
      <c r="AC746" s="324"/>
      <c r="AD746" s="324"/>
      <c r="AE746" s="324"/>
    </row>
    <row r="747" spans="3:31" s="294" customFormat="1">
      <c r="C747" s="10"/>
      <c r="D747" s="29"/>
      <c r="E747" s="36"/>
      <c r="F747" s="324"/>
      <c r="G747" s="324"/>
      <c r="H747" s="324"/>
      <c r="I747" s="324"/>
      <c r="J747" s="324"/>
      <c r="K747" s="324"/>
      <c r="L747" s="324"/>
      <c r="M747" s="324"/>
      <c r="N747" s="324"/>
      <c r="O747" s="324"/>
      <c r="P747" s="324"/>
      <c r="Q747" s="324"/>
      <c r="R747" s="324"/>
      <c r="S747" s="324"/>
      <c r="T747" s="324"/>
      <c r="U747" s="324"/>
      <c r="V747" s="324"/>
      <c r="W747" s="324"/>
      <c r="X747" s="324"/>
      <c r="Y747" s="324"/>
      <c r="Z747" s="324"/>
      <c r="AA747" s="324"/>
      <c r="AB747" s="324"/>
      <c r="AC747" s="324"/>
      <c r="AD747" s="324"/>
      <c r="AE747" s="324"/>
    </row>
    <row r="748" spans="3:31" s="294" customFormat="1">
      <c r="C748" s="10"/>
      <c r="D748" s="29"/>
      <c r="E748" s="36"/>
      <c r="F748" s="324"/>
      <c r="G748" s="324"/>
      <c r="H748" s="324"/>
      <c r="I748" s="324"/>
      <c r="J748" s="324"/>
      <c r="K748" s="324"/>
      <c r="L748" s="324"/>
      <c r="M748" s="324"/>
      <c r="N748" s="324"/>
      <c r="O748" s="324"/>
      <c r="P748" s="324"/>
      <c r="Q748" s="324"/>
      <c r="R748" s="324"/>
      <c r="S748" s="324"/>
      <c r="T748" s="324"/>
      <c r="U748" s="324"/>
      <c r="V748" s="324"/>
      <c r="W748" s="324"/>
      <c r="X748" s="324"/>
      <c r="Y748" s="324"/>
      <c r="Z748" s="324"/>
      <c r="AA748" s="324"/>
      <c r="AB748" s="324"/>
      <c r="AC748" s="324"/>
      <c r="AD748" s="324"/>
      <c r="AE748" s="324"/>
    </row>
    <row r="749" spans="3:31" s="294" customFormat="1">
      <c r="C749" s="10"/>
      <c r="D749" s="29"/>
      <c r="E749" s="36"/>
      <c r="F749" s="324"/>
      <c r="G749" s="324"/>
      <c r="H749" s="324"/>
      <c r="I749" s="324"/>
      <c r="J749" s="324"/>
      <c r="K749" s="324"/>
      <c r="L749" s="324"/>
      <c r="M749" s="324"/>
      <c r="N749" s="324"/>
      <c r="O749" s="324"/>
      <c r="P749" s="324"/>
      <c r="Q749" s="324"/>
      <c r="R749" s="324"/>
      <c r="S749" s="324"/>
      <c r="T749" s="324"/>
      <c r="U749" s="324"/>
      <c r="V749" s="324"/>
      <c r="W749" s="324"/>
      <c r="X749" s="324"/>
      <c r="Y749" s="324"/>
      <c r="Z749" s="324"/>
      <c r="AA749" s="324"/>
      <c r="AB749" s="324"/>
      <c r="AC749" s="324"/>
      <c r="AD749" s="324"/>
      <c r="AE749" s="324"/>
    </row>
    <row r="750" spans="3:31" s="294" customFormat="1">
      <c r="C750" s="10"/>
      <c r="D750" s="29"/>
      <c r="E750" s="36"/>
      <c r="F750" s="324"/>
      <c r="G750" s="324"/>
      <c r="H750" s="324"/>
      <c r="I750" s="324"/>
      <c r="J750" s="324"/>
      <c r="K750" s="324"/>
      <c r="L750" s="324"/>
      <c r="M750" s="324"/>
      <c r="N750" s="324"/>
      <c r="O750" s="324"/>
      <c r="P750" s="324"/>
      <c r="Q750" s="324"/>
      <c r="R750" s="324"/>
      <c r="S750" s="324"/>
      <c r="T750" s="324"/>
      <c r="U750" s="324"/>
      <c r="V750" s="324"/>
      <c r="W750" s="324"/>
      <c r="X750" s="324"/>
      <c r="Y750" s="324"/>
      <c r="Z750" s="324"/>
      <c r="AA750" s="324"/>
      <c r="AB750" s="324"/>
      <c r="AC750" s="324"/>
      <c r="AD750" s="324"/>
      <c r="AE750" s="324"/>
    </row>
    <row r="751" spans="3:31" s="294" customFormat="1">
      <c r="C751" s="10"/>
      <c r="D751" s="29"/>
      <c r="E751" s="36"/>
      <c r="F751" s="324"/>
      <c r="G751" s="324"/>
      <c r="H751" s="324"/>
      <c r="I751" s="324"/>
      <c r="J751" s="324"/>
      <c r="K751" s="324"/>
      <c r="L751" s="324"/>
      <c r="M751" s="324"/>
      <c r="N751" s="324"/>
      <c r="O751" s="324"/>
      <c r="P751" s="324"/>
      <c r="Q751" s="324"/>
      <c r="R751" s="324"/>
      <c r="S751" s="324"/>
      <c r="T751" s="324"/>
      <c r="U751" s="324"/>
      <c r="V751" s="324"/>
      <c r="W751" s="324"/>
      <c r="X751" s="324"/>
      <c r="Y751" s="324"/>
      <c r="Z751" s="324"/>
      <c r="AA751" s="324"/>
      <c r="AB751" s="324"/>
      <c r="AC751" s="324"/>
      <c r="AD751" s="324"/>
      <c r="AE751" s="324"/>
    </row>
    <row r="752" spans="3:31" s="294" customFormat="1">
      <c r="C752" s="10"/>
      <c r="D752" s="29"/>
      <c r="E752" s="36"/>
      <c r="F752" s="324"/>
      <c r="G752" s="324"/>
      <c r="H752" s="324"/>
      <c r="I752" s="324"/>
      <c r="J752" s="324"/>
      <c r="K752" s="324"/>
      <c r="L752" s="324"/>
      <c r="M752" s="324"/>
      <c r="N752" s="324"/>
      <c r="O752" s="324"/>
      <c r="P752" s="324"/>
      <c r="Q752" s="324"/>
      <c r="R752" s="324"/>
      <c r="S752" s="324"/>
      <c r="T752" s="324"/>
      <c r="U752" s="324"/>
      <c r="V752" s="324"/>
      <c r="W752" s="324"/>
      <c r="X752" s="324"/>
      <c r="Y752" s="324"/>
      <c r="Z752" s="324"/>
      <c r="AA752" s="324"/>
      <c r="AB752" s="324"/>
      <c r="AC752" s="324"/>
      <c r="AD752" s="324"/>
      <c r="AE752" s="324"/>
    </row>
    <row r="753" spans="3:31" s="294" customFormat="1">
      <c r="C753" s="10"/>
      <c r="D753" s="29"/>
      <c r="E753" s="36"/>
      <c r="F753" s="324"/>
      <c r="G753" s="324"/>
      <c r="H753" s="324"/>
      <c r="I753" s="324"/>
      <c r="J753" s="324"/>
      <c r="K753" s="324"/>
      <c r="L753" s="324"/>
      <c r="M753" s="324"/>
      <c r="N753" s="324"/>
      <c r="O753" s="324"/>
      <c r="P753" s="324"/>
      <c r="Q753" s="324"/>
      <c r="R753" s="324"/>
      <c r="S753" s="324"/>
      <c r="T753" s="324"/>
      <c r="U753" s="324"/>
      <c r="V753" s="324"/>
      <c r="W753" s="324"/>
      <c r="X753" s="324"/>
      <c r="Y753" s="324"/>
      <c r="Z753" s="324"/>
      <c r="AA753" s="324"/>
      <c r="AB753" s="324"/>
      <c r="AC753" s="324"/>
      <c r="AD753" s="324"/>
      <c r="AE753" s="324"/>
    </row>
    <row r="754" spans="3:31" s="294" customFormat="1">
      <c r="C754" s="10"/>
      <c r="D754" s="29"/>
      <c r="E754" s="36"/>
      <c r="F754" s="324"/>
      <c r="G754" s="324"/>
      <c r="H754" s="324"/>
      <c r="I754" s="324"/>
      <c r="J754" s="324"/>
      <c r="K754" s="324"/>
      <c r="L754" s="324"/>
      <c r="M754" s="324"/>
      <c r="N754" s="324"/>
      <c r="O754" s="324"/>
      <c r="P754" s="324"/>
      <c r="Q754" s="324"/>
      <c r="R754" s="324"/>
      <c r="S754" s="324"/>
      <c r="T754" s="324"/>
      <c r="U754" s="324"/>
      <c r="V754" s="324"/>
      <c r="W754" s="324"/>
      <c r="X754" s="324"/>
      <c r="Y754" s="324"/>
      <c r="Z754" s="324"/>
      <c r="AA754" s="324"/>
      <c r="AB754" s="324"/>
      <c r="AC754" s="324"/>
      <c r="AD754" s="324"/>
      <c r="AE754" s="324"/>
    </row>
    <row r="755" spans="3:31" s="294" customFormat="1">
      <c r="C755" s="10"/>
      <c r="D755" s="29"/>
      <c r="E755" s="36"/>
      <c r="F755" s="324"/>
      <c r="G755" s="324"/>
      <c r="H755" s="324"/>
      <c r="I755" s="324"/>
      <c r="J755" s="324"/>
      <c r="K755" s="324"/>
      <c r="L755" s="324"/>
      <c r="M755" s="324"/>
      <c r="N755" s="324"/>
      <c r="O755" s="324"/>
      <c r="P755" s="324"/>
      <c r="Q755" s="324"/>
      <c r="R755" s="324"/>
      <c r="S755" s="324"/>
      <c r="T755" s="324"/>
      <c r="U755" s="324"/>
      <c r="V755" s="324"/>
      <c r="W755" s="324"/>
      <c r="X755" s="324"/>
      <c r="Y755" s="324"/>
      <c r="Z755" s="324"/>
      <c r="AA755" s="324"/>
      <c r="AB755" s="324"/>
      <c r="AC755" s="324"/>
      <c r="AD755" s="324"/>
      <c r="AE755" s="324"/>
    </row>
    <row r="756" spans="3:31" s="294" customFormat="1">
      <c r="C756" s="10"/>
      <c r="D756" s="29"/>
      <c r="E756" s="36"/>
      <c r="F756" s="324"/>
      <c r="G756" s="324"/>
      <c r="H756" s="324"/>
      <c r="I756" s="324"/>
      <c r="J756" s="324"/>
      <c r="K756" s="324"/>
      <c r="L756" s="324"/>
      <c r="M756" s="324"/>
      <c r="N756" s="324"/>
      <c r="O756" s="324"/>
      <c r="P756" s="324"/>
      <c r="Q756" s="324"/>
      <c r="R756" s="324"/>
      <c r="S756" s="324"/>
      <c r="T756" s="324"/>
      <c r="U756" s="324"/>
      <c r="V756" s="324"/>
      <c r="W756" s="324"/>
      <c r="X756" s="324"/>
      <c r="Y756" s="324"/>
      <c r="Z756" s="324"/>
      <c r="AA756" s="324"/>
      <c r="AB756" s="324"/>
      <c r="AC756" s="324"/>
      <c r="AD756" s="324"/>
      <c r="AE756" s="324"/>
    </row>
    <row r="757" spans="3:31" s="294" customFormat="1">
      <c r="C757" s="10"/>
      <c r="D757" s="29"/>
      <c r="E757" s="36"/>
      <c r="F757" s="324"/>
      <c r="G757" s="324"/>
      <c r="H757" s="324"/>
      <c r="I757" s="324"/>
      <c r="J757" s="324"/>
      <c r="K757" s="324"/>
      <c r="L757" s="324"/>
      <c r="M757" s="324"/>
      <c r="N757" s="324"/>
      <c r="O757" s="324"/>
      <c r="P757" s="324"/>
      <c r="Q757" s="324"/>
      <c r="R757" s="324"/>
      <c r="S757" s="324"/>
      <c r="T757" s="324"/>
      <c r="U757" s="324"/>
      <c r="V757" s="324"/>
      <c r="W757" s="324"/>
      <c r="X757" s="324"/>
      <c r="Y757" s="324"/>
      <c r="Z757" s="324"/>
      <c r="AA757" s="324"/>
      <c r="AB757" s="324"/>
      <c r="AC757" s="324"/>
      <c r="AD757" s="324"/>
      <c r="AE757" s="324"/>
    </row>
    <row r="758" spans="3:31" s="294" customFormat="1">
      <c r="C758" s="10"/>
      <c r="D758" s="29"/>
      <c r="E758" s="36"/>
      <c r="F758" s="324"/>
      <c r="G758" s="324"/>
      <c r="H758" s="324"/>
      <c r="I758" s="324"/>
      <c r="J758" s="324"/>
      <c r="K758" s="324"/>
      <c r="L758" s="324"/>
      <c r="M758" s="324"/>
      <c r="N758" s="324"/>
      <c r="O758" s="324"/>
      <c r="P758" s="324"/>
      <c r="Q758" s="324"/>
      <c r="R758" s="324"/>
      <c r="S758" s="324"/>
      <c r="T758" s="324"/>
      <c r="U758" s="324"/>
      <c r="V758" s="324"/>
      <c r="W758" s="324"/>
      <c r="X758" s="324"/>
      <c r="Y758" s="324"/>
      <c r="Z758" s="324"/>
      <c r="AA758" s="324"/>
      <c r="AB758" s="324"/>
      <c r="AC758" s="324"/>
      <c r="AD758" s="324"/>
      <c r="AE758" s="324"/>
    </row>
    <row r="759" spans="3:31" s="294" customFormat="1">
      <c r="C759" s="10"/>
      <c r="D759" s="29"/>
      <c r="E759" s="36"/>
      <c r="F759" s="324"/>
      <c r="G759" s="324"/>
      <c r="H759" s="324"/>
      <c r="I759" s="324"/>
      <c r="J759" s="324"/>
      <c r="K759" s="324"/>
      <c r="L759" s="324"/>
      <c r="M759" s="324"/>
      <c r="N759" s="324"/>
      <c r="O759" s="324"/>
      <c r="P759" s="324"/>
      <c r="Q759" s="324"/>
      <c r="R759" s="324"/>
      <c r="S759" s="324"/>
      <c r="T759" s="324"/>
      <c r="U759" s="324"/>
      <c r="V759" s="324"/>
      <c r="W759" s="324"/>
      <c r="X759" s="324"/>
      <c r="Y759" s="324"/>
      <c r="Z759" s="324"/>
      <c r="AA759" s="324"/>
      <c r="AB759" s="324"/>
      <c r="AC759" s="324"/>
      <c r="AD759" s="324"/>
      <c r="AE759" s="324"/>
    </row>
    <row r="760" spans="3:31" s="294" customFormat="1">
      <c r="C760" s="10"/>
      <c r="D760" s="29"/>
      <c r="E760" s="36"/>
      <c r="F760" s="324"/>
      <c r="G760" s="324"/>
      <c r="H760" s="324"/>
      <c r="I760" s="324"/>
      <c r="J760" s="324"/>
      <c r="K760" s="324"/>
      <c r="L760" s="324"/>
      <c r="M760" s="324"/>
      <c r="N760" s="324"/>
      <c r="O760" s="324"/>
      <c r="P760" s="324"/>
      <c r="Q760" s="324"/>
      <c r="R760" s="324"/>
      <c r="S760" s="324"/>
      <c r="T760" s="324"/>
      <c r="U760" s="324"/>
      <c r="V760" s="324"/>
      <c r="W760" s="324"/>
      <c r="X760" s="324"/>
      <c r="Y760" s="324"/>
      <c r="Z760" s="324"/>
      <c r="AA760" s="324"/>
      <c r="AB760" s="324"/>
      <c r="AC760" s="324"/>
      <c r="AD760" s="324"/>
      <c r="AE760" s="324"/>
    </row>
    <row r="761" spans="3:31" s="294" customFormat="1">
      <c r="C761" s="10"/>
      <c r="D761" s="29"/>
      <c r="E761" s="36"/>
      <c r="F761" s="324"/>
      <c r="G761" s="324"/>
      <c r="H761" s="324"/>
      <c r="I761" s="324"/>
      <c r="J761" s="324"/>
      <c r="K761" s="324"/>
      <c r="L761" s="324"/>
      <c r="M761" s="324"/>
      <c r="N761" s="324"/>
      <c r="O761" s="324"/>
      <c r="P761" s="324"/>
      <c r="Q761" s="324"/>
      <c r="R761" s="324"/>
      <c r="S761" s="324"/>
      <c r="T761" s="324"/>
      <c r="U761" s="324"/>
      <c r="V761" s="324"/>
      <c r="W761" s="324"/>
      <c r="X761" s="324"/>
      <c r="Y761" s="324"/>
      <c r="Z761" s="324"/>
      <c r="AA761" s="324"/>
      <c r="AB761" s="324"/>
      <c r="AC761" s="324"/>
      <c r="AD761" s="324"/>
      <c r="AE761" s="324"/>
    </row>
    <row r="762" spans="3:31" s="294" customFormat="1">
      <c r="C762" s="10"/>
      <c r="D762" s="29"/>
      <c r="E762" s="36"/>
      <c r="F762" s="324"/>
      <c r="G762" s="324"/>
      <c r="H762" s="324"/>
      <c r="I762" s="324"/>
      <c r="J762" s="324"/>
      <c r="K762" s="324"/>
      <c r="L762" s="324"/>
      <c r="M762" s="324"/>
      <c r="N762" s="324"/>
      <c r="O762" s="324"/>
      <c r="P762" s="324"/>
      <c r="Q762" s="324"/>
      <c r="R762" s="324"/>
      <c r="S762" s="324"/>
      <c r="T762" s="324"/>
      <c r="U762" s="324"/>
      <c r="V762" s="324"/>
      <c r="W762" s="324"/>
      <c r="X762" s="324"/>
      <c r="Y762" s="324"/>
      <c r="Z762" s="324"/>
      <c r="AA762" s="324"/>
      <c r="AB762" s="324"/>
      <c r="AC762" s="324"/>
      <c r="AD762" s="324"/>
      <c r="AE762" s="324"/>
    </row>
    <row r="763" spans="3:31" s="294" customFormat="1">
      <c r="C763" s="10"/>
      <c r="D763" s="29"/>
      <c r="E763" s="36"/>
      <c r="F763" s="324"/>
      <c r="G763" s="324"/>
      <c r="H763" s="324"/>
      <c r="I763" s="324"/>
      <c r="J763" s="324"/>
      <c r="K763" s="324"/>
      <c r="L763" s="324"/>
      <c r="M763" s="324"/>
      <c r="N763" s="324"/>
      <c r="O763" s="324"/>
      <c r="P763" s="324"/>
      <c r="Q763" s="324"/>
      <c r="R763" s="324"/>
      <c r="S763" s="324"/>
      <c r="T763" s="324"/>
      <c r="U763" s="324"/>
      <c r="V763" s="324"/>
      <c r="W763" s="324"/>
      <c r="X763" s="324"/>
      <c r="Y763" s="324"/>
      <c r="Z763" s="324"/>
      <c r="AA763" s="324"/>
      <c r="AB763" s="324"/>
      <c r="AC763" s="324"/>
      <c r="AD763" s="324"/>
      <c r="AE763" s="324"/>
    </row>
    <row r="764" spans="3:31" s="294" customFormat="1">
      <c r="C764" s="10"/>
      <c r="D764" s="29"/>
      <c r="E764" s="36"/>
      <c r="F764" s="324"/>
      <c r="G764" s="324"/>
      <c r="H764" s="324"/>
      <c r="I764" s="324"/>
      <c r="J764" s="324"/>
      <c r="K764" s="324"/>
      <c r="L764" s="324"/>
      <c r="M764" s="324"/>
      <c r="N764" s="324"/>
      <c r="O764" s="324"/>
      <c r="P764" s="324"/>
      <c r="Q764" s="324"/>
      <c r="R764" s="324"/>
      <c r="S764" s="324"/>
      <c r="T764" s="324"/>
      <c r="U764" s="324"/>
      <c r="V764" s="324"/>
      <c r="W764" s="324"/>
      <c r="X764" s="324"/>
      <c r="Y764" s="324"/>
      <c r="Z764" s="324"/>
      <c r="AA764" s="324"/>
      <c r="AB764" s="324"/>
      <c r="AC764" s="324"/>
      <c r="AD764" s="324"/>
      <c r="AE764" s="324"/>
    </row>
    <row r="765" spans="3:31" s="294" customFormat="1">
      <c r="C765" s="10"/>
      <c r="D765" s="29"/>
      <c r="E765" s="36"/>
      <c r="F765" s="324"/>
      <c r="G765" s="324"/>
      <c r="H765" s="324"/>
      <c r="I765" s="324"/>
      <c r="J765" s="324"/>
      <c r="K765" s="324"/>
      <c r="L765" s="324"/>
      <c r="M765" s="324"/>
      <c r="N765" s="324"/>
      <c r="O765" s="324"/>
      <c r="P765" s="324"/>
      <c r="Q765" s="324"/>
      <c r="R765" s="324"/>
      <c r="S765" s="324"/>
      <c r="T765" s="324"/>
      <c r="U765" s="324"/>
      <c r="V765" s="324"/>
      <c r="W765" s="324"/>
      <c r="X765" s="324"/>
      <c r="Y765" s="324"/>
      <c r="Z765" s="324"/>
      <c r="AA765" s="324"/>
      <c r="AB765" s="324"/>
      <c r="AC765" s="324"/>
      <c r="AD765" s="324"/>
      <c r="AE765" s="324"/>
    </row>
    <row r="766" spans="3:31" s="294" customFormat="1">
      <c r="C766" s="10"/>
      <c r="D766" s="29"/>
      <c r="E766" s="36"/>
      <c r="F766" s="324"/>
      <c r="G766" s="324"/>
      <c r="H766" s="324"/>
      <c r="I766" s="324"/>
      <c r="J766" s="324"/>
      <c r="K766" s="324"/>
      <c r="L766" s="324"/>
      <c r="M766" s="324"/>
      <c r="N766" s="324"/>
      <c r="O766" s="324"/>
      <c r="P766" s="324"/>
      <c r="Q766" s="324"/>
      <c r="R766" s="324"/>
      <c r="S766" s="324"/>
      <c r="T766" s="324"/>
      <c r="U766" s="324"/>
      <c r="V766" s="324"/>
      <c r="W766" s="324"/>
      <c r="X766" s="324"/>
      <c r="Y766" s="324"/>
      <c r="Z766" s="324"/>
      <c r="AA766" s="324"/>
      <c r="AB766" s="324"/>
      <c r="AC766" s="324"/>
      <c r="AD766" s="324"/>
      <c r="AE766" s="324"/>
    </row>
    <row r="767" spans="3:31" s="294" customFormat="1">
      <c r="C767" s="10"/>
      <c r="D767" s="29"/>
      <c r="E767" s="36"/>
      <c r="F767" s="324"/>
      <c r="G767" s="324"/>
      <c r="H767" s="324"/>
      <c r="I767" s="324"/>
      <c r="J767" s="324"/>
      <c r="K767" s="324"/>
      <c r="L767" s="324"/>
      <c r="M767" s="324"/>
      <c r="N767" s="324"/>
      <c r="O767" s="324"/>
      <c r="P767" s="324"/>
      <c r="Q767" s="324"/>
      <c r="R767" s="324"/>
      <c r="S767" s="324"/>
      <c r="T767" s="324"/>
      <c r="U767" s="324"/>
      <c r="V767" s="324"/>
      <c r="W767" s="324"/>
      <c r="X767" s="324"/>
      <c r="Y767" s="324"/>
      <c r="Z767" s="324"/>
      <c r="AA767" s="324"/>
      <c r="AB767" s="324"/>
      <c r="AC767" s="324"/>
      <c r="AD767" s="324"/>
      <c r="AE767" s="324"/>
    </row>
    <row r="768" spans="3:31" s="294" customFormat="1">
      <c r="C768" s="10"/>
      <c r="D768" s="29"/>
      <c r="E768" s="36"/>
      <c r="F768" s="324"/>
      <c r="G768" s="324"/>
      <c r="H768" s="324"/>
      <c r="I768" s="324"/>
      <c r="J768" s="324"/>
      <c r="K768" s="324"/>
      <c r="L768" s="324"/>
      <c r="M768" s="324"/>
      <c r="N768" s="324"/>
      <c r="O768" s="324"/>
      <c r="P768" s="324"/>
      <c r="Q768" s="324"/>
      <c r="R768" s="324"/>
      <c r="S768" s="324"/>
      <c r="T768" s="324"/>
      <c r="U768" s="324"/>
      <c r="V768" s="324"/>
      <c r="W768" s="324"/>
      <c r="X768" s="324"/>
      <c r="Y768" s="324"/>
      <c r="Z768" s="324"/>
      <c r="AA768" s="324"/>
      <c r="AB768" s="324"/>
      <c r="AC768" s="324"/>
      <c r="AD768" s="324"/>
      <c r="AE768" s="324"/>
    </row>
    <row r="769" spans="3:31" s="294" customFormat="1">
      <c r="C769" s="10"/>
      <c r="D769" s="29"/>
      <c r="E769" s="36"/>
      <c r="F769" s="324"/>
      <c r="G769" s="324"/>
      <c r="H769" s="324"/>
      <c r="I769" s="324"/>
      <c r="J769" s="324"/>
      <c r="K769" s="324"/>
      <c r="L769" s="324"/>
      <c r="M769" s="324"/>
      <c r="N769" s="324"/>
      <c r="O769" s="324"/>
      <c r="P769" s="324"/>
      <c r="Q769" s="324"/>
      <c r="R769" s="324"/>
      <c r="S769" s="324"/>
      <c r="T769" s="324"/>
      <c r="U769" s="324"/>
      <c r="V769" s="324"/>
      <c r="W769" s="324"/>
      <c r="X769" s="324"/>
      <c r="Y769" s="324"/>
      <c r="Z769" s="324"/>
      <c r="AA769" s="324"/>
      <c r="AB769" s="324"/>
      <c r="AC769" s="324"/>
      <c r="AD769" s="324"/>
      <c r="AE769" s="324"/>
    </row>
    <row r="770" spans="3:31" s="294" customFormat="1">
      <c r="C770" s="10"/>
      <c r="D770" s="29"/>
      <c r="E770" s="36"/>
      <c r="F770" s="324"/>
      <c r="G770" s="324"/>
      <c r="H770" s="324"/>
      <c r="I770" s="324"/>
      <c r="J770" s="324"/>
      <c r="K770" s="324"/>
      <c r="L770" s="324"/>
      <c r="M770" s="324"/>
      <c r="N770" s="324"/>
      <c r="O770" s="324"/>
      <c r="P770" s="324"/>
      <c r="Q770" s="324"/>
      <c r="R770" s="324"/>
      <c r="S770" s="324"/>
      <c r="T770" s="324"/>
      <c r="U770" s="324"/>
      <c r="V770" s="324"/>
      <c r="W770" s="324"/>
      <c r="X770" s="324"/>
      <c r="Y770" s="324"/>
      <c r="Z770" s="324"/>
      <c r="AA770" s="324"/>
      <c r="AB770" s="324"/>
      <c r="AC770" s="324"/>
      <c r="AD770" s="324"/>
      <c r="AE770" s="324"/>
    </row>
    <row r="771" spans="3:31" s="294" customFormat="1">
      <c r="C771" s="10"/>
      <c r="D771" s="29"/>
      <c r="E771" s="36"/>
      <c r="F771" s="324"/>
      <c r="G771" s="324"/>
      <c r="H771" s="324"/>
      <c r="I771" s="324"/>
      <c r="J771" s="324"/>
      <c r="K771" s="324"/>
      <c r="L771" s="324"/>
      <c r="M771" s="324"/>
      <c r="N771" s="324"/>
      <c r="O771" s="324"/>
      <c r="P771" s="324"/>
      <c r="Q771" s="324"/>
      <c r="R771" s="324"/>
      <c r="S771" s="324"/>
      <c r="T771" s="324"/>
      <c r="U771" s="324"/>
      <c r="V771" s="324"/>
      <c r="W771" s="324"/>
      <c r="X771" s="324"/>
      <c r="Y771" s="324"/>
      <c r="Z771" s="324"/>
      <c r="AA771" s="324"/>
      <c r="AB771" s="324"/>
      <c r="AC771" s="324"/>
      <c r="AD771" s="324"/>
      <c r="AE771" s="324"/>
    </row>
    <row r="772" spans="3:31" s="294" customFormat="1">
      <c r="C772" s="10"/>
      <c r="D772" s="29"/>
      <c r="E772" s="36"/>
      <c r="F772" s="324"/>
      <c r="G772" s="324"/>
      <c r="H772" s="324"/>
      <c r="I772" s="324"/>
      <c r="J772" s="324"/>
      <c r="K772" s="324"/>
      <c r="L772" s="324"/>
      <c r="M772" s="324"/>
      <c r="N772" s="324"/>
      <c r="O772" s="324"/>
      <c r="P772" s="324"/>
      <c r="Q772" s="324"/>
      <c r="R772" s="324"/>
      <c r="S772" s="324"/>
      <c r="T772" s="324"/>
      <c r="U772" s="324"/>
      <c r="V772" s="324"/>
      <c r="W772" s="324"/>
      <c r="X772" s="324"/>
      <c r="Y772" s="324"/>
      <c r="Z772" s="324"/>
      <c r="AA772" s="324"/>
      <c r="AB772" s="324"/>
      <c r="AC772" s="324"/>
      <c r="AD772" s="324"/>
      <c r="AE772" s="324"/>
    </row>
    <row r="773" spans="3:31" s="294" customFormat="1">
      <c r="C773" s="10"/>
      <c r="D773" s="29"/>
      <c r="E773" s="36"/>
      <c r="F773" s="324"/>
      <c r="G773" s="324"/>
      <c r="H773" s="324"/>
      <c r="I773" s="324"/>
      <c r="J773" s="324"/>
      <c r="K773" s="324"/>
      <c r="L773" s="324"/>
      <c r="M773" s="324"/>
      <c r="N773" s="324"/>
      <c r="O773" s="324"/>
      <c r="P773" s="324"/>
      <c r="Q773" s="324"/>
      <c r="R773" s="324"/>
      <c r="S773" s="324"/>
      <c r="T773" s="324"/>
      <c r="U773" s="324"/>
      <c r="V773" s="324"/>
      <c r="W773" s="324"/>
      <c r="X773" s="324"/>
      <c r="Y773" s="324"/>
      <c r="Z773" s="324"/>
      <c r="AA773" s="324"/>
      <c r="AB773" s="324"/>
      <c r="AC773" s="324"/>
      <c r="AD773" s="324"/>
      <c r="AE773" s="324"/>
    </row>
    <row r="774" spans="3:31" s="294" customFormat="1">
      <c r="C774" s="10"/>
      <c r="D774" s="29"/>
      <c r="E774" s="36"/>
      <c r="F774" s="324"/>
      <c r="G774" s="324"/>
      <c r="H774" s="324"/>
      <c r="I774" s="324"/>
      <c r="J774" s="324"/>
      <c r="K774" s="324"/>
      <c r="L774" s="324"/>
      <c r="M774" s="324"/>
      <c r="N774" s="324"/>
      <c r="O774" s="324"/>
      <c r="P774" s="324"/>
      <c r="Q774" s="324"/>
      <c r="R774" s="324"/>
      <c r="S774" s="324"/>
      <c r="T774" s="324"/>
      <c r="U774" s="324"/>
      <c r="V774" s="324"/>
      <c r="W774" s="324"/>
      <c r="X774" s="324"/>
      <c r="Y774" s="324"/>
      <c r="Z774" s="324"/>
      <c r="AA774" s="324"/>
      <c r="AB774" s="324"/>
      <c r="AC774" s="324"/>
      <c r="AD774" s="324"/>
      <c r="AE774" s="324"/>
    </row>
    <row r="775" spans="3:31" s="294" customFormat="1">
      <c r="C775" s="10"/>
      <c r="D775" s="29"/>
      <c r="E775" s="36"/>
      <c r="F775" s="324"/>
      <c r="G775" s="324"/>
      <c r="H775" s="324"/>
      <c r="I775" s="324"/>
      <c r="J775" s="324"/>
      <c r="K775" s="324"/>
      <c r="L775" s="324"/>
      <c r="M775" s="324"/>
      <c r="N775" s="324"/>
      <c r="O775" s="324"/>
      <c r="P775" s="324"/>
      <c r="Q775" s="324"/>
      <c r="R775" s="324"/>
      <c r="S775" s="324"/>
      <c r="T775" s="324"/>
      <c r="U775" s="324"/>
      <c r="V775" s="324"/>
      <c r="W775" s="324"/>
      <c r="X775" s="324"/>
      <c r="Y775" s="324"/>
      <c r="Z775" s="324"/>
      <c r="AA775" s="324"/>
      <c r="AB775" s="324"/>
      <c r="AC775" s="324"/>
      <c r="AD775" s="324"/>
      <c r="AE775" s="324"/>
    </row>
    <row r="776" spans="3:31" s="294" customFormat="1">
      <c r="C776" s="10"/>
      <c r="D776" s="29"/>
      <c r="E776" s="36"/>
      <c r="F776" s="324"/>
      <c r="G776" s="324"/>
      <c r="H776" s="324"/>
      <c r="I776" s="324"/>
      <c r="J776" s="324"/>
      <c r="K776" s="324"/>
      <c r="L776" s="324"/>
      <c r="M776" s="324"/>
      <c r="N776" s="324"/>
      <c r="O776" s="324"/>
      <c r="P776" s="324"/>
      <c r="Q776" s="324"/>
      <c r="R776" s="324"/>
      <c r="S776" s="324"/>
      <c r="T776" s="324"/>
      <c r="U776" s="324"/>
      <c r="V776" s="324"/>
      <c r="W776" s="324"/>
      <c r="X776" s="324"/>
      <c r="Y776" s="324"/>
      <c r="Z776" s="324"/>
      <c r="AA776" s="324"/>
      <c r="AB776" s="324"/>
      <c r="AC776" s="324"/>
      <c r="AD776" s="324"/>
      <c r="AE776" s="324"/>
    </row>
    <row r="777" spans="3:31" s="294" customFormat="1">
      <c r="C777" s="10"/>
      <c r="D777" s="29"/>
      <c r="E777" s="36"/>
      <c r="F777" s="324"/>
      <c r="G777" s="324"/>
      <c r="H777" s="324"/>
      <c r="I777" s="324"/>
      <c r="J777" s="324"/>
      <c r="K777" s="324"/>
      <c r="L777" s="324"/>
      <c r="M777" s="324"/>
      <c r="N777" s="324"/>
      <c r="O777" s="324"/>
      <c r="P777" s="324"/>
      <c r="Q777" s="324"/>
      <c r="R777" s="324"/>
      <c r="S777" s="324"/>
      <c r="T777" s="324"/>
      <c r="U777" s="324"/>
      <c r="V777" s="324"/>
      <c r="W777" s="324"/>
      <c r="X777" s="324"/>
      <c r="Y777" s="324"/>
      <c r="Z777" s="324"/>
      <c r="AA777" s="324"/>
      <c r="AB777" s="324"/>
      <c r="AC777" s="324"/>
      <c r="AD777" s="324"/>
      <c r="AE777" s="324"/>
    </row>
    <row r="778" spans="3:31" s="294" customFormat="1">
      <c r="C778" s="10"/>
      <c r="D778" s="29"/>
      <c r="E778" s="36"/>
      <c r="F778" s="324"/>
      <c r="G778" s="324"/>
      <c r="H778" s="324"/>
      <c r="I778" s="324"/>
      <c r="J778" s="324"/>
      <c r="K778" s="324"/>
      <c r="L778" s="324"/>
      <c r="M778" s="324"/>
      <c r="N778" s="324"/>
      <c r="O778" s="324"/>
      <c r="P778" s="324"/>
      <c r="Q778" s="324"/>
      <c r="R778" s="324"/>
      <c r="S778" s="324"/>
      <c r="T778" s="324"/>
      <c r="U778" s="324"/>
      <c r="V778" s="324"/>
      <c r="W778" s="324"/>
      <c r="X778" s="324"/>
      <c r="Y778" s="324"/>
      <c r="Z778" s="324"/>
      <c r="AA778" s="324"/>
      <c r="AB778" s="324"/>
      <c r="AC778" s="324"/>
      <c r="AD778" s="324"/>
      <c r="AE778" s="324"/>
    </row>
    <row r="779" spans="3:31" s="294" customFormat="1">
      <c r="C779" s="10"/>
      <c r="D779" s="29"/>
      <c r="E779" s="36"/>
      <c r="F779" s="324"/>
      <c r="G779" s="324"/>
      <c r="H779" s="324"/>
      <c r="I779" s="324"/>
      <c r="J779" s="324"/>
      <c r="K779" s="324"/>
      <c r="L779" s="324"/>
      <c r="M779" s="324"/>
      <c r="N779" s="324"/>
      <c r="O779" s="324"/>
      <c r="P779" s="324"/>
      <c r="Q779" s="324"/>
      <c r="R779" s="324"/>
      <c r="S779" s="324"/>
      <c r="T779" s="324"/>
      <c r="U779" s="324"/>
      <c r="V779" s="324"/>
      <c r="W779" s="324"/>
      <c r="X779" s="324"/>
      <c r="Y779" s="324"/>
      <c r="Z779" s="324"/>
      <c r="AA779" s="324"/>
      <c r="AB779" s="324"/>
      <c r="AC779" s="324"/>
      <c r="AD779" s="324"/>
      <c r="AE779" s="324"/>
    </row>
    <row r="780" spans="3:31" s="294" customFormat="1">
      <c r="C780" s="10"/>
      <c r="D780" s="29"/>
      <c r="E780" s="36"/>
      <c r="F780" s="324"/>
      <c r="G780" s="324"/>
      <c r="H780" s="324"/>
      <c r="I780" s="324"/>
      <c r="J780" s="324"/>
      <c r="K780" s="324"/>
      <c r="L780" s="324"/>
      <c r="M780" s="324"/>
      <c r="N780" s="324"/>
      <c r="O780" s="324"/>
      <c r="P780" s="324"/>
      <c r="Q780" s="324"/>
      <c r="R780" s="324"/>
      <c r="S780" s="324"/>
      <c r="T780" s="324"/>
      <c r="U780" s="324"/>
      <c r="V780" s="324"/>
      <c r="W780" s="324"/>
      <c r="X780" s="324"/>
      <c r="Y780" s="324"/>
      <c r="Z780" s="324"/>
      <c r="AA780" s="324"/>
      <c r="AB780" s="324"/>
      <c r="AC780" s="324"/>
      <c r="AD780" s="324"/>
      <c r="AE780" s="324"/>
    </row>
    <row r="781" spans="3:31" s="294" customFormat="1">
      <c r="C781" s="10"/>
      <c r="D781" s="29"/>
      <c r="E781" s="36"/>
      <c r="F781" s="324"/>
      <c r="G781" s="324"/>
      <c r="H781" s="324"/>
      <c r="I781" s="324"/>
      <c r="J781" s="324"/>
      <c r="K781" s="324"/>
      <c r="L781" s="324"/>
      <c r="M781" s="324"/>
      <c r="N781" s="324"/>
      <c r="O781" s="324"/>
      <c r="P781" s="324"/>
      <c r="Q781" s="324"/>
      <c r="R781" s="324"/>
      <c r="S781" s="324"/>
      <c r="T781" s="324"/>
      <c r="U781" s="324"/>
      <c r="V781" s="324"/>
      <c r="W781" s="324"/>
      <c r="X781" s="324"/>
      <c r="Y781" s="324"/>
      <c r="Z781" s="324"/>
      <c r="AA781" s="324"/>
      <c r="AB781" s="324"/>
      <c r="AC781" s="324"/>
      <c r="AD781" s="324"/>
      <c r="AE781" s="324"/>
    </row>
    <row r="782" spans="3:31" s="294" customFormat="1">
      <c r="C782" s="10"/>
      <c r="D782" s="29"/>
      <c r="E782" s="36"/>
      <c r="F782" s="324"/>
      <c r="G782" s="324"/>
      <c r="H782" s="324"/>
      <c r="I782" s="324"/>
      <c r="J782" s="324"/>
      <c r="K782" s="324"/>
      <c r="L782" s="324"/>
      <c r="M782" s="324"/>
      <c r="N782" s="324"/>
      <c r="O782" s="324"/>
      <c r="P782" s="324"/>
      <c r="Q782" s="324"/>
      <c r="R782" s="324"/>
      <c r="S782" s="324"/>
      <c r="T782" s="324"/>
      <c r="U782" s="324"/>
      <c r="V782" s="324"/>
      <c r="W782" s="324"/>
      <c r="X782" s="324"/>
      <c r="Y782" s="324"/>
      <c r="Z782" s="324"/>
      <c r="AA782" s="324"/>
      <c r="AB782" s="324"/>
      <c r="AC782" s="324"/>
      <c r="AD782" s="324"/>
      <c r="AE782" s="324"/>
    </row>
    <row r="783" spans="3:31" s="294" customFormat="1">
      <c r="C783" s="10"/>
      <c r="D783" s="29"/>
      <c r="E783" s="36"/>
      <c r="F783" s="324"/>
      <c r="G783" s="324"/>
      <c r="H783" s="324"/>
      <c r="I783" s="324"/>
      <c r="J783" s="324"/>
      <c r="K783" s="324"/>
      <c r="L783" s="324"/>
      <c r="M783" s="324"/>
      <c r="N783" s="324"/>
      <c r="O783" s="324"/>
      <c r="P783" s="324"/>
      <c r="Q783" s="324"/>
      <c r="R783" s="324"/>
      <c r="S783" s="324"/>
      <c r="T783" s="324"/>
      <c r="U783" s="324"/>
      <c r="V783" s="324"/>
      <c r="W783" s="324"/>
      <c r="X783" s="324"/>
      <c r="Y783" s="324"/>
      <c r="Z783" s="324"/>
      <c r="AA783" s="324"/>
      <c r="AB783" s="324"/>
      <c r="AC783" s="324"/>
      <c r="AD783" s="324"/>
      <c r="AE783" s="324"/>
    </row>
    <row r="784" spans="3:31" s="294" customFormat="1">
      <c r="C784" s="10"/>
      <c r="D784" s="29"/>
      <c r="E784" s="36"/>
      <c r="F784" s="324"/>
      <c r="G784" s="324"/>
      <c r="H784" s="324"/>
      <c r="I784" s="324"/>
      <c r="J784" s="324"/>
      <c r="K784" s="324"/>
      <c r="L784" s="324"/>
      <c r="M784" s="324"/>
      <c r="N784" s="324"/>
      <c r="O784" s="324"/>
      <c r="P784" s="324"/>
      <c r="Q784" s="324"/>
      <c r="R784" s="324"/>
      <c r="S784" s="324"/>
      <c r="T784" s="324"/>
      <c r="U784" s="324"/>
      <c r="V784" s="324"/>
      <c r="W784" s="324"/>
      <c r="X784" s="324"/>
      <c r="Y784" s="324"/>
      <c r="Z784" s="324"/>
      <c r="AA784" s="324"/>
      <c r="AB784" s="324"/>
      <c r="AC784" s="324"/>
      <c r="AD784" s="324"/>
      <c r="AE784" s="324"/>
    </row>
    <row r="785" spans="3:31" s="294" customFormat="1">
      <c r="C785" s="10"/>
      <c r="D785" s="29"/>
      <c r="E785" s="36"/>
      <c r="F785" s="324"/>
      <c r="G785" s="324"/>
      <c r="H785" s="324"/>
      <c r="I785" s="324"/>
      <c r="J785" s="324"/>
      <c r="K785" s="324"/>
      <c r="L785" s="324"/>
      <c r="M785" s="324"/>
      <c r="N785" s="324"/>
      <c r="O785" s="324"/>
      <c r="P785" s="324"/>
      <c r="Q785" s="324"/>
      <c r="R785" s="324"/>
      <c r="S785" s="324"/>
      <c r="T785" s="324"/>
      <c r="U785" s="324"/>
      <c r="V785" s="324"/>
      <c r="W785" s="324"/>
      <c r="X785" s="324"/>
      <c r="Y785" s="324"/>
      <c r="Z785" s="324"/>
      <c r="AA785" s="324"/>
      <c r="AB785" s="324"/>
      <c r="AC785" s="324"/>
      <c r="AD785" s="324"/>
      <c r="AE785" s="324"/>
    </row>
    <row r="786" spans="3:31" s="294" customFormat="1">
      <c r="C786" s="10"/>
      <c r="D786" s="29"/>
      <c r="E786" s="36"/>
      <c r="F786" s="324"/>
      <c r="G786" s="324"/>
      <c r="H786" s="324"/>
      <c r="I786" s="324"/>
      <c r="J786" s="324"/>
      <c r="K786" s="324"/>
      <c r="L786" s="324"/>
      <c r="M786" s="324"/>
      <c r="N786" s="324"/>
      <c r="O786" s="324"/>
      <c r="P786" s="324"/>
      <c r="Q786" s="324"/>
      <c r="R786" s="324"/>
      <c r="S786" s="324"/>
      <c r="T786" s="324"/>
      <c r="U786" s="324"/>
      <c r="V786" s="324"/>
      <c r="W786" s="324"/>
      <c r="X786" s="324"/>
      <c r="Y786" s="324"/>
      <c r="Z786" s="324"/>
      <c r="AA786" s="324"/>
      <c r="AB786" s="324"/>
      <c r="AC786" s="324"/>
      <c r="AD786" s="324"/>
      <c r="AE786" s="324"/>
    </row>
    <row r="787" spans="3:31" s="294" customFormat="1">
      <c r="C787" s="10"/>
      <c r="D787" s="29"/>
      <c r="E787" s="36"/>
      <c r="F787" s="324"/>
      <c r="G787" s="324"/>
      <c r="H787" s="324"/>
      <c r="I787" s="324"/>
      <c r="J787" s="324"/>
      <c r="K787" s="324"/>
      <c r="L787" s="324"/>
      <c r="M787" s="324"/>
      <c r="N787" s="324"/>
      <c r="O787" s="324"/>
      <c r="P787" s="324"/>
      <c r="Q787" s="324"/>
      <c r="R787" s="324"/>
      <c r="S787" s="324"/>
      <c r="T787" s="324"/>
      <c r="U787" s="324"/>
      <c r="V787" s="324"/>
      <c r="W787" s="324"/>
      <c r="X787" s="324"/>
      <c r="Y787" s="324"/>
      <c r="Z787" s="324"/>
      <c r="AA787" s="324"/>
      <c r="AB787" s="324"/>
      <c r="AC787" s="324"/>
      <c r="AD787" s="324"/>
      <c r="AE787" s="324"/>
    </row>
    <row r="788" spans="3:31" s="294" customFormat="1">
      <c r="C788" s="10"/>
      <c r="D788" s="29"/>
      <c r="E788" s="36"/>
      <c r="F788" s="324"/>
      <c r="G788" s="324"/>
      <c r="H788" s="324"/>
      <c r="I788" s="324"/>
      <c r="J788" s="324"/>
      <c r="K788" s="324"/>
      <c r="L788" s="324"/>
      <c r="M788" s="324"/>
      <c r="N788" s="324"/>
      <c r="O788" s="324"/>
      <c r="P788" s="324"/>
      <c r="Q788" s="324"/>
      <c r="R788" s="324"/>
      <c r="S788" s="324"/>
      <c r="T788" s="324"/>
      <c r="U788" s="324"/>
      <c r="V788" s="324"/>
      <c r="W788" s="324"/>
      <c r="X788" s="324"/>
      <c r="Y788" s="324"/>
      <c r="Z788" s="324"/>
      <c r="AA788" s="324"/>
      <c r="AB788" s="324"/>
      <c r="AC788" s="324"/>
      <c r="AD788" s="324"/>
      <c r="AE788" s="324"/>
    </row>
    <row r="789" spans="3:31" s="294" customFormat="1">
      <c r="C789" s="10"/>
      <c r="D789" s="29"/>
      <c r="E789" s="36"/>
      <c r="F789" s="324"/>
      <c r="G789" s="324"/>
      <c r="H789" s="324"/>
      <c r="I789" s="324"/>
      <c r="J789" s="324"/>
      <c r="K789" s="324"/>
      <c r="L789" s="324"/>
      <c r="M789" s="324"/>
      <c r="N789" s="324"/>
      <c r="O789" s="324"/>
      <c r="P789" s="324"/>
      <c r="Q789" s="324"/>
      <c r="R789" s="324"/>
      <c r="S789" s="324"/>
      <c r="T789" s="324"/>
      <c r="U789" s="324"/>
      <c r="V789" s="324"/>
      <c r="W789" s="324"/>
      <c r="X789" s="324"/>
      <c r="Y789" s="324"/>
      <c r="Z789" s="324"/>
      <c r="AA789" s="324"/>
      <c r="AB789" s="324"/>
      <c r="AC789" s="324"/>
      <c r="AD789" s="324"/>
      <c r="AE789" s="324"/>
    </row>
    <row r="790" spans="3:31" s="294" customFormat="1">
      <c r="C790" s="10"/>
      <c r="D790" s="29"/>
      <c r="E790" s="36"/>
      <c r="F790" s="324"/>
      <c r="G790" s="324"/>
      <c r="H790" s="324"/>
      <c r="I790" s="324"/>
      <c r="J790" s="324"/>
      <c r="K790" s="324"/>
      <c r="L790" s="324"/>
      <c r="M790" s="324"/>
      <c r="N790" s="324"/>
      <c r="O790" s="324"/>
      <c r="P790" s="324"/>
      <c r="Q790" s="324"/>
      <c r="R790" s="324"/>
      <c r="S790" s="324"/>
      <c r="T790" s="324"/>
      <c r="U790" s="324"/>
      <c r="V790" s="324"/>
      <c r="W790" s="324"/>
      <c r="X790" s="324"/>
      <c r="Y790" s="324"/>
      <c r="Z790" s="324"/>
      <c r="AA790" s="324"/>
      <c r="AB790" s="324"/>
      <c r="AC790" s="324"/>
      <c r="AD790" s="324"/>
      <c r="AE790" s="324"/>
    </row>
    <row r="791" spans="3:31" s="294" customFormat="1">
      <c r="C791" s="10"/>
      <c r="D791" s="29"/>
      <c r="E791" s="36"/>
      <c r="F791" s="324"/>
      <c r="G791" s="324"/>
      <c r="H791" s="324"/>
      <c r="I791" s="324"/>
      <c r="J791" s="324"/>
      <c r="K791" s="324"/>
      <c r="L791" s="324"/>
      <c r="M791" s="324"/>
      <c r="N791" s="324"/>
      <c r="O791" s="324"/>
      <c r="P791" s="324"/>
      <c r="Q791" s="324"/>
      <c r="R791" s="324"/>
      <c r="S791" s="324"/>
      <c r="T791" s="324"/>
      <c r="U791" s="324"/>
      <c r="V791" s="324"/>
      <c r="W791" s="324"/>
      <c r="X791" s="324"/>
      <c r="Y791" s="324"/>
      <c r="Z791" s="324"/>
      <c r="AA791" s="324"/>
      <c r="AB791" s="324"/>
      <c r="AC791" s="324"/>
      <c r="AD791" s="324"/>
      <c r="AE791" s="324"/>
    </row>
    <row r="792" spans="3:31" s="294" customFormat="1">
      <c r="C792" s="10"/>
      <c r="D792" s="29"/>
      <c r="E792" s="36"/>
      <c r="F792" s="324"/>
      <c r="G792" s="324"/>
      <c r="H792" s="324"/>
      <c r="I792" s="324"/>
      <c r="J792" s="324"/>
      <c r="K792" s="324"/>
      <c r="L792" s="324"/>
      <c r="M792" s="324"/>
      <c r="N792" s="324"/>
      <c r="O792" s="324"/>
      <c r="P792" s="324"/>
      <c r="Q792" s="324"/>
      <c r="R792" s="324"/>
      <c r="S792" s="324"/>
      <c r="T792" s="324"/>
      <c r="U792" s="324"/>
      <c r="V792" s="324"/>
      <c r="W792" s="324"/>
      <c r="X792" s="324"/>
      <c r="Y792" s="324"/>
      <c r="Z792" s="324"/>
      <c r="AA792" s="324"/>
      <c r="AB792" s="324"/>
      <c r="AC792" s="324"/>
      <c r="AD792" s="324"/>
      <c r="AE792" s="324"/>
    </row>
    <row r="793" spans="3:31" s="294" customFormat="1">
      <c r="C793" s="10"/>
      <c r="D793" s="29"/>
      <c r="E793" s="36"/>
      <c r="F793" s="324"/>
      <c r="G793" s="324"/>
      <c r="H793" s="324"/>
      <c r="I793" s="324"/>
      <c r="J793" s="324"/>
      <c r="K793" s="324"/>
      <c r="L793" s="324"/>
      <c r="M793" s="324"/>
      <c r="N793" s="324"/>
      <c r="O793" s="324"/>
      <c r="P793" s="324"/>
      <c r="Q793" s="324"/>
      <c r="R793" s="324"/>
      <c r="S793" s="324"/>
      <c r="T793" s="324"/>
      <c r="U793" s="324"/>
      <c r="V793" s="324"/>
      <c r="W793" s="324"/>
      <c r="X793" s="324"/>
      <c r="Y793" s="324"/>
      <c r="Z793" s="324"/>
      <c r="AA793" s="324"/>
      <c r="AB793" s="324"/>
      <c r="AC793" s="324"/>
      <c r="AD793" s="324"/>
      <c r="AE793" s="324"/>
    </row>
    <row r="794" spans="3:31" s="294" customFormat="1">
      <c r="C794" s="10"/>
      <c r="D794" s="29"/>
      <c r="E794" s="36"/>
      <c r="F794" s="324"/>
      <c r="G794" s="324"/>
      <c r="H794" s="324"/>
      <c r="I794" s="324"/>
      <c r="J794" s="324"/>
      <c r="K794" s="324"/>
      <c r="L794" s="324"/>
      <c r="M794" s="324"/>
      <c r="N794" s="324"/>
      <c r="O794" s="324"/>
      <c r="P794" s="324"/>
      <c r="Q794" s="324"/>
      <c r="R794" s="324"/>
      <c r="S794" s="324"/>
      <c r="T794" s="324"/>
      <c r="U794" s="324"/>
      <c r="V794" s="324"/>
      <c r="W794" s="324"/>
      <c r="X794" s="324"/>
      <c r="Y794" s="324"/>
      <c r="Z794" s="324"/>
      <c r="AA794" s="324"/>
      <c r="AB794" s="324"/>
      <c r="AC794" s="324"/>
      <c r="AD794" s="324"/>
      <c r="AE794" s="324"/>
    </row>
    <row r="795" spans="3:31" s="294" customFormat="1">
      <c r="C795" s="10"/>
      <c r="D795" s="29"/>
      <c r="E795" s="36"/>
      <c r="F795" s="324"/>
      <c r="G795" s="324"/>
      <c r="H795" s="324"/>
      <c r="I795" s="324"/>
      <c r="J795" s="324"/>
      <c r="K795" s="324"/>
      <c r="L795" s="324"/>
      <c r="M795" s="324"/>
      <c r="N795" s="324"/>
      <c r="O795" s="324"/>
      <c r="P795" s="324"/>
      <c r="Q795" s="324"/>
      <c r="R795" s="324"/>
      <c r="S795" s="324"/>
      <c r="T795" s="324"/>
      <c r="U795" s="324"/>
      <c r="V795" s="324"/>
      <c r="W795" s="324"/>
      <c r="X795" s="324"/>
      <c r="Y795" s="324"/>
      <c r="Z795" s="324"/>
      <c r="AA795" s="324"/>
      <c r="AB795" s="324"/>
      <c r="AC795" s="324"/>
      <c r="AD795" s="324"/>
      <c r="AE795" s="324"/>
    </row>
    <row r="796" spans="3:31" s="294" customFormat="1">
      <c r="C796" s="10"/>
      <c r="D796" s="29"/>
      <c r="E796" s="36"/>
      <c r="F796" s="324"/>
      <c r="G796" s="324"/>
      <c r="H796" s="324"/>
      <c r="I796" s="324"/>
      <c r="J796" s="324"/>
      <c r="K796" s="324"/>
      <c r="L796" s="324"/>
      <c r="M796" s="324"/>
      <c r="N796" s="324"/>
      <c r="O796" s="324"/>
      <c r="P796" s="324"/>
      <c r="Q796" s="324"/>
      <c r="R796" s="324"/>
      <c r="S796" s="324"/>
      <c r="T796" s="324"/>
      <c r="U796" s="324"/>
      <c r="V796" s="324"/>
      <c r="W796" s="324"/>
      <c r="X796" s="324"/>
      <c r="Y796" s="324"/>
      <c r="Z796" s="324"/>
      <c r="AA796" s="324"/>
      <c r="AB796" s="324"/>
      <c r="AC796" s="324"/>
      <c r="AD796" s="324"/>
      <c r="AE796" s="324"/>
    </row>
    <row r="797" spans="3:31" s="294" customFormat="1">
      <c r="C797" s="10"/>
      <c r="D797" s="29"/>
      <c r="E797" s="36"/>
      <c r="F797" s="324"/>
      <c r="G797" s="324"/>
      <c r="H797" s="324"/>
      <c r="I797" s="324"/>
      <c r="J797" s="324"/>
      <c r="K797" s="324"/>
      <c r="L797" s="324"/>
      <c r="M797" s="324"/>
      <c r="N797" s="324"/>
      <c r="O797" s="324"/>
      <c r="P797" s="324"/>
      <c r="Q797" s="324"/>
      <c r="R797" s="324"/>
      <c r="S797" s="324"/>
      <c r="T797" s="324"/>
      <c r="U797" s="324"/>
      <c r="V797" s="324"/>
      <c r="W797" s="324"/>
      <c r="X797" s="324"/>
      <c r="Y797" s="324"/>
      <c r="Z797" s="324"/>
      <c r="AA797" s="324"/>
      <c r="AB797" s="324"/>
      <c r="AC797" s="324"/>
      <c r="AD797" s="324"/>
      <c r="AE797" s="324"/>
    </row>
    <row r="798" spans="3:31" s="294" customFormat="1">
      <c r="C798" s="10"/>
      <c r="D798" s="29"/>
      <c r="E798" s="36"/>
      <c r="F798" s="324"/>
      <c r="G798" s="324"/>
      <c r="H798" s="324"/>
      <c r="I798" s="324"/>
      <c r="J798" s="324"/>
      <c r="K798" s="324"/>
      <c r="L798" s="324"/>
      <c r="M798" s="324"/>
      <c r="N798" s="324"/>
      <c r="O798" s="324"/>
      <c r="P798" s="324"/>
      <c r="Q798" s="324"/>
      <c r="R798" s="324"/>
      <c r="S798" s="324"/>
      <c r="T798" s="324"/>
      <c r="U798" s="324"/>
      <c r="V798" s="324"/>
      <c r="W798" s="324"/>
      <c r="X798" s="324"/>
      <c r="Y798" s="324"/>
      <c r="Z798" s="324"/>
      <c r="AA798" s="324"/>
      <c r="AB798" s="324"/>
      <c r="AC798" s="324"/>
      <c r="AD798" s="324"/>
      <c r="AE798" s="324"/>
    </row>
    <row r="799" spans="3:31" s="294" customFormat="1">
      <c r="C799" s="10"/>
      <c r="D799" s="29"/>
      <c r="E799" s="36"/>
      <c r="F799" s="324"/>
      <c r="G799" s="324"/>
      <c r="H799" s="324"/>
      <c r="I799" s="324"/>
      <c r="J799" s="324"/>
      <c r="K799" s="324"/>
      <c r="L799" s="324"/>
      <c r="M799" s="324"/>
      <c r="N799" s="324"/>
      <c r="O799" s="324"/>
      <c r="P799" s="324"/>
      <c r="Q799" s="324"/>
      <c r="R799" s="324"/>
      <c r="S799" s="324"/>
      <c r="T799" s="324"/>
      <c r="U799" s="324"/>
      <c r="V799" s="324"/>
      <c r="W799" s="324"/>
      <c r="X799" s="324"/>
      <c r="Y799" s="324"/>
      <c r="Z799" s="324"/>
      <c r="AA799" s="324"/>
      <c r="AB799" s="324"/>
      <c r="AC799" s="324"/>
      <c r="AD799" s="324"/>
      <c r="AE799" s="324"/>
    </row>
    <row r="800" spans="3:31" s="294" customFormat="1">
      <c r="C800" s="10"/>
      <c r="D800" s="29"/>
      <c r="E800" s="36"/>
      <c r="F800" s="324"/>
      <c r="G800" s="324"/>
      <c r="H800" s="324"/>
      <c r="I800" s="324"/>
      <c r="J800" s="324"/>
      <c r="K800" s="324"/>
      <c r="L800" s="324"/>
      <c r="M800" s="324"/>
      <c r="N800" s="324"/>
      <c r="O800" s="324"/>
      <c r="P800" s="324"/>
      <c r="Q800" s="324"/>
      <c r="R800" s="324"/>
      <c r="S800" s="324"/>
      <c r="T800" s="324"/>
      <c r="U800" s="324"/>
      <c r="V800" s="324"/>
      <c r="W800" s="324"/>
      <c r="X800" s="324"/>
      <c r="Y800" s="324"/>
      <c r="Z800" s="324"/>
      <c r="AA800" s="324"/>
      <c r="AB800" s="324"/>
      <c r="AC800" s="324"/>
      <c r="AD800" s="324"/>
      <c r="AE800" s="324"/>
    </row>
    <row r="801" spans="3:31" s="294" customFormat="1">
      <c r="C801" s="10"/>
      <c r="D801" s="29"/>
      <c r="E801" s="36"/>
      <c r="F801" s="324"/>
      <c r="G801" s="324"/>
      <c r="H801" s="324"/>
      <c r="I801" s="324"/>
      <c r="J801" s="324"/>
      <c r="K801" s="324"/>
      <c r="L801" s="324"/>
      <c r="M801" s="324"/>
      <c r="N801" s="324"/>
      <c r="O801" s="324"/>
      <c r="P801" s="324"/>
      <c r="Q801" s="324"/>
      <c r="R801" s="324"/>
      <c r="S801" s="324"/>
      <c r="T801" s="324"/>
      <c r="U801" s="324"/>
      <c r="V801" s="324"/>
      <c r="W801" s="324"/>
      <c r="X801" s="324"/>
      <c r="Y801" s="324"/>
      <c r="Z801" s="324"/>
      <c r="AA801" s="324"/>
      <c r="AB801" s="324"/>
      <c r="AC801" s="324"/>
      <c r="AD801" s="324"/>
      <c r="AE801" s="324"/>
    </row>
    <row r="802" spans="3:31" s="294" customFormat="1">
      <c r="C802" s="10"/>
      <c r="D802" s="29"/>
      <c r="E802" s="36"/>
      <c r="F802" s="324"/>
      <c r="G802" s="324"/>
      <c r="H802" s="324"/>
      <c r="I802" s="324"/>
      <c r="J802" s="324"/>
      <c r="K802" s="324"/>
      <c r="L802" s="324"/>
      <c r="M802" s="324"/>
      <c r="N802" s="324"/>
      <c r="O802" s="324"/>
      <c r="P802" s="324"/>
      <c r="Q802" s="324"/>
      <c r="R802" s="324"/>
      <c r="S802" s="324"/>
      <c r="T802" s="324"/>
      <c r="U802" s="324"/>
      <c r="V802" s="324"/>
      <c r="W802" s="324"/>
      <c r="X802" s="324"/>
      <c r="Y802" s="324"/>
      <c r="Z802" s="324"/>
      <c r="AA802" s="324"/>
      <c r="AB802" s="324"/>
      <c r="AC802" s="324"/>
      <c r="AD802" s="324"/>
      <c r="AE802" s="324"/>
    </row>
    <row r="803" spans="3:31" s="294" customFormat="1">
      <c r="C803" s="10"/>
      <c r="D803" s="29"/>
      <c r="E803" s="36"/>
      <c r="F803" s="324"/>
      <c r="G803" s="324"/>
      <c r="H803" s="324"/>
      <c r="I803" s="324"/>
      <c r="J803" s="324"/>
      <c r="K803" s="324"/>
      <c r="L803" s="324"/>
      <c r="M803" s="324"/>
      <c r="N803" s="324"/>
      <c r="O803" s="324"/>
      <c r="P803" s="324"/>
      <c r="Q803" s="324"/>
      <c r="R803" s="324"/>
      <c r="S803" s="324"/>
      <c r="T803" s="324"/>
      <c r="U803" s="324"/>
      <c r="V803" s="324"/>
      <c r="W803" s="324"/>
      <c r="X803" s="324"/>
      <c r="Y803" s="324"/>
      <c r="Z803" s="324"/>
      <c r="AA803" s="324"/>
      <c r="AB803" s="324"/>
      <c r="AC803" s="324"/>
      <c r="AD803" s="324"/>
      <c r="AE803" s="324"/>
    </row>
    <row r="804" spans="3:31" s="294" customFormat="1">
      <c r="C804" s="10"/>
      <c r="D804" s="29"/>
      <c r="E804" s="36"/>
      <c r="F804" s="324"/>
      <c r="G804" s="324"/>
      <c r="H804" s="324"/>
      <c r="I804" s="324"/>
      <c r="J804" s="324"/>
      <c r="K804" s="324"/>
      <c r="L804" s="324"/>
      <c r="M804" s="324"/>
      <c r="N804" s="324"/>
      <c r="O804" s="324"/>
      <c r="P804" s="324"/>
      <c r="Q804" s="324"/>
      <c r="R804" s="324"/>
      <c r="S804" s="324"/>
      <c r="T804" s="324"/>
      <c r="U804" s="324"/>
      <c r="V804" s="324"/>
      <c r="W804" s="324"/>
      <c r="X804" s="324"/>
      <c r="Y804" s="324"/>
      <c r="Z804" s="324"/>
      <c r="AA804" s="324"/>
      <c r="AB804" s="324"/>
      <c r="AC804" s="324"/>
      <c r="AD804" s="324"/>
      <c r="AE804" s="324"/>
    </row>
    <row r="805" spans="3:31" s="294" customFormat="1">
      <c r="C805" s="10"/>
      <c r="D805" s="29"/>
      <c r="E805" s="36"/>
      <c r="F805" s="324"/>
      <c r="G805" s="324"/>
      <c r="H805" s="324"/>
      <c r="I805" s="324"/>
      <c r="J805" s="324"/>
      <c r="K805" s="324"/>
      <c r="L805" s="324"/>
      <c r="M805" s="324"/>
      <c r="N805" s="324"/>
      <c r="O805" s="324"/>
      <c r="P805" s="324"/>
      <c r="Q805" s="324"/>
      <c r="R805" s="324"/>
      <c r="S805" s="324"/>
      <c r="T805" s="324"/>
      <c r="U805" s="324"/>
      <c r="V805" s="324"/>
      <c r="W805" s="324"/>
      <c r="X805" s="324"/>
      <c r="Y805" s="324"/>
      <c r="Z805" s="324"/>
      <c r="AA805" s="324"/>
      <c r="AB805" s="324"/>
      <c r="AC805" s="324"/>
      <c r="AD805" s="324"/>
      <c r="AE805" s="324"/>
    </row>
    <row r="806" spans="3:31" s="294" customFormat="1">
      <c r="C806" s="10"/>
      <c r="D806" s="29"/>
      <c r="E806" s="36"/>
      <c r="F806" s="324"/>
      <c r="G806" s="324"/>
      <c r="H806" s="324"/>
      <c r="I806" s="324"/>
      <c r="J806" s="324"/>
      <c r="K806" s="324"/>
      <c r="L806" s="324"/>
      <c r="M806" s="324"/>
      <c r="N806" s="324"/>
      <c r="O806" s="324"/>
      <c r="P806" s="324"/>
      <c r="Q806" s="324"/>
      <c r="R806" s="324"/>
      <c r="S806" s="324"/>
      <c r="T806" s="324"/>
      <c r="U806" s="324"/>
      <c r="V806" s="324"/>
      <c r="W806" s="324"/>
      <c r="X806" s="324"/>
      <c r="Y806" s="324"/>
      <c r="Z806" s="324"/>
      <c r="AA806" s="324"/>
      <c r="AB806" s="324"/>
      <c r="AC806" s="324"/>
      <c r="AD806" s="324"/>
      <c r="AE806" s="324"/>
    </row>
    <row r="807" spans="3:31" s="294" customFormat="1">
      <c r="C807" s="10"/>
      <c r="D807" s="29"/>
      <c r="E807" s="36"/>
      <c r="F807" s="324"/>
      <c r="G807" s="324"/>
      <c r="H807" s="324"/>
      <c r="I807" s="324"/>
      <c r="J807" s="324"/>
      <c r="K807" s="324"/>
      <c r="L807" s="324"/>
      <c r="M807" s="324"/>
      <c r="N807" s="324"/>
      <c r="O807" s="324"/>
      <c r="P807" s="324"/>
      <c r="Q807" s="324"/>
      <c r="R807" s="324"/>
      <c r="S807" s="324"/>
      <c r="T807" s="324"/>
      <c r="U807" s="324"/>
      <c r="V807" s="324"/>
      <c r="W807" s="324"/>
      <c r="X807" s="324"/>
      <c r="Y807" s="324"/>
      <c r="Z807" s="324"/>
      <c r="AA807" s="324"/>
      <c r="AB807" s="324"/>
      <c r="AC807" s="324"/>
      <c r="AD807" s="324"/>
      <c r="AE807" s="324"/>
    </row>
    <row r="808" spans="3:31" s="294" customFormat="1">
      <c r="C808" s="10"/>
      <c r="D808" s="29"/>
      <c r="E808" s="36"/>
      <c r="F808" s="324"/>
      <c r="G808" s="324"/>
      <c r="H808" s="324"/>
      <c r="I808" s="324"/>
      <c r="J808" s="324"/>
      <c r="K808" s="324"/>
      <c r="L808" s="324"/>
      <c r="M808" s="324"/>
      <c r="N808" s="324"/>
      <c r="O808" s="324"/>
      <c r="P808" s="324"/>
      <c r="Q808" s="324"/>
      <c r="R808" s="324"/>
      <c r="S808" s="324"/>
      <c r="T808" s="324"/>
      <c r="U808" s="324"/>
      <c r="V808" s="324"/>
      <c r="W808" s="324"/>
      <c r="X808" s="324"/>
      <c r="Y808" s="324"/>
      <c r="Z808" s="324"/>
      <c r="AA808" s="324"/>
      <c r="AB808" s="324"/>
      <c r="AC808" s="324"/>
      <c r="AD808" s="324"/>
      <c r="AE808" s="324"/>
    </row>
    <row r="809" spans="3:31" s="294" customFormat="1">
      <c r="C809" s="10"/>
      <c r="D809" s="29"/>
      <c r="E809" s="36"/>
      <c r="F809" s="324"/>
      <c r="G809" s="324"/>
      <c r="H809" s="324"/>
      <c r="I809" s="324"/>
      <c r="J809" s="324"/>
      <c r="K809" s="324"/>
      <c r="L809" s="324"/>
      <c r="M809" s="324"/>
      <c r="N809" s="324"/>
      <c r="O809" s="324"/>
      <c r="P809" s="324"/>
      <c r="Q809" s="324"/>
      <c r="R809" s="324"/>
      <c r="S809" s="324"/>
      <c r="T809" s="324"/>
      <c r="U809" s="324"/>
      <c r="V809" s="324"/>
      <c r="W809" s="324"/>
      <c r="X809" s="324"/>
      <c r="Y809" s="324"/>
      <c r="Z809" s="324"/>
      <c r="AA809" s="324"/>
      <c r="AB809" s="324"/>
      <c r="AC809" s="324"/>
      <c r="AD809" s="324"/>
      <c r="AE809" s="324"/>
    </row>
    <row r="810" spans="3:31" s="294" customFormat="1">
      <c r="C810" s="10"/>
      <c r="D810" s="29"/>
      <c r="E810" s="36"/>
      <c r="F810" s="324"/>
      <c r="G810" s="324"/>
      <c r="H810" s="324"/>
      <c r="I810" s="324"/>
      <c r="J810" s="324"/>
      <c r="K810" s="324"/>
      <c r="L810" s="324"/>
      <c r="M810" s="324"/>
      <c r="N810" s="324"/>
      <c r="O810" s="324"/>
      <c r="P810" s="324"/>
      <c r="Q810" s="324"/>
      <c r="R810" s="324"/>
      <c r="S810" s="324"/>
      <c r="T810" s="324"/>
      <c r="U810" s="324"/>
      <c r="V810" s="324"/>
      <c r="W810" s="324"/>
      <c r="X810" s="324"/>
      <c r="Y810" s="324"/>
      <c r="Z810" s="324"/>
      <c r="AA810" s="324"/>
      <c r="AB810" s="324"/>
      <c r="AC810" s="324"/>
      <c r="AD810" s="324"/>
      <c r="AE810" s="324"/>
    </row>
    <row r="811" spans="3:31" s="294" customFormat="1">
      <c r="C811" s="10"/>
      <c r="D811" s="29"/>
      <c r="E811" s="36"/>
      <c r="F811" s="324"/>
      <c r="G811" s="324"/>
      <c r="H811" s="324"/>
      <c r="I811" s="324"/>
      <c r="J811" s="324"/>
      <c r="K811" s="324"/>
      <c r="L811" s="324"/>
      <c r="M811" s="324"/>
      <c r="N811" s="324"/>
      <c r="O811" s="324"/>
      <c r="P811" s="324"/>
      <c r="Q811" s="324"/>
      <c r="R811" s="324"/>
      <c r="S811" s="324"/>
      <c r="T811" s="324"/>
      <c r="U811" s="324"/>
      <c r="V811" s="324"/>
      <c r="W811" s="324"/>
      <c r="X811" s="324"/>
      <c r="Y811" s="324"/>
      <c r="Z811" s="324"/>
      <c r="AA811" s="324"/>
      <c r="AB811" s="324"/>
      <c r="AC811" s="324"/>
      <c r="AD811" s="324"/>
      <c r="AE811" s="324"/>
    </row>
    <row r="812" spans="3:31" s="294" customFormat="1">
      <c r="C812" s="10"/>
      <c r="D812" s="29"/>
      <c r="E812" s="36"/>
      <c r="F812" s="324"/>
      <c r="G812" s="324"/>
      <c r="H812" s="324"/>
      <c r="I812" s="324"/>
      <c r="J812" s="324"/>
      <c r="K812" s="324"/>
      <c r="L812" s="324"/>
      <c r="M812" s="324"/>
      <c r="N812" s="324"/>
      <c r="O812" s="324"/>
      <c r="P812" s="324"/>
      <c r="Q812" s="324"/>
      <c r="R812" s="324"/>
      <c r="S812" s="324"/>
      <c r="T812" s="324"/>
      <c r="U812" s="324"/>
      <c r="V812" s="324"/>
      <c r="W812" s="324"/>
      <c r="X812" s="324"/>
      <c r="Y812" s="324"/>
      <c r="Z812" s="324"/>
      <c r="AA812" s="324"/>
      <c r="AB812" s="324"/>
      <c r="AC812" s="324"/>
      <c r="AD812" s="324"/>
      <c r="AE812" s="324"/>
    </row>
    <row r="813" spans="3:31" s="294" customFormat="1">
      <c r="C813" s="10"/>
      <c r="D813" s="29"/>
      <c r="E813" s="36"/>
      <c r="F813" s="324"/>
      <c r="G813" s="324"/>
      <c r="H813" s="324"/>
      <c r="I813" s="324"/>
      <c r="J813" s="324"/>
      <c r="K813" s="324"/>
      <c r="L813" s="324"/>
      <c r="M813" s="324"/>
      <c r="N813" s="324"/>
      <c r="O813" s="324"/>
      <c r="P813" s="324"/>
      <c r="Q813" s="324"/>
      <c r="R813" s="324"/>
      <c r="S813" s="324"/>
      <c r="T813" s="324"/>
      <c r="U813" s="324"/>
      <c r="V813" s="324"/>
      <c r="W813" s="324"/>
      <c r="X813" s="324"/>
      <c r="Y813" s="324"/>
      <c r="Z813" s="324"/>
      <c r="AA813" s="324"/>
      <c r="AB813" s="324"/>
      <c r="AC813" s="324"/>
      <c r="AD813" s="324"/>
      <c r="AE813" s="324"/>
    </row>
    <row r="814" spans="3:31" s="294" customFormat="1">
      <c r="C814" s="10"/>
      <c r="D814" s="29"/>
      <c r="E814" s="36"/>
      <c r="F814" s="324"/>
      <c r="G814" s="324"/>
      <c r="H814" s="324"/>
      <c r="I814" s="324"/>
      <c r="J814" s="324"/>
      <c r="K814" s="324"/>
      <c r="L814" s="324"/>
      <c r="M814" s="324"/>
      <c r="N814" s="324"/>
      <c r="O814" s="324"/>
      <c r="P814" s="324"/>
      <c r="Q814" s="324"/>
      <c r="R814" s="324"/>
      <c r="S814" s="324"/>
      <c r="T814" s="324"/>
      <c r="U814" s="324"/>
      <c r="V814" s="324"/>
      <c r="W814" s="324"/>
      <c r="X814" s="324"/>
      <c r="Y814" s="324"/>
      <c r="Z814" s="324"/>
      <c r="AA814" s="324"/>
      <c r="AB814" s="324"/>
      <c r="AC814" s="324"/>
      <c r="AD814" s="324"/>
      <c r="AE814" s="324"/>
    </row>
    <row r="815" spans="3:31" s="294" customFormat="1">
      <c r="C815" s="10"/>
      <c r="D815" s="29"/>
      <c r="E815" s="36"/>
      <c r="F815" s="324"/>
      <c r="G815" s="324"/>
      <c r="H815" s="324"/>
      <c r="I815" s="324"/>
      <c r="J815" s="324"/>
      <c r="K815" s="324"/>
      <c r="L815" s="324"/>
      <c r="M815" s="324"/>
      <c r="N815" s="324"/>
      <c r="O815" s="324"/>
      <c r="P815" s="324"/>
      <c r="Q815" s="324"/>
      <c r="R815" s="324"/>
      <c r="S815" s="324"/>
      <c r="T815" s="324"/>
      <c r="U815" s="324"/>
      <c r="V815" s="324"/>
      <c r="W815" s="324"/>
      <c r="X815" s="324"/>
      <c r="Y815" s="324"/>
      <c r="Z815" s="324"/>
      <c r="AA815" s="324"/>
      <c r="AB815" s="324"/>
      <c r="AC815" s="324"/>
      <c r="AD815" s="324"/>
      <c r="AE815" s="324"/>
    </row>
    <row r="816" spans="3:31" s="294" customFormat="1">
      <c r="C816" s="10"/>
      <c r="D816" s="29"/>
      <c r="E816" s="36"/>
      <c r="F816" s="324"/>
      <c r="G816" s="324"/>
      <c r="H816" s="324"/>
      <c r="I816" s="324"/>
      <c r="J816" s="324"/>
      <c r="K816" s="324"/>
      <c r="L816" s="324"/>
      <c r="M816" s="324"/>
      <c r="N816" s="324"/>
      <c r="O816" s="324"/>
      <c r="P816" s="324"/>
      <c r="Q816" s="324"/>
      <c r="R816" s="324"/>
      <c r="S816" s="324"/>
      <c r="T816" s="324"/>
      <c r="U816" s="324"/>
      <c r="V816" s="324"/>
      <c r="W816" s="324"/>
      <c r="X816" s="324"/>
      <c r="Y816" s="324"/>
      <c r="Z816" s="324"/>
      <c r="AA816" s="324"/>
      <c r="AB816" s="324"/>
      <c r="AC816" s="324"/>
      <c r="AD816" s="324"/>
      <c r="AE816" s="324"/>
    </row>
    <row r="817" spans="3:31" s="294" customFormat="1">
      <c r="C817" s="10"/>
      <c r="D817" s="29"/>
      <c r="E817" s="36"/>
      <c r="F817" s="324"/>
      <c r="G817" s="324"/>
      <c r="H817" s="324"/>
      <c r="I817" s="324"/>
      <c r="J817" s="324"/>
      <c r="K817" s="324"/>
      <c r="L817" s="324"/>
      <c r="M817" s="324"/>
      <c r="N817" s="324"/>
      <c r="O817" s="324"/>
      <c r="P817" s="324"/>
      <c r="Q817" s="324"/>
      <c r="R817" s="324"/>
      <c r="S817" s="324"/>
      <c r="T817" s="324"/>
      <c r="U817" s="324"/>
      <c r="V817" s="324"/>
      <c r="W817" s="324"/>
      <c r="X817" s="324"/>
      <c r="Y817" s="324"/>
      <c r="Z817" s="324"/>
      <c r="AA817" s="324"/>
      <c r="AB817" s="324"/>
      <c r="AC817" s="324"/>
      <c r="AD817" s="324"/>
      <c r="AE817" s="324"/>
    </row>
    <row r="818" spans="3:31" s="294" customFormat="1">
      <c r="C818" s="10"/>
      <c r="D818" s="29"/>
      <c r="E818" s="36"/>
      <c r="F818" s="324"/>
      <c r="G818" s="324"/>
      <c r="H818" s="324"/>
      <c r="I818" s="324"/>
      <c r="J818" s="324"/>
      <c r="K818" s="324"/>
      <c r="L818" s="324"/>
      <c r="M818" s="324"/>
      <c r="N818" s="324"/>
      <c r="O818" s="324"/>
      <c r="P818" s="324"/>
      <c r="Q818" s="324"/>
      <c r="R818" s="324"/>
      <c r="S818" s="324"/>
      <c r="T818" s="324"/>
      <c r="U818" s="324"/>
      <c r="V818" s="324"/>
      <c r="W818" s="324"/>
      <c r="X818" s="324"/>
      <c r="Y818" s="324"/>
      <c r="Z818" s="324"/>
      <c r="AA818" s="324"/>
      <c r="AB818" s="324"/>
      <c r="AC818" s="324"/>
      <c r="AD818" s="324"/>
      <c r="AE818" s="324"/>
    </row>
    <row r="819" spans="3:31" s="294" customFormat="1">
      <c r="C819" s="10"/>
      <c r="D819" s="29"/>
      <c r="E819" s="36"/>
      <c r="F819" s="324"/>
      <c r="G819" s="324"/>
      <c r="H819" s="324"/>
      <c r="I819" s="324"/>
      <c r="J819" s="324"/>
      <c r="K819" s="324"/>
      <c r="L819" s="324"/>
      <c r="M819" s="324"/>
      <c r="N819" s="324"/>
      <c r="O819" s="324"/>
      <c r="P819" s="324"/>
      <c r="Q819" s="324"/>
      <c r="R819" s="324"/>
      <c r="S819" s="324"/>
      <c r="T819" s="324"/>
      <c r="U819" s="324"/>
      <c r="V819" s="324"/>
      <c r="W819" s="324"/>
      <c r="X819" s="324"/>
      <c r="Y819" s="324"/>
      <c r="Z819" s="324"/>
      <c r="AA819" s="324"/>
      <c r="AB819" s="324"/>
      <c r="AC819" s="324"/>
      <c r="AD819" s="324"/>
      <c r="AE819" s="324"/>
    </row>
    <row r="820" spans="3:31" s="294" customFormat="1">
      <c r="C820" s="10"/>
      <c r="D820" s="29"/>
      <c r="E820" s="36"/>
      <c r="F820" s="324"/>
      <c r="G820" s="324"/>
      <c r="H820" s="324"/>
      <c r="I820" s="324"/>
      <c r="J820" s="324"/>
      <c r="K820" s="324"/>
      <c r="L820" s="324"/>
      <c r="M820" s="324"/>
      <c r="N820" s="324"/>
      <c r="O820" s="324"/>
      <c r="P820" s="324"/>
      <c r="Q820" s="324"/>
      <c r="R820" s="324"/>
      <c r="S820" s="324"/>
      <c r="T820" s="324"/>
      <c r="U820" s="324"/>
      <c r="V820" s="324"/>
      <c r="W820" s="324"/>
      <c r="X820" s="324"/>
      <c r="Y820" s="324"/>
      <c r="Z820" s="324"/>
      <c r="AA820" s="324"/>
      <c r="AB820" s="324"/>
      <c r="AC820" s="324"/>
      <c r="AD820" s="324"/>
      <c r="AE820" s="324"/>
    </row>
    <row r="821" spans="3:31" s="294" customFormat="1">
      <c r="C821" s="10"/>
      <c r="D821" s="29"/>
      <c r="E821" s="36"/>
      <c r="F821" s="324"/>
      <c r="G821" s="324"/>
      <c r="H821" s="324"/>
      <c r="I821" s="324"/>
      <c r="J821" s="324"/>
      <c r="K821" s="324"/>
      <c r="L821" s="324"/>
      <c r="M821" s="324"/>
      <c r="N821" s="324"/>
      <c r="O821" s="324"/>
      <c r="P821" s="324"/>
      <c r="Q821" s="324"/>
      <c r="R821" s="324"/>
      <c r="S821" s="324"/>
      <c r="T821" s="324"/>
      <c r="U821" s="324"/>
      <c r="V821" s="324"/>
      <c r="W821" s="324"/>
      <c r="X821" s="324"/>
      <c r="Y821" s="324"/>
      <c r="Z821" s="324"/>
      <c r="AA821" s="324"/>
      <c r="AB821" s="324"/>
      <c r="AC821" s="324"/>
      <c r="AD821" s="324"/>
      <c r="AE821" s="324"/>
    </row>
    <row r="822" spans="3:31" s="294" customFormat="1">
      <c r="C822" s="10"/>
      <c r="D822" s="29"/>
      <c r="E822" s="36"/>
      <c r="F822" s="324"/>
      <c r="G822" s="324"/>
      <c r="H822" s="324"/>
      <c r="I822" s="324"/>
      <c r="J822" s="324"/>
      <c r="K822" s="324"/>
      <c r="L822" s="324"/>
      <c r="M822" s="324"/>
      <c r="N822" s="324"/>
      <c r="O822" s="324"/>
      <c r="P822" s="324"/>
      <c r="Q822" s="324"/>
      <c r="R822" s="324"/>
      <c r="S822" s="324"/>
      <c r="T822" s="324"/>
      <c r="U822" s="324"/>
      <c r="V822" s="324"/>
      <c r="W822" s="324"/>
      <c r="X822" s="324"/>
      <c r="Y822" s="324"/>
      <c r="Z822" s="324"/>
      <c r="AA822" s="324"/>
      <c r="AB822" s="324"/>
      <c r="AC822" s="324"/>
      <c r="AD822" s="324"/>
      <c r="AE822" s="324"/>
    </row>
    <row r="823" spans="3:31" s="294" customFormat="1">
      <c r="C823" s="10"/>
      <c r="D823" s="29"/>
      <c r="E823" s="36"/>
      <c r="F823" s="324"/>
      <c r="G823" s="324"/>
      <c r="H823" s="324"/>
      <c r="I823" s="324"/>
      <c r="J823" s="324"/>
      <c r="K823" s="324"/>
      <c r="L823" s="324"/>
      <c r="M823" s="324"/>
      <c r="N823" s="324"/>
      <c r="O823" s="324"/>
      <c r="P823" s="324"/>
      <c r="Q823" s="324"/>
      <c r="R823" s="324"/>
      <c r="S823" s="324"/>
      <c r="T823" s="324"/>
      <c r="U823" s="324"/>
      <c r="V823" s="324"/>
      <c r="W823" s="324"/>
      <c r="X823" s="324"/>
      <c r="Y823" s="324"/>
      <c r="Z823" s="324"/>
      <c r="AA823" s="324"/>
      <c r="AB823" s="324"/>
      <c r="AC823" s="324"/>
      <c r="AD823" s="324"/>
      <c r="AE823" s="324"/>
    </row>
    <row r="824" spans="3:31" s="294" customFormat="1">
      <c r="C824" s="10"/>
      <c r="D824" s="29"/>
      <c r="E824" s="36"/>
      <c r="F824" s="324"/>
      <c r="G824" s="324"/>
      <c r="H824" s="324"/>
      <c r="I824" s="324"/>
      <c r="J824" s="324"/>
      <c r="K824" s="324"/>
      <c r="L824" s="324"/>
      <c r="M824" s="324"/>
      <c r="N824" s="324"/>
      <c r="O824" s="324"/>
      <c r="P824" s="324"/>
      <c r="Q824" s="324"/>
      <c r="R824" s="324"/>
      <c r="S824" s="324"/>
      <c r="T824" s="324"/>
      <c r="U824" s="324"/>
      <c r="V824" s="324"/>
      <c r="W824" s="324"/>
      <c r="X824" s="324"/>
      <c r="Y824" s="324"/>
      <c r="Z824" s="324"/>
      <c r="AA824" s="324"/>
      <c r="AB824" s="324"/>
      <c r="AC824" s="324"/>
      <c r="AD824" s="324"/>
      <c r="AE824" s="324"/>
    </row>
    <row r="825" spans="3:31" s="294" customFormat="1">
      <c r="C825" s="10"/>
      <c r="D825" s="29"/>
      <c r="E825" s="36"/>
      <c r="F825" s="324"/>
      <c r="G825" s="324"/>
      <c r="H825" s="324"/>
      <c r="I825" s="324"/>
      <c r="J825" s="324"/>
      <c r="K825" s="324"/>
      <c r="L825" s="324"/>
      <c r="M825" s="324"/>
      <c r="N825" s="324"/>
      <c r="O825" s="324"/>
      <c r="P825" s="324"/>
      <c r="Q825" s="324"/>
      <c r="R825" s="324"/>
      <c r="S825" s="324"/>
      <c r="T825" s="324"/>
      <c r="U825" s="324"/>
      <c r="V825" s="324"/>
      <c r="W825" s="324"/>
      <c r="X825" s="324"/>
      <c r="Y825" s="324"/>
      <c r="Z825" s="324"/>
      <c r="AA825" s="324"/>
      <c r="AB825" s="324"/>
      <c r="AC825" s="324"/>
      <c r="AD825" s="324"/>
      <c r="AE825" s="324"/>
    </row>
    <row r="826" spans="3:31" s="294" customFormat="1">
      <c r="C826" s="10"/>
      <c r="D826" s="29"/>
      <c r="E826" s="36"/>
      <c r="F826" s="324"/>
      <c r="G826" s="324"/>
      <c r="H826" s="324"/>
      <c r="I826" s="324"/>
      <c r="J826" s="324"/>
      <c r="K826" s="324"/>
      <c r="L826" s="324"/>
      <c r="M826" s="324"/>
      <c r="N826" s="324"/>
      <c r="O826" s="324"/>
      <c r="P826" s="324"/>
      <c r="Q826" s="324"/>
      <c r="R826" s="324"/>
      <c r="S826" s="324"/>
      <c r="T826" s="324"/>
      <c r="U826" s="324"/>
      <c r="V826" s="324"/>
      <c r="W826" s="324"/>
      <c r="X826" s="324"/>
      <c r="Y826" s="324"/>
      <c r="Z826" s="324"/>
      <c r="AA826" s="324"/>
      <c r="AB826" s="324"/>
      <c r="AC826" s="324"/>
      <c r="AD826" s="324"/>
      <c r="AE826" s="324"/>
    </row>
    <row r="827" spans="3:31" s="294" customFormat="1">
      <c r="C827" s="10"/>
      <c r="D827" s="29"/>
      <c r="E827" s="36"/>
      <c r="F827" s="324"/>
      <c r="G827" s="324"/>
      <c r="H827" s="324"/>
      <c r="I827" s="324"/>
      <c r="J827" s="324"/>
      <c r="K827" s="324"/>
      <c r="L827" s="324"/>
      <c r="M827" s="324"/>
      <c r="N827" s="324"/>
      <c r="O827" s="324"/>
      <c r="P827" s="324"/>
      <c r="Q827" s="324"/>
      <c r="R827" s="324"/>
      <c r="S827" s="324"/>
      <c r="T827" s="324"/>
      <c r="U827" s="324"/>
      <c r="V827" s="324"/>
      <c r="W827" s="324"/>
      <c r="X827" s="324"/>
      <c r="Y827" s="324"/>
      <c r="Z827" s="324"/>
      <c r="AA827" s="324"/>
      <c r="AB827" s="324"/>
      <c r="AC827" s="324"/>
      <c r="AD827" s="324"/>
      <c r="AE827" s="324"/>
    </row>
    <row r="828" spans="3:31" s="294" customFormat="1">
      <c r="C828" s="10"/>
      <c r="D828" s="29"/>
      <c r="E828" s="36"/>
      <c r="F828" s="324"/>
      <c r="G828" s="324"/>
      <c r="H828" s="324"/>
      <c r="I828" s="324"/>
      <c r="J828" s="324"/>
      <c r="K828" s="324"/>
      <c r="L828" s="324"/>
      <c r="M828" s="324"/>
      <c r="N828" s="324"/>
      <c r="O828" s="324"/>
      <c r="P828" s="324"/>
      <c r="Q828" s="324"/>
      <c r="R828" s="324"/>
      <c r="S828" s="324"/>
      <c r="T828" s="324"/>
      <c r="U828" s="324"/>
      <c r="V828" s="324"/>
      <c r="W828" s="324"/>
      <c r="X828" s="324"/>
      <c r="Y828" s="324"/>
      <c r="Z828" s="324"/>
      <c r="AA828" s="324"/>
      <c r="AB828" s="324"/>
      <c r="AC828" s="324"/>
      <c r="AD828" s="324"/>
      <c r="AE828" s="324"/>
    </row>
    <row r="829" spans="3:31" s="294" customFormat="1">
      <c r="C829" s="10"/>
      <c r="D829" s="29"/>
      <c r="E829" s="36"/>
      <c r="F829" s="324"/>
      <c r="G829" s="324"/>
      <c r="H829" s="324"/>
      <c r="I829" s="324"/>
      <c r="J829" s="324"/>
      <c r="K829" s="324"/>
      <c r="L829" s="324"/>
      <c r="M829" s="324"/>
      <c r="N829" s="324"/>
      <c r="O829" s="324"/>
      <c r="P829" s="324"/>
      <c r="Q829" s="324"/>
      <c r="R829" s="324"/>
      <c r="S829" s="324"/>
      <c r="T829" s="324"/>
      <c r="U829" s="324"/>
      <c r="V829" s="324"/>
      <c r="W829" s="324"/>
      <c r="X829" s="324"/>
      <c r="Y829" s="324"/>
      <c r="Z829" s="324"/>
      <c r="AA829" s="324"/>
      <c r="AB829" s="324"/>
      <c r="AC829" s="324"/>
      <c r="AD829" s="324"/>
      <c r="AE829" s="324"/>
    </row>
    <row r="830" spans="3:31" s="294" customFormat="1">
      <c r="C830" s="10"/>
      <c r="D830" s="29"/>
      <c r="E830" s="36"/>
      <c r="F830" s="324"/>
      <c r="G830" s="324"/>
      <c r="H830" s="324"/>
      <c r="I830" s="324"/>
      <c r="J830" s="324"/>
      <c r="K830" s="324"/>
      <c r="L830" s="324"/>
      <c r="M830" s="324"/>
      <c r="N830" s="324"/>
      <c r="O830" s="324"/>
      <c r="P830" s="324"/>
      <c r="Q830" s="324"/>
      <c r="R830" s="324"/>
      <c r="S830" s="324"/>
      <c r="T830" s="324"/>
      <c r="U830" s="324"/>
      <c r="V830" s="324"/>
      <c r="W830" s="324"/>
      <c r="X830" s="324"/>
      <c r="Y830" s="324"/>
      <c r="Z830" s="324"/>
      <c r="AA830" s="324"/>
      <c r="AB830" s="324"/>
      <c r="AC830" s="324"/>
      <c r="AD830" s="324"/>
      <c r="AE830" s="324"/>
    </row>
    <row r="831" spans="3:31" s="294" customFormat="1">
      <c r="C831" s="10"/>
      <c r="D831" s="29"/>
      <c r="E831" s="36"/>
      <c r="F831" s="324"/>
      <c r="G831" s="324"/>
      <c r="H831" s="324"/>
      <c r="I831" s="324"/>
      <c r="J831" s="324"/>
      <c r="K831" s="324"/>
      <c r="L831" s="324"/>
      <c r="M831" s="324"/>
      <c r="N831" s="324"/>
      <c r="O831" s="324"/>
      <c r="P831" s="324"/>
      <c r="Q831" s="324"/>
      <c r="R831" s="324"/>
      <c r="S831" s="324"/>
      <c r="T831" s="324"/>
      <c r="U831" s="324"/>
      <c r="V831" s="324"/>
      <c r="W831" s="324"/>
      <c r="X831" s="324"/>
      <c r="Y831" s="324"/>
      <c r="Z831" s="324"/>
      <c r="AA831" s="324"/>
      <c r="AB831" s="324"/>
      <c r="AC831" s="324"/>
      <c r="AD831" s="324"/>
      <c r="AE831" s="324"/>
    </row>
    <row r="832" spans="3:31" s="294" customFormat="1">
      <c r="C832" s="10"/>
      <c r="D832" s="29"/>
      <c r="E832" s="36"/>
      <c r="F832" s="324"/>
      <c r="G832" s="324"/>
      <c r="H832" s="324"/>
      <c r="I832" s="324"/>
      <c r="J832" s="324"/>
      <c r="K832" s="324"/>
      <c r="L832" s="324"/>
      <c r="M832" s="324"/>
      <c r="N832" s="324"/>
      <c r="O832" s="324"/>
      <c r="P832" s="324"/>
      <c r="Q832" s="324"/>
      <c r="R832" s="324"/>
      <c r="S832" s="324"/>
      <c r="T832" s="324"/>
      <c r="U832" s="324"/>
      <c r="V832" s="324"/>
      <c r="W832" s="324"/>
      <c r="X832" s="324"/>
      <c r="Y832" s="324"/>
      <c r="Z832" s="324"/>
      <c r="AA832" s="324"/>
      <c r="AB832" s="324"/>
      <c r="AC832" s="324"/>
      <c r="AD832" s="324"/>
      <c r="AE832" s="324"/>
    </row>
    <row r="833" spans="3:31" s="294" customFormat="1">
      <c r="C833" s="10"/>
      <c r="D833" s="29"/>
      <c r="E833" s="36"/>
      <c r="F833" s="324"/>
      <c r="G833" s="324"/>
      <c r="H833" s="324"/>
      <c r="I833" s="324"/>
      <c r="J833" s="324"/>
      <c r="K833" s="324"/>
      <c r="L833" s="324"/>
      <c r="M833" s="324"/>
      <c r="N833" s="324"/>
      <c r="O833" s="324"/>
      <c r="P833" s="324"/>
      <c r="Q833" s="324"/>
      <c r="R833" s="324"/>
      <c r="S833" s="324"/>
      <c r="T833" s="324"/>
      <c r="U833" s="324"/>
      <c r="V833" s="324"/>
      <c r="W833" s="324"/>
      <c r="X833" s="324"/>
      <c r="Y833" s="324"/>
      <c r="Z833" s="324"/>
      <c r="AA833" s="324"/>
      <c r="AB833" s="324"/>
      <c r="AC833" s="324"/>
      <c r="AD833" s="324"/>
      <c r="AE833" s="324"/>
    </row>
    <row r="834" spans="3:31" s="294" customFormat="1">
      <c r="C834" s="10"/>
      <c r="D834" s="29"/>
      <c r="E834" s="36"/>
      <c r="F834" s="324"/>
      <c r="G834" s="324"/>
      <c r="H834" s="324"/>
      <c r="I834" s="324"/>
      <c r="J834" s="324"/>
      <c r="K834" s="324"/>
      <c r="L834" s="324"/>
      <c r="M834" s="324"/>
      <c r="N834" s="324"/>
      <c r="O834" s="324"/>
      <c r="P834" s="324"/>
      <c r="Q834" s="324"/>
      <c r="R834" s="324"/>
      <c r="S834" s="324"/>
      <c r="T834" s="324"/>
      <c r="U834" s="324"/>
      <c r="V834" s="324"/>
      <c r="W834" s="324"/>
      <c r="X834" s="324"/>
      <c r="Y834" s="324"/>
      <c r="Z834" s="324"/>
      <c r="AA834" s="324"/>
      <c r="AB834" s="324"/>
      <c r="AC834" s="324"/>
      <c r="AD834" s="324"/>
      <c r="AE834" s="324"/>
    </row>
    <row r="835" spans="3:31" s="294" customFormat="1">
      <c r="C835" s="10"/>
      <c r="D835" s="29"/>
      <c r="E835" s="36"/>
      <c r="F835" s="324"/>
      <c r="G835" s="324"/>
      <c r="H835" s="324"/>
      <c r="I835" s="324"/>
      <c r="J835" s="324"/>
      <c r="K835" s="324"/>
      <c r="L835" s="324"/>
      <c r="M835" s="324"/>
      <c r="N835" s="324"/>
      <c r="O835" s="324"/>
      <c r="P835" s="324"/>
      <c r="Q835" s="324"/>
      <c r="R835" s="324"/>
      <c r="S835" s="324"/>
      <c r="T835" s="324"/>
      <c r="U835" s="324"/>
      <c r="V835" s="324"/>
      <c r="W835" s="324"/>
      <c r="X835" s="324"/>
      <c r="Y835" s="324"/>
      <c r="Z835" s="324"/>
      <c r="AA835" s="324"/>
      <c r="AB835" s="324"/>
      <c r="AC835" s="324"/>
      <c r="AD835" s="324"/>
      <c r="AE835" s="324"/>
    </row>
    <row r="836" spans="3:31" s="294" customFormat="1">
      <c r="C836" s="10"/>
      <c r="D836" s="29"/>
      <c r="E836" s="36"/>
      <c r="F836" s="324"/>
      <c r="G836" s="324"/>
      <c r="H836" s="324"/>
      <c r="I836" s="324"/>
      <c r="J836" s="324"/>
      <c r="K836" s="324"/>
      <c r="L836" s="324"/>
      <c r="M836" s="324"/>
      <c r="N836" s="324"/>
      <c r="O836" s="324"/>
      <c r="P836" s="324"/>
      <c r="Q836" s="324"/>
      <c r="R836" s="324"/>
      <c r="S836" s="324"/>
      <c r="T836" s="324"/>
      <c r="U836" s="324"/>
      <c r="V836" s="324"/>
      <c r="W836" s="324"/>
      <c r="X836" s="324"/>
      <c r="Y836" s="324"/>
      <c r="Z836" s="324"/>
      <c r="AA836" s="324"/>
      <c r="AB836" s="324"/>
      <c r="AC836" s="324"/>
      <c r="AD836" s="324"/>
      <c r="AE836" s="324"/>
    </row>
    <row r="837" spans="3:31" s="294" customFormat="1">
      <c r="C837" s="10"/>
      <c r="D837" s="29"/>
      <c r="E837" s="36"/>
      <c r="F837" s="324"/>
      <c r="G837" s="324"/>
      <c r="H837" s="324"/>
      <c r="I837" s="324"/>
      <c r="J837" s="324"/>
      <c r="K837" s="324"/>
      <c r="L837" s="324"/>
      <c r="M837" s="324"/>
      <c r="N837" s="324"/>
      <c r="O837" s="324"/>
      <c r="P837" s="324"/>
      <c r="Q837" s="324"/>
      <c r="R837" s="324"/>
      <c r="S837" s="324"/>
      <c r="T837" s="324"/>
      <c r="U837" s="324"/>
      <c r="V837" s="324"/>
      <c r="W837" s="324"/>
      <c r="X837" s="324"/>
      <c r="Y837" s="324"/>
      <c r="Z837" s="324"/>
      <c r="AA837" s="324"/>
      <c r="AB837" s="324"/>
      <c r="AC837" s="324"/>
      <c r="AD837" s="324"/>
      <c r="AE837" s="324"/>
    </row>
    <row r="838" spans="3:31" s="294" customFormat="1">
      <c r="C838" s="10"/>
      <c r="D838" s="29"/>
      <c r="E838" s="36"/>
      <c r="F838" s="324"/>
      <c r="G838" s="324"/>
      <c r="H838" s="324"/>
      <c r="I838" s="324"/>
      <c r="J838" s="324"/>
      <c r="K838" s="324"/>
      <c r="L838" s="324"/>
      <c r="M838" s="324"/>
      <c r="N838" s="324"/>
      <c r="O838" s="324"/>
      <c r="P838" s="324"/>
      <c r="Q838" s="324"/>
      <c r="R838" s="324"/>
      <c r="S838" s="324"/>
      <c r="T838" s="324"/>
      <c r="U838" s="324"/>
      <c r="V838" s="324"/>
      <c r="W838" s="324"/>
      <c r="X838" s="324"/>
      <c r="Y838" s="324"/>
      <c r="Z838" s="324"/>
      <c r="AA838" s="324"/>
      <c r="AB838" s="324"/>
      <c r="AC838" s="324"/>
      <c r="AD838" s="324"/>
      <c r="AE838" s="324"/>
    </row>
    <row r="839" spans="3:31" s="294" customFormat="1">
      <c r="C839" s="10"/>
      <c r="D839" s="29"/>
      <c r="E839" s="36"/>
      <c r="F839" s="324"/>
      <c r="G839" s="324"/>
      <c r="H839" s="324"/>
      <c r="I839" s="324"/>
      <c r="J839" s="324"/>
      <c r="K839" s="324"/>
      <c r="L839" s="324"/>
      <c r="M839" s="324"/>
      <c r="N839" s="324"/>
      <c r="O839" s="324"/>
      <c r="P839" s="324"/>
      <c r="Q839" s="324"/>
      <c r="R839" s="324"/>
      <c r="S839" s="324"/>
      <c r="T839" s="324"/>
      <c r="U839" s="324"/>
      <c r="V839" s="324"/>
      <c r="W839" s="324"/>
      <c r="X839" s="324"/>
      <c r="Y839" s="324"/>
      <c r="Z839" s="324"/>
      <c r="AA839" s="324"/>
      <c r="AB839" s="324"/>
      <c r="AC839" s="324"/>
      <c r="AD839" s="324"/>
      <c r="AE839" s="324"/>
    </row>
    <row r="840" spans="3:31" s="294" customFormat="1">
      <c r="C840" s="10"/>
      <c r="D840" s="29"/>
      <c r="E840" s="36"/>
      <c r="F840" s="324"/>
      <c r="G840" s="324"/>
      <c r="H840" s="324"/>
      <c r="I840" s="324"/>
      <c r="J840" s="324"/>
      <c r="K840" s="324"/>
      <c r="L840" s="324"/>
      <c r="M840" s="324"/>
      <c r="N840" s="324"/>
      <c r="O840" s="324"/>
      <c r="P840" s="324"/>
      <c r="Q840" s="324"/>
      <c r="R840" s="324"/>
      <c r="S840" s="324"/>
      <c r="T840" s="324"/>
      <c r="U840" s="324"/>
      <c r="V840" s="324"/>
      <c r="W840" s="324"/>
      <c r="X840" s="324"/>
      <c r="Y840" s="324"/>
      <c r="Z840" s="324"/>
      <c r="AA840" s="324"/>
      <c r="AB840" s="324"/>
      <c r="AC840" s="324"/>
      <c r="AD840" s="324"/>
      <c r="AE840" s="324"/>
    </row>
    <row r="841" spans="3:31" s="294" customFormat="1">
      <c r="C841" s="10"/>
      <c r="D841" s="29"/>
      <c r="E841" s="36"/>
      <c r="F841" s="324"/>
      <c r="G841" s="324"/>
      <c r="H841" s="324"/>
      <c r="I841" s="324"/>
      <c r="J841" s="324"/>
      <c r="K841" s="324"/>
      <c r="L841" s="324"/>
      <c r="M841" s="324"/>
      <c r="N841" s="324"/>
      <c r="O841" s="324"/>
      <c r="P841" s="324"/>
      <c r="Q841" s="324"/>
      <c r="R841" s="324"/>
      <c r="S841" s="324"/>
      <c r="T841" s="324"/>
      <c r="U841" s="324"/>
      <c r="V841" s="324"/>
      <c r="W841" s="324"/>
      <c r="X841" s="324"/>
      <c r="Y841" s="324"/>
      <c r="Z841" s="324"/>
      <c r="AA841" s="324"/>
      <c r="AB841" s="324"/>
      <c r="AC841" s="324"/>
      <c r="AD841" s="324"/>
      <c r="AE841" s="324"/>
    </row>
    <row r="842" spans="3:31" s="294" customFormat="1">
      <c r="C842" s="10"/>
      <c r="D842" s="29"/>
      <c r="E842" s="36"/>
      <c r="F842" s="324"/>
      <c r="G842" s="324"/>
      <c r="H842" s="324"/>
      <c r="I842" s="324"/>
      <c r="J842" s="324"/>
      <c r="K842" s="324"/>
      <c r="L842" s="324"/>
      <c r="M842" s="324"/>
      <c r="N842" s="324"/>
      <c r="O842" s="324"/>
      <c r="P842" s="324"/>
      <c r="Q842" s="324"/>
      <c r="R842" s="324"/>
      <c r="S842" s="324"/>
      <c r="T842" s="324"/>
      <c r="U842" s="324"/>
      <c r="V842" s="324"/>
      <c r="W842" s="324"/>
      <c r="X842" s="324"/>
      <c r="Y842" s="324"/>
      <c r="Z842" s="324"/>
      <c r="AA842" s="324"/>
      <c r="AB842" s="324"/>
      <c r="AC842" s="324"/>
      <c r="AD842" s="324"/>
      <c r="AE842" s="324"/>
    </row>
    <row r="843" spans="3:31" s="294" customFormat="1">
      <c r="C843" s="10"/>
      <c r="D843" s="29"/>
      <c r="E843" s="36"/>
      <c r="F843" s="324"/>
      <c r="G843" s="324"/>
      <c r="H843" s="324"/>
      <c r="I843" s="324"/>
      <c r="J843" s="324"/>
      <c r="K843" s="324"/>
      <c r="L843" s="324"/>
      <c r="M843" s="324"/>
      <c r="N843" s="324"/>
      <c r="O843" s="324"/>
      <c r="P843" s="324"/>
      <c r="Q843" s="324"/>
      <c r="R843" s="324"/>
      <c r="S843" s="324"/>
      <c r="T843" s="324"/>
      <c r="U843" s="324"/>
      <c r="V843" s="324"/>
      <c r="W843" s="324"/>
      <c r="X843" s="324"/>
      <c r="Y843" s="324"/>
      <c r="Z843" s="324"/>
      <c r="AA843" s="324"/>
      <c r="AB843" s="324"/>
      <c r="AC843" s="324"/>
      <c r="AD843" s="324"/>
      <c r="AE843" s="324"/>
    </row>
    <row r="844" spans="3:31" s="294" customFormat="1">
      <c r="C844" s="10"/>
      <c r="D844" s="29"/>
      <c r="E844" s="36"/>
      <c r="F844" s="324"/>
      <c r="G844" s="324"/>
      <c r="H844" s="324"/>
      <c r="I844" s="324"/>
      <c r="J844" s="324"/>
      <c r="K844" s="324"/>
      <c r="L844" s="324"/>
      <c r="M844" s="324"/>
      <c r="N844" s="324"/>
      <c r="O844" s="324"/>
      <c r="P844" s="324"/>
      <c r="Q844" s="324"/>
      <c r="R844" s="324"/>
      <c r="S844" s="324"/>
      <c r="T844" s="324"/>
      <c r="U844" s="324"/>
      <c r="V844" s="324"/>
      <c r="W844" s="324"/>
      <c r="X844" s="324"/>
      <c r="Y844" s="324"/>
      <c r="Z844" s="324"/>
      <c r="AA844" s="324"/>
      <c r="AB844" s="324"/>
      <c r="AC844" s="324"/>
      <c r="AD844" s="324"/>
      <c r="AE844" s="324"/>
    </row>
    <row r="845" spans="3:31" s="294" customFormat="1">
      <c r="C845" s="10"/>
      <c r="D845" s="29"/>
      <c r="E845" s="36"/>
      <c r="F845" s="324"/>
      <c r="G845" s="324"/>
      <c r="H845" s="324"/>
      <c r="I845" s="324"/>
      <c r="J845" s="324"/>
      <c r="K845" s="324"/>
      <c r="L845" s="324"/>
      <c r="M845" s="324"/>
      <c r="N845" s="324"/>
      <c r="O845" s="324"/>
      <c r="P845" s="324"/>
      <c r="Q845" s="324"/>
      <c r="R845" s="324"/>
      <c r="S845" s="324"/>
      <c r="T845" s="324"/>
      <c r="U845" s="324"/>
      <c r="V845" s="324"/>
      <c r="W845" s="324"/>
      <c r="X845" s="324"/>
      <c r="Y845" s="324"/>
      <c r="Z845" s="324"/>
      <c r="AA845" s="324"/>
      <c r="AB845" s="324"/>
      <c r="AC845" s="324"/>
      <c r="AD845" s="324"/>
      <c r="AE845" s="324"/>
    </row>
    <row r="846" spans="3:31" s="294" customFormat="1">
      <c r="C846" s="10"/>
      <c r="D846" s="29"/>
      <c r="E846" s="36"/>
      <c r="F846" s="324"/>
      <c r="G846" s="324"/>
      <c r="H846" s="324"/>
      <c r="I846" s="324"/>
      <c r="J846" s="324"/>
      <c r="K846" s="324"/>
      <c r="L846" s="324"/>
      <c r="M846" s="324"/>
      <c r="N846" s="324"/>
      <c r="O846" s="324"/>
      <c r="P846" s="324"/>
      <c r="Q846" s="324"/>
      <c r="R846" s="324"/>
      <c r="S846" s="324"/>
      <c r="T846" s="324"/>
      <c r="U846" s="324"/>
      <c r="V846" s="324"/>
      <c r="W846" s="324"/>
      <c r="X846" s="324"/>
      <c r="Y846" s="324"/>
      <c r="Z846" s="324"/>
      <c r="AA846" s="324"/>
      <c r="AB846" s="324"/>
      <c r="AC846" s="324"/>
      <c r="AD846" s="324"/>
      <c r="AE846" s="324"/>
    </row>
    <row r="847" spans="3:31" s="294" customFormat="1">
      <c r="C847" s="10"/>
      <c r="D847" s="29"/>
      <c r="E847" s="36"/>
      <c r="F847" s="324"/>
      <c r="G847" s="324"/>
      <c r="H847" s="324"/>
      <c r="I847" s="324"/>
      <c r="J847" s="324"/>
      <c r="K847" s="324"/>
      <c r="L847" s="324"/>
      <c r="M847" s="324"/>
      <c r="N847" s="324"/>
      <c r="O847" s="324"/>
      <c r="P847" s="324"/>
      <c r="Q847" s="324"/>
      <c r="R847" s="324"/>
      <c r="S847" s="324"/>
      <c r="T847" s="324"/>
      <c r="U847" s="324"/>
      <c r="V847" s="324"/>
      <c r="W847" s="324"/>
      <c r="X847" s="324"/>
      <c r="Y847" s="324"/>
      <c r="Z847" s="324"/>
      <c r="AA847" s="324"/>
      <c r="AB847" s="324"/>
      <c r="AC847" s="324"/>
      <c r="AD847" s="324"/>
      <c r="AE847" s="324"/>
    </row>
    <row r="848" spans="3:31" s="294" customFormat="1">
      <c r="C848" s="10"/>
      <c r="D848" s="29"/>
      <c r="E848" s="36"/>
      <c r="F848" s="324"/>
      <c r="G848" s="324"/>
      <c r="H848" s="324"/>
      <c r="I848" s="324"/>
      <c r="J848" s="324"/>
      <c r="K848" s="324"/>
      <c r="L848" s="324"/>
      <c r="M848" s="324"/>
      <c r="N848" s="324"/>
      <c r="O848" s="324"/>
      <c r="P848" s="324"/>
      <c r="Q848" s="324"/>
      <c r="R848" s="324"/>
      <c r="S848" s="324"/>
      <c r="T848" s="324"/>
      <c r="U848" s="324"/>
      <c r="V848" s="324"/>
      <c r="W848" s="324"/>
      <c r="X848" s="324"/>
      <c r="Y848" s="324"/>
      <c r="Z848" s="324"/>
      <c r="AA848" s="324"/>
      <c r="AB848" s="324"/>
      <c r="AC848" s="324"/>
      <c r="AD848" s="324"/>
      <c r="AE848" s="324"/>
    </row>
    <row r="849" spans="3:31" s="294" customFormat="1">
      <c r="C849" s="10"/>
      <c r="D849" s="29"/>
      <c r="E849" s="36"/>
      <c r="F849" s="324"/>
      <c r="G849" s="324"/>
      <c r="H849" s="324"/>
      <c r="I849" s="324"/>
      <c r="J849" s="324"/>
      <c r="K849" s="324"/>
      <c r="L849" s="324"/>
      <c r="M849" s="324"/>
      <c r="N849" s="324"/>
      <c r="O849" s="324"/>
      <c r="P849" s="324"/>
      <c r="Q849" s="324"/>
      <c r="R849" s="324"/>
      <c r="S849" s="324"/>
      <c r="T849" s="324"/>
      <c r="U849" s="324"/>
      <c r="V849" s="324"/>
      <c r="W849" s="324"/>
      <c r="X849" s="324"/>
      <c r="Y849" s="324"/>
      <c r="Z849" s="324"/>
      <c r="AA849" s="324"/>
      <c r="AB849" s="324"/>
      <c r="AC849" s="324"/>
      <c r="AD849" s="324"/>
      <c r="AE849" s="324"/>
    </row>
    <row r="850" spans="3:31" s="294" customFormat="1">
      <c r="C850" s="10"/>
      <c r="D850" s="29"/>
      <c r="E850" s="36"/>
      <c r="F850" s="324"/>
      <c r="G850" s="324"/>
      <c r="H850" s="324"/>
      <c r="I850" s="324"/>
      <c r="J850" s="324"/>
      <c r="K850" s="324"/>
      <c r="L850" s="324"/>
      <c r="M850" s="324"/>
      <c r="N850" s="324"/>
      <c r="O850" s="324"/>
      <c r="P850" s="324"/>
      <c r="Q850" s="324"/>
      <c r="R850" s="324"/>
      <c r="S850" s="324"/>
      <c r="T850" s="324"/>
      <c r="U850" s="324"/>
      <c r="V850" s="324"/>
      <c r="W850" s="324"/>
      <c r="X850" s="324"/>
      <c r="Y850" s="324"/>
      <c r="Z850" s="324"/>
      <c r="AA850" s="324"/>
      <c r="AB850" s="324"/>
      <c r="AC850" s="324"/>
      <c r="AD850" s="324"/>
      <c r="AE850" s="324"/>
    </row>
    <row r="851" spans="3:31" s="294" customFormat="1">
      <c r="C851" s="10"/>
      <c r="D851" s="29"/>
      <c r="E851" s="36"/>
      <c r="F851" s="324"/>
      <c r="G851" s="324"/>
      <c r="H851" s="324"/>
      <c r="I851" s="324"/>
      <c r="J851" s="324"/>
      <c r="K851" s="324"/>
      <c r="L851" s="324"/>
      <c r="M851" s="324"/>
      <c r="N851" s="324"/>
      <c r="O851" s="324"/>
      <c r="P851" s="324"/>
      <c r="Q851" s="324"/>
      <c r="R851" s="324"/>
      <c r="S851" s="324"/>
      <c r="T851" s="324"/>
      <c r="U851" s="324"/>
      <c r="V851" s="324"/>
      <c r="W851" s="324"/>
      <c r="X851" s="324"/>
      <c r="Y851" s="324"/>
      <c r="Z851" s="324"/>
      <c r="AA851" s="324"/>
      <c r="AB851" s="324"/>
      <c r="AC851" s="324"/>
      <c r="AD851" s="324"/>
      <c r="AE851" s="324"/>
    </row>
    <row r="852" spans="3:31" s="294" customFormat="1">
      <c r="C852" s="10"/>
      <c r="D852" s="29"/>
      <c r="E852" s="36"/>
      <c r="F852" s="324"/>
      <c r="G852" s="324"/>
      <c r="H852" s="324"/>
      <c r="I852" s="324"/>
      <c r="J852" s="324"/>
      <c r="K852" s="324"/>
      <c r="L852" s="324"/>
      <c r="M852" s="324"/>
      <c r="N852" s="324"/>
      <c r="O852" s="324"/>
      <c r="P852" s="324"/>
      <c r="Q852" s="324"/>
      <c r="R852" s="324"/>
      <c r="S852" s="324"/>
      <c r="T852" s="324"/>
      <c r="U852" s="324"/>
      <c r="V852" s="324"/>
      <c r="W852" s="324"/>
      <c r="X852" s="324"/>
      <c r="Y852" s="324"/>
      <c r="Z852" s="324"/>
      <c r="AA852" s="324"/>
      <c r="AB852" s="324"/>
      <c r="AC852" s="324"/>
      <c r="AD852" s="324"/>
      <c r="AE852" s="324"/>
    </row>
    <row r="853" spans="3:31" s="294" customFormat="1">
      <c r="C853" s="10"/>
      <c r="D853" s="29"/>
      <c r="E853" s="36"/>
      <c r="F853" s="324"/>
      <c r="G853" s="324"/>
      <c r="H853" s="324"/>
      <c r="I853" s="324"/>
      <c r="J853" s="324"/>
      <c r="K853" s="324"/>
      <c r="L853" s="324"/>
      <c r="M853" s="324"/>
      <c r="N853" s="324"/>
      <c r="O853" s="324"/>
      <c r="P853" s="324"/>
      <c r="Q853" s="324"/>
      <c r="R853" s="324"/>
      <c r="S853" s="324"/>
      <c r="T853" s="324"/>
      <c r="U853" s="324"/>
      <c r="V853" s="324"/>
      <c r="W853" s="324"/>
      <c r="X853" s="324"/>
      <c r="Y853" s="324"/>
      <c r="Z853" s="324"/>
      <c r="AA853" s="324"/>
      <c r="AB853" s="324"/>
      <c r="AC853" s="324"/>
      <c r="AD853" s="324"/>
      <c r="AE853" s="324"/>
    </row>
    <row r="854" spans="3:31" s="294" customFormat="1">
      <c r="C854" s="10"/>
      <c r="D854" s="29"/>
      <c r="E854" s="36"/>
      <c r="F854" s="324"/>
      <c r="G854" s="324"/>
      <c r="H854" s="324"/>
      <c r="I854" s="324"/>
      <c r="J854" s="324"/>
      <c r="K854" s="324"/>
      <c r="L854" s="324"/>
      <c r="M854" s="324"/>
      <c r="N854" s="324"/>
      <c r="O854" s="324"/>
      <c r="P854" s="324"/>
      <c r="Q854" s="324"/>
      <c r="R854" s="324"/>
      <c r="S854" s="324"/>
      <c r="T854" s="324"/>
      <c r="U854" s="324"/>
      <c r="V854" s="324"/>
      <c r="W854" s="324"/>
      <c r="X854" s="324"/>
      <c r="Y854" s="324"/>
      <c r="Z854" s="324"/>
      <c r="AA854" s="324"/>
      <c r="AB854" s="324"/>
      <c r="AC854" s="324"/>
      <c r="AD854" s="324"/>
      <c r="AE854" s="324"/>
    </row>
    <row r="855" spans="3:31" s="294" customFormat="1">
      <c r="C855" s="10"/>
      <c r="D855" s="29"/>
      <c r="E855" s="36"/>
      <c r="F855" s="324"/>
      <c r="G855" s="324"/>
      <c r="H855" s="324"/>
      <c r="I855" s="324"/>
      <c r="J855" s="324"/>
      <c r="K855" s="324"/>
      <c r="L855" s="324"/>
      <c r="M855" s="324"/>
      <c r="N855" s="324"/>
      <c r="O855" s="324"/>
      <c r="P855" s="324"/>
      <c r="Q855" s="324"/>
      <c r="R855" s="324"/>
      <c r="S855" s="324"/>
      <c r="T855" s="324"/>
      <c r="U855" s="324"/>
      <c r="V855" s="324"/>
      <c r="W855" s="324"/>
      <c r="X855" s="324"/>
      <c r="Y855" s="324"/>
      <c r="Z855" s="324"/>
      <c r="AA855" s="324"/>
      <c r="AB855" s="324"/>
      <c r="AC855" s="324"/>
      <c r="AD855" s="324"/>
      <c r="AE855" s="324"/>
    </row>
    <row r="856" spans="3:31" s="294" customFormat="1">
      <c r="C856" s="10"/>
      <c r="D856" s="29"/>
      <c r="E856" s="36"/>
      <c r="F856" s="324"/>
      <c r="G856" s="324"/>
      <c r="H856" s="324"/>
      <c r="I856" s="324"/>
      <c r="J856" s="324"/>
      <c r="K856" s="324"/>
      <c r="L856" s="324"/>
      <c r="M856" s="324"/>
      <c r="N856" s="324"/>
      <c r="O856" s="324"/>
      <c r="P856" s="324"/>
      <c r="Q856" s="324"/>
      <c r="R856" s="324"/>
      <c r="S856" s="324"/>
      <c r="T856" s="324"/>
      <c r="U856" s="324"/>
      <c r="V856" s="324"/>
      <c r="W856" s="324"/>
      <c r="X856" s="324"/>
      <c r="Y856" s="324"/>
      <c r="Z856" s="324"/>
      <c r="AA856" s="324"/>
      <c r="AB856" s="324"/>
      <c r="AC856" s="324"/>
      <c r="AD856" s="324"/>
      <c r="AE856" s="324"/>
    </row>
    <row r="857" spans="3:31" s="294" customFormat="1">
      <c r="C857" s="10"/>
      <c r="D857" s="29"/>
      <c r="E857" s="36"/>
      <c r="F857" s="324"/>
      <c r="G857" s="324"/>
      <c r="H857" s="324"/>
      <c r="I857" s="324"/>
      <c r="J857" s="324"/>
      <c r="K857" s="324"/>
      <c r="L857" s="324"/>
      <c r="M857" s="324"/>
      <c r="N857" s="324"/>
      <c r="O857" s="324"/>
      <c r="P857" s="324"/>
      <c r="Q857" s="324"/>
      <c r="R857" s="324"/>
      <c r="S857" s="324"/>
      <c r="T857" s="324"/>
      <c r="U857" s="324"/>
      <c r="V857" s="324"/>
      <c r="W857" s="324"/>
      <c r="X857" s="324"/>
      <c r="Y857" s="324"/>
      <c r="Z857" s="324"/>
      <c r="AA857" s="324"/>
      <c r="AB857" s="324"/>
      <c r="AC857" s="324"/>
      <c r="AD857" s="324"/>
      <c r="AE857" s="324"/>
    </row>
    <row r="858" spans="3:31" s="294" customFormat="1">
      <c r="C858" s="10"/>
      <c r="D858" s="29"/>
      <c r="E858" s="36"/>
      <c r="F858" s="324"/>
      <c r="G858" s="324"/>
      <c r="H858" s="324"/>
      <c r="I858" s="324"/>
      <c r="J858" s="324"/>
      <c r="K858" s="324"/>
      <c r="L858" s="324"/>
      <c r="M858" s="324"/>
      <c r="N858" s="324"/>
      <c r="O858" s="324"/>
      <c r="P858" s="324"/>
      <c r="Q858" s="324"/>
      <c r="R858" s="324"/>
      <c r="S858" s="324"/>
      <c r="T858" s="324"/>
      <c r="U858" s="324"/>
      <c r="V858" s="324"/>
      <c r="W858" s="324"/>
      <c r="X858" s="324"/>
      <c r="Y858" s="324"/>
      <c r="Z858" s="324"/>
      <c r="AA858" s="324"/>
      <c r="AB858" s="324"/>
      <c r="AC858" s="324"/>
      <c r="AD858" s="324"/>
      <c r="AE858" s="324"/>
    </row>
    <row r="859" spans="3:31" s="294" customFormat="1">
      <c r="C859" s="10"/>
      <c r="D859" s="29"/>
      <c r="E859" s="36"/>
      <c r="F859" s="324"/>
      <c r="G859" s="324"/>
      <c r="H859" s="324"/>
      <c r="I859" s="324"/>
      <c r="J859" s="324"/>
      <c r="K859" s="324"/>
      <c r="L859" s="324"/>
      <c r="M859" s="324"/>
      <c r="N859" s="324"/>
      <c r="O859" s="324"/>
      <c r="P859" s="324"/>
      <c r="Q859" s="324"/>
      <c r="R859" s="324"/>
      <c r="S859" s="324"/>
      <c r="T859" s="324"/>
      <c r="U859" s="324"/>
      <c r="V859" s="324"/>
      <c r="W859" s="324"/>
      <c r="X859" s="324"/>
      <c r="Y859" s="324"/>
      <c r="Z859" s="324"/>
      <c r="AA859" s="324"/>
      <c r="AB859" s="324"/>
      <c r="AC859" s="324"/>
      <c r="AD859" s="324"/>
      <c r="AE859" s="324"/>
    </row>
    <row r="860" spans="3:31" s="294" customFormat="1">
      <c r="C860" s="10"/>
      <c r="D860" s="29"/>
      <c r="E860" s="36"/>
      <c r="F860" s="324"/>
      <c r="G860" s="324"/>
      <c r="H860" s="324"/>
      <c r="I860" s="324"/>
      <c r="J860" s="324"/>
      <c r="K860" s="324"/>
      <c r="L860" s="324"/>
      <c r="M860" s="324"/>
      <c r="N860" s="324"/>
      <c r="O860" s="324"/>
      <c r="P860" s="324"/>
      <c r="Q860" s="324"/>
      <c r="R860" s="324"/>
      <c r="S860" s="324"/>
      <c r="T860" s="324"/>
      <c r="U860" s="324"/>
      <c r="V860" s="324"/>
      <c r="W860" s="324"/>
      <c r="X860" s="324"/>
      <c r="Y860" s="324"/>
      <c r="Z860" s="324"/>
      <c r="AA860" s="324"/>
      <c r="AB860" s="324"/>
      <c r="AC860" s="324"/>
      <c r="AD860" s="324"/>
      <c r="AE860" s="324"/>
    </row>
    <row r="861" spans="3:31" s="294" customFormat="1">
      <c r="C861" s="10"/>
      <c r="D861" s="29"/>
      <c r="E861" s="36"/>
      <c r="F861" s="324"/>
      <c r="G861" s="324"/>
      <c r="H861" s="324"/>
      <c r="I861" s="324"/>
      <c r="J861" s="324"/>
      <c r="K861" s="324"/>
      <c r="L861" s="324"/>
      <c r="M861" s="324"/>
      <c r="N861" s="324"/>
      <c r="O861" s="324"/>
      <c r="P861" s="324"/>
      <c r="Q861" s="324"/>
      <c r="R861" s="324"/>
      <c r="S861" s="324"/>
      <c r="T861" s="324"/>
      <c r="U861" s="324"/>
      <c r="V861" s="324"/>
      <c r="W861" s="324"/>
      <c r="X861" s="324"/>
      <c r="Y861" s="324"/>
      <c r="Z861" s="324"/>
      <c r="AA861" s="324"/>
      <c r="AB861" s="324"/>
      <c r="AC861" s="324"/>
      <c r="AD861" s="324"/>
      <c r="AE861" s="324"/>
    </row>
    <row r="862" spans="3:31" s="294" customFormat="1">
      <c r="C862" s="10"/>
      <c r="D862" s="29"/>
      <c r="E862" s="36"/>
      <c r="F862" s="324"/>
      <c r="G862" s="324"/>
      <c r="H862" s="324"/>
      <c r="I862" s="324"/>
      <c r="J862" s="324"/>
      <c r="K862" s="324"/>
      <c r="L862" s="324"/>
      <c r="M862" s="324"/>
      <c r="N862" s="324"/>
      <c r="O862" s="324"/>
      <c r="P862" s="324"/>
      <c r="Q862" s="324"/>
      <c r="R862" s="324"/>
      <c r="S862" s="324"/>
      <c r="T862" s="324"/>
      <c r="U862" s="324"/>
      <c r="V862" s="324"/>
      <c r="W862" s="324"/>
      <c r="X862" s="324"/>
      <c r="Y862" s="324"/>
      <c r="Z862" s="324"/>
      <c r="AA862" s="324"/>
      <c r="AB862" s="324"/>
      <c r="AC862" s="324"/>
      <c r="AD862" s="324"/>
      <c r="AE862" s="324"/>
    </row>
    <row r="863" spans="3:31" s="294" customFormat="1">
      <c r="C863" s="10"/>
      <c r="D863" s="29"/>
      <c r="E863" s="36"/>
      <c r="F863" s="324"/>
      <c r="G863" s="324"/>
      <c r="H863" s="324"/>
      <c r="I863" s="324"/>
      <c r="J863" s="324"/>
      <c r="K863" s="324"/>
      <c r="L863" s="324"/>
      <c r="M863" s="324"/>
      <c r="N863" s="324"/>
      <c r="O863" s="324"/>
      <c r="P863" s="324"/>
      <c r="Q863" s="324"/>
      <c r="R863" s="324"/>
      <c r="S863" s="324"/>
      <c r="T863" s="324"/>
      <c r="U863" s="324"/>
      <c r="V863" s="324"/>
      <c r="W863" s="324"/>
      <c r="X863" s="324"/>
      <c r="Y863" s="324"/>
      <c r="Z863" s="324"/>
      <c r="AA863" s="324"/>
      <c r="AB863" s="324"/>
      <c r="AC863" s="324"/>
      <c r="AD863" s="324"/>
      <c r="AE863" s="324"/>
    </row>
    <row r="864" spans="3:31" s="294" customFormat="1">
      <c r="C864" s="10"/>
      <c r="D864" s="29"/>
      <c r="E864" s="36"/>
      <c r="F864" s="324"/>
      <c r="G864" s="324"/>
      <c r="H864" s="324"/>
      <c r="I864" s="324"/>
      <c r="J864" s="324"/>
      <c r="K864" s="324"/>
      <c r="L864" s="324"/>
      <c r="M864" s="324"/>
      <c r="N864" s="324"/>
      <c r="O864" s="324"/>
      <c r="P864" s="324"/>
      <c r="Q864" s="324"/>
      <c r="R864" s="324"/>
      <c r="S864" s="324"/>
      <c r="T864" s="324"/>
      <c r="U864" s="324"/>
      <c r="V864" s="324"/>
      <c r="W864" s="324"/>
      <c r="X864" s="324"/>
      <c r="Y864" s="324"/>
      <c r="Z864" s="324"/>
      <c r="AA864" s="324"/>
      <c r="AB864" s="324"/>
      <c r="AC864" s="324"/>
      <c r="AD864" s="324"/>
      <c r="AE864" s="324"/>
    </row>
    <row r="865" spans="3:31" s="294" customFormat="1">
      <c r="C865" s="10"/>
      <c r="D865" s="29"/>
      <c r="E865" s="36"/>
      <c r="F865" s="324"/>
      <c r="G865" s="324"/>
      <c r="H865" s="324"/>
      <c r="I865" s="324"/>
      <c r="J865" s="324"/>
      <c r="K865" s="324"/>
      <c r="L865" s="324"/>
      <c r="M865" s="324"/>
      <c r="N865" s="324"/>
      <c r="O865" s="324"/>
      <c r="P865" s="324"/>
      <c r="Q865" s="324"/>
      <c r="R865" s="324"/>
      <c r="S865" s="324"/>
      <c r="T865" s="324"/>
      <c r="U865" s="324"/>
      <c r="V865" s="324"/>
      <c r="W865" s="324"/>
      <c r="X865" s="324"/>
      <c r="Y865" s="324"/>
      <c r="Z865" s="324"/>
      <c r="AA865" s="324"/>
      <c r="AB865" s="324"/>
      <c r="AC865" s="324"/>
      <c r="AD865" s="324"/>
      <c r="AE865" s="324"/>
    </row>
    <row r="866" spans="3:31" s="294" customFormat="1">
      <c r="C866" s="10"/>
      <c r="D866" s="29"/>
      <c r="E866" s="36"/>
      <c r="F866" s="324"/>
      <c r="G866" s="324"/>
      <c r="H866" s="324"/>
      <c r="I866" s="324"/>
      <c r="J866" s="324"/>
      <c r="K866" s="324"/>
      <c r="L866" s="324"/>
      <c r="M866" s="324"/>
      <c r="N866" s="324"/>
      <c r="O866" s="324"/>
      <c r="P866" s="324"/>
      <c r="Q866" s="324"/>
      <c r="R866" s="324"/>
      <c r="S866" s="324"/>
      <c r="T866" s="324"/>
      <c r="U866" s="324"/>
      <c r="V866" s="324"/>
      <c r="W866" s="324"/>
      <c r="X866" s="324"/>
      <c r="Y866" s="324"/>
      <c r="Z866" s="324"/>
      <c r="AA866" s="324"/>
      <c r="AB866" s="324"/>
      <c r="AC866" s="324"/>
      <c r="AD866" s="324"/>
      <c r="AE866" s="324"/>
    </row>
    <row r="867" spans="3:31" s="294" customFormat="1">
      <c r="C867" s="10"/>
      <c r="D867" s="29"/>
      <c r="E867" s="36"/>
      <c r="F867" s="324"/>
      <c r="G867" s="324"/>
      <c r="H867" s="324"/>
      <c r="I867" s="324"/>
      <c r="J867" s="324"/>
      <c r="K867" s="324"/>
      <c r="L867" s="324"/>
      <c r="M867" s="324"/>
      <c r="N867" s="324"/>
      <c r="O867" s="324"/>
      <c r="P867" s="324"/>
      <c r="Q867" s="324"/>
      <c r="R867" s="324"/>
      <c r="S867" s="324"/>
      <c r="T867" s="324"/>
      <c r="U867" s="324"/>
      <c r="V867" s="324"/>
      <c r="W867" s="324"/>
      <c r="X867" s="324"/>
      <c r="Y867" s="324"/>
      <c r="Z867" s="324"/>
      <c r="AA867" s="324"/>
      <c r="AB867" s="324"/>
      <c r="AC867" s="324"/>
      <c r="AD867" s="324"/>
      <c r="AE867" s="324"/>
    </row>
    <row r="868" spans="3:31" s="294" customFormat="1">
      <c r="C868" s="10"/>
      <c r="D868" s="29"/>
      <c r="E868" s="36"/>
      <c r="F868" s="324"/>
      <c r="G868" s="324"/>
      <c r="H868" s="324"/>
      <c r="I868" s="324"/>
      <c r="J868" s="324"/>
      <c r="K868" s="324"/>
      <c r="L868" s="324"/>
      <c r="M868" s="324"/>
      <c r="N868" s="324"/>
      <c r="O868" s="324"/>
      <c r="P868" s="324"/>
      <c r="Q868" s="324"/>
      <c r="R868" s="324"/>
      <c r="S868" s="324"/>
      <c r="T868" s="324"/>
      <c r="U868" s="324"/>
      <c r="V868" s="324"/>
      <c r="W868" s="324"/>
      <c r="X868" s="324"/>
      <c r="Y868" s="324"/>
      <c r="Z868" s="324"/>
      <c r="AA868" s="324"/>
      <c r="AB868" s="324"/>
      <c r="AC868" s="324"/>
      <c r="AD868" s="324"/>
      <c r="AE868" s="324"/>
    </row>
    <row r="869" spans="3:31" s="294" customFormat="1">
      <c r="C869" s="10"/>
      <c r="D869" s="29"/>
      <c r="E869" s="36"/>
      <c r="F869" s="324"/>
      <c r="G869" s="324"/>
      <c r="H869" s="324"/>
      <c r="I869" s="324"/>
      <c r="J869" s="324"/>
      <c r="K869" s="324"/>
      <c r="L869" s="324"/>
      <c r="M869" s="324"/>
      <c r="N869" s="324"/>
      <c r="O869" s="324"/>
      <c r="P869" s="324"/>
      <c r="Q869" s="324"/>
      <c r="R869" s="324"/>
      <c r="S869" s="324"/>
      <c r="T869" s="324"/>
      <c r="U869" s="324"/>
      <c r="V869" s="324"/>
      <c r="W869" s="324"/>
      <c r="X869" s="324"/>
      <c r="Y869" s="324"/>
      <c r="Z869" s="324"/>
      <c r="AA869" s="324"/>
      <c r="AB869" s="324"/>
      <c r="AC869" s="324"/>
      <c r="AD869" s="324"/>
      <c r="AE869" s="324"/>
    </row>
    <row r="870" spans="3:31" s="294" customFormat="1">
      <c r="C870" s="10"/>
      <c r="D870" s="29"/>
      <c r="E870" s="36"/>
      <c r="F870" s="324"/>
      <c r="G870" s="324"/>
      <c r="H870" s="324"/>
      <c r="I870" s="324"/>
      <c r="J870" s="324"/>
      <c r="K870" s="324"/>
      <c r="L870" s="324"/>
      <c r="M870" s="324"/>
      <c r="N870" s="324"/>
      <c r="O870" s="324"/>
      <c r="P870" s="324"/>
      <c r="Q870" s="324"/>
      <c r="R870" s="324"/>
      <c r="S870" s="324"/>
      <c r="T870" s="324"/>
      <c r="U870" s="324"/>
      <c r="V870" s="324"/>
      <c r="W870" s="324"/>
      <c r="X870" s="324"/>
      <c r="Y870" s="324"/>
      <c r="Z870" s="324"/>
      <c r="AA870" s="324"/>
      <c r="AB870" s="324"/>
      <c r="AC870" s="324"/>
      <c r="AD870" s="324"/>
      <c r="AE870" s="324"/>
    </row>
    <row r="871" spans="3:31" s="294" customFormat="1">
      <c r="C871" s="10"/>
      <c r="D871" s="29"/>
      <c r="E871" s="36"/>
      <c r="F871" s="324"/>
      <c r="G871" s="324"/>
      <c r="H871" s="324"/>
      <c r="I871" s="324"/>
      <c r="J871" s="324"/>
      <c r="K871" s="324"/>
      <c r="L871" s="324"/>
      <c r="M871" s="324"/>
      <c r="N871" s="324"/>
      <c r="O871" s="324"/>
      <c r="P871" s="324"/>
      <c r="Q871" s="324"/>
      <c r="R871" s="324"/>
      <c r="S871" s="324"/>
      <c r="T871" s="324"/>
      <c r="U871" s="324"/>
      <c r="V871" s="324"/>
      <c r="W871" s="324"/>
      <c r="X871" s="324"/>
      <c r="Y871" s="324"/>
      <c r="Z871" s="324"/>
      <c r="AA871" s="324"/>
      <c r="AB871" s="324"/>
      <c r="AC871" s="324"/>
      <c r="AD871" s="324"/>
      <c r="AE871" s="324"/>
    </row>
    <row r="872" spans="3:31" s="294" customFormat="1">
      <c r="C872" s="10"/>
      <c r="D872" s="29"/>
      <c r="E872" s="36"/>
      <c r="F872" s="324"/>
      <c r="G872" s="324"/>
      <c r="H872" s="324"/>
      <c r="I872" s="324"/>
      <c r="J872" s="324"/>
      <c r="K872" s="324"/>
      <c r="L872" s="324"/>
      <c r="M872" s="324"/>
      <c r="N872" s="324"/>
      <c r="O872" s="324"/>
      <c r="P872" s="324"/>
      <c r="Q872" s="324"/>
      <c r="R872" s="324"/>
      <c r="S872" s="324"/>
      <c r="T872" s="324"/>
      <c r="U872" s="324"/>
      <c r="V872" s="324"/>
      <c r="W872" s="324"/>
      <c r="X872" s="324"/>
      <c r="Y872" s="324"/>
      <c r="Z872" s="324"/>
      <c r="AA872" s="324"/>
      <c r="AB872" s="324"/>
      <c r="AC872" s="324"/>
      <c r="AD872" s="324"/>
      <c r="AE872" s="324"/>
    </row>
    <row r="873" spans="3:31" s="294" customFormat="1">
      <c r="C873" s="10"/>
      <c r="D873" s="29"/>
      <c r="E873" s="36"/>
      <c r="F873" s="324"/>
      <c r="G873" s="324"/>
      <c r="H873" s="324"/>
      <c r="I873" s="324"/>
      <c r="J873" s="324"/>
      <c r="K873" s="324"/>
      <c r="L873" s="324"/>
      <c r="M873" s="324"/>
      <c r="N873" s="324"/>
      <c r="O873" s="324"/>
      <c r="P873" s="324"/>
      <c r="Q873" s="324"/>
      <c r="R873" s="324"/>
      <c r="S873" s="324"/>
      <c r="T873" s="324"/>
      <c r="U873" s="324"/>
      <c r="V873" s="324"/>
      <c r="W873" s="324"/>
      <c r="X873" s="324"/>
      <c r="Y873" s="324"/>
      <c r="Z873" s="324"/>
      <c r="AA873" s="324"/>
      <c r="AB873" s="324"/>
      <c r="AC873" s="324"/>
      <c r="AD873" s="324"/>
      <c r="AE873" s="324"/>
    </row>
    <row r="874" spans="3:31" s="294" customFormat="1">
      <c r="C874" s="10"/>
      <c r="D874" s="29"/>
      <c r="E874" s="36"/>
      <c r="F874" s="324"/>
      <c r="G874" s="324"/>
      <c r="H874" s="324"/>
      <c r="I874" s="324"/>
      <c r="J874" s="324"/>
      <c r="K874" s="324"/>
      <c r="L874" s="324"/>
      <c r="M874" s="324"/>
      <c r="N874" s="324"/>
      <c r="O874" s="324"/>
      <c r="P874" s="324"/>
      <c r="Q874" s="324"/>
      <c r="R874" s="324"/>
      <c r="S874" s="324"/>
      <c r="T874" s="324"/>
      <c r="U874" s="324"/>
      <c r="V874" s="324"/>
      <c r="W874" s="324"/>
      <c r="X874" s="324"/>
      <c r="Y874" s="324"/>
      <c r="Z874" s="324"/>
      <c r="AA874" s="324"/>
      <c r="AB874" s="324"/>
      <c r="AC874" s="324"/>
      <c r="AD874" s="324"/>
      <c r="AE874" s="324"/>
    </row>
    <row r="875" spans="3:31" s="294" customFormat="1">
      <c r="C875" s="10"/>
      <c r="D875" s="29"/>
      <c r="E875" s="36"/>
      <c r="F875" s="324"/>
      <c r="G875" s="324"/>
      <c r="H875" s="324"/>
      <c r="I875" s="324"/>
      <c r="J875" s="324"/>
      <c r="K875" s="324"/>
      <c r="L875" s="324"/>
      <c r="M875" s="324"/>
      <c r="N875" s="324"/>
      <c r="O875" s="324"/>
      <c r="P875" s="324"/>
      <c r="Q875" s="324"/>
      <c r="R875" s="324"/>
      <c r="S875" s="324"/>
      <c r="T875" s="324"/>
      <c r="U875" s="324"/>
      <c r="V875" s="324"/>
      <c r="W875" s="324"/>
      <c r="X875" s="324"/>
      <c r="Y875" s="324"/>
      <c r="Z875" s="324"/>
      <c r="AA875" s="324"/>
      <c r="AB875" s="324"/>
      <c r="AC875" s="324"/>
      <c r="AD875" s="324"/>
      <c r="AE875" s="324"/>
    </row>
    <row r="876" spans="3:31" s="294" customFormat="1">
      <c r="C876" s="10"/>
      <c r="D876" s="29"/>
      <c r="E876" s="36"/>
      <c r="F876" s="324"/>
      <c r="G876" s="324"/>
      <c r="H876" s="324"/>
      <c r="I876" s="324"/>
      <c r="J876" s="324"/>
      <c r="K876" s="324"/>
      <c r="L876" s="324"/>
      <c r="M876" s="324"/>
      <c r="N876" s="324"/>
      <c r="O876" s="324"/>
      <c r="P876" s="324"/>
      <c r="Q876" s="324"/>
      <c r="R876" s="324"/>
      <c r="S876" s="324"/>
      <c r="T876" s="324"/>
      <c r="U876" s="324"/>
      <c r="V876" s="324"/>
      <c r="W876" s="324"/>
      <c r="X876" s="324"/>
      <c r="Y876" s="324"/>
      <c r="Z876" s="324"/>
      <c r="AA876" s="324"/>
      <c r="AB876" s="324"/>
      <c r="AC876" s="324"/>
      <c r="AD876" s="324"/>
      <c r="AE876" s="324"/>
    </row>
    <row r="877" spans="3:31" s="294" customFormat="1">
      <c r="C877" s="10"/>
      <c r="D877" s="29"/>
      <c r="E877" s="36"/>
      <c r="F877" s="324"/>
      <c r="G877" s="324"/>
      <c r="H877" s="324"/>
      <c r="I877" s="324"/>
      <c r="J877" s="324"/>
      <c r="K877" s="324"/>
      <c r="L877" s="324"/>
      <c r="M877" s="324"/>
      <c r="N877" s="324"/>
      <c r="O877" s="324"/>
      <c r="P877" s="324"/>
      <c r="Q877" s="324"/>
      <c r="R877" s="324"/>
      <c r="S877" s="324"/>
      <c r="T877" s="324"/>
      <c r="U877" s="324"/>
      <c r="V877" s="324"/>
      <c r="W877" s="324"/>
      <c r="X877" s="324"/>
      <c r="Y877" s="324"/>
      <c r="Z877" s="324"/>
      <c r="AA877" s="324"/>
      <c r="AB877" s="324"/>
      <c r="AC877" s="324"/>
      <c r="AD877" s="324"/>
      <c r="AE877" s="324"/>
    </row>
    <row r="878" spans="3:31" s="294" customFormat="1">
      <c r="C878" s="10"/>
      <c r="D878" s="29"/>
      <c r="E878" s="36"/>
      <c r="F878" s="324"/>
      <c r="G878" s="324"/>
      <c r="H878" s="324"/>
      <c r="I878" s="324"/>
      <c r="J878" s="324"/>
      <c r="K878" s="324"/>
      <c r="L878" s="324"/>
      <c r="M878" s="324"/>
      <c r="N878" s="324"/>
      <c r="O878" s="324"/>
      <c r="P878" s="324"/>
      <c r="Q878" s="324"/>
      <c r="R878" s="324"/>
      <c r="S878" s="324"/>
      <c r="T878" s="324"/>
      <c r="U878" s="324"/>
      <c r="V878" s="324"/>
      <c r="W878" s="324"/>
      <c r="X878" s="324"/>
      <c r="Y878" s="324"/>
      <c r="Z878" s="324"/>
      <c r="AA878" s="324"/>
      <c r="AB878" s="324"/>
      <c r="AC878" s="324"/>
      <c r="AD878" s="324"/>
      <c r="AE878" s="324"/>
    </row>
    <row r="879" spans="3:31" s="294" customFormat="1">
      <c r="C879" s="10"/>
      <c r="D879" s="29"/>
      <c r="E879" s="36"/>
      <c r="F879" s="324"/>
      <c r="G879" s="324"/>
      <c r="H879" s="324"/>
      <c r="I879" s="324"/>
      <c r="J879" s="324"/>
      <c r="K879" s="324"/>
      <c r="L879" s="324"/>
      <c r="M879" s="324"/>
      <c r="N879" s="324"/>
      <c r="O879" s="324"/>
      <c r="P879" s="324"/>
      <c r="Q879" s="324"/>
      <c r="R879" s="324"/>
      <c r="S879" s="324"/>
      <c r="T879" s="324"/>
      <c r="U879" s="324"/>
      <c r="V879" s="324"/>
      <c r="W879" s="324"/>
      <c r="X879" s="324"/>
      <c r="Y879" s="324"/>
      <c r="Z879" s="324"/>
      <c r="AA879" s="324"/>
      <c r="AB879" s="324"/>
      <c r="AC879" s="324"/>
      <c r="AD879" s="324"/>
      <c r="AE879" s="324"/>
    </row>
    <row r="880" spans="3:31" s="294" customFormat="1">
      <c r="C880" s="10"/>
      <c r="D880" s="29"/>
      <c r="E880" s="36"/>
      <c r="F880" s="324"/>
      <c r="G880" s="324"/>
      <c r="H880" s="324"/>
      <c r="I880" s="324"/>
      <c r="J880" s="324"/>
      <c r="K880" s="324"/>
      <c r="L880" s="324"/>
      <c r="M880" s="324"/>
      <c r="N880" s="324"/>
      <c r="O880" s="324"/>
      <c r="P880" s="324"/>
      <c r="Q880" s="324"/>
      <c r="R880" s="324"/>
      <c r="S880" s="324"/>
      <c r="T880" s="324"/>
      <c r="U880" s="324"/>
      <c r="V880" s="324"/>
      <c r="W880" s="324"/>
      <c r="X880" s="324"/>
      <c r="Y880" s="324"/>
      <c r="Z880" s="324"/>
      <c r="AA880" s="324"/>
      <c r="AB880" s="324"/>
      <c r="AC880" s="324"/>
      <c r="AD880" s="324"/>
      <c r="AE880" s="324"/>
    </row>
    <row r="881" spans="3:31" s="294" customFormat="1">
      <c r="C881" s="10"/>
      <c r="D881" s="29"/>
      <c r="E881" s="36"/>
      <c r="F881" s="324"/>
      <c r="G881" s="324"/>
      <c r="H881" s="324"/>
      <c r="I881" s="324"/>
      <c r="J881" s="324"/>
      <c r="K881" s="324"/>
      <c r="L881" s="324"/>
      <c r="M881" s="324"/>
      <c r="N881" s="324"/>
      <c r="O881" s="324"/>
      <c r="P881" s="324"/>
      <c r="Q881" s="324"/>
      <c r="R881" s="324"/>
      <c r="S881" s="324"/>
      <c r="T881" s="324"/>
      <c r="U881" s="324"/>
      <c r="V881" s="324"/>
      <c r="W881" s="324"/>
      <c r="X881" s="324"/>
      <c r="Y881" s="324"/>
      <c r="Z881" s="324"/>
      <c r="AA881" s="324"/>
      <c r="AB881" s="324"/>
      <c r="AC881" s="324"/>
      <c r="AD881" s="324"/>
      <c r="AE881" s="324"/>
    </row>
    <row r="882" spans="3:31" s="294" customFormat="1">
      <c r="C882" s="10"/>
      <c r="D882" s="29"/>
      <c r="E882" s="36"/>
      <c r="F882" s="324"/>
      <c r="G882" s="324"/>
      <c r="H882" s="324"/>
      <c r="I882" s="324"/>
      <c r="J882" s="324"/>
      <c r="K882" s="324"/>
      <c r="L882" s="324"/>
      <c r="M882" s="324"/>
      <c r="N882" s="324"/>
      <c r="O882" s="324"/>
      <c r="P882" s="324"/>
      <c r="Q882" s="324"/>
      <c r="R882" s="324"/>
      <c r="S882" s="324"/>
      <c r="T882" s="324"/>
      <c r="U882" s="324"/>
      <c r="V882" s="324"/>
      <c r="W882" s="324"/>
      <c r="X882" s="324"/>
      <c r="Y882" s="324"/>
      <c r="Z882" s="324"/>
      <c r="AA882" s="324"/>
      <c r="AB882" s="324"/>
      <c r="AC882" s="324"/>
      <c r="AD882" s="324"/>
      <c r="AE882" s="324"/>
    </row>
    <row r="883" spans="3:31" s="294" customFormat="1">
      <c r="C883" s="10"/>
      <c r="D883" s="29"/>
      <c r="E883" s="36"/>
      <c r="F883" s="324"/>
      <c r="G883" s="324"/>
      <c r="H883" s="324"/>
      <c r="I883" s="324"/>
      <c r="J883" s="324"/>
      <c r="K883" s="324"/>
      <c r="L883" s="324"/>
      <c r="M883" s="324"/>
      <c r="N883" s="324"/>
      <c r="O883" s="324"/>
      <c r="P883" s="324"/>
      <c r="Q883" s="324"/>
      <c r="R883" s="324"/>
      <c r="S883" s="324"/>
      <c r="T883" s="324"/>
      <c r="U883" s="324"/>
      <c r="V883" s="324"/>
      <c r="W883" s="324"/>
      <c r="X883" s="324"/>
      <c r="Y883" s="324"/>
      <c r="Z883" s="324"/>
      <c r="AA883" s="324"/>
      <c r="AB883" s="324"/>
      <c r="AC883" s="324"/>
      <c r="AD883" s="324"/>
      <c r="AE883" s="324"/>
    </row>
    <row r="884" spans="3:31" s="294" customFormat="1">
      <c r="C884" s="10"/>
      <c r="D884" s="29"/>
      <c r="E884" s="36"/>
      <c r="F884" s="324"/>
      <c r="G884" s="324"/>
      <c r="H884" s="324"/>
      <c r="I884" s="324"/>
      <c r="J884" s="324"/>
      <c r="K884" s="324"/>
      <c r="L884" s="324"/>
      <c r="M884" s="324"/>
      <c r="N884" s="324"/>
      <c r="O884" s="324"/>
      <c r="P884" s="324"/>
      <c r="Q884" s="324"/>
      <c r="R884" s="324"/>
      <c r="S884" s="324"/>
      <c r="T884" s="324"/>
      <c r="U884" s="324"/>
      <c r="V884" s="324"/>
      <c r="W884" s="324"/>
      <c r="X884" s="324"/>
      <c r="Y884" s="324"/>
      <c r="Z884" s="324"/>
      <c r="AA884" s="324"/>
      <c r="AB884" s="324"/>
      <c r="AC884" s="324"/>
      <c r="AD884" s="324"/>
      <c r="AE884" s="324"/>
    </row>
    <row r="885" spans="3:31" s="294" customFormat="1">
      <c r="C885" s="10"/>
      <c r="D885" s="29"/>
      <c r="E885" s="36"/>
      <c r="F885" s="324"/>
      <c r="G885" s="324"/>
      <c r="H885" s="324"/>
      <c r="I885" s="324"/>
      <c r="J885" s="324"/>
      <c r="K885" s="324"/>
      <c r="L885" s="324"/>
      <c r="M885" s="324"/>
      <c r="N885" s="324"/>
      <c r="O885" s="324"/>
      <c r="P885" s="324"/>
      <c r="Q885" s="324"/>
      <c r="R885" s="324"/>
      <c r="S885" s="324"/>
      <c r="T885" s="324"/>
      <c r="U885" s="324"/>
      <c r="V885" s="324"/>
      <c r="W885" s="324"/>
      <c r="X885" s="324"/>
      <c r="Y885" s="324"/>
      <c r="Z885" s="324"/>
      <c r="AA885" s="324"/>
      <c r="AB885" s="324"/>
      <c r="AC885" s="324"/>
      <c r="AD885" s="324"/>
      <c r="AE885" s="324"/>
    </row>
    <row r="886" spans="3:31" s="294" customFormat="1">
      <c r="C886" s="10"/>
      <c r="D886" s="29"/>
      <c r="E886" s="36"/>
      <c r="F886" s="324"/>
      <c r="G886" s="324"/>
      <c r="H886" s="324"/>
      <c r="I886" s="324"/>
      <c r="J886" s="324"/>
      <c r="K886" s="324"/>
      <c r="L886" s="324"/>
      <c r="M886" s="324"/>
      <c r="N886" s="324"/>
      <c r="O886" s="324"/>
      <c r="P886" s="324"/>
      <c r="Q886" s="324"/>
      <c r="R886" s="324"/>
      <c r="S886" s="324"/>
      <c r="T886" s="324"/>
      <c r="U886" s="324"/>
      <c r="V886" s="324"/>
      <c r="W886" s="324"/>
      <c r="X886" s="324"/>
      <c r="Y886" s="324"/>
      <c r="Z886" s="324"/>
      <c r="AA886" s="324"/>
      <c r="AB886" s="324"/>
      <c r="AC886" s="324"/>
      <c r="AD886" s="324"/>
      <c r="AE886" s="324"/>
    </row>
    <row r="887" spans="3:31" s="294" customFormat="1">
      <c r="C887" s="10"/>
      <c r="D887" s="29"/>
      <c r="E887" s="36"/>
      <c r="F887" s="324"/>
      <c r="G887" s="324"/>
      <c r="H887" s="324"/>
      <c r="I887" s="324"/>
      <c r="J887" s="324"/>
      <c r="K887" s="324"/>
      <c r="L887" s="324"/>
      <c r="M887" s="324"/>
      <c r="N887" s="324"/>
      <c r="O887" s="324"/>
      <c r="P887" s="324"/>
      <c r="Q887" s="324"/>
      <c r="R887" s="324"/>
      <c r="S887" s="324"/>
      <c r="T887" s="324"/>
      <c r="U887" s="324"/>
      <c r="V887" s="324"/>
      <c r="W887" s="324"/>
      <c r="X887" s="324"/>
      <c r="Y887" s="324"/>
      <c r="Z887" s="324"/>
      <c r="AA887" s="324"/>
      <c r="AB887" s="324"/>
      <c r="AC887" s="324"/>
      <c r="AD887" s="324"/>
      <c r="AE887" s="324"/>
    </row>
    <row r="888" spans="3:31" s="294" customFormat="1">
      <c r="C888" s="10"/>
      <c r="D888" s="29"/>
      <c r="E888" s="36"/>
      <c r="F888" s="324"/>
      <c r="G888" s="324"/>
      <c r="H888" s="324"/>
      <c r="I888" s="324"/>
      <c r="J888" s="324"/>
      <c r="K888" s="324"/>
      <c r="L888" s="324"/>
      <c r="M888" s="324"/>
      <c r="N888" s="324"/>
      <c r="O888" s="324"/>
      <c r="P888" s="324"/>
      <c r="Q888" s="324"/>
      <c r="R888" s="324"/>
      <c r="S888" s="324"/>
      <c r="T888" s="324"/>
      <c r="U888" s="324"/>
      <c r="V888" s="324"/>
      <c r="W888" s="324"/>
      <c r="X888" s="324"/>
      <c r="Y888" s="324"/>
      <c r="Z888" s="324"/>
      <c r="AA888" s="324"/>
      <c r="AB888" s="324"/>
      <c r="AC888" s="324"/>
      <c r="AD888" s="324"/>
      <c r="AE888" s="324"/>
    </row>
    <row r="889" spans="3:31" s="294" customFormat="1">
      <c r="C889" s="10"/>
      <c r="D889" s="29"/>
      <c r="E889" s="36"/>
      <c r="F889" s="324"/>
      <c r="G889" s="324"/>
      <c r="H889" s="324"/>
      <c r="I889" s="324"/>
      <c r="J889" s="324"/>
      <c r="K889" s="324"/>
      <c r="L889" s="324"/>
      <c r="M889" s="324"/>
      <c r="N889" s="324"/>
      <c r="O889" s="324"/>
      <c r="P889" s="324"/>
      <c r="Q889" s="324"/>
      <c r="R889" s="324"/>
      <c r="S889" s="324"/>
      <c r="T889" s="324"/>
      <c r="U889" s="324"/>
      <c r="V889" s="324"/>
      <c r="W889" s="324"/>
      <c r="X889" s="324"/>
      <c r="Y889" s="324"/>
      <c r="Z889" s="324"/>
      <c r="AA889" s="324"/>
      <c r="AB889" s="324"/>
      <c r="AC889" s="324"/>
      <c r="AD889" s="324"/>
      <c r="AE889" s="324"/>
    </row>
    <row r="890" spans="3:31" s="294" customFormat="1">
      <c r="C890" s="10"/>
      <c r="D890" s="29"/>
      <c r="E890" s="36"/>
      <c r="F890" s="324"/>
      <c r="G890" s="324"/>
      <c r="H890" s="324"/>
      <c r="I890" s="324"/>
      <c r="J890" s="324"/>
      <c r="K890" s="324"/>
      <c r="L890" s="324"/>
      <c r="M890" s="324"/>
      <c r="N890" s="324"/>
      <c r="O890" s="324"/>
      <c r="P890" s="324"/>
      <c r="Q890" s="324"/>
      <c r="R890" s="324"/>
      <c r="S890" s="324"/>
      <c r="T890" s="324"/>
      <c r="U890" s="324"/>
      <c r="V890" s="324"/>
      <c r="W890" s="324"/>
      <c r="X890" s="324"/>
      <c r="Y890" s="324"/>
      <c r="Z890" s="324"/>
      <c r="AA890" s="324"/>
      <c r="AB890" s="324"/>
      <c r="AC890" s="324"/>
      <c r="AD890" s="324"/>
      <c r="AE890" s="324"/>
    </row>
    <row r="891" spans="3:31" s="294" customFormat="1">
      <c r="C891" s="10"/>
      <c r="D891" s="29"/>
      <c r="E891" s="36"/>
      <c r="F891" s="324"/>
      <c r="G891" s="324"/>
      <c r="H891" s="324"/>
      <c r="I891" s="324"/>
      <c r="J891" s="324"/>
      <c r="K891" s="324"/>
      <c r="L891" s="324"/>
      <c r="M891" s="324"/>
      <c r="N891" s="324"/>
      <c r="O891" s="324"/>
      <c r="P891" s="324"/>
      <c r="Q891" s="324"/>
      <c r="R891" s="324"/>
      <c r="S891" s="324"/>
      <c r="T891" s="324"/>
      <c r="U891" s="324"/>
      <c r="V891" s="324"/>
      <c r="W891" s="324"/>
      <c r="X891" s="324"/>
      <c r="Y891" s="324"/>
      <c r="Z891" s="324"/>
      <c r="AA891" s="324"/>
      <c r="AB891" s="324"/>
      <c r="AC891" s="324"/>
      <c r="AD891" s="324"/>
      <c r="AE891" s="324"/>
    </row>
    <row r="892" spans="3:31" s="294" customFormat="1">
      <c r="C892" s="10"/>
      <c r="D892" s="29"/>
      <c r="E892" s="36"/>
      <c r="F892" s="324"/>
      <c r="G892" s="324"/>
      <c r="H892" s="324"/>
      <c r="I892" s="324"/>
      <c r="J892" s="324"/>
      <c r="K892" s="324"/>
      <c r="L892" s="324"/>
      <c r="M892" s="324"/>
      <c r="N892" s="324"/>
      <c r="O892" s="324"/>
      <c r="P892" s="324"/>
      <c r="Q892" s="324"/>
      <c r="R892" s="324"/>
      <c r="S892" s="324"/>
      <c r="T892" s="324"/>
      <c r="U892" s="324"/>
      <c r="V892" s="324"/>
      <c r="W892" s="324"/>
      <c r="X892" s="324"/>
      <c r="Y892" s="324"/>
      <c r="Z892" s="324"/>
      <c r="AA892" s="324"/>
      <c r="AB892" s="324"/>
      <c r="AC892" s="324"/>
      <c r="AD892" s="324"/>
      <c r="AE892" s="324"/>
    </row>
    <row r="893" spans="3:31" s="294" customFormat="1">
      <c r="C893" s="10"/>
      <c r="D893" s="29"/>
      <c r="E893" s="36"/>
      <c r="F893" s="324"/>
      <c r="G893" s="324"/>
      <c r="H893" s="324"/>
      <c r="I893" s="324"/>
      <c r="J893" s="324"/>
      <c r="K893" s="324"/>
      <c r="L893" s="324"/>
      <c r="M893" s="324"/>
      <c r="N893" s="324"/>
      <c r="O893" s="324"/>
      <c r="P893" s="324"/>
      <c r="Q893" s="324"/>
      <c r="R893" s="324"/>
      <c r="S893" s="324"/>
      <c r="T893" s="324"/>
      <c r="U893" s="324"/>
      <c r="V893" s="324"/>
      <c r="W893" s="324"/>
      <c r="X893" s="324"/>
      <c r="Y893" s="324"/>
      <c r="Z893" s="324"/>
      <c r="AA893" s="324"/>
      <c r="AB893" s="324"/>
      <c r="AC893" s="324"/>
      <c r="AD893" s="324"/>
      <c r="AE893" s="324"/>
    </row>
    <row r="894" spans="3:31" s="294" customFormat="1">
      <c r="C894" s="10"/>
      <c r="D894" s="29"/>
      <c r="E894" s="36"/>
      <c r="F894" s="324"/>
      <c r="G894" s="324"/>
      <c r="H894" s="324"/>
      <c r="I894" s="324"/>
      <c r="J894" s="324"/>
      <c r="K894" s="324"/>
      <c r="L894" s="324"/>
      <c r="M894" s="324"/>
      <c r="N894" s="324"/>
      <c r="O894" s="324"/>
      <c r="P894" s="324"/>
      <c r="Q894" s="324"/>
      <c r="R894" s="324"/>
      <c r="S894" s="324"/>
      <c r="T894" s="324"/>
      <c r="U894" s="324"/>
      <c r="V894" s="324"/>
      <c r="W894" s="324"/>
      <c r="X894" s="324"/>
      <c r="Y894" s="324"/>
      <c r="Z894" s="324"/>
      <c r="AA894" s="324"/>
      <c r="AB894" s="324"/>
      <c r="AC894" s="324"/>
      <c r="AD894" s="324"/>
      <c r="AE894" s="324"/>
    </row>
    <row r="895" spans="3:31" s="294" customFormat="1">
      <c r="C895" s="10"/>
      <c r="D895" s="29"/>
      <c r="E895" s="36"/>
      <c r="F895" s="324"/>
      <c r="G895" s="324"/>
      <c r="H895" s="324"/>
      <c r="I895" s="324"/>
      <c r="J895" s="324"/>
      <c r="K895" s="324"/>
      <c r="L895" s="324"/>
      <c r="M895" s="324"/>
      <c r="N895" s="324"/>
      <c r="O895" s="324"/>
      <c r="P895" s="324"/>
      <c r="Q895" s="324"/>
      <c r="R895" s="324"/>
      <c r="S895" s="324"/>
      <c r="T895" s="324"/>
      <c r="U895" s="324"/>
      <c r="V895" s="324"/>
      <c r="W895" s="324"/>
      <c r="X895" s="324"/>
      <c r="Y895" s="324"/>
      <c r="Z895" s="324"/>
      <c r="AA895" s="324"/>
      <c r="AB895" s="324"/>
      <c r="AC895" s="324"/>
      <c r="AD895" s="324"/>
      <c r="AE895" s="324"/>
    </row>
    <row r="896" spans="3:31" s="294" customFormat="1">
      <c r="C896" s="10"/>
      <c r="D896" s="29"/>
      <c r="E896" s="36"/>
      <c r="F896" s="324"/>
      <c r="G896" s="324"/>
      <c r="H896" s="324"/>
      <c r="I896" s="324"/>
      <c r="J896" s="324"/>
      <c r="K896" s="324"/>
      <c r="L896" s="324"/>
      <c r="M896" s="324"/>
      <c r="N896" s="324"/>
      <c r="O896" s="324"/>
      <c r="P896" s="324"/>
      <c r="Q896" s="324"/>
      <c r="R896" s="324"/>
      <c r="S896" s="324"/>
      <c r="T896" s="324"/>
      <c r="U896" s="324"/>
      <c r="V896" s="324"/>
      <c r="W896" s="324"/>
      <c r="X896" s="324"/>
      <c r="Y896" s="324"/>
      <c r="Z896" s="324"/>
      <c r="AA896" s="324"/>
      <c r="AB896" s="324"/>
      <c r="AC896" s="324"/>
      <c r="AD896" s="324"/>
      <c r="AE896" s="324"/>
    </row>
    <row r="897" spans="3:31" s="294" customFormat="1">
      <c r="C897" s="10"/>
      <c r="D897" s="29"/>
      <c r="E897" s="36"/>
      <c r="F897" s="324"/>
      <c r="G897" s="324"/>
      <c r="H897" s="324"/>
      <c r="I897" s="324"/>
      <c r="J897" s="324"/>
      <c r="K897" s="324"/>
      <c r="L897" s="324"/>
      <c r="M897" s="324"/>
      <c r="N897" s="324"/>
      <c r="O897" s="324"/>
      <c r="P897" s="324"/>
      <c r="Q897" s="324"/>
      <c r="R897" s="324"/>
      <c r="S897" s="324"/>
      <c r="T897" s="324"/>
      <c r="U897" s="324"/>
      <c r="V897" s="324"/>
      <c r="W897" s="324"/>
      <c r="X897" s="324"/>
      <c r="Y897" s="324"/>
      <c r="Z897" s="324"/>
      <c r="AA897" s="324"/>
      <c r="AB897" s="324"/>
      <c r="AC897" s="324"/>
      <c r="AD897" s="324"/>
      <c r="AE897" s="324"/>
    </row>
    <row r="898" spans="3:31" s="294" customFormat="1">
      <c r="C898" s="10"/>
      <c r="D898" s="29"/>
      <c r="E898" s="36"/>
      <c r="F898" s="324"/>
      <c r="G898" s="324"/>
      <c r="H898" s="324"/>
      <c r="I898" s="324"/>
      <c r="J898" s="324"/>
      <c r="K898" s="324"/>
      <c r="L898" s="324"/>
      <c r="M898" s="324"/>
      <c r="N898" s="324"/>
      <c r="O898" s="324"/>
      <c r="P898" s="324"/>
      <c r="Q898" s="324"/>
      <c r="R898" s="324"/>
      <c r="S898" s="324"/>
      <c r="T898" s="324"/>
      <c r="U898" s="324"/>
      <c r="V898" s="324"/>
      <c r="W898" s="324"/>
      <c r="X898" s="324"/>
      <c r="Y898" s="324"/>
      <c r="Z898" s="324"/>
      <c r="AA898" s="324"/>
      <c r="AB898" s="324"/>
      <c r="AC898" s="324"/>
      <c r="AD898" s="324"/>
      <c r="AE898" s="324"/>
    </row>
    <row r="899" spans="3:31" s="294" customFormat="1">
      <c r="C899" s="10"/>
      <c r="D899" s="29"/>
      <c r="E899" s="36"/>
      <c r="F899" s="324"/>
      <c r="G899" s="324"/>
      <c r="H899" s="324"/>
      <c r="I899" s="324"/>
      <c r="J899" s="324"/>
      <c r="K899" s="324"/>
      <c r="L899" s="324"/>
      <c r="M899" s="324"/>
      <c r="N899" s="324"/>
      <c r="O899" s="324"/>
      <c r="P899" s="324"/>
      <c r="Q899" s="324"/>
      <c r="R899" s="324"/>
      <c r="S899" s="324"/>
      <c r="T899" s="324"/>
      <c r="U899" s="324"/>
      <c r="V899" s="324"/>
      <c r="W899" s="324"/>
      <c r="X899" s="324"/>
      <c r="Y899" s="324"/>
      <c r="Z899" s="324"/>
      <c r="AA899" s="324"/>
      <c r="AB899" s="324"/>
      <c r="AC899" s="324"/>
      <c r="AD899" s="324"/>
      <c r="AE899" s="324"/>
    </row>
    <row r="900" spans="3:31" s="294" customFormat="1">
      <c r="C900" s="10"/>
      <c r="D900" s="29"/>
      <c r="E900" s="36"/>
      <c r="F900" s="324"/>
      <c r="G900" s="324"/>
      <c r="H900" s="324"/>
      <c r="I900" s="324"/>
      <c r="J900" s="324"/>
      <c r="K900" s="324"/>
      <c r="L900" s="324"/>
      <c r="M900" s="324"/>
      <c r="N900" s="324"/>
      <c r="O900" s="324"/>
      <c r="P900" s="324"/>
      <c r="Q900" s="324"/>
      <c r="R900" s="324"/>
      <c r="S900" s="324"/>
      <c r="T900" s="324"/>
      <c r="U900" s="324"/>
      <c r="V900" s="324"/>
      <c r="W900" s="324"/>
      <c r="X900" s="324"/>
      <c r="Y900" s="324"/>
      <c r="Z900" s="324"/>
      <c r="AA900" s="324"/>
      <c r="AB900" s="324"/>
      <c r="AC900" s="324"/>
      <c r="AD900" s="324"/>
      <c r="AE900" s="324"/>
    </row>
    <row r="901" spans="3:31" s="294" customFormat="1">
      <c r="C901" s="10"/>
      <c r="D901" s="29"/>
      <c r="E901" s="36"/>
      <c r="F901" s="324"/>
      <c r="G901" s="324"/>
      <c r="H901" s="324"/>
      <c r="I901" s="324"/>
      <c r="J901" s="324"/>
      <c r="K901" s="324"/>
      <c r="L901" s="324"/>
      <c r="M901" s="324"/>
      <c r="N901" s="324"/>
      <c r="O901" s="324"/>
      <c r="P901" s="324"/>
      <c r="Q901" s="324"/>
      <c r="R901" s="324"/>
      <c r="S901" s="324"/>
      <c r="T901" s="324"/>
      <c r="U901" s="324"/>
      <c r="V901" s="324"/>
      <c r="W901" s="324"/>
      <c r="X901" s="324"/>
      <c r="Y901" s="324"/>
      <c r="Z901" s="324"/>
      <c r="AA901" s="324"/>
      <c r="AB901" s="324"/>
      <c r="AC901" s="324"/>
      <c r="AD901" s="324"/>
      <c r="AE901" s="324"/>
    </row>
    <row r="902" spans="3:31" s="294" customFormat="1">
      <c r="C902" s="10"/>
      <c r="D902" s="29"/>
      <c r="E902" s="36"/>
      <c r="F902" s="324"/>
      <c r="G902" s="324"/>
      <c r="H902" s="324"/>
      <c r="I902" s="324"/>
      <c r="J902" s="324"/>
      <c r="K902" s="324"/>
      <c r="L902" s="324"/>
      <c r="M902" s="324"/>
      <c r="N902" s="324"/>
      <c r="O902" s="324"/>
      <c r="P902" s="324"/>
      <c r="Q902" s="324"/>
      <c r="R902" s="324"/>
      <c r="S902" s="324"/>
      <c r="T902" s="324"/>
      <c r="U902" s="324"/>
      <c r="V902" s="324"/>
      <c r="W902" s="324"/>
      <c r="X902" s="324"/>
      <c r="Y902" s="324"/>
      <c r="Z902" s="324"/>
      <c r="AA902" s="324"/>
      <c r="AB902" s="324"/>
      <c r="AC902" s="324"/>
      <c r="AD902" s="324"/>
      <c r="AE902" s="324"/>
    </row>
    <row r="903" spans="3:31" s="294" customFormat="1">
      <c r="C903" s="10"/>
      <c r="D903" s="29"/>
      <c r="E903" s="36"/>
      <c r="F903" s="324"/>
      <c r="G903" s="324"/>
      <c r="H903" s="324"/>
      <c r="I903" s="324"/>
      <c r="J903" s="324"/>
      <c r="K903" s="324"/>
      <c r="L903" s="324"/>
      <c r="M903" s="324"/>
      <c r="N903" s="324"/>
      <c r="O903" s="324"/>
      <c r="P903" s="324"/>
      <c r="Q903" s="324"/>
      <c r="R903" s="324"/>
      <c r="S903" s="324"/>
      <c r="T903" s="324"/>
      <c r="U903" s="324"/>
      <c r="V903" s="324"/>
      <c r="W903" s="324"/>
      <c r="X903" s="324"/>
      <c r="Y903" s="324"/>
      <c r="Z903" s="324"/>
      <c r="AA903" s="324"/>
      <c r="AB903" s="324"/>
      <c r="AC903" s="324"/>
      <c r="AD903" s="324"/>
      <c r="AE903" s="324"/>
    </row>
    <row r="904" spans="3:31" s="294" customFormat="1">
      <c r="C904" s="10"/>
      <c r="D904" s="29"/>
      <c r="E904" s="36"/>
      <c r="F904" s="324"/>
      <c r="G904" s="324"/>
      <c r="H904" s="324"/>
      <c r="I904" s="324"/>
      <c r="J904" s="324"/>
      <c r="K904" s="324"/>
      <c r="L904" s="324"/>
      <c r="M904" s="324"/>
      <c r="N904" s="324"/>
      <c r="O904" s="324"/>
      <c r="P904" s="324"/>
      <c r="Q904" s="324"/>
      <c r="R904" s="324"/>
      <c r="S904" s="324"/>
      <c r="T904" s="324"/>
      <c r="U904" s="324"/>
      <c r="V904" s="324"/>
      <c r="W904" s="324"/>
      <c r="X904" s="324"/>
      <c r="Y904" s="324"/>
      <c r="Z904" s="324"/>
      <c r="AA904" s="324"/>
      <c r="AB904" s="324"/>
      <c r="AC904" s="324"/>
      <c r="AD904" s="324"/>
      <c r="AE904" s="324"/>
    </row>
    <row r="905" spans="3:31" s="294" customFormat="1">
      <c r="C905" s="10"/>
      <c r="D905" s="29"/>
      <c r="E905" s="36"/>
      <c r="F905" s="324"/>
      <c r="G905" s="324"/>
      <c r="H905" s="324"/>
      <c r="I905" s="324"/>
      <c r="J905" s="324"/>
      <c r="K905" s="324"/>
      <c r="L905" s="324"/>
      <c r="M905" s="324"/>
      <c r="N905" s="324"/>
      <c r="O905" s="324"/>
      <c r="P905" s="324"/>
      <c r="Q905" s="324"/>
      <c r="R905" s="324"/>
      <c r="S905" s="324"/>
      <c r="T905" s="324"/>
      <c r="U905" s="324"/>
      <c r="V905" s="324"/>
      <c r="W905" s="324"/>
      <c r="X905" s="324"/>
      <c r="Y905" s="324"/>
      <c r="Z905" s="324"/>
      <c r="AA905" s="324"/>
      <c r="AB905" s="324"/>
      <c r="AC905" s="324"/>
      <c r="AD905" s="324"/>
      <c r="AE905" s="324"/>
    </row>
    <row r="906" spans="3:31" s="294" customFormat="1">
      <c r="C906" s="10"/>
      <c r="D906" s="29"/>
      <c r="E906" s="36"/>
      <c r="F906" s="324"/>
      <c r="G906" s="324"/>
      <c r="H906" s="324"/>
      <c r="I906" s="324"/>
      <c r="J906" s="324"/>
      <c r="K906" s="324"/>
      <c r="L906" s="324"/>
      <c r="M906" s="324"/>
      <c r="N906" s="324"/>
      <c r="O906" s="324"/>
      <c r="P906" s="324"/>
      <c r="Q906" s="324"/>
      <c r="R906" s="324"/>
      <c r="S906" s="324"/>
      <c r="T906" s="324"/>
      <c r="U906" s="324"/>
      <c r="V906" s="324"/>
      <c r="W906" s="324"/>
      <c r="X906" s="324"/>
      <c r="Y906" s="324"/>
      <c r="Z906" s="324"/>
      <c r="AA906" s="324"/>
      <c r="AB906" s="324"/>
      <c r="AC906" s="324"/>
      <c r="AD906" s="324"/>
      <c r="AE906" s="324"/>
    </row>
    <row r="907" spans="3:31" s="294" customFormat="1">
      <c r="C907" s="10"/>
      <c r="D907" s="29"/>
      <c r="E907" s="36"/>
      <c r="F907" s="324"/>
      <c r="G907" s="324"/>
      <c r="H907" s="324"/>
      <c r="I907" s="324"/>
      <c r="J907" s="324"/>
      <c r="K907" s="324"/>
      <c r="L907" s="324"/>
      <c r="M907" s="324"/>
      <c r="N907" s="324"/>
      <c r="O907" s="324"/>
      <c r="P907" s="324"/>
      <c r="Q907" s="324"/>
      <c r="R907" s="324"/>
      <c r="S907" s="324"/>
      <c r="T907" s="324"/>
      <c r="U907" s="324"/>
      <c r="V907" s="324"/>
      <c r="W907" s="324"/>
      <c r="X907" s="324"/>
      <c r="Y907" s="324"/>
      <c r="Z907" s="324"/>
      <c r="AA907" s="324"/>
      <c r="AB907" s="324"/>
      <c r="AC907" s="324"/>
      <c r="AD907" s="324"/>
      <c r="AE907" s="324"/>
    </row>
    <row r="908" spans="3:31" s="294" customFormat="1">
      <c r="C908" s="10"/>
      <c r="D908" s="29"/>
      <c r="E908" s="36"/>
      <c r="F908" s="324"/>
      <c r="G908" s="324"/>
      <c r="H908" s="324"/>
      <c r="I908" s="324"/>
      <c r="J908" s="324"/>
      <c r="K908" s="324"/>
      <c r="L908" s="324"/>
      <c r="M908" s="324"/>
      <c r="N908" s="324"/>
      <c r="O908" s="324"/>
      <c r="P908" s="324"/>
      <c r="Q908" s="324"/>
      <c r="R908" s="324"/>
      <c r="S908" s="324"/>
      <c r="T908" s="324"/>
      <c r="U908" s="324"/>
      <c r="V908" s="324"/>
      <c r="W908" s="324"/>
      <c r="X908" s="324"/>
      <c r="Y908" s="324"/>
      <c r="Z908" s="324"/>
      <c r="AA908" s="324"/>
      <c r="AB908" s="324"/>
      <c r="AC908" s="324"/>
      <c r="AD908" s="324"/>
      <c r="AE908" s="324"/>
    </row>
    <row r="909" spans="3:31" s="294" customFormat="1">
      <c r="C909" s="10"/>
      <c r="D909" s="29"/>
      <c r="E909" s="36"/>
      <c r="F909" s="324"/>
      <c r="G909" s="324"/>
      <c r="H909" s="324"/>
      <c r="I909" s="324"/>
      <c r="J909" s="324"/>
      <c r="K909" s="324"/>
      <c r="L909" s="324"/>
      <c r="M909" s="324"/>
      <c r="N909" s="324"/>
      <c r="O909" s="324"/>
      <c r="P909" s="324"/>
      <c r="Q909" s="324"/>
      <c r="R909" s="324"/>
      <c r="S909" s="324"/>
      <c r="T909" s="324"/>
      <c r="U909" s="324"/>
      <c r="V909" s="324"/>
      <c r="W909" s="324"/>
      <c r="X909" s="324"/>
      <c r="Y909" s="324"/>
      <c r="Z909" s="324"/>
      <c r="AA909" s="324"/>
      <c r="AB909" s="324"/>
      <c r="AC909" s="324"/>
      <c r="AD909" s="324"/>
      <c r="AE909" s="324"/>
    </row>
    <row r="910" spans="3:31" s="294" customFormat="1">
      <c r="C910" s="10"/>
      <c r="D910" s="29"/>
      <c r="E910" s="36"/>
      <c r="F910" s="324"/>
      <c r="G910" s="324"/>
      <c r="H910" s="324"/>
      <c r="I910" s="324"/>
      <c r="J910" s="324"/>
      <c r="K910" s="324"/>
      <c r="L910" s="324"/>
      <c r="M910" s="324"/>
      <c r="N910" s="324"/>
      <c r="O910" s="324"/>
      <c r="P910" s="324"/>
      <c r="Q910" s="324"/>
      <c r="R910" s="324"/>
      <c r="S910" s="324"/>
      <c r="T910" s="324"/>
      <c r="U910" s="324"/>
      <c r="V910" s="324"/>
      <c r="W910" s="324"/>
      <c r="X910" s="324"/>
      <c r="Y910" s="324"/>
      <c r="Z910" s="324"/>
      <c r="AA910" s="324"/>
      <c r="AB910" s="324"/>
      <c r="AC910" s="324"/>
      <c r="AD910" s="324"/>
      <c r="AE910" s="324"/>
    </row>
    <row r="911" spans="3:31" s="294" customFormat="1">
      <c r="C911" s="10"/>
      <c r="D911" s="29"/>
      <c r="E911" s="36"/>
      <c r="F911" s="324"/>
      <c r="G911" s="324"/>
      <c r="H911" s="324"/>
      <c r="I911" s="324"/>
      <c r="J911" s="324"/>
      <c r="K911" s="324"/>
      <c r="L911" s="324"/>
      <c r="M911" s="324"/>
      <c r="N911" s="324"/>
      <c r="O911" s="324"/>
      <c r="P911" s="324"/>
      <c r="Q911" s="324"/>
      <c r="R911" s="324"/>
      <c r="S911" s="324"/>
      <c r="T911" s="324"/>
      <c r="U911" s="324"/>
      <c r="V911" s="324"/>
      <c r="W911" s="324"/>
      <c r="X911" s="324"/>
      <c r="Y911" s="324"/>
      <c r="Z911" s="324"/>
      <c r="AA911" s="324"/>
      <c r="AB911" s="324"/>
      <c r="AC911" s="324"/>
      <c r="AD911" s="324"/>
      <c r="AE911" s="324"/>
    </row>
    <row r="912" spans="3:31" s="294" customFormat="1">
      <c r="C912" s="10"/>
      <c r="D912" s="29"/>
      <c r="E912" s="36"/>
      <c r="F912" s="324"/>
      <c r="G912" s="324"/>
      <c r="H912" s="324"/>
      <c r="I912" s="324"/>
      <c r="J912" s="324"/>
      <c r="K912" s="324"/>
      <c r="L912" s="324"/>
      <c r="M912" s="324"/>
      <c r="N912" s="324"/>
      <c r="O912" s="324"/>
      <c r="P912" s="324"/>
      <c r="Q912" s="324"/>
      <c r="R912" s="324"/>
      <c r="S912" s="324"/>
      <c r="T912" s="324"/>
      <c r="U912" s="324"/>
      <c r="V912" s="324"/>
      <c r="W912" s="324"/>
      <c r="X912" s="324"/>
      <c r="Y912" s="324"/>
      <c r="Z912" s="324"/>
      <c r="AA912" s="324"/>
      <c r="AB912" s="324"/>
      <c r="AC912" s="324"/>
      <c r="AD912" s="324"/>
      <c r="AE912" s="324"/>
    </row>
    <row r="913" spans="3:31" s="294" customFormat="1">
      <c r="C913" s="10"/>
      <c r="D913" s="29"/>
      <c r="E913" s="36"/>
      <c r="F913" s="324"/>
      <c r="G913" s="324"/>
      <c r="H913" s="324"/>
      <c r="I913" s="324"/>
      <c r="J913" s="324"/>
      <c r="K913" s="324"/>
      <c r="L913" s="324"/>
      <c r="M913" s="324"/>
      <c r="N913" s="324"/>
      <c r="O913" s="324"/>
      <c r="P913" s="324"/>
      <c r="Q913" s="324"/>
      <c r="R913" s="324"/>
      <c r="S913" s="324"/>
      <c r="T913" s="324"/>
      <c r="U913" s="324"/>
      <c r="V913" s="324"/>
      <c r="W913" s="324"/>
      <c r="X913" s="324"/>
      <c r="Y913" s="324"/>
      <c r="Z913" s="324"/>
      <c r="AA913" s="324"/>
      <c r="AB913" s="324"/>
      <c r="AC913" s="324"/>
      <c r="AD913" s="324"/>
      <c r="AE913" s="324"/>
    </row>
    <row r="914" spans="3:31" s="294" customFormat="1">
      <c r="C914" s="10"/>
      <c r="D914" s="29"/>
      <c r="E914" s="36"/>
      <c r="F914" s="324"/>
      <c r="G914" s="324"/>
      <c r="H914" s="324"/>
      <c r="I914" s="324"/>
      <c r="J914" s="324"/>
      <c r="K914" s="324"/>
      <c r="L914" s="324"/>
      <c r="M914" s="324"/>
      <c r="N914" s="324"/>
      <c r="O914" s="324"/>
      <c r="P914" s="324"/>
      <c r="Q914" s="324"/>
      <c r="R914" s="324"/>
      <c r="S914" s="324"/>
      <c r="T914" s="324"/>
      <c r="U914" s="324"/>
      <c r="V914" s="324"/>
      <c r="W914" s="324"/>
      <c r="X914" s="324"/>
      <c r="Y914" s="324"/>
      <c r="Z914" s="324"/>
      <c r="AA914" s="324"/>
      <c r="AB914" s="324"/>
      <c r="AC914" s="324"/>
      <c r="AD914" s="324"/>
      <c r="AE914" s="324"/>
    </row>
    <row r="915" spans="3:31" s="294" customFormat="1">
      <c r="C915" s="10"/>
      <c r="D915" s="29"/>
      <c r="E915" s="36"/>
      <c r="F915" s="324"/>
      <c r="G915" s="324"/>
      <c r="H915" s="324"/>
      <c r="I915" s="324"/>
      <c r="J915" s="324"/>
      <c r="K915" s="324"/>
      <c r="L915" s="324"/>
      <c r="M915" s="324"/>
      <c r="N915" s="324"/>
      <c r="O915" s="324"/>
      <c r="P915" s="324"/>
      <c r="Q915" s="324"/>
      <c r="R915" s="324"/>
      <c r="S915" s="324"/>
      <c r="T915" s="324"/>
      <c r="U915" s="324"/>
      <c r="V915" s="324"/>
      <c r="W915" s="324"/>
      <c r="X915" s="324"/>
      <c r="Y915" s="324"/>
      <c r="Z915" s="324"/>
      <c r="AA915" s="324"/>
      <c r="AB915" s="324"/>
      <c r="AC915" s="324"/>
      <c r="AD915" s="324"/>
      <c r="AE915" s="324"/>
    </row>
    <row r="916" spans="3:31" s="294" customFormat="1">
      <c r="C916" s="10"/>
      <c r="D916" s="29"/>
      <c r="E916" s="36"/>
      <c r="F916" s="324"/>
      <c r="G916" s="324"/>
      <c r="H916" s="324"/>
      <c r="I916" s="324"/>
      <c r="J916" s="324"/>
      <c r="K916" s="324"/>
      <c r="L916" s="324"/>
      <c r="M916" s="324"/>
      <c r="N916" s="324"/>
      <c r="O916" s="324"/>
      <c r="P916" s="324"/>
      <c r="Q916" s="324"/>
      <c r="R916" s="324"/>
      <c r="S916" s="324"/>
      <c r="T916" s="324"/>
      <c r="U916" s="324"/>
      <c r="V916" s="324"/>
      <c r="W916" s="324"/>
      <c r="X916" s="324"/>
      <c r="Y916" s="324"/>
      <c r="Z916" s="324"/>
      <c r="AA916" s="324"/>
      <c r="AB916" s="324"/>
      <c r="AC916" s="324"/>
      <c r="AD916" s="324"/>
      <c r="AE916" s="324"/>
    </row>
    <row r="917" spans="3:31" s="294" customFormat="1">
      <c r="C917" s="10"/>
      <c r="D917" s="29"/>
      <c r="E917" s="36"/>
      <c r="F917" s="324"/>
      <c r="G917" s="324"/>
      <c r="H917" s="324"/>
      <c r="I917" s="324"/>
      <c r="J917" s="324"/>
      <c r="K917" s="324"/>
      <c r="L917" s="324"/>
      <c r="M917" s="324"/>
      <c r="N917" s="324"/>
      <c r="O917" s="324"/>
      <c r="P917" s="324"/>
      <c r="Q917" s="324"/>
      <c r="R917" s="324"/>
      <c r="S917" s="324"/>
      <c r="T917" s="324"/>
      <c r="U917" s="324"/>
      <c r="V917" s="324"/>
      <c r="W917" s="324"/>
      <c r="X917" s="324"/>
      <c r="Y917" s="324"/>
      <c r="Z917" s="324"/>
      <c r="AA917" s="324"/>
      <c r="AB917" s="324"/>
      <c r="AC917" s="324"/>
      <c r="AD917" s="324"/>
      <c r="AE917" s="324"/>
    </row>
    <row r="918" spans="3:31" s="294" customFormat="1">
      <c r="C918" s="10"/>
      <c r="D918" s="29"/>
      <c r="E918" s="36"/>
      <c r="F918" s="324"/>
      <c r="G918" s="324"/>
      <c r="H918" s="324"/>
      <c r="I918" s="324"/>
      <c r="J918" s="324"/>
      <c r="K918" s="324"/>
      <c r="L918" s="324"/>
      <c r="M918" s="324"/>
      <c r="N918" s="324"/>
      <c r="O918" s="324"/>
      <c r="P918" s="324"/>
      <c r="Q918" s="324"/>
      <c r="R918" s="324"/>
      <c r="S918" s="324"/>
      <c r="T918" s="324"/>
      <c r="U918" s="324"/>
      <c r="V918" s="324"/>
      <c r="W918" s="324"/>
      <c r="X918" s="324"/>
      <c r="Y918" s="324"/>
      <c r="Z918" s="324"/>
      <c r="AA918" s="324"/>
      <c r="AB918" s="324"/>
      <c r="AC918" s="324"/>
      <c r="AD918" s="324"/>
      <c r="AE918" s="324"/>
    </row>
    <row r="919" spans="3:31" s="294" customFormat="1">
      <c r="C919" s="10"/>
      <c r="D919" s="29"/>
      <c r="E919" s="36"/>
      <c r="F919" s="324"/>
      <c r="G919" s="324"/>
      <c r="H919" s="324"/>
      <c r="I919" s="324"/>
      <c r="J919" s="324"/>
      <c r="K919" s="324"/>
      <c r="L919" s="324"/>
      <c r="M919" s="324"/>
      <c r="N919" s="324"/>
      <c r="O919" s="324"/>
      <c r="P919" s="324"/>
      <c r="Q919" s="324"/>
      <c r="R919" s="324"/>
      <c r="S919" s="324"/>
      <c r="T919" s="324"/>
      <c r="U919" s="324"/>
      <c r="V919" s="324"/>
      <c r="W919" s="324"/>
      <c r="X919" s="324"/>
      <c r="Y919" s="324"/>
      <c r="Z919" s="324"/>
      <c r="AA919" s="324"/>
      <c r="AB919" s="324"/>
      <c r="AC919" s="324"/>
      <c r="AD919" s="324"/>
      <c r="AE919" s="324"/>
    </row>
    <row r="920" spans="3:31" s="294" customFormat="1">
      <c r="C920" s="10"/>
      <c r="D920" s="29"/>
      <c r="E920" s="36"/>
      <c r="F920" s="324"/>
      <c r="G920" s="324"/>
      <c r="H920" s="324"/>
      <c r="I920" s="324"/>
      <c r="J920" s="324"/>
      <c r="K920" s="324"/>
      <c r="L920" s="324"/>
      <c r="M920" s="324"/>
      <c r="N920" s="324"/>
      <c r="O920" s="324"/>
      <c r="P920" s="324"/>
      <c r="Q920" s="324"/>
      <c r="R920" s="324"/>
      <c r="S920" s="324"/>
      <c r="T920" s="324"/>
      <c r="U920" s="324"/>
      <c r="V920" s="324"/>
      <c r="W920" s="324"/>
      <c r="X920" s="324"/>
      <c r="Y920" s="324"/>
      <c r="Z920" s="324"/>
      <c r="AA920" s="324"/>
      <c r="AB920" s="324"/>
      <c r="AC920" s="324"/>
      <c r="AD920" s="324"/>
      <c r="AE920" s="324"/>
    </row>
    <row r="921" spans="3:31" s="294" customFormat="1">
      <c r="C921" s="10"/>
      <c r="D921" s="29"/>
      <c r="E921" s="36"/>
      <c r="F921" s="324"/>
      <c r="G921" s="324"/>
      <c r="H921" s="324"/>
      <c r="I921" s="324"/>
      <c r="J921" s="324"/>
      <c r="K921" s="324"/>
      <c r="L921" s="324"/>
      <c r="M921" s="324"/>
      <c r="N921" s="324"/>
      <c r="O921" s="324"/>
      <c r="P921" s="324"/>
      <c r="Q921" s="324"/>
      <c r="R921" s="324"/>
      <c r="S921" s="324"/>
      <c r="T921" s="324"/>
      <c r="U921" s="324"/>
      <c r="V921" s="324"/>
      <c r="W921" s="324"/>
      <c r="X921" s="324"/>
      <c r="Y921" s="324"/>
      <c r="Z921" s="324"/>
      <c r="AA921" s="324"/>
      <c r="AB921" s="324"/>
      <c r="AC921" s="324"/>
      <c r="AD921" s="324"/>
      <c r="AE921" s="324"/>
    </row>
    <row r="922" spans="3:31" s="294" customFormat="1">
      <c r="C922" s="10"/>
      <c r="D922" s="29"/>
      <c r="E922" s="36"/>
      <c r="F922" s="324"/>
      <c r="G922" s="324"/>
      <c r="H922" s="324"/>
      <c r="I922" s="324"/>
      <c r="J922" s="324"/>
      <c r="K922" s="324"/>
      <c r="L922" s="324"/>
      <c r="M922" s="324"/>
      <c r="N922" s="324"/>
      <c r="O922" s="324"/>
      <c r="P922" s="324"/>
      <c r="Q922" s="324"/>
      <c r="R922" s="324"/>
      <c r="S922" s="324"/>
      <c r="T922" s="324"/>
      <c r="U922" s="324"/>
      <c r="V922" s="324"/>
      <c r="W922" s="324"/>
      <c r="X922" s="324"/>
      <c r="Y922" s="324"/>
      <c r="Z922" s="324"/>
      <c r="AA922" s="324"/>
      <c r="AB922" s="324"/>
      <c r="AC922" s="324"/>
      <c r="AD922" s="324"/>
      <c r="AE922" s="324"/>
    </row>
    <row r="923" spans="3:31" s="294" customFormat="1">
      <c r="C923" s="10"/>
      <c r="D923" s="29"/>
      <c r="E923" s="36"/>
      <c r="F923" s="324"/>
      <c r="G923" s="324"/>
      <c r="H923" s="324"/>
      <c r="I923" s="324"/>
      <c r="J923" s="324"/>
      <c r="K923" s="324"/>
      <c r="L923" s="324"/>
      <c r="M923" s="324"/>
      <c r="N923" s="324"/>
      <c r="O923" s="324"/>
      <c r="P923" s="324"/>
      <c r="Q923" s="324"/>
      <c r="R923" s="324"/>
      <c r="S923" s="324"/>
      <c r="T923" s="324"/>
      <c r="U923" s="324"/>
      <c r="V923" s="324"/>
      <c r="W923" s="324"/>
      <c r="X923" s="324"/>
      <c r="Y923" s="324"/>
      <c r="Z923" s="324"/>
      <c r="AA923" s="324"/>
      <c r="AB923" s="324"/>
      <c r="AC923" s="324"/>
      <c r="AD923" s="324"/>
      <c r="AE923" s="324"/>
    </row>
    <row r="924" spans="3:31" s="294" customFormat="1">
      <c r="C924" s="10"/>
      <c r="D924" s="29"/>
      <c r="E924" s="36"/>
      <c r="F924" s="324"/>
      <c r="G924" s="324"/>
      <c r="H924" s="324"/>
      <c r="I924" s="324"/>
      <c r="J924" s="324"/>
      <c r="K924" s="324"/>
      <c r="L924" s="324"/>
      <c r="M924" s="324"/>
      <c r="N924" s="324"/>
      <c r="O924" s="324"/>
      <c r="P924" s="324"/>
      <c r="Q924" s="324"/>
      <c r="R924" s="324"/>
      <c r="S924" s="324"/>
      <c r="T924" s="324"/>
      <c r="U924" s="324"/>
      <c r="V924" s="324"/>
      <c r="W924" s="324"/>
      <c r="X924" s="324"/>
      <c r="Y924" s="324"/>
      <c r="Z924" s="324"/>
      <c r="AA924" s="324"/>
      <c r="AB924" s="324"/>
      <c r="AC924" s="324"/>
      <c r="AD924" s="324"/>
      <c r="AE924" s="324"/>
    </row>
    <row r="925" spans="3:31" s="294" customFormat="1">
      <c r="C925" s="10"/>
      <c r="D925" s="29"/>
      <c r="E925" s="36"/>
      <c r="F925" s="324"/>
      <c r="G925" s="324"/>
      <c r="H925" s="324"/>
      <c r="I925" s="324"/>
      <c r="J925" s="324"/>
      <c r="K925" s="324"/>
      <c r="L925" s="324"/>
      <c r="M925" s="324"/>
      <c r="N925" s="324"/>
      <c r="O925" s="324"/>
      <c r="P925" s="324"/>
      <c r="Q925" s="324"/>
      <c r="R925" s="324"/>
      <c r="S925" s="324"/>
      <c r="T925" s="324"/>
      <c r="U925" s="324"/>
      <c r="V925" s="324"/>
      <c r="W925" s="324"/>
      <c r="X925" s="324"/>
      <c r="Y925" s="324"/>
      <c r="Z925" s="324"/>
      <c r="AA925" s="324"/>
      <c r="AB925" s="324"/>
      <c r="AC925" s="324"/>
      <c r="AD925" s="324"/>
      <c r="AE925" s="324"/>
    </row>
    <row r="926" spans="3:31" s="294" customFormat="1">
      <c r="C926" s="10"/>
      <c r="D926" s="29"/>
      <c r="E926" s="36"/>
      <c r="F926" s="324"/>
      <c r="G926" s="324"/>
      <c r="H926" s="324"/>
      <c r="I926" s="324"/>
      <c r="J926" s="324"/>
      <c r="K926" s="324"/>
      <c r="L926" s="324"/>
      <c r="M926" s="324"/>
      <c r="N926" s="324"/>
      <c r="O926" s="324"/>
      <c r="P926" s="324"/>
      <c r="Q926" s="324"/>
      <c r="R926" s="324"/>
      <c r="S926" s="324"/>
      <c r="T926" s="324"/>
      <c r="U926" s="324"/>
      <c r="V926" s="324"/>
      <c r="W926" s="324"/>
      <c r="X926" s="324"/>
      <c r="Y926" s="324"/>
      <c r="Z926" s="324"/>
      <c r="AA926" s="324"/>
      <c r="AB926" s="324"/>
      <c r="AC926" s="324"/>
      <c r="AD926" s="324"/>
      <c r="AE926" s="324"/>
    </row>
    <row r="927" spans="3:31" s="294" customFormat="1">
      <c r="C927" s="10"/>
      <c r="D927" s="29"/>
      <c r="E927" s="36"/>
      <c r="F927" s="324"/>
      <c r="G927" s="324"/>
      <c r="H927" s="324"/>
      <c r="I927" s="324"/>
      <c r="J927" s="324"/>
      <c r="K927" s="324"/>
      <c r="L927" s="324"/>
      <c r="M927" s="324"/>
      <c r="N927" s="324"/>
      <c r="O927" s="324"/>
      <c r="P927" s="324"/>
      <c r="Q927" s="324"/>
      <c r="R927" s="324"/>
      <c r="S927" s="324"/>
      <c r="T927" s="324"/>
      <c r="U927" s="324"/>
      <c r="V927" s="324"/>
      <c r="W927" s="324"/>
      <c r="X927" s="324"/>
      <c r="Y927" s="324"/>
      <c r="Z927" s="324"/>
      <c r="AA927" s="324"/>
      <c r="AB927" s="324"/>
      <c r="AC927" s="324"/>
      <c r="AD927" s="324"/>
      <c r="AE927" s="324"/>
    </row>
    <row r="928" spans="3:31" s="294" customFormat="1">
      <c r="C928" s="10"/>
      <c r="D928" s="29"/>
      <c r="E928" s="36"/>
      <c r="F928" s="324"/>
      <c r="G928" s="324"/>
      <c r="H928" s="324"/>
      <c r="I928" s="324"/>
      <c r="J928" s="324"/>
      <c r="K928" s="324"/>
      <c r="L928" s="324"/>
      <c r="M928" s="324"/>
      <c r="N928" s="324"/>
      <c r="O928" s="324"/>
      <c r="P928" s="324"/>
      <c r="Q928" s="324"/>
      <c r="R928" s="324"/>
      <c r="S928" s="324"/>
      <c r="T928" s="324"/>
      <c r="U928" s="324"/>
      <c r="V928" s="324"/>
      <c r="W928" s="324"/>
      <c r="X928" s="324"/>
      <c r="Y928" s="324"/>
      <c r="Z928" s="324"/>
      <c r="AA928" s="324"/>
      <c r="AB928" s="324"/>
      <c r="AC928" s="324"/>
      <c r="AD928" s="324"/>
      <c r="AE928" s="324"/>
    </row>
    <row r="929" spans="3:31" s="294" customFormat="1">
      <c r="C929" s="10"/>
      <c r="D929" s="29"/>
      <c r="E929" s="36"/>
      <c r="F929" s="324"/>
      <c r="G929" s="324"/>
      <c r="H929" s="324"/>
      <c r="I929" s="324"/>
      <c r="J929" s="324"/>
      <c r="K929" s="324"/>
      <c r="L929" s="324"/>
      <c r="M929" s="324"/>
      <c r="N929" s="324"/>
      <c r="O929" s="324"/>
      <c r="P929" s="324"/>
      <c r="Q929" s="324"/>
      <c r="R929" s="324"/>
      <c r="S929" s="324"/>
      <c r="T929" s="324"/>
      <c r="U929" s="324"/>
      <c r="V929" s="324"/>
      <c r="W929" s="324"/>
      <c r="X929" s="324"/>
      <c r="Y929" s="324"/>
      <c r="Z929" s="324"/>
      <c r="AA929" s="324"/>
      <c r="AB929" s="324"/>
      <c r="AC929" s="324"/>
      <c r="AD929" s="324"/>
      <c r="AE929" s="324"/>
    </row>
    <row r="930" spans="3:31" s="294" customFormat="1">
      <c r="C930" s="10"/>
      <c r="D930" s="29"/>
      <c r="E930" s="36"/>
      <c r="F930" s="324"/>
      <c r="G930" s="324"/>
      <c r="H930" s="324"/>
      <c r="I930" s="324"/>
      <c r="J930" s="324"/>
      <c r="K930" s="324"/>
      <c r="L930" s="324"/>
      <c r="M930" s="324"/>
      <c r="N930" s="324"/>
      <c r="O930" s="324"/>
      <c r="P930" s="324"/>
      <c r="Q930" s="324"/>
      <c r="R930" s="324"/>
      <c r="S930" s="324"/>
      <c r="T930" s="324"/>
      <c r="U930" s="324"/>
      <c r="V930" s="324"/>
      <c r="W930" s="324"/>
      <c r="X930" s="324"/>
      <c r="Y930" s="324"/>
      <c r="Z930" s="324"/>
      <c r="AA930" s="324"/>
      <c r="AB930" s="324"/>
      <c r="AC930" s="324"/>
      <c r="AD930" s="324"/>
      <c r="AE930" s="324"/>
    </row>
    <row r="931" spans="3:31" s="294" customFormat="1">
      <c r="C931" s="10"/>
      <c r="D931" s="29"/>
      <c r="E931" s="36"/>
      <c r="F931" s="324"/>
      <c r="G931" s="324"/>
      <c r="H931" s="324"/>
      <c r="I931" s="324"/>
      <c r="J931" s="324"/>
      <c r="K931" s="324"/>
      <c r="L931" s="324"/>
      <c r="M931" s="324"/>
      <c r="N931" s="324"/>
      <c r="O931" s="324"/>
      <c r="P931" s="324"/>
      <c r="Q931" s="324"/>
      <c r="R931" s="324"/>
      <c r="S931" s="324"/>
      <c r="T931" s="324"/>
      <c r="U931" s="324"/>
      <c r="V931" s="324"/>
      <c r="W931" s="324"/>
      <c r="X931" s="324"/>
      <c r="Y931" s="324"/>
      <c r="Z931" s="324"/>
      <c r="AA931" s="324"/>
      <c r="AB931" s="324"/>
      <c r="AC931" s="324"/>
      <c r="AD931" s="324"/>
      <c r="AE931" s="324"/>
    </row>
    <row r="932" spans="3:31" s="294" customFormat="1">
      <c r="C932" s="10"/>
      <c r="D932" s="29"/>
      <c r="E932" s="36"/>
      <c r="F932" s="324"/>
      <c r="G932" s="324"/>
      <c r="H932" s="324"/>
      <c r="I932" s="324"/>
      <c r="J932" s="324"/>
      <c r="K932" s="324"/>
      <c r="L932" s="324"/>
      <c r="M932" s="324"/>
      <c r="N932" s="324"/>
      <c r="O932" s="324"/>
      <c r="P932" s="324"/>
      <c r="Q932" s="324"/>
      <c r="R932" s="324"/>
      <c r="S932" s="324"/>
      <c r="T932" s="324"/>
      <c r="U932" s="324"/>
      <c r="V932" s="324"/>
      <c r="W932" s="324"/>
      <c r="X932" s="324"/>
      <c r="Y932" s="324"/>
      <c r="Z932" s="324"/>
      <c r="AA932" s="324"/>
      <c r="AB932" s="324"/>
      <c r="AC932" s="324"/>
      <c r="AD932" s="324"/>
      <c r="AE932" s="324"/>
    </row>
    <row r="933" spans="3:31" s="294" customFormat="1">
      <c r="C933" s="10"/>
      <c r="D933" s="29"/>
      <c r="E933" s="36"/>
      <c r="F933" s="324"/>
      <c r="G933" s="324"/>
      <c r="H933" s="324"/>
      <c r="I933" s="324"/>
      <c r="J933" s="324"/>
      <c r="K933" s="324"/>
      <c r="L933" s="324"/>
      <c r="M933" s="324"/>
      <c r="N933" s="324"/>
      <c r="O933" s="324"/>
      <c r="P933" s="324"/>
      <c r="Q933" s="324"/>
      <c r="R933" s="324"/>
      <c r="S933" s="324"/>
      <c r="T933" s="324"/>
      <c r="U933" s="324"/>
      <c r="V933" s="324"/>
      <c r="W933" s="324"/>
      <c r="X933" s="324"/>
      <c r="Y933" s="324"/>
      <c r="Z933" s="324"/>
      <c r="AA933" s="324"/>
      <c r="AB933" s="324"/>
      <c r="AC933" s="324"/>
      <c r="AD933" s="324"/>
      <c r="AE933" s="324"/>
    </row>
    <row r="934" spans="3:31" s="294" customFormat="1">
      <c r="C934" s="10"/>
      <c r="D934" s="29"/>
      <c r="E934" s="36"/>
      <c r="F934" s="324"/>
      <c r="G934" s="324"/>
      <c r="H934" s="324"/>
      <c r="I934" s="324"/>
      <c r="J934" s="324"/>
      <c r="K934" s="324"/>
      <c r="L934" s="324"/>
      <c r="M934" s="324"/>
      <c r="N934" s="324"/>
      <c r="O934" s="324"/>
      <c r="P934" s="324"/>
      <c r="Q934" s="324"/>
      <c r="R934" s="324"/>
      <c r="S934" s="324"/>
      <c r="T934" s="324"/>
      <c r="U934" s="324"/>
      <c r="V934" s="324"/>
      <c r="W934" s="324"/>
      <c r="X934" s="324"/>
      <c r="Y934" s="324"/>
      <c r="Z934" s="324"/>
      <c r="AA934" s="324"/>
      <c r="AB934" s="324"/>
      <c r="AC934" s="324"/>
      <c r="AD934" s="324"/>
      <c r="AE934" s="324"/>
    </row>
    <row r="935" spans="3:31" s="294" customFormat="1">
      <c r="C935" s="10"/>
      <c r="D935" s="29"/>
      <c r="E935" s="36"/>
      <c r="F935" s="324"/>
      <c r="G935" s="324"/>
      <c r="H935" s="324"/>
      <c r="I935" s="324"/>
      <c r="J935" s="324"/>
      <c r="K935" s="324"/>
      <c r="L935" s="324"/>
      <c r="M935" s="324"/>
      <c r="N935" s="324"/>
      <c r="O935" s="324"/>
      <c r="P935" s="324"/>
      <c r="Q935" s="324"/>
      <c r="R935" s="324"/>
      <c r="S935" s="324"/>
      <c r="T935" s="324"/>
      <c r="U935" s="324"/>
      <c r="V935" s="324"/>
      <c r="W935" s="324"/>
      <c r="X935" s="324"/>
      <c r="Y935" s="324"/>
      <c r="Z935" s="324"/>
      <c r="AA935" s="324"/>
      <c r="AB935" s="324"/>
      <c r="AC935" s="324"/>
      <c r="AD935" s="324"/>
      <c r="AE935" s="324"/>
    </row>
    <row r="936" spans="3:31" s="294" customFormat="1">
      <c r="C936" s="10"/>
      <c r="D936" s="29"/>
      <c r="E936" s="36"/>
      <c r="F936" s="324"/>
      <c r="G936" s="324"/>
      <c r="H936" s="324"/>
      <c r="I936" s="324"/>
      <c r="J936" s="324"/>
      <c r="K936" s="324"/>
      <c r="L936" s="324"/>
      <c r="M936" s="324"/>
      <c r="N936" s="324"/>
      <c r="O936" s="324"/>
      <c r="P936" s="324"/>
      <c r="Q936" s="324"/>
      <c r="R936" s="324"/>
      <c r="S936" s="324"/>
      <c r="T936" s="324"/>
      <c r="U936" s="324"/>
      <c r="V936" s="324"/>
      <c r="W936" s="324"/>
      <c r="X936" s="324"/>
      <c r="Y936" s="324"/>
      <c r="Z936" s="324"/>
      <c r="AA936" s="324"/>
      <c r="AB936" s="324"/>
      <c r="AC936" s="324"/>
      <c r="AD936" s="324"/>
      <c r="AE936" s="324"/>
    </row>
    <row r="937" spans="3:31" s="294" customFormat="1">
      <c r="C937" s="10"/>
      <c r="D937" s="29"/>
      <c r="E937" s="36"/>
      <c r="F937" s="324"/>
      <c r="G937" s="324"/>
      <c r="H937" s="324"/>
      <c r="I937" s="324"/>
      <c r="J937" s="324"/>
      <c r="K937" s="324"/>
      <c r="L937" s="324"/>
      <c r="M937" s="324"/>
      <c r="N937" s="324"/>
      <c r="O937" s="324"/>
      <c r="P937" s="324"/>
      <c r="Q937" s="324"/>
      <c r="R937" s="324"/>
      <c r="S937" s="324"/>
      <c r="T937" s="324"/>
      <c r="U937" s="324"/>
      <c r="V937" s="324"/>
      <c r="W937" s="324"/>
      <c r="X937" s="324"/>
      <c r="Y937" s="324"/>
      <c r="Z937" s="324"/>
      <c r="AA937" s="324"/>
      <c r="AB937" s="324"/>
      <c r="AC937" s="324"/>
      <c r="AD937" s="324"/>
      <c r="AE937" s="324"/>
    </row>
    <row r="938" spans="3:31" s="294" customFormat="1">
      <c r="C938" s="10"/>
      <c r="D938" s="29"/>
      <c r="E938" s="36"/>
      <c r="F938" s="324"/>
      <c r="G938" s="324"/>
      <c r="H938" s="324"/>
      <c r="I938" s="324"/>
      <c r="J938" s="324"/>
      <c r="K938" s="324"/>
      <c r="L938" s="324"/>
      <c r="M938" s="324"/>
      <c r="N938" s="324"/>
      <c r="O938" s="324"/>
      <c r="P938" s="324"/>
      <c r="Q938" s="324"/>
      <c r="R938" s="324"/>
      <c r="S938" s="324"/>
      <c r="T938" s="324"/>
      <c r="U938" s="324"/>
      <c r="V938" s="324"/>
      <c r="W938" s="324"/>
      <c r="X938" s="324"/>
      <c r="Y938" s="324"/>
      <c r="Z938" s="324"/>
      <c r="AA938" s="324"/>
      <c r="AB938" s="324"/>
      <c r="AC938" s="324"/>
      <c r="AD938" s="324"/>
      <c r="AE938" s="324"/>
    </row>
    <row r="939" spans="3:31" s="294" customFormat="1">
      <c r="C939" s="10"/>
      <c r="D939" s="29"/>
      <c r="E939" s="36"/>
      <c r="F939" s="324"/>
      <c r="G939" s="324"/>
      <c r="H939" s="324"/>
      <c r="I939" s="324"/>
      <c r="J939" s="324"/>
      <c r="K939" s="324"/>
      <c r="L939" s="324"/>
      <c r="M939" s="324"/>
      <c r="N939" s="324"/>
      <c r="O939" s="324"/>
      <c r="P939" s="324"/>
      <c r="Q939" s="324"/>
      <c r="R939" s="324"/>
      <c r="S939" s="324"/>
      <c r="T939" s="324"/>
      <c r="U939" s="324"/>
      <c r="V939" s="324"/>
      <c r="W939" s="324"/>
      <c r="X939" s="324"/>
      <c r="Y939" s="324"/>
      <c r="Z939" s="324"/>
      <c r="AA939" s="324"/>
      <c r="AB939" s="324"/>
      <c r="AC939" s="324"/>
      <c r="AD939" s="324"/>
      <c r="AE939" s="324"/>
    </row>
    <row r="940" spans="3:31" s="294" customFormat="1">
      <c r="C940" s="10"/>
      <c r="D940" s="29"/>
      <c r="E940" s="36"/>
      <c r="F940" s="324"/>
      <c r="G940" s="324"/>
      <c r="H940" s="324"/>
      <c r="I940" s="324"/>
      <c r="J940" s="324"/>
      <c r="K940" s="324"/>
      <c r="L940" s="324"/>
      <c r="M940" s="324"/>
      <c r="N940" s="324"/>
      <c r="O940" s="324"/>
      <c r="P940" s="324"/>
      <c r="Q940" s="324"/>
      <c r="R940" s="324"/>
      <c r="S940" s="324"/>
      <c r="T940" s="324"/>
      <c r="U940" s="324"/>
      <c r="V940" s="324"/>
      <c r="W940" s="324"/>
      <c r="X940" s="324"/>
      <c r="Y940" s="324"/>
      <c r="Z940" s="324"/>
      <c r="AA940" s="324"/>
      <c r="AB940" s="324"/>
      <c r="AC940" s="324"/>
      <c r="AD940" s="324"/>
      <c r="AE940" s="324"/>
    </row>
    <row r="941" spans="3:31" s="294" customFormat="1">
      <c r="C941" s="10"/>
      <c r="D941" s="29"/>
      <c r="E941" s="36"/>
      <c r="F941" s="324"/>
      <c r="G941" s="324"/>
      <c r="H941" s="324"/>
      <c r="I941" s="324"/>
      <c r="J941" s="324"/>
      <c r="K941" s="324"/>
      <c r="L941" s="324"/>
      <c r="M941" s="324"/>
      <c r="N941" s="324"/>
      <c r="O941" s="324"/>
      <c r="P941" s="324"/>
      <c r="Q941" s="324"/>
      <c r="R941" s="324"/>
      <c r="S941" s="324"/>
      <c r="T941" s="324"/>
      <c r="U941" s="324"/>
      <c r="V941" s="324"/>
      <c r="W941" s="324"/>
      <c r="X941" s="324"/>
      <c r="Y941" s="324"/>
      <c r="Z941" s="324"/>
      <c r="AA941" s="324"/>
      <c r="AB941" s="324"/>
      <c r="AC941" s="324"/>
      <c r="AD941" s="324"/>
      <c r="AE941" s="324"/>
    </row>
    <row r="942" spans="3:31" s="294" customFormat="1">
      <c r="C942" s="10"/>
      <c r="D942" s="29"/>
      <c r="E942" s="36"/>
      <c r="F942" s="324"/>
      <c r="G942" s="324"/>
      <c r="H942" s="324"/>
      <c r="I942" s="324"/>
      <c r="J942" s="324"/>
      <c r="K942" s="324"/>
      <c r="L942" s="324"/>
      <c r="M942" s="324"/>
      <c r="N942" s="324"/>
      <c r="O942" s="324"/>
      <c r="P942" s="324"/>
      <c r="Q942" s="324"/>
      <c r="R942" s="324"/>
      <c r="S942" s="324"/>
      <c r="T942" s="324"/>
      <c r="U942" s="324"/>
      <c r="V942" s="324"/>
      <c r="W942" s="324"/>
      <c r="X942" s="324"/>
      <c r="Y942" s="324"/>
      <c r="Z942" s="324"/>
      <c r="AA942" s="324"/>
      <c r="AB942" s="324"/>
      <c r="AC942" s="324"/>
      <c r="AD942" s="324"/>
      <c r="AE942" s="324"/>
    </row>
    <row r="943" spans="3:31" s="294" customFormat="1">
      <c r="C943" s="10"/>
      <c r="D943" s="29"/>
      <c r="E943" s="36"/>
      <c r="F943" s="324"/>
      <c r="G943" s="324"/>
      <c r="H943" s="324"/>
      <c r="I943" s="324"/>
      <c r="J943" s="324"/>
      <c r="K943" s="324"/>
      <c r="L943" s="324"/>
      <c r="M943" s="324"/>
      <c r="N943" s="324"/>
      <c r="O943" s="324"/>
      <c r="P943" s="324"/>
      <c r="Q943" s="324"/>
      <c r="R943" s="324"/>
      <c r="S943" s="324"/>
      <c r="T943" s="324"/>
      <c r="U943" s="324"/>
      <c r="V943" s="324"/>
      <c r="W943" s="324"/>
      <c r="X943" s="324"/>
      <c r="Y943" s="324"/>
      <c r="Z943" s="324"/>
      <c r="AA943" s="324"/>
      <c r="AB943" s="324"/>
      <c r="AC943" s="324"/>
      <c r="AD943" s="324"/>
      <c r="AE943" s="324"/>
    </row>
    <row r="944" spans="3:31" s="294" customFormat="1">
      <c r="C944" s="10"/>
      <c r="D944" s="29"/>
      <c r="E944" s="36"/>
      <c r="F944" s="324"/>
      <c r="G944" s="324"/>
      <c r="H944" s="324"/>
      <c r="I944" s="324"/>
      <c r="J944" s="324"/>
      <c r="K944" s="324"/>
      <c r="L944" s="324"/>
      <c r="M944" s="324"/>
      <c r="N944" s="324"/>
      <c r="O944" s="324"/>
      <c r="P944" s="324"/>
      <c r="Q944" s="324"/>
      <c r="R944" s="324"/>
      <c r="S944" s="324"/>
      <c r="T944" s="324"/>
      <c r="U944" s="324"/>
      <c r="V944" s="324"/>
      <c r="W944" s="324"/>
      <c r="X944" s="324"/>
      <c r="Y944" s="324"/>
      <c r="Z944" s="324"/>
      <c r="AA944" s="324"/>
      <c r="AB944" s="324"/>
      <c r="AC944" s="324"/>
      <c r="AD944" s="324"/>
      <c r="AE944" s="324"/>
    </row>
    <row r="945" spans="3:31" s="294" customFormat="1">
      <c r="C945" s="10"/>
      <c r="D945" s="29"/>
      <c r="E945" s="36"/>
      <c r="F945" s="324"/>
      <c r="G945" s="324"/>
      <c r="H945" s="324"/>
      <c r="I945" s="324"/>
      <c r="J945" s="324"/>
      <c r="K945" s="324"/>
      <c r="L945" s="324"/>
      <c r="M945" s="324"/>
      <c r="N945" s="324"/>
      <c r="O945" s="324"/>
      <c r="P945" s="324"/>
      <c r="Q945" s="324"/>
      <c r="R945" s="324"/>
      <c r="S945" s="324"/>
      <c r="T945" s="324"/>
      <c r="U945" s="324"/>
      <c r="V945" s="324"/>
      <c r="W945" s="324"/>
      <c r="X945" s="324"/>
      <c r="Y945" s="324"/>
      <c r="Z945" s="324"/>
      <c r="AA945" s="324"/>
      <c r="AB945" s="324"/>
      <c r="AC945" s="324"/>
      <c r="AD945" s="324"/>
      <c r="AE945" s="324"/>
    </row>
    <row r="946" spans="3:31" s="294" customFormat="1">
      <c r="C946" s="10"/>
      <c r="D946" s="29"/>
      <c r="E946" s="36"/>
      <c r="F946" s="324"/>
      <c r="G946" s="324"/>
      <c r="H946" s="324"/>
      <c r="I946" s="324"/>
      <c r="J946" s="324"/>
      <c r="K946" s="324"/>
      <c r="L946" s="324"/>
      <c r="M946" s="324"/>
      <c r="N946" s="324"/>
      <c r="O946" s="324"/>
      <c r="P946" s="324"/>
      <c r="Q946" s="324"/>
      <c r="R946" s="324"/>
      <c r="S946" s="324"/>
      <c r="T946" s="324"/>
      <c r="U946" s="324"/>
      <c r="V946" s="324"/>
      <c r="W946" s="324"/>
      <c r="X946" s="324"/>
      <c r="Y946" s="324"/>
      <c r="Z946" s="324"/>
      <c r="AA946" s="324"/>
      <c r="AB946" s="324"/>
      <c r="AC946" s="324"/>
      <c r="AD946" s="324"/>
      <c r="AE946" s="324"/>
    </row>
    <row r="947" spans="3:31" s="294" customFormat="1">
      <c r="C947" s="10"/>
      <c r="D947" s="29"/>
      <c r="E947" s="36"/>
      <c r="F947" s="324"/>
      <c r="G947" s="324"/>
      <c r="H947" s="324"/>
      <c r="I947" s="324"/>
      <c r="J947" s="324"/>
      <c r="K947" s="324"/>
      <c r="L947" s="324"/>
      <c r="M947" s="324"/>
      <c r="N947" s="324"/>
      <c r="O947" s="324"/>
      <c r="P947" s="324"/>
      <c r="Q947" s="324"/>
      <c r="R947" s="324"/>
      <c r="S947" s="324"/>
      <c r="T947" s="324"/>
      <c r="U947" s="324"/>
      <c r="V947" s="324"/>
      <c r="W947" s="324"/>
      <c r="X947" s="324"/>
      <c r="Y947" s="324"/>
      <c r="Z947" s="324"/>
      <c r="AA947" s="324"/>
      <c r="AB947" s="324"/>
      <c r="AC947" s="324"/>
      <c r="AD947" s="324"/>
      <c r="AE947" s="324"/>
    </row>
    <row r="948" spans="3:31" s="294" customFormat="1">
      <c r="C948" s="10"/>
      <c r="D948" s="29"/>
      <c r="E948" s="36"/>
      <c r="F948" s="324"/>
      <c r="G948" s="324"/>
      <c r="H948" s="324"/>
      <c r="I948" s="324"/>
      <c r="J948" s="324"/>
      <c r="K948" s="324"/>
      <c r="L948" s="324"/>
      <c r="M948" s="324"/>
      <c r="N948" s="324"/>
      <c r="O948" s="324"/>
      <c r="P948" s="324"/>
      <c r="Q948" s="324"/>
      <c r="R948" s="324"/>
      <c r="S948" s="324"/>
      <c r="T948" s="324"/>
      <c r="U948" s="324"/>
      <c r="V948" s="324"/>
      <c r="W948" s="324"/>
      <c r="X948" s="324"/>
      <c r="Y948" s="324"/>
      <c r="Z948" s="324"/>
      <c r="AA948" s="324"/>
      <c r="AB948" s="324"/>
      <c r="AC948" s="324"/>
      <c r="AD948" s="324"/>
      <c r="AE948" s="324"/>
    </row>
    <row r="949" spans="3:31" s="294" customFormat="1">
      <c r="C949" s="10"/>
      <c r="D949" s="29"/>
      <c r="E949" s="36"/>
      <c r="F949" s="324"/>
      <c r="G949" s="324"/>
      <c r="H949" s="324"/>
      <c r="I949" s="324"/>
      <c r="J949" s="324"/>
      <c r="K949" s="324"/>
      <c r="L949" s="324"/>
      <c r="M949" s="324"/>
      <c r="N949" s="324"/>
      <c r="O949" s="324"/>
      <c r="P949" s="324"/>
      <c r="Q949" s="324"/>
      <c r="R949" s="324"/>
      <c r="S949" s="324"/>
      <c r="T949" s="324"/>
      <c r="U949" s="324"/>
      <c r="V949" s="324"/>
      <c r="W949" s="324"/>
      <c r="X949" s="324"/>
      <c r="Y949" s="324"/>
      <c r="Z949" s="324"/>
      <c r="AA949" s="324"/>
      <c r="AB949" s="324"/>
      <c r="AC949" s="324"/>
      <c r="AD949" s="324"/>
      <c r="AE949" s="324"/>
    </row>
    <row r="950" spans="3:31" s="294" customFormat="1">
      <c r="C950" s="10"/>
      <c r="D950" s="29"/>
      <c r="E950" s="36"/>
      <c r="F950" s="324"/>
      <c r="G950" s="324"/>
      <c r="H950" s="324"/>
      <c r="I950" s="324"/>
      <c r="J950" s="324"/>
      <c r="K950" s="324"/>
      <c r="L950" s="324"/>
      <c r="M950" s="324"/>
      <c r="N950" s="324"/>
      <c r="O950" s="324"/>
      <c r="P950" s="324"/>
      <c r="Q950" s="324"/>
      <c r="R950" s="324"/>
      <c r="S950" s="324"/>
      <c r="T950" s="324"/>
      <c r="U950" s="324"/>
      <c r="V950" s="324"/>
      <c r="W950" s="324"/>
      <c r="X950" s="324"/>
      <c r="Y950" s="324"/>
      <c r="Z950" s="324"/>
      <c r="AA950" s="324"/>
      <c r="AB950" s="324"/>
      <c r="AC950" s="324"/>
      <c r="AD950" s="324"/>
      <c r="AE950" s="324"/>
    </row>
    <row r="951" spans="3:31" s="294" customFormat="1">
      <c r="C951" s="10"/>
      <c r="D951" s="29"/>
      <c r="E951" s="36"/>
      <c r="F951" s="324"/>
      <c r="G951" s="324"/>
      <c r="H951" s="324"/>
      <c r="I951" s="324"/>
      <c r="J951" s="324"/>
      <c r="K951" s="324"/>
      <c r="L951" s="324"/>
      <c r="M951" s="324"/>
      <c r="N951" s="324"/>
      <c r="O951" s="324"/>
      <c r="P951" s="324"/>
      <c r="Q951" s="324"/>
      <c r="R951" s="324"/>
      <c r="S951" s="324"/>
      <c r="T951" s="324"/>
      <c r="U951" s="324"/>
      <c r="V951" s="324"/>
      <c r="W951" s="324"/>
      <c r="X951" s="324"/>
      <c r="Y951" s="324"/>
      <c r="Z951" s="324"/>
      <c r="AA951" s="324"/>
      <c r="AB951" s="324"/>
      <c r="AC951" s="324"/>
      <c r="AD951" s="324"/>
      <c r="AE951" s="324"/>
    </row>
    <row r="952" spans="3:31" s="294" customFormat="1">
      <c r="C952" s="10"/>
      <c r="D952" s="29"/>
      <c r="E952" s="36"/>
      <c r="F952" s="324"/>
      <c r="G952" s="324"/>
      <c r="H952" s="324"/>
      <c r="I952" s="324"/>
      <c r="J952" s="324"/>
      <c r="K952" s="324"/>
      <c r="L952" s="324"/>
      <c r="M952" s="324"/>
      <c r="N952" s="324"/>
      <c r="O952" s="324"/>
      <c r="P952" s="324"/>
      <c r="Q952" s="324"/>
      <c r="R952" s="324"/>
      <c r="S952" s="324"/>
      <c r="T952" s="324"/>
      <c r="U952" s="324"/>
      <c r="V952" s="324"/>
      <c r="W952" s="324"/>
      <c r="X952" s="324"/>
      <c r="Y952" s="324"/>
      <c r="Z952" s="324"/>
      <c r="AA952" s="324"/>
      <c r="AB952" s="324"/>
      <c r="AC952" s="324"/>
      <c r="AD952" s="324"/>
      <c r="AE952" s="324"/>
    </row>
    <row r="953" spans="3:31" s="294" customFormat="1">
      <c r="C953" s="10"/>
      <c r="D953" s="29"/>
      <c r="E953" s="36"/>
      <c r="F953" s="324"/>
      <c r="G953" s="324"/>
      <c r="H953" s="324"/>
      <c r="I953" s="324"/>
      <c r="J953" s="324"/>
      <c r="K953" s="324"/>
      <c r="L953" s="324"/>
      <c r="M953" s="324"/>
      <c r="N953" s="324"/>
      <c r="O953" s="324"/>
      <c r="P953" s="324"/>
      <c r="Q953" s="324"/>
      <c r="R953" s="324"/>
      <c r="S953" s="324"/>
      <c r="T953" s="324"/>
      <c r="U953" s="324"/>
      <c r="V953" s="324"/>
      <c r="W953" s="324"/>
      <c r="X953" s="324"/>
      <c r="Y953" s="324"/>
      <c r="Z953" s="324"/>
      <c r="AA953" s="324"/>
      <c r="AB953" s="324"/>
      <c r="AC953" s="324"/>
      <c r="AD953" s="324"/>
      <c r="AE953" s="324"/>
    </row>
    <row r="954" spans="3:31" s="294" customFormat="1">
      <c r="C954" s="10"/>
      <c r="D954" s="29"/>
      <c r="E954" s="36"/>
      <c r="F954" s="324"/>
      <c r="G954" s="324"/>
      <c r="H954" s="324"/>
      <c r="I954" s="324"/>
      <c r="J954" s="324"/>
      <c r="K954" s="324"/>
      <c r="L954" s="324"/>
      <c r="M954" s="324"/>
      <c r="N954" s="324"/>
      <c r="O954" s="324"/>
      <c r="P954" s="324"/>
      <c r="Q954" s="324"/>
      <c r="R954" s="324"/>
      <c r="S954" s="324"/>
      <c r="T954" s="324"/>
      <c r="U954" s="324"/>
      <c r="V954" s="324"/>
      <c r="W954" s="324"/>
      <c r="X954" s="324"/>
      <c r="Y954" s="324"/>
      <c r="Z954" s="324"/>
      <c r="AA954" s="324"/>
      <c r="AB954" s="324"/>
      <c r="AC954" s="324"/>
      <c r="AD954" s="324"/>
      <c r="AE954" s="324"/>
    </row>
    <row r="955" spans="3:31" s="294" customFormat="1">
      <c r="C955" s="10"/>
      <c r="D955" s="29"/>
      <c r="E955" s="36"/>
      <c r="F955" s="324"/>
      <c r="G955" s="324"/>
      <c r="H955" s="324"/>
      <c r="I955" s="324"/>
      <c r="J955" s="324"/>
      <c r="K955" s="324"/>
      <c r="L955" s="324"/>
      <c r="M955" s="324"/>
      <c r="N955" s="324"/>
      <c r="O955" s="324"/>
      <c r="P955" s="324"/>
      <c r="Q955" s="324"/>
      <c r="R955" s="324"/>
      <c r="S955" s="324"/>
      <c r="T955" s="324"/>
      <c r="U955" s="324"/>
      <c r="V955" s="324"/>
      <c r="W955" s="324"/>
      <c r="X955" s="324"/>
      <c r="Y955" s="324"/>
      <c r="Z955" s="324"/>
      <c r="AA955" s="324"/>
      <c r="AB955" s="324"/>
      <c r="AC955" s="324"/>
      <c r="AD955" s="324"/>
      <c r="AE955" s="324"/>
    </row>
    <row r="956" spans="3:31" s="294" customFormat="1">
      <c r="C956" s="10"/>
      <c r="D956" s="29"/>
      <c r="E956" s="36"/>
      <c r="F956" s="324"/>
      <c r="G956" s="324"/>
      <c r="H956" s="324"/>
      <c r="I956" s="324"/>
      <c r="J956" s="324"/>
      <c r="K956" s="324"/>
      <c r="L956" s="324"/>
      <c r="M956" s="324"/>
      <c r="N956" s="324"/>
      <c r="O956" s="324"/>
      <c r="P956" s="324"/>
      <c r="Q956" s="324"/>
      <c r="R956" s="324"/>
      <c r="S956" s="324"/>
      <c r="T956" s="324"/>
      <c r="U956" s="324"/>
      <c r="V956" s="324"/>
      <c r="W956" s="324"/>
      <c r="X956" s="324"/>
      <c r="Y956" s="324"/>
      <c r="Z956" s="324"/>
      <c r="AA956" s="324"/>
      <c r="AB956" s="324"/>
      <c r="AC956" s="324"/>
      <c r="AD956" s="324"/>
      <c r="AE956" s="324"/>
    </row>
    <row r="957" spans="3:31" s="294" customFormat="1">
      <c r="C957" s="10"/>
      <c r="D957" s="29"/>
      <c r="E957" s="36"/>
      <c r="F957" s="324"/>
      <c r="G957" s="324"/>
      <c r="H957" s="324"/>
      <c r="I957" s="324"/>
      <c r="J957" s="324"/>
      <c r="K957" s="324"/>
      <c r="L957" s="324"/>
      <c r="M957" s="324"/>
      <c r="N957" s="324"/>
      <c r="O957" s="324"/>
      <c r="P957" s="324"/>
      <c r="Q957" s="324"/>
      <c r="R957" s="324"/>
      <c r="S957" s="324"/>
      <c r="T957" s="324"/>
      <c r="U957" s="324"/>
      <c r="V957" s="324"/>
      <c r="W957" s="324"/>
      <c r="X957" s="324"/>
      <c r="Y957" s="324"/>
      <c r="Z957" s="324"/>
      <c r="AA957" s="324"/>
      <c r="AB957" s="324"/>
      <c r="AC957" s="324"/>
      <c r="AD957" s="324"/>
      <c r="AE957" s="324"/>
    </row>
    <row r="958" spans="3:31" s="294" customFormat="1">
      <c r="C958" s="10"/>
      <c r="D958" s="29"/>
      <c r="E958" s="36"/>
      <c r="F958" s="324"/>
      <c r="G958" s="324"/>
      <c r="H958" s="324"/>
      <c r="I958" s="324"/>
      <c r="J958" s="324"/>
      <c r="K958" s="324"/>
      <c r="L958" s="324"/>
      <c r="M958" s="324"/>
      <c r="N958" s="324"/>
      <c r="O958" s="324"/>
      <c r="P958" s="324"/>
      <c r="Q958" s="324"/>
      <c r="R958" s="324"/>
      <c r="S958" s="324"/>
      <c r="T958" s="324"/>
      <c r="U958" s="324"/>
      <c r="V958" s="324"/>
      <c r="W958" s="324"/>
      <c r="X958" s="324"/>
      <c r="Y958" s="324"/>
      <c r="Z958" s="324"/>
      <c r="AA958" s="324"/>
      <c r="AB958" s="324"/>
      <c r="AC958" s="324"/>
      <c r="AD958" s="324"/>
      <c r="AE958" s="324"/>
    </row>
    <row r="959" spans="3:31" s="294" customFormat="1">
      <c r="C959" s="10"/>
      <c r="D959" s="29"/>
      <c r="E959" s="36"/>
      <c r="F959" s="324"/>
      <c r="G959" s="324"/>
      <c r="H959" s="324"/>
      <c r="I959" s="324"/>
      <c r="J959" s="324"/>
      <c r="K959" s="324"/>
      <c r="L959" s="324"/>
      <c r="M959" s="324"/>
      <c r="N959" s="324"/>
      <c r="O959" s="324"/>
      <c r="P959" s="324"/>
      <c r="Q959" s="324"/>
      <c r="R959" s="324"/>
      <c r="S959" s="324"/>
      <c r="T959" s="324"/>
      <c r="U959" s="324"/>
      <c r="V959" s="324"/>
      <c r="W959" s="324"/>
      <c r="X959" s="324"/>
      <c r="Y959" s="324"/>
      <c r="Z959" s="324"/>
      <c r="AA959" s="324"/>
      <c r="AB959" s="324"/>
      <c r="AC959" s="324"/>
      <c r="AD959" s="324"/>
      <c r="AE959" s="324"/>
    </row>
    <row r="960" spans="3:31" s="294" customFormat="1">
      <c r="C960" s="10"/>
      <c r="D960" s="29"/>
      <c r="E960" s="36"/>
      <c r="F960" s="324"/>
      <c r="G960" s="324"/>
      <c r="H960" s="324"/>
      <c r="I960" s="324"/>
      <c r="J960" s="324"/>
      <c r="K960" s="324"/>
      <c r="L960" s="324"/>
      <c r="M960" s="324"/>
      <c r="N960" s="324"/>
      <c r="O960" s="324"/>
      <c r="P960" s="324"/>
      <c r="Q960" s="324"/>
      <c r="R960" s="324"/>
      <c r="S960" s="324"/>
      <c r="T960" s="324"/>
      <c r="U960" s="324"/>
      <c r="V960" s="324"/>
      <c r="W960" s="324"/>
      <c r="X960" s="324"/>
      <c r="Y960" s="324"/>
      <c r="Z960" s="324"/>
      <c r="AA960" s="324"/>
      <c r="AB960" s="324"/>
      <c r="AC960" s="324"/>
      <c r="AD960" s="324"/>
      <c r="AE960" s="324"/>
    </row>
    <row r="961" spans="3:31" s="294" customFormat="1">
      <c r="C961" s="10"/>
      <c r="D961" s="29"/>
      <c r="E961" s="36"/>
      <c r="F961" s="324"/>
      <c r="G961" s="324"/>
      <c r="H961" s="324"/>
      <c r="I961" s="324"/>
      <c r="J961" s="324"/>
      <c r="K961" s="324"/>
      <c r="L961" s="324"/>
      <c r="M961" s="324"/>
      <c r="N961" s="324"/>
      <c r="O961" s="324"/>
      <c r="P961" s="324"/>
      <c r="Q961" s="324"/>
      <c r="R961" s="324"/>
      <c r="S961" s="324"/>
      <c r="T961" s="324"/>
      <c r="U961" s="324"/>
      <c r="V961" s="324"/>
      <c r="W961" s="324"/>
      <c r="X961" s="324"/>
      <c r="Y961" s="324"/>
      <c r="Z961" s="324"/>
      <c r="AA961" s="324"/>
      <c r="AB961" s="324"/>
      <c r="AC961" s="324"/>
      <c r="AD961" s="324"/>
      <c r="AE961" s="324"/>
    </row>
    <row r="962" spans="3:31" s="294" customFormat="1">
      <c r="C962" s="10"/>
      <c r="D962" s="29"/>
      <c r="E962" s="36"/>
      <c r="F962" s="324"/>
      <c r="G962" s="324"/>
      <c r="H962" s="324"/>
      <c r="I962" s="324"/>
      <c r="J962" s="324"/>
      <c r="K962" s="324"/>
      <c r="L962" s="324"/>
      <c r="M962" s="324"/>
      <c r="N962" s="324"/>
      <c r="O962" s="324"/>
      <c r="P962" s="324"/>
      <c r="Q962" s="324"/>
      <c r="R962" s="324"/>
      <c r="S962" s="324"/>
      <c r="T962" s="324"/>
      <c r="U962" s="324"/>
      <c r="V962" s="324"/>
      <c r="W962" s="324"/>
      <c r="X962" s="324"/>
      <c r="Y962" s="324"/>
      <c r="Z962" s="324"/>
      <c r="AA962" s="324"/>
      <c r="AB962" s="324"/>
      <c r="AC962" s="324"/>
      <c r="AD962" s="324"/>
      <c r="AE962" s="324"/>
    </row>
    <row r="963" spans="3:31" s="294" customFormat="1">
      <c r="C963" s="10"/>
      <c r="D963" s="29"/>
      <c r="E963" s="36"/>
      <c r="F963" s="324"/>
      <c r="G963" s="324"/>
      <c r="H963" s="324"/>
      <c r="I963" s="324"/>
      <c r="J963" s="324"/>
      <c r="K963" s="324"/>
      <c r="L963" s="324"/>
      <c r="M963" s="324"/>
      <c r="N963" s="324"/>
      <c r="O963" s="324"/>
      <c r="P963" s="324"/>
      <c r="Q963" s="324"/>
      <c r="R963" s="324"/>
      <c r="S963" s="324"/>
      <c r="T963" s="324"/>
      <c r="U963" s="324"/>
      <c r="V963" s="324"/>
      <c r="W963" s="324"/>
      <c r="X963" s="324"/>
      <c r="Y963" s="324"/>
      <c r="Z963" s="324"/>
      <c r="AA963" s="324"/>
      <c r="AB963" s="324"/>
      <c r="AC963" s="324"/>
      <c r="AD963" s="324"/>
      <c r="AE963" s="324"/>
    </row>
    <row r="964" spans="3:31" s="294" customFormat="1">
      <c r="C964" s="10"/>
      <c r="D964" s="29"/>
      <c r="E964" s="36"/>
      <c r="F964" s="324"/>
      <c r="G964" s="324"/>
      <c r="H964" s="324"/>
      <c r="I964" s="324"/>
      <c r="J964" s="324"/>
      <c r="K964" s="324"/>
      <c r="L964" s="324"/>
      <c r="M964" s="324"/>
      <c r="N964" s="324"/>
      <c r="O964" s="324"/>
      <c r="P964" s="324"/>
      <c r="Q964" s="324"/>
      <c r="R964" s="324"/>
      <c r="S964" s="324"/>
      <c r="T964" s="324"/>
      <c r="U964" s="324"/>
      <c r="V964" s="324"/>
      <c r="W964" s="324"/>
      <c r="X964" s="324"/>
      <c r="Y964" s="324"/>
      <c r="Z964" s="324"/>
      <c r="AA964" s="324"/>
      <c r="AB964" s="324"/>
      <c r="AC964" s="324"/>
      <c r="AD964" s="324"/>
      <c r="AE964" s="324"/>
    </row>
    <row r="965" spans="3:31" s="294" customFormat="1">
      <c r="C965" s="10"/>
      <c r="D965" s="29"/>
      <c r="E965" s="36"/>
      <c r="F965" s="324"/>
      <c r="G965" s="324"/>
      <c r="H965" s="324"/>
      <c r="I965" s="324"/>
      <c r="J965" s="324"/>
      <c r="K965" s="324"/>
      <c r="L965" s="324"/>
      <c r="M965" s="324"/>
      <c r="N965" s="324"/>
      <c r="O965" s="324"/>
      <c r="P965" s="324"/>
      <c r="Q965" s="324"/>
      <c r="R965" s="324"/>
      <c r="S965" s="324"/>
      <c r="T965" s="324"/>
      <c r="U965" s="324"/>
      <c r="V965" s="324"/>
      <c r="W965" s="324"/>
      <c r="X965" s="324"/>
      <c r="Y965" s="324"/>
      <c r="Z965" s="324"/>
      <c r="AA965" s="324"/>
      <c r="AB965" s="324"/>
      <c r="AC965" s="324"/>
      <c r="AD965" s="324"/>
      <c r="AE965" s="324"/>
    </row>
    <row r="966" spans="3:31" s="294" customFormat="1">
      <c r="C966" s="10"/>
      <c r="D966" s="29"/>
      <c r="E966" s="36"/>
      <c r="F966" s="324"/>
      <c r="G966" s="324"/>
      <c r="H966" s="324"/>
      <c r="I966" s="324"/>
      <c r="J966" s="324"/>
      <c r="K966" s="324"/>
      <c r="L966" s="324"/>
      <c r="M966" s="324"/>
      <c r="N966" s="324"/>
      <c r="O966" s="324"/>
      <c r="P966" s="324"/>
      <c r="Q966" s="324"/>
      <c r="R966" s="324"/>
      <c r="S966" s="324"/>
      <c r="T966" s="324"/>
      <c r="U966" s="324"/>
      <c r="V966" s="324"/>
      <c r="W966" s="324"/>
      <c r="X966" s="324"/>
      <c r="Y966" s="324"/>
      <c r="Z966" s="324"/>
      <c r="AA966" s="324"/>
      <c r="AB966" s="324"/>
      <c r="AC966" s="324"/>
      <c r="AD966" s="324"/>
      <c r="AE966" s="324"/>
    </row>
    <row r="967" spans="3:31" s="294" customFormat="1">
      <c r="C967" s="10"/>
      <c r="D967" s="29"/>
      <c r="E967" s="36"/>
      <c r="F967" s="324"/>
      <c r="G967" s="324"/>
      <c r="H967" s="324"/>
      <c r="I967" s="324"/>
      <c r="J967" s="324"/>
      <c r="K967" s="324"/>
      <c r="L967" s="324"/>
      <c r="M967" s="324"/>
      <c r="N967" s="324"/>
      <c r="O967" s="324"/>
      <c r="P967" s="324"/>
      <c r="Q967" s="324"/>
      <c r="R967" s="324"/>
      <c r="S967" s="324"/>
      <c r="T967" s="324"/>
      <c r="U967" s="324"/>
      <c r="V967" s="324"/>
      <c r="W967" s="324"/>
      <c r="X967" s="324"/>
      <c r="Y967" s="324"/>
      <c r="Z967" s="324"/>
      <c r="AA967" s="324"/>
      <c r="AB967" s="324"/>
      <c r="AC967" s="324"/>
      <c r="AD967" s="324"/>
      <c r="AE967" s="324"/>
    </row>
    <row r="968" spans="3:31" s="294" customFormat="1">
      <c r="C968" s="10"/>
      <c r="D968" s="29"/>
      <c r="E968" s="36"/>
      <c r="F968" s="324"/>
      <c r="G968" s="324"/>
      <c r="H968" s="324"/>
      <c r="I968" s="324"/>
      <c r="J968" s="324"/>
      <c r="K968" s="324"/>
      <c r="L968" s="324"/>
      <c r="M968" s="324"/>
      <c r="N968" s="324"/>
      <c r="O968" s="324"/>
      <c r="P968" s="324"/>
      <c r="Q968" s="324"/>
      <c r="R968" s="324"/>
      <c r="S968" s="324"/>
      <c r="T968" s="324"/>
      <c r="U968" s="324"/>
      <c r="V968" s="324"/>
      <c r="W968" s="324"/>
      <c r="X968" s="324"/>
      <c r="Y968" s="324"/>
      <c r="Z968" s="324"/>
      <c r="AA968" s="324"/>
      <c r="AB968" s="324"/>
      <c r="AC968" s="324"/>
      <c r="AD968" s="324"/>
      <c r="AE968" s="324"/>
    </row>
    <row r="969" spans="3:31" s="294" customFormat="1">
      <c r="C969" s="10"/>
      <c r="D969" s="29"/>
      <c r="E969" s="36"/>
      <c r="F969" s="324"/>
      <c r="G969" s="324"/>
      <c r="H969" s="324"/>
      <c r="I969" s="324"/>
      <c r="J969" s="324"/>
      <c r="K969" s="324"/>
      <c r="L969" s="324"/>
      <c r="M969" s="324"/>
      <c r="N969" s="324"/>
      <c r="O969" s="324"/>
      <c r="P969" s="324"/>
      <c r="Q969" s="324"/>
      <c r="R969" s="324"/>
      <c r="S969" s="324"/>
      <c r="T969" s="324"/>
      <c r="U969" s="324"/>
      <c r="V969" s="324"/>
      <c r="W969" s="324"/>
      <c r="X969" s="324"/>
      <c r="Y969" s="324"/>
      <c r="Z969" s="324"/>
      <c r="AA969" s="324"/>
      <c r="AB969" s="324"/>
      <c r="AC969" s="324"/>
      <c r="AD969" s="324"/>
      <c r="AE969" s="324"/>
    </row>
    <row r="970" spans="3:31" s="294" customFormat="1">
      <c r="C970" s="10"/>
      <c r="D970" s="29"/>
      <c r="E970" s="36"/>
      <c r="F970" s="324"/>
      <c r="G970" s="324"/>
      <c r="H970" s="324"/>
      <c r="I970" s="324"/>
      <c r="J970" s="324"/>
      <c r="K970" s="324"/>
      <c r="L970" s="324"/>
      <c r="M970" s="324"/>
      <c r="N970" s="324"/>
      <c r="O970" s="324"/>
      <c r="P970" s="324"/>
      <c r="Q970" s="324"/>
      <c r="R970" s="324"/>
      <c r="S970" s="324"/>
      <c r="T970" s="324"/>
      <c r="U970" s="324"/>
      <c r="V970" s="324"/>
      <c r="W970" s="324"/>
      <c r="X970" s="324"/>
      <c r="Y970" s="324"/>
      <c r="Z970" s="324"/>
      <c r="AA970" s="324"/>
      <c r="AB970" s="324"/>
      <c r="AC970" s="324"/>
      <c r="AD970" s="324"/>
      <c r="AE970" s="324"/>
    </row>
    <row r="971" spans="3:31" s="294" customFormat="1">
      <c r="C971" s="10"/>
      <c r="D971" s="29"/>
      <c r="E971" s="36"/>
      <c r="F971" s="324"/>
      <c r="G971" s="324"/>
      <c r="H971" s="324"/>
      <c r="I971" s="324"/>
      <c r="J971" s="324"/>
      <c r="K971" s="324"/>
      <c r="L971" s="324"/>
      <c r="M971" s="324"/>
      <c r="N971" s="324"/>
      <c r="O971" s="324"/>
      <c r="P971" s="324"/>
      <c r="Q971" s="324"/>
      <c r="R971" s="324"/>
      <c r="S971" s="324"/>
      <c r="T971" s="324"/>
      <c r="U971" s="324"/>
      <c r="V971" s="324"/>
      <c r="W971" s="324"/>
      <c r="X971" s="324"/>
      <c r="Y971" s="324"/>
      <c r="Z971" s="324"/>
      <c r="AA971" s="324"/>
      <c r="AB971" s="324"/>
      <c r="AC971" s="324"/>
      <c r="AD971" s="324"/>
      <c r="AE971" s="324"/>
    </row>
    <row r="972" spans="3:31" s="294" customFormat="1">
      <c r="C972" s="10"/>
      <c r="D972" s="29"/>
      <c r="E972" s="36"/>
      <c r="F972" s="324"/>
      <c r="G972" s="324"/>
      <c r="H972" s="324"/>
      <c r="I972" s="324"/>
      <c r="J972" s="324"/>
      <c r="K972" s="324"/>
      <c r="L972" s="324"/>
      <c r="M972" s="324"/>
      <c r="N972" s="324"/>
      <c r="O972" s="324"/>
      <c r="P972" s="324"/>
      <c r="Q972" s="324"/>
      <c r="R972" s="324"/>
      <c r="S972" s="324"/>
      <c r="T972" s="324"/>
      <c r="U972" s="324"/>
      <c r="V972" s="324"/>
      <c r="W972" s="324"/>
      <c r="X972" s="324"/>
      <c r="Y972" s="324"/>
      <c r="Z972" s="324"/>
      <c r="AA972" s="324"/>
      <c r="AB972" s="324"/>
      <c r="AC972" s="324"/>
      <c r="AD972" s="324"/>
      <c r="AE972" s="324"/>
    </row>
    <row r="973" spans="3:31" s="294" customFormat="1">
      <c r="C973" s="10"/>
      <c r="D973" s="29"/>
      <c r="E973" s="36"/>
      <c r="F973" s="324"/>
      <c r="G973" s="324"/>
      <c r="H973" s="324"/>
      <c r="I973" s="324"/>
      <c r="J973" s="324"/>
      <c r="K973" s="324"/>
      <c r="L973" s="324"/>
      <c r="M973" s="324"/>
      <c r="N973" s="324"/>
      <c r="O973" s="324"/>
      <c r="P973" s="324"/>
      <c r="Q973" s="324"/>
      <c r="R973" s="324"/>
      <c r="S973" s="324"/>
      <c r="T973" s="324"/>
      <c r="U973" s="324"/>
      <c r="V973" s="324"/>
      <c r="W973" s="324"/>
      <c r="X973" s="324"/>
      <c r="Y973" s="324"/>
      <c r="Z973" s="324"/>
      <c r="AA973" s="324"/>
      <c r="AB973" s="324"/>
      <c r="AC973" s="324"/>
      <c r="AD973" s="324"/>
      <c r="AE973" s="324"/>
    </row>
    <row r="974" spans="3:31" s="294" customFormat="1">
      <c r="C974" s="10"/>
      <c r="D974" s="29"/>
      <c r="E974" s="36"/>
      <c r="F974" s="324"/>
      <c r="G974" s="324"/>
      <c r="H974" s="324"/>
      <c r="I974" s="324"/>
      <c r="J974" s="324"/>
      <c r="K974" s="324"/>
      <c r="L974" s="324"/>
      <c r="M974" s="324"/>
      <c r="N974" s="324"/>
      <c r="O974" s="324"/>
      <c r="P974" s="324"/>
      <c r="Q974" s="324"/>
      <c r="R974" s="324"/>
      <c r="S974" s="324"/>
      <c r="T974" s="324"/>
      <c r="U974" s="324"/>
      <c r="V974" s="324"/>
      <c r="W974" s="324"/>
      <c r="X974" s="324"/>
      <c r="Y974" s="324"/>
      <c r="Z974" s="324"/>
      <c r="AA974" s="324"/>
      <c r="AB974" s="324"/>
      <c r="AC974" s="324"/>
      <c r="AD974" s="324"/>
      <c r="AE974" s="324"/>
    </row>
    <row r="975" spans="3:31" s="294" customFormat="1">
      <c r="C975" s="10"/>
      <c r="D975" s="29"/>
      <c r="E975" s="36"/>
      <c r="F975" s="324"/>
      <c r="G975" s="324"/>
      <c r="H975" s="324"/>
      <c r="I975" s="324"/>
      <c r="J975" s="324"/>
      <c r="K975" s="324"/>
      <c r="L975" s="324"/>
      <c r="M975" s="324"/>
      <c r="N975" s="324"/>
      <c r="O975" s="324"/>
      <c r="P975" s="324"/>
      <c r="Q975" s="324"/>
      <c r="R975" s="324"/>
      <c r="S975" s="324"/>
      <c r="T975" s="324"/>
      <c r="U975" s="324"/>
      <c r="V975" s="324"/>
      <c r="W975" s="324"/>
      <c r="X975" s="324"/>
      <c r="Y975" s="324"/>
      <c r="Z975" s="324"/>
      <c r="AA975" s="324"/>
      <c r="AB975" s="324"/>
      <c r="AC975" s="324"/>
      <c r="AD975" s="324"/>
      <c r="AE975" s="324"/>
    </row>
    <row r="976" spans="3:31" s="294" customFormat="1">
      <c r="C976" s="10"/>
      <c r="D976" s="29"/>
      <c r="E976" s="36"/>
      <c r="F976" s="324"/>
      <c r="G976" s="324"/>
      <c r="H976" s="324"/>
      <c r="I976" s="324"/>
      <c r="J976" s="324"/>
      <c r="K976" s="324"/>
      <c r="L976" s="324"/>
      <c r="M976" s="324"/>
      <c r="N976" s="324"/>
      <c r="O976" s="324"/>
      <c r="P976" s="324"/>
      <c r="Q976" s="324"/>
      <c r="R976" s="324"/>
      <c r="S976" s="324"/>
      <c r="T976" s="324"/>
      <c r="U976" s="324"/>
      <c r="V976" s="324"/>
      <c r="W976" s="324"/>
      <c r="X976" s="324"/>
      <c r="Y976" s="324"/>
      <c r="Z976" s="324"/>
      <c r="AA976" s="324"/>
      <c r="AB976" s="324"/>
      <c r="AC976" s="324"/>
      <c r="AD976" s="324"/>
      <c r="AE976" s="324"/>
    </row>
    <row r="977" spans="3:31" s="294" customFormat="1">
      <c r="C977" s="10"/>
      <c r="D977" s="29"/>
      <c r="E977" s="36"/>
      <c r="F977" s="324"/>
      <c r="G977" s="324"/>
      <c r="H977" s="324"/>
      <c r="I977" s="324"/>
      <c r="J977" s="324"/>
      <c r="K977" s="324"/>
      <c r="L977" s="324"/>
      <c r="M977" s="324"/>
      <c r="N977" s="324"/>
      <c r="O977" s="324"/>
      <c r="P977" s="324"/>
      <c r="Q977" s="324"/>
      <c r="R977" s="324"/>
      <c r="S977" s="324"/>
      <c r="T977" s="324"/>
      <c r="U977" s="324"/>
      <c r="V977" s="324"/>
      <c r="W977" s="324"/>
      <c r="X977" s="324"/>
      <c r="Y977" s="324"/>
      <c r="Z977" s="324"/>
      <c r="AA977" s="324"/>
      <c r="AB977" s="324"/>
      <c r="AC977" s="324"/>
      <c r="AD977" s="324"/>
      <c r="AE977" s="324"/>
    </row>
    <row r="978" spans="3:31" s="294" customFormat="1">
      <c r="C978" s="10"/>
      <c r="D978" s="29"/>
      <c r="E978" s="36"/>
      <c r="F978" s="324"/>
      <c r="G978" s="324"/>
      <c r="H978" s="324"/>
      <c r="I978" s="324"/>
      <c r="J978" s="324"/>
      <c r="K978" s="324"/>
      <c r="L978" s="324"/>
      <c r="M978" s="324"/>
      <c r="N978" s="324"/>
      <c r="O978" s="324"/>
      <c r="P978" s="324"/>
      <c r="Q978" s="324"/>
      <c r="R978" s="324"/>
      <c r="S978" s="324"/>
      <c r="T978" s="324"/>
      <c r="U978" s="324"/>
      <c r="V978" s="324"/>
      <c r="W978" s="324"/>
      <c r="X978" s="324"/>
      <c r="Y978" s="324"/>
      <c r="Z978" s="324"/>
      <c r="AA978" s="324"/>
      <c r="AB978" s="324"/>
      <c r="AC978" s="324"/>
      <c r="AD978" s="324"/>
      <c r="AE978" s="324"/>
    </row>
    <row r="979" spans="3:31" s="294" customFormat="1">
      <c r="C979" s="10"/>
      <c r="D979" s="29"/>
      <c r="E979" s="36"/>
      <c r="F979" s="324"/>
      <c r="G979" s="324"/>
      <c r="H979" s="324"/>
      <c r="I979" s="324"/>
      <c r="J979" s="324"/>
      <c r="K979" s="324"/>
      <c r="L979" s="324"/>
      <c r="M979" s="324"/>
      <c r="N979" s="324"/>
      <c r="O979" s="324"/>
      <c r="P979" s="324"/>
      <c r="Q979" s="324"/>
      <c r="R979" s="324"/>
      <c r="S979" s="324"/>
      <c r="T979" s="324"/>
      <c r="U979" s="324"/>
      <c r="V979" s="324"/>
      <c r="W979" s="324"/>
      <c r="X979" s="324"/>
      <c r="Y979" s="324"/>
      <c r="Z979" s="324"/>
      <c r="AA979" s="324"/>
      <c r="AB979" s="324"/>
      <c r="AC979" s="324"/>
      <c r="AD979" s="324"/>
      <c r="AE979" s="324"/>
    </row>
    <row r="980" spans="3:31" s="294" customFormat="1">
      <c r="C980" s="10"/>
      <c r="D980" s="29"/>
      <c r="E980" s="36"/>
      <c r="F980" s="324"/>
      <c r="G980" s="324"/>
      <c r="H980" s="324"/>
      <c r="I980" s="324"/>
      <c r="J980" s="324"/>
      <c r="K980" s="324"/>
      <c r="L980" s="324"/>
      <c r="M980" s="324"/>
      <c r="N980" s="324"/>
      <c r="O980" s="324"/>
      <c r="P980" s="324"/>
      <c r="Q980" s="324"/>
      <c r="R980" s="324"/>
      <c r="S980" s="324"/>
      <c r="T980" s="324"/>
      <c r="U980" s="324"/>
      <c r="V980" s="324"/>
      <c r="W980" s="324"/>
      <c r="X980" s="324"/>
      <c r="Y980" s="324"/>
      <c r="Z980" s="324"/>
      <c r="AA980" s="324"/>
      <c r="AB980" s="324"/>
      <c r="AC980" s="324"/>
      <c r="AD980" s="324"/>
      <c r="AE980" s="324"/>
    </row>
    <row r="981" spans="3:31" s="294" customFormat="1">
      <c r="C981" s="10"/>
      <c r="D981" s="29"/>
      <c r="E981" s="36"/>
      <c r="F981" s="324"/>
      <c r="G981" s="324"/>
      <c r="H981" s="324"/>
      <c r="I981" s="324"/>
      <c r="J981" s="324"/>
      <c r="K981" s="324"/>
      <c r="L981" s="324"/>
      <c r="M981" s="324"/>
      <c r="N981" s="324"/>
      <c r="O981" s="324"/>
      <c r="P981" s="324"/>
      <c r="Q981" s="324"/>
      <c r="R981" s="324"/>
      <c r="S981" s="324"/>
      <c r="T981" s="324"/>
      <c r="U981" s="324"/>
      <c r="V981" s="324"/>
      <c r="W981" s="324"/>
      <c r="X981" s="324"/>
      <c r="Y981" s="324"/>
      <c r="Z981" s="324"/>
      <c r="AA981" s="324"/>
      <c r="AB981" s="324"/>
      <c r="AC981" s="324"/>
      <c r="AD981" s="324"/>
      <c r="AE981" s="324"/>
    </row>
    <row r="982" spans="3:31" s="294" customFormat="1">
      <c r="C982" s="10"/>
      <c r="D982" s="29"/>
      <c r="E982" s="36"/>
      <c r="F982" s="324"/>
      <c r="G982" s="324"/>
      <c r="H982" s="324"/>
      <c r="I982" s="324"/>
      <c r="J982" s="324"/>
      <c r="K982" s="324"/>
      <c r="L982" s="324"/>
      <c r="M982" s="324"/>
      <c r="N982" s="324"/>
      <c r="O982" s="324"/>
      <c r="P982" s="324"/>
      <c r="Q982" s="324"/>
      <c r="R982" s="324"/>
      <c r="S982" s="324"/>
      <c r="T982" s="324"/>
      <c r="U982" s="324"/>
      <c r="V982" s="324"/>
      <c r="W982" s="324"/>
      <c r="X982" s="324"/>
      <c r="Y982" s="324"/>
      <c r="Z982" s="324"/>
      <c r="AA982" s="324"/>
      <c r="AB982" s="324"/>
      <c r="AC982" s="324"/>
      <c r="AD982" s="324"/>
      <c r="AE982" s="324"/>
    </row>
    <row r="983" spans="3:31" s="294" customFormat="1">
      <c r="C983" s="10"/>
      <c r="D983" s="29"/>
      <c r="E983" s="36"/>
      <c r="F983" s="324"/>
      <c r="G983" s="324"/>
      <c r="H983" s="324"/>
      <c r="I983" s="324"/>
      <c r="J983" s="324"/>
      <c r="K983" s="324"/>
      <c r="L983" s="324"/>
      <c r="M983" s="324"/>
      <c r="N983" s="324"/>
      <c r="O983" s="324"/>
      <c r="P983" s="324"/>
      <c r="Q983" s="324"/>
      <c r="R983" s="324"/>
      <c r="S983" s="324"/>
      <c r="T983" s="324"/>
      <c r="U983" s="324"/>
      <c r="V983" s="324"/>
      <c r="W983" s="324"/>
      <c r="X983" s="324"/>
      <c r="Y983" s="324"/>
      <c r="Z983" s="324"/>
      <c r="AA983" s="324"/>
      <c r="AB983" s="324"/>
      <c r="AC983" s="324"/>
      <c r="AD983" s="324"/>
      <c r="AE983" s="324"/>
    </row>
    <row r="984" spans="3:31" s="294" customFormat="1">
      <c r="C984" s="10"/>
      <c r="D984" s="29"/>
      <c r="E984" s="36"/>
      <c r="F984" s="324"/>
      <c r="G984" s="324"/>
      <c r="H984" s="324"/>
      <c r="I984" s="324"/>
      <c r="J984" s="324"/>
      <c r="K984" s="324"/>
      <c r="L984" s="324"/>
      <c r="M984" s="324"/>
      <c r="N984" s="324"/>
      <c r="O984" s="324"/>
      <c r="P984" s="324"/>
      <c r="Q984" s="324"/>
      <c r="R984" s="324"/>
      <c r="S984" s="324"/>
      <c r="T984" s="324"/>
      <c r="U984" s="324"/>
      <c r="V984" s="324"/>
      <c r="W984" s="324"/>
      <c r="X984" s="324"/>
      <c r="Y984" s="324"/>
      <c r="Z984" s="324"/>
      <c r="AA984" s="324"/>
      <c r="AB984" s="324"/>
      <c r="AC984" s="324"/>
      <c r="AD984" s="324"/>
      <c r="AE984" s="324"/>
    </row>
    <row r="985" spans="3:31" s="294" customFormat="1">
      <c r="C985" s="10"/>
      <c r="D985" s="29"/>
      <c r="E985" s="36"/>
      <c r="F985" s="324"/>
      <c r="G985" s="324"/>
      <c r="H985" s="324"/>
      <c r="I985" s="324"/>
      <c r="J985" s="324"/>
      <c r="K985" s="324"/>
      <c r="L985" s="324"/>
      <c r="M985" s="324"/>
      <c r="N985" s="324"/>
      <c r="O985" s="324"/>
      <c r="P985" s="324"/>
      <c r="Q985" s="324"/>
      <c r="R985" s="324"/>
      <c r="S985" s="324"/>
      <c r="T985" s="324"/>
      <c r="U985" s="324"/>
      <c r="V985" s="324"/>
      <c r="W985" s="324"/>
      <c r="X985" s="324"/>
      <c r="Y985" s="324"/>
      <c r="Z985" s="324"/>
      <c r="AA985" s="324"/>
      <c r="AB985" s="324"/>
      <c r="AC985" s="324"/>
      <c r="AD985" s="324"/>
      <c r="AE985" s="324"/>
    </row>
    <row r="986" spans="3:31" s="294" customFormat="1">
      <c r="C986" s="10"/>
      <c r="D986" s="29"/>
      <c r="E986" s="36"/>
      <c r="F986" s="324"/>
      <c r="G986" s="324"/>
      <c r="H986" s="324"/>
      <c r="I986" s="324"/>
      <c r="J986" s="324"/>
      <c r="K986" s="324"/>
      <c r="L986" s="324"/>
      <c r="M986" s="324"/>
      <c r="N986" s="324"/>
      <c r="O986" s="324"/>
      <c r="P986" s="324"/>
      <c r="Q986" s="324"/>
      <c r="R986" s="324"/>
      <c r="S986" s="324"/>
      <c r="T986" s="324"/>
      <c r="U986" s="324"/>
      <c r="V986" s="324"/>
      <c r="W986" s="324"/>
      <c r="X986" s="324"/>
      <c r="Y986" s="324"/>
      <c r="Z986" s="324"/>
      <c r="AA986" s="324"/>
      <c r="AB986" s="324"/>
      <c r="AC986" s="324"/>
      <c r="AD986" s="324"/>
      <c r="AE986" s="324"/>
    </row>
    <row r="987" spans="3:31" s="294" customFormat="1">
      <c r="C987" s="10"/>
      <c r="D987" s="29"/>
      <c r="E987" s="36"/>
      <c r="F987" s="324"/>
      <c r="G987" s="324"/>
      <c r="H987" s="324"/>
      <c r="I987" s="324"/>
      <c r="J987" s="324"/>
      <c r="K987" s="324"/>
      <c r="L987" s="324"/>
      <c r="M987" s="324"/>
      <c r="N987" s="324"/>
      <c r="O987" s="324"/>
      <c r="P987" s="324"/>
      <c r="Q987" s="324"/>
      <c r="R987" s="324"/>
      <c r="S987" s="324"/>
      <c r="T987" s="324"/>
      <c r="U987" s="324"/>
      <c r="V987" s="324"/>
      <c r="W987" s="324"/>
      <c r="X987" s="324"/>
      <c r="Y987" s="324"/>
      <c r="Z987" s="324"/>
      <c r="AA987" s="324"/>
      <c r="AB987" s="324"/>
      <c r="AC987" s="324"/>
      <c r="AD987" s="324"/>
      <c r="AE987" s="324"/>
    </row>
    <row r="988" spans="3:31" s="294" customFormat="1">
      <c r="C988" s="10"/>
      <c r="D988" s="29"/>
      <c r="E988" s="36"/>
      <c r="F988" s="324"/>
      <c r="G988" s="324"/>
      <c r="H988" s="324"/>
      <c r="I988" s="324"/>
      <c r="J988" s="324"/>
      <c r="K988" s="324"/>
      <c r="L988" s="324"/>
      <c r="M988" s="324"/>
      <c r="N988" s="324"/>
      <c r="O988" s="324"/>
      <c r="P988" s="324"/>
      <c r="Q988" s="324"/>
      <c r="R988" s="324"/>
      <c r="S988" s="324"/>
      <c r="T988" s="324"/>
      <c r="U988" s="324"/>
      <c r="V988" s="324"/>
      <c r="W988" s="324"/>
      <c r="X988" s="324"/>
      <c r="Y988" s="324"/>
      <c r="Z988" s="324"/>
      <c r="AA988" s="324"/>
      <c r="AB988" s="324"/>
      <c r="AC988" s="324"/>
      <c r="AD988" s="324"/>
      <c r="AE988" s="324"/>
    </row>
    <row r="989" spans="3:31" s="294" customFormat="1">
      <c r="C989" s="10"/>
      <c r="D989" s="29"/>
      <c r="E989" s="36"/>
      <c r="F989" s="324"/>
      <c r="G989" s="324"/>
      <c r="H989" s="324"/>
      <c r="I989" s="324"/>
      <c r="J989" s="324"/>
      <c r="K989" s="324"/>
      <c r="L989" s="324"/>
      <c r="M989" s="324"/>
      <c r="N989" s="324"/>
      <c r="O989" s="324"/>
      <c r="P989" s="324"/>
      <c r="Q989" s="324"/>
      <c r="R989" s="324"/>
      <c r="S989" s="324"/>
      <c r="T989" s="324"/>
      <c r="U989" s="324"/>
      <c r="V989" s="324"/>
      <c r="W989" s="324"/>
      <c r="X989" s="324"/>
      <c r="Y989" s="324"/>
      <c r="Z989" s="324"/>
      <c r="AA989" s="324"/>
      <c r="AB989" s="324"/>
      <c r="AC989" s="324"/>
      <c r="AD989" s="324"/>
      <c r="AE989" s="324"/>
    </row>
    <row r="990" spans="3:31" s="294" customFormat="1">
      <c r="C990" s="10"/>
      <c r="D990" s="29"/>
      <c r="E990" s="36"/>
      <c r="F990" s="324"/>
      <c r="G990" s="324"/>
      <c r="H990" s="324"/>
      <c r="I990" s="324"/>
      <c r="J990" s="324"/>
      <c r="K990" s="324"/>
      <c r="L990" s="324"/>
      <c r="M990" s="324"/>
      <c r="N990" s="324"/>
      <c r="O990" s="324"/>
      <c r="P990" s="324"/>
      <c r="Q990" s="324"/>
      <c r="R990" s="324"/>
      <c r="S990" s="324"/>
      <c r="T990" s="324"/>
      <c r="U990" s="324"/>
      <c r="V990" s="324"/>
      <c r="W990" s="324"/>
      <c r="X990" s="324"/>
      <c r="Y990" s="324"/>
      <c r="Z990" s="324"/>
      <c r="AA990" s="324"/>
      <c r="AB990" s="324"/>
      <c r="AC990" s="324"/>
      <c r="AD990" s="324"/>
      <c r="AE990" s="324"/>
    </row>
    <row r="991" spans="3:31" s="294" customFormat="1">
      <c r="C991" s="10"/>
      <c r="D991" s="29"/>
      <c r="E991" s="36"/>
      <c r="F991" s="324"/>
      <c r="G991" s="324"/>
      <c r="H991" s="324"/>
      <c r="I991" s="324"/>
      <c r="J991" s="324"/>
      <c r="K991" s="324"/>
      <c r="L991" s="324"/>
      <c r="M991" s="324"/>
      <c r="N991" s="324"/>
      <c r="O991" s="324"/>
      <c r="P991" s="324"/>
      <c r="Q991" s="324"/>
      <c r="R991" s="324"/>
      <c r="S991" s="324"/>
      <c r="T991" s="324"/>
      <c r="U991" s="324"/>
      <c r="V991" s="324"/>
      <c r="W991" s="324"/>
      <c r="X991" s="324"/>
      <c r="Y991" s="324"/>
      <c r="Z991" s="324"/>
      <c r="AA991" s="324"/>
      <c r="AB991" s="324"/>
      <c r="AC991" s="324"/>
      <c r="AD991" s="324"/>
      <c r="AE991" s="324"/>
    </row>
    <row r="992" spans="3:31" s="294" customFormat="1">
      <c r="C992" s="10"/>
      <c r="D992" s="29"/>
      <c r="E992" s="36"/>
      <c r="F992" s="324"/>
      <c r="G992" s="324"/>
      <c r="H992" s="324"/>
      <c r="I992" s="324"/>
      <c r="J992" s="324"/>
      <c r="K992" s="324"/>
      <c r="L992" s="324"/>
      <c r="M992" s="324"/>
      <c r="N992" s="324"/>
      <c r="O992" s="324"/>
      <c r="P992" s="324"/>
      <c r="Q992" s="324"/>
      <c r="R992" s="324"/>
      <c r="S992" s="324"/>
      <c r="T992" s="324"/>
      <c r="U992" s="324"/>
      <c r="V992" s="324"/>
      <c r="W992" s="324"/>
      <c r="X992" s="324"/>
      <c r="Y992" s="324"/>
      <c r="Z992" s="324"/>
      <c r="AA992" s="324"/>
      <c r="AB992" s="324"/>
      <c r="AC992" s="324"/>
      <c r="AD992" s="324"/>
      <c r="AE992" s="324"/>
    </row>
    <row r="993" spans="3:31" s="294" customFormat="1">
      <c r="C993" s="10"/>
      <c r="D993" s="29"/>
      <c r="E993" s="36"/>
      <c r="F993" s="324"/>
      <c r="G993" s="324"/>
      <c r="H993" s="324"/>
      <c r="I993" s="324"/>
      <c r="J993" s="324"/>
      <c r="K993" s="324"/>
      <c r="L993" s="324"/>
      <c r="M993" s="324"/>
      <c r="N993" s="324"/>
      <c r="O993" s="324"/>
      <c r="P993" s="324"/>
      <c r="Q993" s="324"/>
      <c r="R993" s="324"/>
      <c r="S993" s="324"/>
      <c r="T993" s="324"/>
      <c r="U993" s="324"/>
      <c r="V993" s="324"/>
      <c r="W993" s="324"/>
      <c r="X993" s="324"/>
      <c r="Y993" s="324"/>
      <c r="Z993" s="324"/>
      <c r="AA993" s="324"/>
      <c r="AB993" s="324"/>
      <c r="AC993" s="324"/>
      <c r="AD993" s="324"/>
      <c r="AE993" s="324"/>
    </row>
    <row r="994" spans="3:31" s="294" customFormat="1">
      <c r="C994" s="10"/>
      <c r="D994" s="29"/>
      <c r="E994" s="36"/>
      <c r="F994" s="324"/>
      <c r="G994" s="324"/>
      <c r="H994" s="324"/>
      <c r="I994" s="324"/>
      <c r="J994" s="324"/>
      <c r="K994" s="324"/>
      <c r="L994" s="324"/>
      <c r="M994" s="324"/>
      <c r="N994" s="324"/>
      <c r="O994" s="324"/>
      <c r="P994" s="324"/>
      <c r="Q994" s="324"/>
      <c r="R994" s="324"/>
      <c r="S994" s="324"/>
      <c r="T994" s="324"/>
      <c r="U994" s="324"/>
      <c r="V994" s="324"/>
      <c r="W994" s="324"/>
      <c r="X994" s="324"/>
      <c r="Y994" s="324"/>
      <c r="Z994" s="324"/>
      <c r="AA994" s="324"/>
      <c r="AB994" s="324"/>
      <c r="AC994" s="324"/>
      <c r="AD994" s="324"/>
      <c r="AE994" s="324"/>
    </row>
    <row r="995" spans="3:31" s="294" customFormat="1">
      <c r="C995" s="10"/>
      <c r="D995" s="29"/>
      <c r="E995" s="36"/>
      <c r="F995" s="324"/>
      <c r="G995" s="324"/>
      <c r="H995" s="324"/>
      <c r="I995" s="324"/>
      <c r="J995" s="324"/>
      <c r="K995" s="324"/>
      <c r="L995" s="324"/>
      <c r="M995" s="324"/>
      <c r="N995" s="324"/>
      <c r="O995" s="324"/>
      <c r="P995" s="324"/>
      <c r="Q995" s="324"/>
      <c r="R995" s="324"/>
      <c r="S995" s="324"/>
      <c r="T995" s="324"/>
      <c r="U995" s="324"/>
      <c r="V995" s="324"/>
      <c r="W995" s="324"/>
      <c r="X995" s="324"/>
      <c r="Y995" s="324"/>
      <c r="Z995" s="324"/>
      <c r="AA995" s="324"/>
      <c r="AB995" s="324"/>
      <c r="AC995" s="324"/>
      <c r="AD995" s="324"/>
      <c r="AE995" s="324"/>
    </row>
    <row r="996" spans="3:31" s="294" customFormat="1">
      <c r="C996" s="10"/>
      <c r="D996" s="29"/>
      <c r="E996" s="36"/>
      <c r="F996" s="324"/>
      <c r="G996" s="324"/>
      <c r="H996" s="324"/>
      <c r="I996" s="324"/>
      <c r="J996" s="324"/>
      <c r="K996" s="324"/>
      <c r="L996" s="324"/>
      <c r="M996" s="324"/>
      <c r="N996" s="324"/>
      <c r="O996" s="324"/>
      <c r="P996" s="324"/>
      <c r="Q996" s="324"/>
      <c r="R996" s="324"/>
      <c r="S996" s="324"/>
      <c r="T996" s="324"/>
      <c r="U996" s="324"/>
      <c r="V996" s="324"/>
      <c r="W996" s="324"/>
      <c r="X996" s="324"/>
      <c r="Y996" s="324"/>
      <c r="Z996" s="324"/>
      <c r="AA996" s="324"/>
      <c r="AB996" s="324"/>
      <c r="AC996" s="324"/>
      <c r="AD996" s="324"/>
      <c r="AE996" s="324"/>
    </row>
  </sheetData>
  <conditionalFormatting sqref="F88:AE90 F96:AE99 F68:G69 F132:AE144 F107:AE110 F118:AE121 F149:AE151 F52:AE66 F101:AE104 F112:AE115 F123:AE127">
    <cfRule type="cellIs" dxfId="155" priority="90" operator="lessThan">
      <formula>0</formula>
    </cfRule>
  </conditionalFormatting>
  <conditionalFormatting sqref="F9:AE16 F18:AE18">
    <cfRule type="cellIs" dxfId="154" priority="83" operator="lessThan">
      <formula>0</formula>
    </cfRule>
  </conditionalFormatting>
  <conditionalFormatting sqref="F8:AE8">
    <cfRule type="cellIs" dxfId="153" priority="80" operator="lessThan">
      <formula>0</formula>
    </cfRule>
  </conditionalFormatting>
  <conditionalFormatting sqref="F19:AE20">
    <cfRule type="cellIs" dxfId="152" priority="76" operator="lessThan">
      <formula>0</formula>
    </cfRule>
  </conditionalFormatting>
  <conditionalFormatting sqref="G90:J90 L90:AE90">
    <cfRule type="cellIs" dxfId="151" priority="66" operator="lessThan">
      <formula>0</formula>
    </cfRule>
  </conditionalFormatting>
  <conditionalFormatting sqref="F21:AE22">
    <cfRule type="cellIs" dxfId="150" priority="63" operator="lessThan">
      <formula>0</formula>
    </cfRule>
  </conditionalFormatting>
  <conditionalFormatting sqref="F67:L67">
    <cfRule type="cellIs" dxfId="149" priority="61" operator="lessThan">
      <formula>0</formula>
    </cfRule>
  </conditionalFormatting>
  <conditionalFormatting sqref="F23:L23">
    <cfRule type="cellIs" dxfId="148" priority="59" operator="lessThan">
      <formula>0</formula>
    </cfRule>
  </conditionalFormatting>
  <conditionalFormatting sqref="M23:AE23">
    <cfRule type="cellIs" dxfId="147" priority="57" operator="lessThan">
      <formula>0</formula>
    </cfRule>
  </conditionalFormatting>
  <conditionalFormatting sqref="M67:AE67">
    <cfRule type="cellIs" dxfId="146" priority="56" operator="lessThan">
      <formula>0</formula>
    </cfRule>
  </conditionalFormatting>
  <conditionalFormatting sqref="F17:AE17">
    <cfRule type="cellIs" dxfId="145" priority="53" operator="lessThan">
      <formula>0</formula>
    </cfRule>
  </conditionalFormatting>
  <conditionalFormatting sqref="F27:AE34 F36:AE36">
    <cfRule type="cellIs" dxfId="144" priority="50" operator="lessThan">
      <formula>0</formula>
    </cfRule>
  </conditionalFormatting>
  <conditionalFormatting sqref="F26:AE26">
    <cfRule type="cellIs" dxfId="143" priority="49" operator="lessThan">
      <formula>0</formula>
    </cfRule>
  </conditionalFormatting>
  <conditionalFormatting sqref="F37:AE38">
    <cfRule type="cellIs" dxfId="142" priority="48" operator="lessThan">
      <formula>0</formula>
    </cfRule>
  </conditionalFormatting>
  <conditionalFormatting sqref="F39:AE40">
    <cfRule type="cellIs" dxfId="141" priority="44" operator="lessThan">
      <formula>0</formula>
    </cfRule>
  </conditionalFormatting>
  <conditionalFormatting sqref="F41:L41">
    <cfRule type="cellIs" dxfId="140" priority="42" operator="lessThan">
      <formula>0</formula>
    </cfRule>
  </conditionalFormatting>
  <conditionalFormatting sqref="M41:AE41">
    <cfRule type="cellIs" dxfId="139" priority="40" operator="lessThan">
      <formula>0</formula>
    </cfRule>
  </conditionalFormatting>
  <conditionalFormatting sqref="F35:AE35">
    <cfRule type="cellIs" dxfId="138" priority="39" operator="lessThan">
      <formula>0</formula>
    </cfRule>
  </conditionalFormatting>
  <conditionalFormatting sqref="F86:G87">
    <cfRule type="cellIs" dxfId="137" priority="37" operator="lessThan">
      <formula>0</formula>
    </cfRule>
  </conditionalFormatting>
  <conditionalFormatting sqref="F83:AE84">
    <cfRule type="cellIs" dxfId="136" priority="36" operator="lessThan">
      <formula>0</formula>
    </cfRule>
  </conditionalFormatting>
  <conditionalFormatting sqref="F71:AE78 F80:AE80">
    <cfRule type="cellIs" dxfId="135" priority="35" operator="lessThan">
      <formula>0</formula>
    </cfRule>
  </conditionalFormatting>
  <conditionalFormatting sqref="F70:AE70">
    <cfRule type="cellIs" dxfId="134" priority="34" operator="lessThan">
      <formula>0</formula>
    </cfRule>
  </conditionalFormatting>
  <conditionalFormatting sqref="F81:AE82">
    <cfRule type="cellIs" dxfId="133" priority="33" operator="lessThan">
      <formula>0</formula>
    </cfRule>
  </conditionalFormatting>
  <conditionalFormatting sqref="F85:L85">
    <cfRule type="cellIs" dxfId="132" priority="32" operator="lessThan">
      <formula>0</formula>
    </cfRule>
  </conditionalFormatting>
  <conditionalFormatting sqref="M85:AE85">
    <cfRule type="cellIs" dxfId="131" priority="31" operator="lessThan">
      <formula>0</formula>
    </cfRule>
  </conditionalFormatting>
  <conditionalFormatting sqref="F79:AE79">
    <cfRule type="cellIs" dxfId="130" priority="30" operator="lessThan">
      <formula>0</formula>
    </cfRule>
  </conditionalFormatting>
  <conditionalFormatting sqref="F92:AE92">
    <cfRule type="cellIs" dxfId="129" priority="11" operator="lessThan">
      <formula>0</formula>
    </cfRule>
  </conditionalFormatting>
  <conditionalFormatting sqref="G92:J92 L92:AE92">
    <cfRule type="cellIs" dxfId="128" priority="10" operator="lessThan">
      <formula>0</formula>
    </cfRule>
  </conditionalFormatting>
  <conditionalFormatting sqref="F48:AE48">
    <cfRule type="cellIs" dxfId="127" priority="9" operator="lessThan">
      <formula>0</formula>
    </cfRule>
  </conditionalFormatting>
  <conditionalFormatting sqref="F231:AE238">
    <cfRule type="cellIs" dxfId="126" priority="8" operator="lessThan">
      <formula>0</formula>
    </cfRule>
  </conditionalFormatting>
  <conditionalFormatting sqref="F44:AE44">
    <cfRule type="cellIs" dxfId="125" priority="7" operator="lessThan">
      <formula>0</formula>
    </cfRule>
  </conditionalFormatting>
  <conditionalFormatting sqref="F45:AE45">
    <cfRule type="cellIs" dxfId="124" priority="6" operator="lessThan">
      <formula>0</formula>
    </cfRule>
  </conditionalFormatting>
  <conditionalFormatting sqref="F46:AE46">
    <cfRule type="cellIs" dxfId="123" priority="5" operator="lessThan">
      <formula>0</formula>
    </cfRule>
  </conditionalFormatting>
  <conditionalFormatting sqref="F162:AE162">
    <cfRule type="cellIs" dxfId="122" priority="4" operator="lessThan">
      <formula>0</formula>
    </cfRule>
  </conditionalFormatting>
  <conditionalFormatting sqref="F100:AE100">
    <cfRule type="cellIs" dxfId="121" priority="3" operator="lessThan">
      <formula>0</formula>
    </cfRule>
  </conditionalFormatting>
  <conditionalFormatting sqref="F111:AE111">
    <cfRule type="cellIs" dxfId="120" priority="2" operator="lessThan">
      <formula>0</formula>
    </cfRule>
  </conditionalFormatting>
  <conditionalFormatting sqref="F122:AE122">
    <cfRule type="cellIs" dxfId="119" priority="1" operator="lessThan">
      <formula>0</formula>
    </cfRule>
  </conditionalFormatting>
  <pageMargins left="0.7" right="0.7" top="0.78740157499999996" bottom="0.78740157499999996" header="0.3" footer="0.3"/>
  <pageSetup paperSize="9" orientation="portrait" horizontalDpi="1200" verticalDpi="120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3">
    <tabColor rgb="FF00B0F0"/>
  </sheetPr>
  <dimension ref="A1:AJ1032"/>
  <sheetViews>
    <sheetView zoomScaleNormal="100" workbookViewId="0">
      <pane xSplit="6" ySplit="5" topLeftCell="G6" activePane="bottomRight" state="frozen"/>
      <selection activeCell="I45" sqref="I45"/>
      <selection pane="topRight" activeCell="I45" sqref="I45"/>
      <selection pane="bottomLeft" activeCell="I45" sqref="I45"/>
      <selection pane="bottomRight" activeCell="X9" sqref="X9"/>
    </sheetView>
  </sheetViews>
  <sheetFormatPr defaultColWidth="11.5546875" defaultRowHeight="13.2" outlineLevelCol="1"/>
  <cols>
    <col min="1" max="1" width="4.88671875" style="9" customWidth="1"/>
    <col min="2" max="2" width="26.33203125" style="294" hidden="1" customWidth="1" outlineLevel="1"/>
    <col min="3" max="3" width="20.6640625" style="10" hidden="1" customWidth="1" outlineLevel="1"/>
    <col min="4" max="4" width="1.109375" style="29" customWidth="1" outlineLevel="1"/>
    <col min="5" max="5" width="17.33203125" style="29" customWidth="1" outlineLevel="1"/>
    <col min="6" max="6" width="20.44140625" style="36" customWidth="1"/>
    <col min="7" max="24" width="5.5546875" style="324" bestFit="1" customWidth="1"/>
    <col min="25" max="31" width="6.5546875" style="324" bestFit="1" customWidth="1"/>
    <col min="32" max="32" width="9.33203125" style="324" customWidth="1"/>
    <col min="33" max="33" width="5.88671875" style="9" hidden="1" customWidth="1" outlineLevel="1"/>
    <col min="34" max="34" width="9.88671875" style="9" hidden="1" customWidth="1" outlineLevel="1"/>
    <col min="35" max="35" width="13.6640625" style="9" hidden="1" customWidth="1" outlineLevel="1"/>
    <col min="36" max="36" width="11.5546875" style="9" collapsed="1"/>
    <col min="37" max="16384" width="11.5546875" style="9"/>
  </cols>
  <sheetData>
    <row r="1" spans="1:35">
      <c r="A1" s="9" t="s">
        <v>74</v>
      </c>
      <c r="B1" s="20"/>
      <c r="C1" s="19"/>
      <c r="D1" s="28"/>
      <c r="E1" s="28"/>
      <c r="F1" s="191" t="s">
        <v>672</v>
      </c>
    </row>
    <row r="2" spans="1:35" ht="47.25" customHeight="1">
      <c r="B2" s="10"/>
      <c r="F2" s="519"/>
    </row>
    <row r="3" spans="1:35">
      <c r="B3" s="10"/>
      <c r="F3" s="83"/>
    </row>
    <row r="4" spans="1:35">
      <c r="B4" s="10"/>
      <c r="F4" s="314"/>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row>
    <row r="5" spans="1:35">
      <c r="A5" s="927" t="s">
        <v>157</v>
      </c>
      <c r="B5" s="10"/>
      <c r="F5" s="188"/>
      <c r="G5" s="68">
        <v>2010</v>
      </c>
      <c r="H5" s="68">
        <v>2011</v>
      </c>
      <c r="I5" s="68">
        <v>2012</v>
      </c>
      <c r="J5" s="68">
        <v>2013</v>
      </c>
      <c r="K5" s="68">
        <v>2014</v>
      </c>
      <c r="L5" s="68">
        <v>2015</v>
      </c>
      <c r="M5" s="68">
        <v>2016</v>
      </c>
      <c r="N5" s="68">
        <v>2017</v>
      </c>
      <c r="O5" s="68">
        <v>2018</v>
      </c>
      <c r="P5" s="68">
        <v>2019</v>
      </c>
      <c r="Q5" s="68">
        <v>2020</v>
      </c>
      <c r="R5" s="68">
        <v>2021</v>
      </c>
      <c r="S5" s="68">
        <v>2022</v>
      </c>
      <c r="T5" s="68">
        <v>2023</v>
      </c>
      <c r="U5" s="68">
        <v>2024</v>
      </c>
      <c r="V5" s="68">
        <v>2025</v>
      </c>
      <c r="W5" s="68">
        <v>2026</v>
      </c>
      <c r="X5" s="68">
        <v>2027</v>
      </c>
      <c r="Y5" s="68">
        <v>2028</v>
      </c>
      <c r="Z5" s="68">
        <v>2029</v>
      </c>
      <c r="AA5" s="68">
        <v>2030</v>
      </c>
      <c r="AB5" s="68">
        <v>2031</v>
      </c>
      <c r="AC5" s="68">
        <v>2032</v>
      </c>
      <c r="AD5" s="68">
        <v>2033</v>
      </c>
      <c r="AE5" s="68">
        <v>2034</v>
      </c>
      <c r="AF5" s="68">
        <v>2035</v>
      </c>
      <c r="AG5" s="9" t="s">
        <v>156</v>
      </c>
      <c r="AH5" s="9" t="s">
        <v>143</v>
      </c>
      <c r="AI5" s="9" t="s">
        <v>218</v>
      </c>
    </row>
    <row r="6" spans="1:35" s="294" customFormat="1">
      <c r="A6" s="553">
        <v>6</v>
      </c>
      <c r="C6" s="10"/>
      <c r="D6" s="29"/>
      <c r="E6" s="29"/>
      <c r="F6" s="36"/>
      <c r="G6" s="324"/>
      <c r="H6" s="324"/>
      <c r="I6" s="324"/>
      <c r="J6" s="324"/>
      <c r="K6" s="324"/>
      <c r="L6" s="324"/>
      <c r="M6" s="324"/>
      <c r="N6" s="324"/>
      <c r="O6" s="324"/>
      <c r="P6" s="324"/>
      <c r="Q6" s="324"/>
      <c r="R6" s="324"/>
      <c r="S6" s="324"/>
      <c r="T6" s="324"/>
      <c r="U6" s="324"/>
      <c r="V6" s="324"/>
      <c r="W6" s="324"/>
      <c r="X6" s="324"/>
      <c r="Y6" s="324"/>
      <c r="Z6" s="324"/>
      <c r="AA6" s="324"/>
      <c r="AB6" s="324"/>
      <c r="AC6" s="324"/>
      <c r="AD6" s="324"/>
      <c r="AE6" s="324"/>
      <c r="AF6" s="324"/>
    </row>
    <row r="7" spans="1:35" s="294" customFormat="1">
      <c r="A7" s="553">
        <v>7</v>
      </c>
      <c r="C7" s="10"/>
      <c r="D7" s="29"/>
      <c r="E7" s="29"/>
      <c r="F7" s="192" t="s">
        <v>757</v>
      </c>
      <c r="G7" s="324"/>
      <c r="H7" s="324"/>
      <c r="I7" s="324"/>
      <c r="J7" s="324"/>
      <c r="K7" s="324"/>
      <c r="L7" s="324"/>
      <c r="M7" s="324"/>
      <c r="N7" s="324"/>
      <c r="O7" s="324"/>
      <c r="P7" s="324"/>
      <c r="Q7" s="324"/>
      <c r="R7" s="324"/>
      <c r="S7" s="324"/>
      <c r="T7" s="324"/>
      <c r="U7" s="324"/>
      <c r="V7" s="324"/>
      <c r="W7" s="324"/>
      <c r="X7" s="324"/>
      <c r="Y7" s="324"/>
      <c r="Z7" s="324"/>
      <c r="AA7" s="324"/>
      <c r="AB7" s="324"/>
      <c r="AC7" s="324"/>
      <c r="AD7" s="324"/>
      <c r="AE7" s="324"/>
      <c r="AF7" s="324"/>
    </row>
    <row r="8" spans="1:35" s="294" customFormat="1">
      <c r="A8" s="553">
        <v>8</v>
      </c>
      <c r="C8" s="10"/>
      <c r="D8" s="29"/>
      <c r="E8" s="560"/>
      <c r="F8" s="561"/>
      <c r="G8" s="562">
        <v>2010</v>
      </c>
      <c r="H8" s="562">
        <v>2011</v>
      </c>
      <c r="I8" s="562">
        <v>2012</v>
      </c>
      <c r="J8" s="562">
        <v>2013</v>
      </c>
      <c r="K8" s="562">
        <v>2014</v>
      </c>
      <c r="L8" s="562">
        <v>2015</v>
      </c>
      <c r="M8" s="562">
        <v>2016</v>
      </c>
      <c r="N8" s="562">
        <v>2017</v>
      </c>
      <c r="O8" s="562">
        <v>2018</v>
      </c>
      <c r="P8" s="562">
        <v>2019</v>
      </c>
      <c r="Q8" s="562">
        <v>2020</v>
      </c>
      <c r="R8" s="562">
        <v>2021</v>
      </c>
      <c r="S8" s="562">
        <v>2022</v>
      </c>
      <c r="T8" s="562">
        <v>2023</v>
      </c>
      <c r="U8" s="562">
        <v>2024</v>
      </c>
      <c r="V8" s="562">
        <v>2025</v>
      </c>
      <c r="W8" s="562">
        <v>2026</v>
      </c>
      <c r="X8" s="562">
        <v>2027</v>
      </c>
      <c r="Y8" s="562">
        <v>2028</v>
      </c>
      <c r="Z8" s="562">
        <v>2029</v>
      </c>
      <c r="AA8" s="562">
        <v>2030</v>
      </c>
      <c r="AB8" s="562">
        <v>2031</v>
      </c>
      <c r="AC8" s="562">
        <v>2032</v>
      </c>
      <c r="AD8" s="562">
        <v>2033</v>
      </c>
      <c r="AE8" s="562">
        <v>2034</v>
      </c>
      <c r="AF8" s="563">
        <v>2035</v>
      </c>
    </row>
    <row r="9" spans="1:35" s="294" customFormat="1">
      <c r="A9" s="553">
        <v>9</v>
      </c>
      <c r="C9" s="10"/>
      <c r="D9" s="29"/>
      <c r="E9" s="564" t="s">
        <v>529</v>
      </c>
      <c r="F9" s="565" t="s">
        <v>1048</v>
      </c>
      <c r="G9" s="316">
        <f>'MOD-Berechnungen'!F209</f>
        <v>1.3371100000000005</v>
      </c>
      <c r="H9" s="316">
        <f ca="1">'MOD-Berechnungen'!G209</f>
        <v>1.4101100000000004</v>
      </c>
      <c r="I9" s="316">
        <f ca="1">'MOD-Berechnungen'!H209</f>
        <v>1.4471100000000003</v>
      </c>
      <c r="J9" s="316">
        <f ca="1">'MOD-Berechnungen'!I209</f>
        <v>1.5081100000000005</v>
      </c>
      <c r="K9" s="316">
        <f ca="1">'MOD-Berechnungen'!J209</f>
        <v>1.4955747000000004</v>
      </c>
      <c r="L9" s="316">
        <f>'MOD-Berechnungen'!K65</f>
        <v>1.5617438099999998</v>
      </c>
      <c r="M9" s="316">
        <f>'MOD-Berechnungen'!L65</f>
        <v>1.5617438099999998</v>
      </c>
      <c r="N9" s="316">
        <f>'MOD-Berechnungen'!M65</f>
        <v>1.5617438099999998</v>
      </c>
      <c r="O9" s="316">
        <f>'MOD-Berechnungen'!N65</f>
        <v>1.5617438099999998</v>
      </c>
      <c r="P9" s="316">
        <f>'MOD-Berechnungen'!O65</f>
        <v>1.5617438099999998</v>
      </c>
      <c r="Q9" s="316">
        <f>'MOD-Berechnungen'!P65</f>
        <v>1.5617438099999998</v>
      </c>
      <c r="R9" s="316">
        <f>'MOD-Berechnungen'!Q65</f>
        <v>1.5617438099999998</v>
      </c>
      <c r="S9" s="316">
        <f>'MOD-Berechnungen'!R65</f>
        <v>1.5617438099999998</v>
      </c>
      <c r="T9" s="316">
        <f>'MOD-Berechnungen'!S65</f>
        <v>1.5617438099999998</v>
      </c>
      <c r="U9" s="316">
        <f>'MOD-Berechnungen'!T65</f>
        <v>1.5617438099999998</v>
      </c>
      <c r="V9" s="316">
        <f>'MOD-Berechnungen'!U65</f>
        <v>1.5617438099999998</v>
      </c>
      <c r="W9" s="316">
        <f>'MOD-Berechnungen'!V65</f>
        <v>1.5617438099999998</v>
      </c>
      <c r="X9" s="316">
        <f>'MOD-Berechnungen'!W65</f>
        <v>1.5617438099999998</v>
      </c>
      <c r="Y9" s="316">
        <f>'MOD-Berechnungen'!X65</f>
        <v>1.5617438099999998</v>
      </c>
      <c r="Z9" s="316">
        <f>'MOD-Berechnungen'!Y65</f>
        <v>1.5617438099999998</v>
      </c>
      <c r="AA9" s="316">
        <f>'MOD-Berechnungen'!Z65</f>
        <v>1.45086618</v>
      </c>
      <c r="AB9" s="316">
        <f>'MOD-Berechnungen'!AA65</f>
        <v>1.3595179899999998</v>
      </c>
      <c r="AC9" s="316">
        <f>'MOD-Berechnungen'!AB65</f>
        <v>1.2860902400000001</v>
      </c>
      <c r="AD9" s="316">
        <f>'MOD-Berechnungen'!AC65</f>
        <v>1.2395648899999998</v>
      </c>
      <c r="AE9" s="316">
        <f>'MOD-Berechnungen'!AD65</f>
        <v>1.1316575499999999</v>
      </c>
      <c r="AF9" s="317">
        <f>'MOD-Berechnungen'!AE65</f>
        <v>1.1188063499999998</v>
      </c>
    </row>
    <row r="10" spans="1:35" s="294" customFormat="1">
      <c r="A10" s="553">
        <v>10</v>
      </c>
      <c r="C10" s="10"/>
      <c r="D10" s="29"/>
      <c r="E10" s="566" t="s">
        <v>349</v>
      </c>
      <c r="F10" s="567" t="s">
        <v>1048</v>
      </c>
      <c r="G10" s="325">
        <f>'MOD-Berechnungen'!F210</f>
        <v>0.56543599999999994</v>
      </c>
      <c r="H10" s="325">
        <f ca="1">'MOD-Berechnungen'!G210</f>
        <v>0.57543599999999984</v>
      </c>
      <c r="I10" s="325">
        <f ca="1">'MOD-Berechnungen'!H210</f>
        <v>0.57543599999999995</v>
      </c>
      <c r="J10" s="325">
        <f ca="1">'MOD-Berechnungen'!I210</f>
        <v>0.57643599999999995</v>
      </c>
      <c r="K10" s="325">
        <f ca="1">'MOD-Berechnungen'!J210</f>
        <v>0.56809900000000002</v>
      </c>
      <c r="L10" s="325">
        <f>'MOD-Berechnungen'!K66</f>
        <v>0.50447248999999994</v>
      </c>
      <c r="M10" s="325">
        <f>'MOD-Berechnungen'!L66</f>
        <v>0.50447248999999994</v>
      </c>
      <c r="N10" s="325">
        <f>'MOD-Berechnungen'!M66</f>
        <v>0.50447248999999994</v>
      </c>
      <c r="O10" s="325">
        <f>'MOD-Berechnungen'!N66</f>
        <v>0.50447248999999994</v>
      </c>
      <c r="P10" s="325">
        <f>'MOD-Berechnungen'!O66</f>
        <v>0.50447248999999994</v>
      </c>
      <c r="Q10" s="325">
        <f>'MOD-Berechnungen'!P66</f>
        <v>0.50447248999999994</v>
      </c>
      <c r="R10" s="325">
        <f>'MOD-Berechnungen'!Q66</f>
        <v>0.32682229000000002</v>
      </c>
      <c r="S10" s="325">
        <f>'MOD-Berechnungen'!R66</f>
        <v>0.27378529000000001</v>
      </c>
      <c r="T10" s="325">
        <f>'MOD-Berechnungen'!S66</f>
        <v>0.21108429000000001</v>
      </c>
      <c r="U10" s="325">
        <f>'MOD-Berechnungen'!T66</f>
        <v>0.13316929</v>
      </c>
      <c r="V10" s="325">
        <f>'MOD-Berechnungen'!U66</f>
        <v>6.6771990000000003E-2</v>
      </c>
      <c r="W10" s="325">
        <f>'MOD-Berechnungen'!V66</f>
        <v>5.3154990000000006E-2</v>
      </c>
      <c r="X10" s="325">
        <f>'MOD-Berechnungen'!W66</f>
        <v>4.4618990000000004E-2</v>
      </c>
      <c r="Y10" s="325">
        <f>'MOD-Berechnungen'!X66</f>
        <v>3.6103990000000002E-2</v>
      </c>
      <c r="Z10" s="325">
        <f>'MOD-Berechnungen'!Y66</f>
        <v>3.0399990000000002E-2</v>
      </c>
      <c r="AA10" s="325">
        <f>'MOD-Berechnungen'!Z66</f>
        <v>2.0893000000000005E-2</v>
      </c>
      <c r="AB10" s="325">
        <f>'MOD-Berechnungen'!AA66</f>
        <v>1.7971000000000004E-2</v>
      </c>
      <c r="AC10" s="325">
        <f>'MOD-Berechnungen'!AB66</f>
        <v>8.7540000000000014E-3</v>
      </c>
      <c r="AD10" s="325">
        <f>'MOD-Berechnungen'!AC66</f>
        <v>6.9640000000000006E-3</v>
      </c>
      <c r="AE10" s="325">
        <f>'MOD-Berechnungen'!AD66</f>
        <v>5.836E-3</v>
      </c>
      <c r="AF10" s="326">
        <f>'MOD-Berechnungen'!AE66</f>
        <v>0</v>
      </c>
    </row>
    <row r="11" spans="1:35" s="294" customFormat="1">
      <c r="A11" s="553">
        <v>11</v>
      </c>
      <c r="C11" s="10"/>
      <c r="D11" s="29"/>
      <c r="E11" s="566" t="s">
        <v>11</v>
      </c>
      <c r="F11" s="567" t="s">
        <v>1048</v>
      </c>
      <c r="G11" s="325">
        <f>'MOD-Berechnungen'!F211</f>
        <v>4.7640008000000016</v>
      </c>
      <c r="H11" s="325">
        <f ca="1">'MOD-Berechnungen'!G211</f>
        <v>5.6870008000000016</v>
      </c>
      <c r="I11" s="325">
        <f ca="1">'MOD-Berechnungen'!H211</f>
        <v>5.9240008000000017</v>
      </c>
      <c r="J11" s="325">
        <f ca="1">'MOD-Berechnungen'!I211</f>
        <v>6.1060008000000012</v>
      </c>
      <c r="K11" s="325">
        <f ca="1">'MOD-Berechnungen'!J211</f>
        <v>6.7320000000000002</v>
      </c>
      <c r="L11" s="325">
        <f>'MOD-Berechnungen'!K67</f>
        <v>7.0343045899999996</v>
      </c>
      <c r="M11" s="325">
        <f>'MOD-Berechnungen'!L67</f>
        <v>7.0343045899999996</v>
      </c>
      <c r="N11" s="325">
        <f>'MOD-Berechnungen'!M67</f>
        <v>7.0343045899999996</v>
      </c>
      <c r="O11" s="325">
        <f>'MOD-Berechnungen'!N67</f>
        <v>7.0343045899999996</v>
      </c>
      <c r="P11" s="325">
        <f>'MOD-Berechnungen'!O67</f>
        <v>7.0343045899999996</v>
      </c>
      <c r="Q11" s="325">
        <f>'MOD-Berechnungen'!P67</f>
        <v>7.0343045899999996</v>
      </c>
      <c r="R11" s="325">
        <f>'MOD-Berechnungen'!Q67</f>
        <v>6.6231892300000004</v>
      </c>
      <c r="S11" s="325">
        <f>'MOD-Berechnungen'!R67</f>
        <v>6.4349554299999987</v>
      </c>
      <c r="T11" s="325">
        <f>'MOD-Berechnungen'!S67</f>
        <v>6.2947062699999998</v>
      </c>
      <c r="U11" s="325">
        <f>'MOD-Berechnungen'!T67</f>
        <v>6.0627479199999996</v>
      </c>
      <c r="V11" s="325">
        <f>'MOD-Berechnungen'!U67</f>
        <v>5.4902409299999997</v>
      </c>
      <c r="W11" s="325">
        <f>'MOD-Berechnungen'!V67</f>
        <v>4.7945024299999996</v>
      </c>
      <c r="X11" s="325">
        <f>'MOD-Berechnungen'!W67</f>
        <v>3.9465003999999988</v>
      </c>
      <c r="Y11" s="325">
        <f>'MOD-Berechnungen'!X67</f>
        <v>3.3060079999999994</v>
      </c>
      <c r="Z11" s="325">
        <f>'MOD-Berechnungen'!Y67</f>
        <v>2.9487315999999995</v>
      </c>
      <c r="AA11" s="325">
        <f>'MOD-Berechnungen'!Z67</f>
        <v>2.4935236000000001</v>
      </c>
      <c r="AB11" s="325">
        <f>'MOD-Berechnungen'!AA67</f>
        <v>1.8564320000000003</v>
      </c>
      <c r="AC11" s="325">
        <f>'MOD-Berechnungen'!AB67</f>
        <v>0.80025794000000006</v>
      </c>
      <c r="AD11" s="325">
        <f>'MOD-Berechnungen'!AC67</f>
        <v>0.46639323999999999</v>
      </c>
      <c r="AE11" s="325">
        <f>'MOD-Berechnungen'!AD67</f>
        <v>0.21003932999999994</v>
      </c>
      <c r="AF11" s="326">
        <f>'MOD-Berechnungen'!AE67</f>
        <v>0</v>
      </c>
    </row>
    <row r="12" spans="1:35" s="294" customFormat="1">
      <c r="A12" s="553">
        <v>12</v>
      </c>
      <c r="C12" s="10"/>
      <c r="D12" s="29"/>
      <c r="E12" s="566" t="s">
        <v>10</v>
      </c>
      <c r="F12" s="567" t="s">
        <v>1048</v>
      </c>
      <c r="G12" s="325">
        <f>'MOD-Berechnungen'!F212</f>
        <v>7.1500000000000001E-3</v>
      </c>
      <c r="H12" s="325">
        <f ca="1">'MOD-Berechnungen'!G212</f>
        <v>7.1500000000000001E-3</v>
      </c>
      <c r="I12" s="325">
        <f ca="1">'MOD-Berechnungen'!H212</f>
        <v>1.8949999999999998E-2</v>
      </c>
      <c r="J12" s="325">
        <f ca="1">'MOD-Berechnungen'!I212</f>
        <v>3.0269999999999998E-2</v>
      </c>
      <c r="K12" s="325">
        <f ca="1">'MOD-Berechnungen'!J212</f>
        <v>3.4000000000000002E-2</v>
      </c>
      <c r="L12" s="325">
        <f>'MOD-Berechnungen'!K68</f>
        <v>3.3985000000000001E-2</v>
      </c>
      <c r="M12" s="325">
        <f>'MOD-Berechnungen'!L68</f>
        <v>3.3985000000000001E-2</v>
      </c>
      <c r="N12" s="325">
        <f>'MOD-Berechnungen'!M68</f>
        <v>3.3985000000000001E-2</v>
      </c>
      <c r="O12" s="325">
        <f>'MOD-Berechnungen'!N68</f>
        <v>3.3985000000000001E-2</v>
      </c>
      <c r="P12" s="325">
        <f>'MOD-Berechnungen'!O68</f>
        <v>3.3985000000000001E-2</v>
      </c>
      <c r="Q12" s="325">
        <f>'MOD-Berechnungen'!P68</f>
        <v>3.3985000000000001E-2</v>
      </c>
      <c r="R12" s="325">
        <f>'MOD-Berechnungen'!Q68</f>
        <v>3.3985000000000001E-2</v>
      </c>
      <c r="S12" s="325">
        <f>'MOD-Berechnungen'!R68</f>
        <v>3.3985000000000001E-2</v>
      </c>
      <c r="T12" s="325">
        <f>'MOD-Berechnungen'!S68</f>
        <v>3.3985000000000001E-2</v>
      </c>
      <c r="U12" s="325">
        <f>'MOD-Berechnungen'!T68</f>
        <v>3.3985000000000001E-2</v>
      </c>
      <c r="V12" s="325">
        <f>'MOD-Berechnungen'!U68</f>
        <v>3.3765000000000003E-2</v>
      </c>
      <c r="W12" s="325">
        <f>'MOD-Berechnungen'!V68</f>
        <v>3.3765000000000003E-2</v>
      </c>
      <c r="X12" s="325">
        <f>'MOD-Berechnungen'!W68</f>
        <v>3.3765000000000003E-2</v>
      </c>
      <c r="Y12" s="325">
        <f>'MOD-Berechnungen'!X68</f>
        <v>3.0765000000000001E-2</v>
      </c>
      <c r="Z12" s="325">
        <f>'MOD-Berechnungen'!Y68</f>
        <v>3.0765000000000001E-2</v>
      </c>
      <c r="AA12" s="325">
        <f>'MOD-Berechnungen'!Z68</f>
        <v>2.6615000000000003E-2</v>
      </c>
      <c r="AB12" s="325">
        <f>'MOD-Berechnungen'!AA68</f>
        <v>2.6615000000000003E-2</v>
      </c>
      <c r="AC12" s="325">
        <f>'MOD-Berechnungen'!AB68</f>
        <v>2.6615000000000003E-2</v>
      </c>
      <c r="AD12" s="325">
        <f>'MOD-Berechnungen'!AC68</f>
        <v>1.4815E-2</v>
      </c>
      <c r="AE12" s="325">
        <f>'MOD-Berechnungen'!AD68</f>
        <v>3.5000000000000001E-3</v>
      </c>
      <c r="AF12" s="326">
        <f>'MOD-Berechnungen'!AE68</f>
        <v>0</v>
      </c>
    </row>
    <row r="13" spans="1:35" s="294" customFormat="1">
      <c r="A13" s="553">
        <v>13</v>
      </c>
      <c r="C13" s="10"/>
      <c r="D13" s="29"/>
      <c r="E13" s="566" t="s">
        <v>339</v>
      </c>
      <c r="F13" s="567" t="s">
        <v>1048</v>
      </c>
      <c r="G13" s="325">
        <f>'MOD-Berechnungen'!F213</f>
        <v>27.067</v>
      </c>
      <c r="H13" s="325">
        <f ca="1">'MOD-Berechnungen'!G213</f>
        <v>28.911999999999999</v>
      </c>
      <c r="I13" s="325">
        <f ca="1">'MOD-Berechnungen'!H213</f>
        <v>31.050999999999998</v>
      </c>
      <c r="J13" s="325">
        <f ca="1">'MOD-Berechnungen'!I213</f>
        <v>33.811999999999998</v>
      </c>
      <c r="K13" s="325">
        <f ca="1">'MOD-Berechnungen'!J213</f>
        <v>37.777000000000001</v>
      </c>
      <c r="L13" s="325">
        <f>'MOD-Berechnungen'!K69</f>
        <v>37.464569480000002</v>
      </c>
      <c r="M13" s="325">
        <f>'MOD-Berechnungen'!L69</f>
        <v>37.164569479999997</v>
      </c>
      <c r="N13" s="325">
        <f>'MOD-Berechnungen'!M69</f>
        <v>36.764569479999999</v>
      </c>
      <c r="O13" s="325">
        <f>'MOD-Berechnungen'!N69</f>
        <v>36.264569479999999</v>
      </c>
      <c r="P13" s="325">
        <f>'MOD-Berechnungen'!O69</f>
        <v>35.664569479999997</v>
      </c>
      <c r="Q13" s="325">
        <f>'MOD-Berechnungen'!P69</f>
        <v>34.964569480000002</v>
      </c>
      <c r="R13" s="325">
        <f>'MOD-Berechnungen'!Q69</f>
        <v>33.158776369999998</v>
      </c>
      <c r="S13" s="325">
        <f>'MOD-Berechnungen'!R69</f>
        <v>30.565102570000001</v>
      </c>
      <c r="T13" s="325">
        <f>'MOD-Berechnungen'!S69</f>
        <v>27.51489948</v>
      </c>
      <c r="U13" s="325">
        <f>'MOD-Berechnungen'!T69</f>
        <v>24.797031480000001</v>
      </c>
      <c r="V13" s="325">
        <f>'MOD-Berechnungen'!U69</f>
        <v>22.74326048</v>
      </c>
      <c r="W13" s="325">
        <f>'MOD-Berechnungen'!V69</f>
        <v>20.92921698</v>
      </c>
      <c r="X13" s="325">
        <f>'MOD-Berechnungen'!W69</f>
        <v>18.699378980000002</v>
      </c>
      <c r="Y13" s="325">
        <f>'MOD-Berechnungen'!X69</f>
        <v>17.013132779999999</v>
      </c>
      <c r="Z13" s="325">
        <f>'MOD-Berechnungen'!Y69</f>
        <v>16.241268779999999</v>
      </c>
      <c r="AA13" s="325">
        <f>'MOD-Berechnungen'!Z69</f>
        <v>13.541928859999999</v>
      </c>
      <c r="AB13" s="325">
        <f>'MOD-Berechnungen'!AA69</f>
        <v>12.115269209999999</v>
      </c>
      <c r="AC13" s="325">
        <f>'MOD-Berechnungen'!AB69</f>
        <v>10.238786949999998</v>
      </c>
      <c r="AD13" s="325">
        <f>'MOD-Berechnungen'!AC69</f>
        <v>7.8176624199999987</v>
      </c>
      <c r="AE13" s="325">
        <f>'MOD-Berechnungen'!AD69</f>
        <v>4.7852306299999992</v>
      </c>
      <c r="AF13" s="326">
        <f>'MOD-Berechnungen'!AE69</f>
        <v>0</v>
      </c>
    </row>
    <row r="14" spans="1:35" s="294" customFormat="1">
      <c r="A14" s="553">
        <v>14</v>
      </c>
      <c r="C14" s="10"/>
      <c r="D14" s="29"/>
      <c r="E14" s="566" t="s">
        <v>340</v>
      </c>
      <c r="F14" s="567" t="s">
        <v>1048</v>
      </c>
      <c r="G14" s="325">
        <f>'MOD-Berechnungen'!F214</f>
        <v>0.08</v>
      </c>
      <c r="H14" s="325">
        <f ca="1">'MOD-Berechnungen'!G214</f>
        <v>0.188</v>
      </c>
      <c r="I14" s="325">
        <f ca="1">'MOD-Berechnungen'!H214</f>
        <v>0.28029999999999999</v>
      </c>
      <c r="J14" s="325">
        <f ca="1">'MOD-Berechnungen'!I214</f>
        <v>0.52029999999999998</v>
      </c>
      <c r="K14" s="325">
        <f ca="1">'MOD-Berechnungen'!J214</f>
        <v>0.998</v>
      </c>
      <c r="L14" s="325">
        <f>'MOD-Berechnungen'!K70</f>
        <v>0.99719999999999998</v>
      </c>
      <c r="M14" s="325">
        <f>'MOD-Berechnungen'!L70</f>
        <v>0.99719999999999998</v>
      </c>
      <c r="N14" s="325">
        <f>'MOD-Berechnungen'!M70</f>
        <v>0.99719999999999998</v>
      </c>
      <c r="O14" s="325">
        <f>'MOD-Berechnungen'!N70</f>
        <v>0.99719999999999998</v>
      </c>
      <c r="P14" s="325">
        <f>'MOD-Berechnungen'!O70</f>
        <v>0.99719999999999998</v>
      </c>
      <c r="Q14" s="325">
        <f>'MOD-Berechnungen'!P70</f>
        <v>0.99719999999999998</v>
      </c>
      <c r="R14" s="325">
        <f>'MOD-Berechnungen'!Q70</f>
        <v>0.99719999999999998</v>
      </c>
      <c r="S14" s="325">
        <f>'MOD-Berechnungen'!R70</f>
        <v>0.99719999999999998</v>
      </c>
      <c r="T14" s="325">
        <f>'MOD-Berechnungen'!S70</f>
        <v>0.99719999999999998</v>
      </c>
      <c r="U14" s="325">
        <f>'MOD-Berechnungen'!T70</f>
        <v>0.99719999999999998</v>
      </c>
      <c r="V14" s="325">
        <f>'MOD-Berechnungen'!U70</f>
        <v>0.99719999999999998</v>
      </c>
      <c r="W14" s="325">
        <f>'MOD-Berechnungen'!V70</f>
        <v>0.99719999999999998</v>
      </c>
      <c r="X14" s="325">
        <f>'MOD-Berechnungen'!W70</f>
        <v>0.99719999999999998</v>
      </c>
      <c r="Y14" s="325">
        <f>'MOD-Berechnungen'!X70</f>
        <v>0.99719999999999998</v>
      </c>
      <c r="Z14" s="325">
        <f>'MOD-Berechnungen'!Y70</f>
        <v>0.99719999999999998</v>
      </c>
      <c r="AA14" s="325">
        <f>'MOD-Berechnungen'!Z70</f>
        <v>0.96219999999999994</v>
      </c>
      <c r="AB14" s="325">
        <f>'MOD-Berechnungen'!AA70</f>
        <v>0.9171999999999999</v>
      </c>
      <c r="AC14" s="325">
        <f>'MOD-Berechnungen'!AB70</f>
        <v>0.80889999999999995</v>
      </c>
      <c r="AD14" s="325">
        <f>'MOD-Berechnungen'!AC70</f>
        <v>0.72889999999999999</v>
      </c>
      <c r="AE14" s="325">
        <f>'MOD-Berechnungen'!AD70</f>
        <v>0.4889</v>
      </c>
      <c r="AF14" s="326">
        <f>'MOD-Berechnungen'!AE70</f>
        <v>0</v>
      </c>
    </row>
    <row r="15" spans="1:35" s="294" customFormat="1">
      <c r="A15" s="553">
        <v>15</v>
      </c>
      <c r="C15" s="10"/>
      <c r="D15" s="29"/>
      <c r="E15" s="568" t="s">
        <v>530</v>
      </c>
      <c r="F15" s="569" t="s">
        <v>1048</v>
      </c>
      <c r="G15" s="302">
        <f>'MOD-Berechnungen'!F215</f>
        <v>17.943999999999999</v>
      </c>
      <c r="H15" s="302">
        <f ca="1">'MOD-Berechnungen'!G215</f>
        <v>25.428157789</v>
      </c>
      <c r="I15" s="302">
        <f ca="1">'MOD-Berechnungen'!H215</f>
        <v>33.030563054000005</v>
      </c>
      <c r="J15" s="302">
        <f ca="1">'MOD-Berechnungen'!I215</f>
        <v>36.332808835000009</v>
      </c>
      <c r="K15" s="302">
        <f ca="1">'MOD-Berechnungen'!J215</f>
        <v>37.127000000000002</v>
      </c>
      <c r="L15" s="302">
        <f>'MOD-Berechnungen'!K71</f>
        <v>37.849889986000065</v>
      </c>
      <c r="M15" s="302">
        <f>'MOD-Berechnungen'!L71</f>
        <v>37.849889986000065</v>
      </c>
      <c r="N15" s="302">
        <f>'MOD-Berechnungen'!M71</f>
        <v>37.849889986000065</v>
      </c>
      <c r="O15" s="302">
        <f>'MOD-Berechnungen'!N71</f>
        <v>37.849889986000065</v>
      </c>
      <c r="P15" s="302">
        <f>'MOD-Berechnungen'!O71</f>
        <v>37.849889986000065</v>
      </c>
      <c r="Q15" s="302">
        <f>'MOD-Berechnungen'!P71</f>
        <v>37.849889986000065</v>
      </c>
      <c r="R15" s="302">
        <f>'MOD-Berechnungen'!Q71</f>
        <v>37.776027506000062</v>
      </c>
      <c r="S15" s="302">
        <f>'MOD-Berechnungen'!R71</f>
        <v>37.667388816000063</v>
      </c>
      <c r="T15" s="302">
        <f>'MOD-Berechnungen'!S71</f>
        <v>37.557167266000064</v>
      </c>
      <c r="U15" s="302">
        <f>'MOD-Berechnungen'!T71</f>
        <v>37.414720716000062</v>
      </c>
      <c r="V15" s="302">
        <f>'MOD-Berechnungen'!U71</f>
        <v>36.758691416000062</v>
      </c>
      <c r="W15" s="302">
        <f>'MOD-Berechnungen'!V71</f>
        <v>35.834089356000064</v>
      </c>
      <c r="X15" s="302">
        <f>'MOD-Berechnungen'!W71</f>
        <v>34.989494406000063</v>
      </c>
      <c r="Y15" s="302">
        <f>'MOD-Berechnungen'!X71</f>
        <v>33.735743280000058</v>
      </c>
      <c r="Z15" s="302">
        <f>'MOD-Berechnungen'!Y71</f>
        <v>31.75620017000006</v>
      </c>
      <c r="AA15" s="302">
        <f>'MOD-Berechnungen'!Z71</f>
        <v>27.317740330000046</v>
      </c>
      <c r="AB15" s="302">
        <f>'MOD-Berechnungen'!AA71</f>
        <v>19.723863990000012</v>
      </c>
      <c r="AC15" s="302">
        <f>'MOD-Berechnungen'!AB71</f>
        <v>11.723473930000008</v>
      </c>
      <c r="AD15" s="302">
        <f>'MOD-Berechnungen'!AC71</f>
        <v>4.8811800499999842</v>
      </c>
      <c r="AE15" s="302">
        <f>'MOD-Berechnungen'!AD71</f>
        <v>1.7455592899999977</v>
      </c>
      <c r="AF15" s="55">
        <f>'MOD-Berechnungen'!AE71</f>
        <v>0</v>
      </c>
    </row>
    <row r="16" spans="1:35" s="294" customFormat="1">
      <c r="A16" s="553">
        <v>16</v>
      </c>
      <c r="C16" s="10"/>
      <c r="D16" s="29"/>
      <c r="E16" s="566" t="s">
        <v>529</v>
      </c>
      <c r="F16" s="570"/>
      <c r="G16" s="325"/>
      <c r="H16" s="325"/>
      <c r="I16" s="325"/>
      <c r="J16" s="325"/>
      <c r="K16" s="325"/>
      <c r="L16" s="325">
        <f ca="1">'MOD-Berechnungen'!K209-L9</f>
        <v>0.22465567500000017</v>
      </c>
      <c r="M16" s="325">
        <f ca="1">'MOD-Berechnungen'!L209-M9</f>
        <v>0.24628944999999991</v>
      </c>
      <c r="N16" s="325">
        <f ca="1">'MOD-Berechnungen'!M209-N9</f>
        <v>0.25168944999999998</v>
      </c>
      <c r="O16" s="325">
        <f ca="1">'MOD-Berechnungen'!N209-O9</f>
        <v>0.26668944999999988</v>
      </c>
      <c r="P16" s="325">
        <f ca="1">'MOD-Berechnungen'!O209-P9</f>
        <v>0.28368944999999979</v>
      </c>
      <c r="Q16" s="325">
        <f ca="1">'MOD-Berechnungen'!P209-Q9</f>
        <v>0.29668944999999969</v>
      </c>
      <c r="R16" s="325">
        <f ca="1">'MOD-Berechnungen'!Q209-R9</f>
        <v>0.29668944999999969</v>
      </c>
      <c r="S16" s="325">
        <f ca="1">'MOD-Berechnungen'!R209-S9</f>
        <v>0.29668944999999969</v>
      </c>
      <c r="T16" s="325">
        <f ca="1">'MOD-Berechnungen'!S209-T9</f>
        <v>0.29668944999999969</v>
      </c>
      <c r="U16" s="325">
        <f ca="1">'MOD-Berechnungen'!T209-U9</f>
        <v>0.29668944999999969</v>
      </c>
      <c r="V16" s="325">
        <f ca="1">'MOD-Berechnungen'!U209-V9</f>
        <v>0.29668944999999969</v>
      </c>
      <c r="W16" s="325">
        <f ca="1">'MOD-Berechnungen'!V209-W9</f>
        <v>0.29668944999999969</v>
      </c>
      <c r="X16" s="325">
        <f ca="1">'MOD-Berechnungen'!W209-X9</f>
        <v>0.29668944999999969</v>
      </c>
      <c r="Y16" s="325">
        <f ca="1">'MOD-Berechnungen'!X209-Y9</f>
        <v>0.29668944999999969</v>
      </c>
      <c r="Z16" s="325">
        <f ca="1">'MOD-Berechnungen'!Y209-Z9</f>
        <v>0.29668944999999969</v>
      </c>
      <c r="AA16" s="325">
        <f ca="1">'MOD-Berechnungen'!Z209-AA9</f>
        <v>0.29668944999999969</v>
      </c>
      <c r="AB16" s="325">
        <f ca="1">'MOD-Berechnungen'!AA209-AB9</f>
        <v>0.29668944999999969</v>
      </c>
      <c r="AC16" s="325">
        <f ca="1">'MOD-Berechnungen'!AB209-AC9</f>
        <v>0.29668944999999969</v>
      </c>
      <c r="AD16" s="325">
        <f ca="1">'MOD-Berechnungen'!AC209-AD9</f>
        <v>0.29668944999999969</v>
      </c>
      <c r="AE16" s="325">
        <f ca="1">'MOD-Berechnungen'!AD209-AE9</f>
        <v>0.29668944999999969</v>
      </c>
      <c r="AF16" s="326">
        <f ca="1">'MOD-Berechnungen'!AE209-AF9</f>
        <v>1.8715865000000109E-2</v>
      </c>
    </row>
    <row r="17" spans="1:32" s="294" customFormat="1">
      <c r="A17" s="553">
        <v>17</v>
      </c>
      <c r="C17" s="10"/>
      <c r="D17" s="29"/>
      <c r="E17" s="566" t="s">
        <v>349</v>
      </c>
      <c r="F17" s="570"/>
      <c r="G17" s="325"/>
      <c r="H17" s="325"/>
      <c r="I17" s="325"/>
      <c r="J17" s="325"/>
      <c r="K17" s="325"/>
      <c r="L17" s="325">
        <f ca="1">'MOD-Berechnungen'!K210-L10</f>
        <v>0.10940850999999996</v>
      </c>
      <c r="M17" s="325">
        <f ca="1">'MOD-Berechnungen'!L210-M10</f>
        <v>0.11349250999999994</v>
      </c>
      <c r="N17" s="325">
        <f ca="1">'MOD-Berechnungen'!M210-N10</f>
        <v>0.11519250999999997</v>
      </c>
      <c r="O17" s="325">
        <f ca="1">'MOD-Berechnungen'!N210-O10</f>
        <v>0.12119250999999998</v>
      </c>
      <c r="P17" s="325">
        <f ca="1">'MOD-Berechnungen'!O210-P10</f>
        <v>0.12319250999999998</v>
      </c>
      <c r="Q17" s="325">
        <f ca="1">'MOD-Berechnungen'!P210-Q10</f>
        <v>0.12519250999999998</v>
      </c>
      <c r="R17" s="325">
        <f ca="1">'MOD-Berechnungen'!Q210-R10</f>
        <v>0.12519250999999998</v>
      </c>
      <c r="S17" s="325">
        <f ca="1">'MOD-Berechnungen'!R210-S10</f>
        <v>0.12519250999999998</v>
      </c>
      <c r="T17" s="325">
        <f ca="1">'MOD-Berechnungen'!S210-T10</f>
        <v>0.12519250999999998</v>
      </c>
      <c r="U17" s="325">
        <f ca="1">'MOD-Berechnungen'!T210-U10</f>
        <v>0.12519250999999998</v>
      </c>
      <c r="V17" s="325">
        <f ca="1">'MOD-Berechnungen'!U210-V10</f>
        <v>0.12519250999999998</v>
      </c>
      <c r="W17" s="325">
        <f ca="1">'MOD-Berechnungen'!V210-W10</f>
        <v>0.12519250999999998</v>
      </c>
      <c r="X17" s="325">
        <f ca="1">'MOD-Berechnungen'!W210-X10</f>
        <v>0.12519251000000001</v>
      </c>
      <c r="Y17" s="325">
        <f ca="1">'MOD-Berechnungen'!X210-Y10</f>
        <v>0.12519251000000001</v>
      </c>
      <c r="Z17" s="325">
        <f ca="1">'MOD-Berechnungen'!Y210-Z10</f>
        <v>0.12519251000000003</v>
      </c>
      <c r="AA17" s="325">
        <f ca="1">'MOD-Berechnungen'!Z210-AA10</f>
        <v>0.12519251000000003</v>
      </c>
      <c r="AB17" s="325">
        <f ca="1">'MOD-Berechnungen'!AA210-AB10</f>
        <v>0.12519251000000001</v>
      </c>
      <c r="AC17" s="325">
        <f ca="1">'MOD-Berechnungen'!AB210-AC10</f>
        <v>0.12519251000000001</v>
      </c>
      <c r="AD17" s="325">
        <f ca="1">'MOD-Berechnungen'!AC210-AD10</f>
        <v>0.12519251000000001</v>
      </c>
      <c r="AE17" s="325">
        <f ca="1">'MOD-Berechnungen'!AD210-AE10</f>
        <v>0.12519251000000001</v>
      </c>
      <c r="AF17" s="326">
        <f ca="1">'MOD-Berechnungen'!AE210-AF10</f>
        <v>8.5246510000000192E-2</v>
      </c>
    </row>
    <row r="18" spans="1:32" s="294" customFormat="1">
      <c r="A18" s="553">
        <v>18</v>
      </c>
      <c r="C18" s="10"/>
      <c r="D18" s="29"/>
      <c r="E18" s="566" t="s">
        <v>11</v>
      </c>
      <c r="F18" s="570"/>
      <c r="G18" s="325"/>
      <c r="H18" s="325"/>
      <c r="I18" s="325"/>
      <c r="J18" s="325"/>
      <c r="K18" s="325"/>
      <c r="L18" s="325">
        <f ca="1">'MOD-Berechnungen'!K211-L11</f>
        <v>-0.28973329000000003</v>
      </c>
      <c r="M18" s="325">
        <f ca="1">'MOD-Berechnungen'!L211-M11</f>
        <v>-0.13757429000000077</v>
      </c>
      <c r="N18" s="325">
        <f ca="1">'MOD-Berechnungen'!M211-N11</f>
        <v>8.342570999999932E-2</v>
      </c>
      <c r="O18" s="325">
        <f ca="1">'MOD-Berechnungen'!N211-O11</f>
        <v>0.41842570999999928</v>
      </c>
      <c r="P18" s="325">
        <f ca="1">'MOD-Berechnungen'!O211-P11</f>
        <v>0.61342570999999957</v>
      </c>
      <c r="Q18" s="325">
        <f ca="1">'MOD-Berechnungen'!P211-Q11</f>
        <v>0.78942570999999973</v>
      </c>
      <c r="R18" s="325">
        <f ca="1">'MOD-Berechnungen'!Q211-R11</f>
        <v>0.91342570999999939</v>
      </c>
      <c r="S18" s="325">
        <f ca="1">'MOD-Berechnungen'!R211-S11</f>
        <v>0.94942570999999898</v>
      </c>
      <c r="T18" s="325">
        <f ca="1">'MOD-Berechnungen'!S211-T11</f>
        <v>0.98942570999999901</v>
      </c>
      <c r="U18" s="325">
        <f ca="1">'MOD-Berechnungen'!T211-U11</f>
        <v>1.0324257099999992</v>
      </c>
      <c r="V18" s="325">
        <f ca="1">'MOD-Berechnungen'!U211-V11</f>
        <v>1.0774257099999991</v>
      </c>
      <c r="W18" s="325">
        <f ca="1">'MOD-Berechnungen'!V211-W11</f>
        <v>1.2774257099999993</v>
      </c>
      <c r="X18" s="325">
        <f ca="1">'MOD-Berechnungen'!W211-X11</f>
        <v>1.4774257099999994</v>
      </c>
      <c r="Y18" s="325">
        <f ca="1">'MOD-Berechnungen'!X211-Y11</f>
        <v>1.6774257099999996</v>
      </c>
      <c r="Z18" s="325">
        <f ca="1">'MOD-Berechnungen'!Y211-Z11</f>
        <v>1.8774257099999998</v>
      </c>
      <c r="AA18" s="325">
        <f ca="1">'MOD-Berechnungen'!Z211-AA11</f>
        <v>2.0774257099999995</v>
      </c>
      <c r="AB18" s="325">
        <f ca="1">'MOD-Berechnungen'!AA211-AB11</f>
        <v>2.2774257099999997</v>
      </c>
      <c r="AC18" s="325">
        <f ca="1">'MOD-Berechnungen'!AB211-AC11</f>
        <v>2.4774257099999994</v>
      </c>
      <c r="AD18" s="325">
        <f ca="1">'MOD-Berechnungen'!AC211-AD11</f>
        <v>2.6774257099999996</v>
      </c>
      <c r="AE18" s="325">
        <f ca="1">'MOD-Berechnungen'!AD211-AE11</f>
        <v>2.8774257099999998</v>
      </c>
      <c r="AF18" s="326">
        <f ca="1">'MOD-Berechnungen'!AE211-AF11</f>
        <v>3.2748937400000004</v>
      </c>
    </row>
    <row r="19" spans="1:32" s="294" customFormat="1">
      <c r="A19" s="553">
        <v>19</v>
      </c>
      <c r="C19" s="10"/>
      <c r="D19" s="29"/>
      <c r="E19" s="566" t="s">
        <v>10</v>
      </c>
      <c r="F19" s="570"/>
      <c r="G19" s="325"/>
      <c r="H19" s="325"/>
      <c r="I19" s="325"/>
      <c r="J19" s="325"/>
      <c r="K19" s="325"/>
      <c r="L19" s="325">
        <f ca="1">'MOD-Berechnungen'!K212-L12</f>
        <v>1.5000000000001124E-5</v>
      </c>
      <c r="M19" s="325">
        <f ca="1">'MOD-Berechnungen'!L212-M12</f>
        <v>5.0149999999999986E-3</v>
      </c>
      <c r="N19" s="325">
        <f ca="1">'MOD-Berechnungen'!M212-N12</f>
        <v>7.0150000000000004E-3</v>
      </c>
      <c r="O19" s="325">
        <f ca="1">'MOD-Berechnungen'!N212-O12</f>
        <v>1.2014999999999998E-2</v>
      </c>
      <c r="P19" s="325">
        <f ca="1">'MOD-Berechnungen'!O212-P12</f>
        <v>1.6015000000000001E-2</v>
      </c>
      <c r="Q19" s="325">
        <f ca="1">'MOD-Berechnungen'!P212-Q12</f>
        <v>2.1014999999999999E-2</v>
      </c>
      <c r="R19" s="325">
        <f ca="1">'MOD-Berechnungen'!Q212-R12</f>
        <v>2.1014999999999999E-2</v>
      </c>
      <c r="S19" s="325">
        <f ca="1">'MOD-Berechnungen'!R212-S12</f>
        <v>2.1014999999999999E-2</v>
      </c>
      <c r="T19" s="325">
        <f ca="1">'MOD-Berechnungen'!S212-T12</f>
        <v>2.1014999999999999E-2</v>
      </c>
      <c r="U19" s="325">
        <f ca="1">'MOD-Berechnungen'!T212-U12</f>
        <v>2.1014999999999999E-2</v>
      </c>
      <c r="V19" s="325">
        <f ca="1">'MOD-Berechnungen'!U212-V12</f>
        <v>2.1014999999999999E-2</v>
      </c>
      <c r="W19" s="325">
        <f ca="1">'MOD-Berechnungen'!V212-W12</f>
        <v>2.1014999999999999E-2</v>
      </c>
      <c r="X19" s="325">
        <f ca="1">'MOD-Berechnungen'!W212-X12</f>
        <v>2.1014999999999999E-2</v>
      </c>
      <c r="Y19" s="325">
        <f ca="1">'MOD-Berechnungen'!X212-Y12</f>
        <v>2.1014999999999999E-2</v>
      </c>
      <c r="Z19" s="325">
        <f ca="1">'MOD-Berechnungen'!Y212-Z12</f>
        <v>2.1014999999999999E-2</v>
      </c>
      <c r="AA19" s="325">
        <f ca="1">'MOD-Berechnungen'!Z212-AA12</f>
        <v>2.1015000000000002E-2</v>
      </c>
      <c r="AB19" s="325">
        <f ca="1">'MOD-Berechnungen'!AA212-AB12</f>
        <v>2.1015000000000002E-2</v>
      </c>
      <c r="AC19" s="325">
        <f ca="1">'MOD-Berechnungen'!AB212-AC12</f>
        <v>2.1015000000000002E-2</v>
      </c>
      <c r="AD19" s="325">
        <f ca="1">'MOD-Berechnungen'!AC212-AD12</f>
        <v>2.1014999999999999E-2</v>
      </c>
      <c r="AE19" s="325">
        <f ca="1">'MOD-Berechnungen'!AD212-AE12</f>
        <v>2.1015000000000002E-2</v>
      </c>
      <c r="AF19" s="326">
        <f ca="1">'MOD-Berechnungen'!AE212-AF12</f>
        <v>2.4515000000000002E-2</v>
      </c>
    </row>
    <row r="20" spans="1:32" s="294" customFormat="1">
      <c r="A20" s="553">
        <v>20</v>
      </c>
      <c r="C20" s="10"/>
      <c r="D20" s="29"/>
      <c r="E20" s="566" t="s">
        <v>339</v>
      </c>
      <c r="F20" s="570"/>
      <c r="G20" s="325"/>
      <c r="H20" s="325"/>
      <c r="I20" s="325"/>
      <c r="J20" s="325"/>
      <c r="K20" s="325"/>
      <c r="L20" s="325">
        <f ca="1">'MOD-Berechnungen'!K213-L13</f>
        <v>3.8484305200000009</v>
      </c>
      <c r="M20" s="325">
        <f ca="1">'MOD-Berechnungen'!L213-M13</f>
        <v>8.4734305200000009</v>
      </c>
      <c r="N20" s="325">
        <f ca="1">'MOD-Berechnungen'!M213-N13</f>
        <v>13.704430520000003</v>
      </c>
      <c r="O20" s="325">
        <f ca="1">'MOD-Berechnungen'!N213-O13</f>
        <v>17.15043052</v>
      </c>
      <c r="P20" s="325">
        <f ca="1">'MOD-Berechnungen'!O213-P13</f>
        <v>18.488430520000001</v>
      </c>
      <c r="Q20" s="325">
        <f ca="1">'MOD-Berechnungen'!P213-Q13</f>
        <v>19.988430520000001</v>
      </c>
      <c r="R20" s="325">
        <f ca="1">'MOD-Berechnungen'!Q213-R13</f>
        <v>21.488430520000001</v>
      </c>
      <c r="S20" s="325">
        <f ca="1">'MOD-Berechnungen'!R213-S13</f>
        <v>23.488430520000001</v>
      </c>
      <c r="T20" s="325">
        <f ca="1">'MOD-Berechnungen'!S213-T13</f>
        <v>25.988430520000005</v>
      </c>
      <c r="U20" s="325">
        <f ca="1">'MOD-Berechnungen'!T213-U13</f>
        <v>28.488430520000009</v>
      </c>
      <c r="V20" s="325">
        <f ca="1">'MOD-Berechnungen'!U213-V13</f>
        <v>30.988430520000012</v>
      </c>
      <c r="W20" s="325">
        <f ca="1">'MOD-Berechnungen'!V213-W13</f>
        <v>33.488430520000016</v>
      </c>
      <c r="X20" s="325">
        <f ca="1">'MOD-Berechnungen'!W213-X13</f>
        <v>35.988430520000009</v>
      </c>
      <c r="Y20" s="325">
        <f ca="1">'MOD-Berechnungen'!X213-Y13</f>
        <v>38.488430520000016</v>
      </c>
      <c r="Z20" s="325">
        <f ca="1">'MOD-Berechnungen'!Y213-Z13</f>
        <v>40.988430520000016</v>
      </c>
      <c r="AA20" s="325">
        <f ca="1">'MOD-Berechnungen'!Z213-AA13</f>
        <v>43.488430520000016</v>
      </c>
      <c r="AB20" s="325">
        <f ca="1">'MOD-Berechnungen'!AA213-AB13</f>
        <v>45.988430520000016</v>
      </c>
      <c r="AC20" s="325">
        <f ca="1">'MOD-Berechnungen'!AB213-AC13</f>
        <v>48.488430520000016</v>
      </c>
      <c r="AD20" s="325">
        <f ca="1">'MOD-Berechnungen'!AC213-AD13</f>
        <v>50.988430520000016</v>
      </c>
      <c r="AE20" s="325">
        <f ca="1">'MOD-Berechnungen'!AD213-AE13</f>
        <v>53.488430520000016</v>
      </c>
      <c r="AF20" s="326">
        <f ca="1">'MOD-Berechnungen'!AE213-AF13</f>
        <v>57.237661150000015</v>
      </c>
    </row>
    <row r="21" spans="1:32" s="294" customFormat="1">
      <c r="A21" s="553">
        <v>21</v>
      </c>
      <c r="C21" s="10"/>
      <c r="D21" s="29"/>
      <c r="E21" s="566" t="s">
        <v>340</v>
      </c>
      <c r="F21" s="570"/>
      <c r="G21" s="325"/>
      <c r="H21" s="325"/>
      <c r="I21" s="325"/>
      <c r="J21" s="325"/>
      <c r="K21" s="325"/>
      <c r="L21" s="325">
        <f ca="1">'MOD-Berechnungen'!K214-L14</f>
        <v>2.2857999999999996</v>
      </c>
      <c r="M21" s="325">
        <f ca="1">'MOD-Berechnungen'!L214-M14</f>
        <v>3.1037999999999992</v>
      </c>
      <c r="N21" s="325">
        <f ca="1">'MOD-Berechnungen'!M214-N14</f>
        <v>4.4097999999999988</v>
      </c>
      <c r="O21" s="325">
        <f ca="1">'MOD-Berechnungen'!N214-O14</f>
        <v>5.359799999999999</v>
      </c>
      <c r="P21" s="325">
        <f ca="1">'MOD-Berechnungen'!O214-P14</f>
        <v>6.7687999999999988</v>
      </c>
      <c r="Q21" s="325">
        <f ca="1">'MOD-Berechnungen'!P214-Q14</f>
        <v>6.7687999999999988</v>
      </c>
      <c r="R21" s="325">
        <f ca="1">'MOD-Berechnungen'!Q214-R14</f>
        <v>6.7687999999999988</v>
      </c>
      <c r="S21" s="325">
        <f ca="1">'MOD-Berechnungen'!R214-S14</f>
        <v>7.1107999999999985</v>
      </c>
      <c r="T21" s="325">
        <f ca="1">'MOD-Berechnungen'!S214-T14</f>
        <v>8.085799999999999</v>
      </c>
      <c r="U21" s="325">
        <f ca="1">'MOD-Berechnungen'!T214-U14</f>
        <v>8.9857999999999993</v>
      </c>
      <c r="V21" s="325">
        <f ca="1">'MOD-Berechnungen'!U214-V14</f>
        <v>9.8857999999999997</v>
      </c>
      <c r="W21" s="325">
        <f ca="1">'MOD-Berechnungen'!V214-W14</f>
        <v>10.7858</v>
      </c>
      <c r="X21" s="325">
        <f ca="1">'MOD-Berechnungen'!W214-X14</f>
        <v>11.6858</v>
      </c>
      <c r="Y21" s="325">
        <f ca="1">'MOD-Berechnungen'!X214-Y14</f>
        <v>12.585800000000001</v>
      </c>
      <c r="Z21" s="325">
        <f ca="1">'MOD-Berechnungen'!Y214-Z14</f>
        <v>13.485800000000001</v>
      </c>
      <c r="AA21" s="325">
        <f ca="1">'MOD-Berechnungen'!Z214-AA14</f>
        <v>14.385800000000001</v>
      </c>
      <c r="AB21" s="325">
        <f ca="1">'MOD-Berechnungen'!AA214-AB14</f>
        <v>15.2858</v>
      </c>
      <c r="AC21" s="325">
        <f ca="1">'MOD-Berechnungen'!AB214-AC14</f>
        <v>16.185799999999997</v>
      </c>
      <c r="AD21" s="325">
        <f ca="1">'MOD-Berechnungen'!AC214-AD14</f>
        <v>17.085799999999999</v>
      </c>
      <c r="AE21" s="325">
        <f ca="1">'MOD-Berechnungen'!AD214-AE14</f>
        <v>17.985799999999998</v>
      </c>
      <c r="AF21" s="326">
        <f ca="1">'MOD-Berechnungen'!AE214-AF14</f>
        <v>17.089700000000001</v>
      </c>
    </row>
    <row r="22" spans="1:32" s="294" customFormat="1">
      <c r="A22" s="553">
        <v>22</v>
      </c>
      <c r="C22" s="10"/>
      <c r="D22" s="29"/>
      <c r="E22" s="568" t="s">
        <v>530</v>
      </c>
      <c r="F22" s="571"/>
      <c r="G22" s="302"/>
      <c r="H22" s="302"/>
      <c r="I22" s="302"/>
      <c r="J22" s="302"/>
      <c r="K22" s="302"/>
      <c r="L22" s="302">
        <f ca="1">'MOD-Berechnungen'!K215-L15</f>
        <v>0.77511001399993518</v>
      </c>
      <c r="M22" s="302">
        <f ca="1">'MOD-Berechnungen'!L215-M15</f>
        <v>2.3001100139999338</v>
      </c>
      <c r="N22" s="302">
        <f ca="1">'MOD-Berechnungen'!M215-N15</f>
        <v>4.5441100139999335</v>
      </c>
      <c r="O22" s="302">
        <f ca="1">'MOD-Berechnungen'!N215-O15</f>
        <v>6.948110013999937</v>
      </c>
      <c r="P22" s="302">
        <f ca="1">'MOD-Berechnungen'!O215-P15</f>
        <v>9.6351100139999346</v>
      </c>
      <c r="Q22" s="302">
        <f ca="1">'MOD-Berechnungen'!P215-Q15</f>
        <v>13.626110013999934</v>
      </c>
      <c r="R22" s="302">
        <f ca="1">'MOD-Berechnungen'!Q215-R15</f>
        <v>19.040110013999936</v>
      </c>
      <c r="S22" s="302">
        <f ca="1">'MOD-Berechnungen'!R215-S15</f>
        <v>23.978110013999938</v>
      </c>
      <c r="T22" s="302">
        <f ca="1">'MOD-Berechnungen'!S215-T15</f>
        <v>27.130110013999939</v>
      </c>
      <c r="U22" s="302">
        <f ca="1">'MOD-Berechnungen'!T215-U15</f>
        <v>30.152110013999945</v>
      </c>
      <c r="V22" s="302">
        <f ca="1">'MOD-Berechnungen'!U215-V15</f>
        <v>33.28111001399995</v>
      </c>
      <c r="W22" s="302">
        <f ca="1">'MOD-Berechnungen'!V215-W15</f>
        <v>35.78111001399995</v>
      </c>
      <c r="X22" s="302">
        <f ca="1">'MOD-Berechnungen'!W215-X15</f>
        <v>38.28111001399995</v>
      </c>
      <c r="Y22" s="302">
        <f ca="1">'MOD-Berechnungen'!X215-Y15</f>
        <v>40.781110013999957</v>
      </c>
      <c r="Z22" s="302">
        <f ca="1">'MOD-Berechnungen'!Y215-Z15</f>
        <v>43.281110013999964</v>
      </c>
      <c r="AA22" s="302">
        <f ca="1">'MOD-Berechnungen'!Z215-AA15</f>
        <v>45.78111001399995</v>
      </c>
      <c r="AB22" s="302">
        <f ca="1">'MOD-Berechnungen'!AA215-AB15</f>
        <v>48.28111001399995</v>
      </c>
      <c r="AC22" s="302">
        <f ca="1">'MOD-Berechnungen'!AB215-AC15</f>
        <v>50.78111001399995</v>
      </c>
      <c r="AD22" s="302">
        <f ca="1">'MOD-Berechnungen'!AC215-AD15</f>
        <v>53.281110013999957</v>
      </c>
      <c r="AE22" s="302">
        <f ca="1">'MOD-Berechnungen'!AD215-AE15</f>
        <v>55.781110013999957</v>
      </c>
      <c r="AF22" s="55">
        <f ca="1">'MOD-Berechnungen'!AE215-AF15</f>
        <v>58.528669303999955</v>
      </c>
    </row>
    <row r="23" spans="1:32" s="294" customFormat="1">
      <c r="A23" s="553">
        <v>23</v>
      </c>
      <c r="C23" s="10"/>
      <c r="D23" s="29"/>
      <c r="E23" s="29"/>
      <c r="F23" s="36"/>
      <c r="G23" s="324"/>
      <c r="H23" s="324"/>
      <c r="I23" s="324"/>
      <c r="J23" s="324"/>
      <c r="K23" s="324"/>
      <c r="L23" s="324"/>
      <c r="M23" s="324"/>
      <c r="N23" s="324"/>
      <c r="O23" s="324"/>
      <c r="P23" s="324"/>
      <c r="Q23" s="324"/>
      <c r="R23" s="324"/>
      <c r="S23" s="324"/>
      <c r="T23" s="324"/>
      <c r="U23" s="324"/>
      <c r="V23" s="324"/>
      <c r="W23" s="324"/>
      <c r="X23" s="324"/>
      <c r="Y23" s="324"/>
      <c r="Z23" s="324"/>
      <c r="AA23" s="324"/>
      <c r="AB23" s="324"/>
      <c r="AC23" s="324"/>
      <c r="AD23" s="324"/>
      <c r="AE23" s="324"/>
      <c r="AF23" s="324"/>
    </row>
    <row r="24" spans="1:32" s="294" customFormat="1">
      <c r="A24" s="553">
        <v>24</v>
      </c>
      <c r="C24" s="10"/>
      <c r="D24" s="29"/>
      <c r="E24" s="29"/>
      <c r="F24" s="192" t="s">
        <v>768</v>
      </c>
      <c r="G24" s="324"/>
      <c r="H24" s="324"/>
      <c r="I24" s="324"/>
      <c r="J24" s="324"/>
      <c r="K24" s="324"/>
      <c r="L24" s="324"/>
      <c r="M24" s="324"/>
      <c r="N24" s="324"/>
      <c r="O24" s="324"/>
      <c r="P24" s="324"/>
      <c r="Q24" s="324"/>
      <c r="R24" s="324"/>
      <c r="S24" s="324"/>
      <c r="T24" s="324"/>
      <c r="U24" s="324"/>
      <c r="V24" s="324"/>
      <c r="W24" s="324"/>
      <c r="X24" s="324"/>
      <c r="Y24" s="324"/>
      <c r="Z24" s="324"/>
      <c r="AA24" s="324"/>
      <c r="AB24" s="324"/>
      <c r="AC24" s="324"/>
      <c r="AD24" s="324"/>
      <c r="AE24" s="324"/>
      <c r="AF24" s="324"/>
    </row>
    <row r="25" spans="1:32" s="294" customFormat="1">
      <c r="A25" s="553">
        <v>25</v>
      </c>
      <c r="C25" s="10"/>
      <c r="D25" s="29"/>
      <c r="E25" s="560"/>
      <c r="F25" s="561"/>
      <c r="G25" s="562">
        <v>2010</v>
      </c>
      <c r="H25" s="562">
        <v>2011</v>
      </c>
      <c r="I25" s="562">
        <v>2012</v>
      </c>
      <c r="J25" s="562">
        <v>2013</v>
      </c>
      <c r="K25" s="562">
        <v>2014</v>
      </c>
      <c r="L25" s="562">
        <v>2015</v>
      </c>
      <c r="M25" s="562">
        <v>2016</v>
      </c>
      <c r="N25" s="562">
        <v>2017</v>
      </c>
      <c r="O25" s="562">
        <v>2018</v>
      </c>
      <c r="P25" s="562">
        <v>2019</v>
      </c>
      <c r="Q25" s="562">
        <v>2020</v>
      </c>
      <c r="R25" s="562">
        <v>2021</v>
      </c>
      <c r="S25" s="562">
        <v>2022</v>
      </c>
      <c r="T25" s="562">
        <v>2023</v>
      </c>
      <c r="U25" s="562">
        <v>2024</v>
      </c>
      <c r="V25" s="562">
        <v>2025</v>
      </c>
      <c r="W25" s="562">
        <v>2026</v>
      </c>
      <c r="X25" s="562">
        <v>2027</v>
      </c>
      <c r="Y25" s="562">
        <v>2028</v>
      </c>
      <c r="Z25" s="562">
        <v>2029</v>
      </c>
      <c r="AA25" s="562">
        <v>2030</v>
      </c>
      <c r="AB25" s="562">
        <v>2031</v>
      </c>
      <c r="AC25" s="562">
        <v>2032</v>
      </c>
      <c r="AD25" s="562">
        <v>2033</v>
      </c>
      <c r="AE25" s="562">
        <v>2034</v>
      </c>
      <c r="AF25" s="563">
        <v>2035</v>
      </c>
    </row>
    <row r="26" spans="1:32" s="294" customFormat="1">
      <c r="A26" s="553">
        <v>26</v>
      </c>
      <c r="C26" s="10"/>
      <c r="D26" s="29"/>
      <c r="E26" s="564" t="s">
        <v>758</v>
      </c>
      <c r="F26" s="565" t="s">
        <v>1048</v>
      </c>
      <c r="G26" s="316">
        <f>G9+G10+G12</f>
        <v>1.9096960000000005</v>
      </c>
      <c r="H26" s="316">
        <f t="shared" ref="H26:AF26" ca="1" si="0">H9+H10+H12</f>
        <v>1.9926960000000002</v>
      </c>
      <c r="I26" s="316">
        <f t="shared" ca="1" si="0"/>
        <v>2.041496</v>
      </c>
      <c r="J26" s="316">
        <f t="shared" ca="1" si="0"/>
        <v>2.1148160000000003</v>
      </c>
      <c r="K26" s="316">
        <f t="shared" ca="1" si="0"/>
        <v>2.0976737000000001</v>
      </c>
      <c r="L26" s="316">
        <f t="shared" si="0"/>
        <v>2.1002012999999997</v>
      </c>
      <c r="M26" s="316">
        <f t="shared" si="0"/>
        <v>2.1002012999999997</v>
      </c>
      <c r="N26" s="316">
        <f t="shared" si="0"/>
        <v>2.1002012999999997</v>
      </c>
      <c r="O26" s="316">
        <f t="shared" si="0"/>
        <v>2.1002012999999997</v>
      </c>
      <c r="P26" s="316">
        <f t="shared" si="0"/>
        <v>2.1002012999999997</v>
      </c>
      <c r="Q26" s="316">
        <f t="shared" si="0"/>
        <v>2.1002012999999997</v>
      </c>
      <c r="R26" s="316">
        <f t="shared" si="0"/>
        <v>1.9225510999999997</v>
      </c>
      <c r="S26" s="316">
        <f t="shared" si="0"/>
        <v>1.8695140999999997</v>
      </c>
      <c r="T26" s="316">
        <f t="shared" si="0"/>
        <v>1.8068130999999998</v>
      </c>
      <c r="U26" s="316">
        <f t="shared" si="0"/>
        <v>1.7288980999999999</v>
      </c>
      <c r="V26" s="316">
        <f t="shared" si="0"/>
        <v>1.6622807999999998</v>
      </c>
      <c r="W26" s="316">
        <f t="shared" si="0"/>
        <v>1.6486637999999998</v>
      </c>
      <c r="X26" s="316">
        <f t="shared" si="0"/>
        <v>1.6401277999999999</v>
      </c>
      <c r="Y26" s="316">
        <f t="shared" si="0"/>
        <v>1.6286127999999997</v>
      </c>
      <c r="Z26" s="316">
        <f t="shared" si="0"/>
        <v>1.6229087999999998</v>
      </c>
      <c r="AA26" s="316">
        <f t="shared" si="0"/>
        <v>1.4983741800000001</v>
      </c>
      <c r="AB26" s="316">
        <f t="shared" si="0"/>
        <v>1.4041039899999999</v>
      </c>
      <c r="AC26" s="316">
        <f t="shared" si="0"/>
        <v>1.32145924</v>
      </c>
      <c r="AD26" s="316">
        <f t="shared" si="0"/>
        <v>1.2613438899999998</v>
      </c>
      <c r="AE26" s="316">
        <f t="shared" si="0"/>
        <v>1.1409935499999999</v>
      </c>
      <c r="AF26" s="317">
        <f t="shared" si="0"/>
        <v>1.1188063499999998</v>
      </c>
    </row>
    <row r="27" spans="1:32" s="294" customFormat="1">
      <c r="A27" s="553">
        <v>27</v>
      </c>
      <c r="C27" s="10"/>
      <c r="D27" s="29"/>
      <c r="E27" s="566" t="s">
        <v>11</v>
      </c>
      <c r="F27" s="567" t="s">
        <v>1048</v>
      </c>
      <c r="G27" s="325">
        <f>G11</f>
        <v>4.7640008000000016</v>
      </c>
      <c r="H27" s="325">
        <f t="shared" ref="H27:AF27" ca="1" si="1">H11</f>
        <v>5.6870008000000016</v>
      </c>
      <c r="I27" s="325">
        <f t="shared" ca="1" si="1"/>
        <v>5.9240008000000017</v>
      </c>
      <c r="J27" s="325">
        <f t="shared" ca="1" si="1"/>
        <v>6.1060008000000012</v>
      </c>
      <c r="K27" s="325">
        <f t="shared" ca="1" si="1"/>
        <v>6.7320000000000002</v>
      </c>
      <c r="L27" s="325">
        <f t="shared" si="1"/>
        <v>7.0343045899999996</v>
      </c>
      <c r="M27" s="325">
        <f t="shared" si="1"/>
        <v>7.0343045899999996</v>
      </c>
      <c r="N27" s="325">
        <f t="shared" si="1"/>
        <v>7.0343045899999996</v>
      </c>
      <c r="O27" s="325">
        <f t="shared" si="1"/>
        <v>7.0343045899999996</v>
      </c>
      <c r="P27" s="325">
        <f t="shared" si="1"/>
        <v>7.0343045899999996</v>
      </c>
      <c r="Q27" s="325">
        <f t="shared" si="1"/>
        <v>7.0343045899999996</v>
      </c>
      <c r="R27" s="325">
        <f t="shared" si="1"/>
        <v>6.6231892300000004</v>
      </c>
      <c r="S27" s="325">
        <f t="shared" si="1"/>
        <v>6.4349554299999987</v>
      </c>
      <c r="T27" s="325">
        <f t="shared" si="1"/>
        <v>6.2947062699999998</v>
      </c>
      <c r="U27" s="325">
        <f t="shared" si="1"/>
        <v>6.0627479199999996</v>
      </c>
      <c r="V27" s="325">
        <f t="shared" si="1"/>
        <v>5.4902409299999997</v>
      </c>
      <c r="W27" s="325">
        <f t="shared" si="1"/>
        <v>4.7945024299999996</v>
      </c>
      <c r="X27" s="325">
        <f t="shared" si="1"/>
        <v>3.9465003999999988</v>
      </c>
      <c r="Y27" s="325">
        <f t="shared" si="1"/>
        <v>3.3060079999999994</v>
      </c>
      <c r="Z27" s="325">
        <f t="shared" si="1"/>
        <v>2.9487315999999995</v>
      </c>
      <c r="AA27" s="325">
        <f t="shared" si="1"/>
        <v>2.4935236000000001</v>
      </c>
      <c r="AB27" s="325">
        <f t="shared" si="1"/>
        <v>1.8564320000000003</v>
      </c>
      <c r="AC27" s="325">
        <f t="shared" si="1"/>
        <v>0.80025794000000006</v>
      </c>
      <c r="AD27" s="325">
        <f t="shared" si="1"/>
        <v>0.46639323999999999</v>
      </c>
      <c r="AE27" s="325">
        <f t="shared" si="1"/>
        <v>0.21003932999999994</v>
      </c>
      <c r="AF27" s="326">
        <f t="shared" si="1"/>
        <v>0</v>
      </c>
    </row>
    <row r="28" spans="1:32" s="294" customFormat="1">
      <c r="A28" s="553">
        <v>28</v>
      </c>
      <c r="C28" s="10"/>
      <c r="D28" s="29"/>
      <c r="E28" s="566" t="s">
        <v>339</v>
      </c>
      <c r="F28" s="567" t="s">
        <v>1048</v>
      </c>
      <c r="G28" s="325">
        <f>G13</f>
        <v>27.067</v>
      </c>
      <c r="H28" s="325">
        <f t="shared" ref="H28:AF30" ca="1" si="2">H13</f>
        <v>28.911999999999999</v>
      </c>
      <c r="I28" s="325">
        <f t="shared" ca="1" si="2"/>
        <v>31.050999999999998</v>
      </c>
      <c r="J28" s="325">
        <f t="shared" ca="1" si="2"/>
        <v>33.811999999999998</v>
      </c>
      <c r="K28" s="325">
        <f t="shared" ca="1" si="2"/>
        <v>37.777000000000001</v>
      </c>
      <c r="L28" s="325">
        <f t="shared" si="2"/>
        <v>37.464569480000002</v>
      </c>
      <c r="M28" s="325">
        <f t="shared" si="2"/>
        <v>37.164569479999997</v>
      </c>
      <c r="N28" s="325">
        <f t="shared" si="2"/>
        <v>36.764569479999999</v>
      </c>
      <c r="O28" s="325">
        <f t="shared" si="2"/>
        <v>36.264569479999999</v>
      </c>
      <c r="P28" s="325">
        <f t="shared" si="2"/>
        <v>35.664569479999997</v>
      </c>
      <c r="Q28" s="325">
        <f t="shared" si="2"/>
        <v>34.964569480000002</v>
      </c>
      <c r="R28" s="325">
        <f t="shared" si="2"/>
        <v>33.158776369999998</v>
      </c>
      <c r="S28" s="325">
        <f t="shared" si="2"/>
        <v>30.565102570000001</v>
      </c>
      <c r="T28" s="325">
        <f t="shared" si="2"/>
        <v>27.51489948</v>
      </c>
      <c r="U28" s="325">
        <f t="shared" si="2"/>
        <v>24.797031480000001</v>
      </c>
      <c r="V28" s="325">
        <f t="shared" si="2"/>
        <v>22.74326048</v>
      </c>
      <c r="W28" s="325">
        <f t="shared" si="2"/>
        <v>20.92921698</v>
      </c>
      <c r="X28" s="325">
        <f t="shared" si="2"/>
        <v>18.699378980000002</v>
      </c>
      <c r="Y28" s="325">
        <f t="shared" si="2"/>
        <v>17.013132779999999</v>
      </c>
      <c r="Z28" s="325">
        <f t="shared" si="2"/>
        <v>16.241268779999999</v>
      </c>
      <c r="AA28" s="325">
        <f t="shared" si="2"/>
        <v>13.541928859999999</v>
      </c>
      <c r="AB28" s="325">
        <f t="shared" si="2"/>
        <v>12.115269209999999</v>
      </c>
      <c r="AC28" s="325">
        <f t="shared" si="2"/>
        <v>10.238786949999998</v>
      </c>
      <c r="AD28" s="325">
        <f t="shared" si="2"/>
        <v>7.8176624199999987</v>
      </c>
      <c r="AE28" s="325">
        <f t="shared" si="2"/>
        <v>4.7852306299999992</v>
      </c>
      <c r="AF28" s="326">
        <f t="shared" si="2"/>
        <v>0</v>
      </c>
    </row>
    <row r="29" spans="1:32" s="294" customFormat="1">
      <c r="A29" s="553">
        <v>29</v>
      </c>
      <c r="C29" s="10"/>
      <c r="D29" s="29"/>
      <c r="E29" s="566" t="s">
        <v>340</v>
      </c>
      <c r="F29" s="567" t="s">
        <v>1048</v>
      </c>
      <c r="G29" s="325">
        <f t="shared" ref="G29:V30" si="3">G14</f>
        <v>0.08</v>
      </c>
      <c r="H29" s="325">
        <f t="shared" ca="1" si="3"/>
        <v>0.188</v>
      </c>
      <c r="I29" s="325">
        <f t="shared" ca="1" si="3"/>
        <v>0.28029999999999999</v>
      </c>
      <c r="J29" s="325">
        <f t="shared" ca="1" si="3"/>
        <v>0.52029999999999998</v>
      </c>
      <c r="K29" s="325">
        <f t="shared" ca="1" si="3"/>
        <v>0.998</v>
      </c>
      <c r="L29" s="325">
        <f t="shared" si="3"/>
        <v>0.99719999999999998</v>
      </c>
      <c r="M29" s="325">
        <f t="shared" si="3"/>
        <v>0.99719999999999998</v>
      </c>
      <c r="N29" s="325">
        <f t="shared" si="3"/>
        <v>0.99719999999999998</v>
      </c>
      <c r="O29" s="325">
        <f t="shared" si="3"/>
        <v>0.99719999999999998</v>
      </c>
      <c r="P29" s="325">
        <f t="shared" si="3"/>
        <v>0.99719999999999998</v>
      </c>
      <c r="Q29" s="325">
        <f t="shared" si="3"/>
        <v>0.99719999999999998</v>
      </c>
      <c r="R29" s="325">
        <f t="shared" si="3"/>
        <v>0.99719999999999998</v>
      </c>
      <c r="S29" s="325">
        <f t="shared" si="3"/>
        <v>0.99719999999999998</v>
      </c>
      <c r="T29" s="325">
        <f t="shared" si="3"/>
        <v>0.99719999999999998</v>
      </c>
      <c r="U29" s="325">
        <f t="shared" si="3"/>
        <v>0.99719999999999998</v>
      </c>
      <c r="V29" s="325">
        <f t="shared" si="3"/>
        <v>0.99719999999999998</v>
      </c>
      <c r="W29" s="325">
        <f t="shared" si="2"/>
        <v>0.99719999999999998</v>
      </c>
      <c r="X29" s="325">
        <f t="shared" si="2"/>
        <v>0.99719999999999998</v>
      </c>
      <c r="Y29" s="325">
        <f t="shared" si="2"/>
        <v>0.99719999999999998</v>
      </c>
      <c r="Z29" s="325">
        <f t="shared" si="2"/>
        <v>0.99719999999999998</v>
      </c>
      <c r="AA29" s="325">
        <f t="shared" si="2"/>
        <v>0.96219999999999994</v>
      </c>
      <c r="AB29" s="325">
        <f t="shared" si="2"/>
        <v>0.9171999999999999</v>
      </c>
      <c r="AC29" s="325">
        <f t="shared" si="2"/>
        <v>0.80889999999999995</v>
      </c>
      <c r="AD29" s="325">
        <f t="shared" si="2"/>
        <v>0.72889999999999999</v>
      </c>
      <c r="AE29" s="325">
        <f t="shared" si="2"/>
        <v>0.4889</v>
      </c>
      <c r="AF29" s="326">
        <f t="shared" si="2"/>
        <v>0</v>
      </c>
    </row>
    <row r="30" spans="1:32" s="294" customFormat="1">
      <c r="A30" s="553">
        <v>30</v>
      </c>
      <c r="C30" s="10"/>
      <c r="D30" s="29"/>
      <c r="E30" s="568" t="s">
        <v>530</v>
      </c>
      <c r="F30" s="569" t="s">
        <v>1048</v>
      </c>
      <c r="G30" s="302">
        <f t="shared" si="3"/>
        <v>17.943999999999999</v>
      </c>
      <c r="H30" s="302">
        <f t="shared" ca="1" si="2"/>
        <v>25.428157789</v>
      </c>
      <c r="I30" s="302">
        <f t="shared" ca="1" si="2"/>
        <v>33.030563054000005</v>
      </c>
      <c r="J30" s="302">
        <f t="shared" ca="1" si="2"/>
        <v>36.332808835000009</v>
      </c>
      <c r="K30" s="302">
        <f t="shared" ca="1" si="2"/>
        <v>37.127000000000002</v>
      </c>
      <c r="L30" s="302">
        <f t="shared" si="2"/>
        <v>37.849889986000065</v>
      </c>
      <c r="M30" s="302">
        <f t="shared" si="2"/>
        <v>37.849889986000065</v>
      </c>
      <c r="N30" s="302">
        <f t="shared" si="2"/>
        <v>37.849889986000065</v>
      </c>
      <c r="O30" s="302">
        <f t="shared" si="2"/>
        <v>37.849889986000065</v>
      </c>
      <c r="P30" s="302">
        <f t="shared" si="2"/>
        <v>37.849889986000065</v>
      </c>
      <c r="Q30" s="302">
        <f t="shared" si="2"/>
        <v>37.849889986000065</v>
      </c>
      <c r="R30" s="302">
        <f t="shared" si="2"/>
        <v>37.776027506000062</v>
      </c>
      <c r="S30" s="302">
        <f t="shared" si="2"/>
        <v>37.667388816000063</v>
      </c>
      <c r="T30" s="302">
        <f t="shared" si="2"/>
        <v>37.557167266000064</v>
      </c>
      <c r="U30" s="302">
        <f t="shared" si="2"/>
        <v>37.414720716000062</v>
      </c>
      <c r="V30" s="302">
        <f t="shared" si="2"/>
        <v>36.758691416000062</v>
      </c>
      <c r="W30" s="302">
        <f t="shared" si="2"/>
        <v>35.834089356000064</v>
      </c>
      <c r="X30" s="302">
        <f t="shared" si="2"/>
        <v>34.989494406000063</v>
      </c>
      <c r="Y30" s="302">
        <f t="shared" si="2"/>
        <v>33.735743280000058</v>
      </c>
      <c r="Z30" s="302">
        <f t="shared" si="2"/>
        <v>31.75620017000006</v>
      </c>
      <c r="AA30" s="302">
        <f t="shared" si="2"/>
        <v>27.317740330000046</v>
      </c>
      <c r="AB30" s="302">
        <f t="shared" si="2"/>
        <v>19.723863990000012</v>
      </c>
      <c r="AC30" s="302">
        <f t="shared" si="2"/>
        <v>11.723473930000008</v>
      </c>
      <c r="AD30" s="302">
        <f t="shared" si="2"/>
        <v>4.8811800499999842</v>
      </c>
      <c r="AE30" s="302">
        <f t="shared" si="2"/>
        <v>1.7455592899999977</v>
      </c>
      <c r="AF30" s="55">
        <f t="shared" si="2"/>
        <v>0</v>
      </c>
    </row>
    <row r="31" spans="1:32" s="294" customFormat="1">
      <c r="A31" s="553">
        <v>31</v>
      </c>
      <c r="C31" s="10"/>
      <c r="D31" s="29"/>
      <c r="E31" s="564" t="s">
        <v>758</v>
      </c>
      <c r="F31" s="567"/>
      <c r="G31" s="325">
        <f>G16+G17+G19</f>
        <v>0</v>
      </c>
      <c r="H31" s="325">
        <f t="shared" ref="H31:AF31" si="4">H16+H17+H19</f>
        <v>0</v>
      </c>
      <c r="I31" s="325">
        <f t="shared" si="4"/>
        <v>0</v>
      </c>
      <c r="J31" s="325">
        <f t="shared" si="4"/>
        <v>0</v>
      </c>
      <c r="K31" s="325">
        <f t="shared" si="4"/>
        <v>0</v>
      </c>
      <c r="L31" s="325">
        <f t="shared" ca="1" si="4"/>
        <v>0.33407918500000011</v>
      </c>
      <c r="M31" s="325">
        <f t="shared" ca="1" si="4"/>
        <v>0.36479695999999984</v>
      </c>
      <c r="N31" s="325">
        <f t="shared" ca="1" si="4"/>
        <v>0.37389695999999994</v>
      </c>
      <c r="O31" s="325">
        <f t="shared" ca="1" si="4"/>
        <v>0.39989695999999986</v>
      </c>
      <c r="P31" s="325">
        <f t="shared" ca="1" si="4"/>
        <v>0.42289695999999977</v>
      </c>
      <c r="Q31" s="325">
        <f t="shared" ca="1" si="4"/>
        <v>0.44289695999999967</v>
      </c>
      <c r="R31" s="325">
        <f t="shared" ca="1" si="4"/>
        <v>0.44289695999999967</v>
      </c>
      <c r="S31" s="325">
        <f t="shared" ca="1" si="4"/>
        <v>0.44289695999999967</v>
      </c>
      <c r="T31" s="325">
        <f t="shared" ca="1" si="4"/>
        <v>0.44289695999999967</v>
      </c>
      <c r="U31" s="325">
        <f t="shared" ca="1" si="4"/>
        <v>0.44289695999999967</v>
      </c>
      <c r="V31" s="325">
        <f t="shared" ca="1" si="4"/>
        <v>0.44289695999999967</v>
      </c>
      <c r="W31" s="325">
        <f t="shared" ca="1" si="4"/>
        <v>0.44289695999999967</v>
      </c>
      <c r="X31" s="325">
        <f t="shared" ca="1" si="4"/>
        <v>0.44289695999999967</v>
      </c>
      <c r="Y31" s="325">
        <f t="shared" ca="1" si="4"/>
        <v>0.44289695999999967</v>
      </c>
      <c r="Z31" s="325">
        <f t="shared" ca="1" si="4"/>
        <v>0.44289695999999973</v>
      </c>
      <c r="AA31" s="325">
        <f t="shared" ca="1" si="4"/>
        <v>0.44289695999999973</v>
      </c>
      <c r="AB31" s="325">
        <f t="shared" ca="1" si="4"/>
        <v>0.44289695999999967</v>
      </c>
      <c r="AC31" s="325">
        <f t="shared" ca="1" si="4"/>
        <v>0.44289695999999967</v>
      </c>
      <c r="AD31" s="325">
        <f t="shared" ca="1" si="4"/>
        <v>0.44289695999999967</v>
      </c>
      <c r="AE31" s="325">
        <f t="shared" ca="1" si="4"/>
        <v>0.44289695999999967</v>
      </c>
      <c r="AF31" s="326">
        <f t="shared" ca="1" si="4"/>
        <v>0.12847737500000031</v>
      </c>
    </row>
    <row r="32" spans="1:32" s="294" customFormat="1">
      <c r="A32" s="553">
        <v>32</v>
      </c>
      <c r="C32" s="10"/>
      <c r="D32" s="29"/>
      <c r="E32" s="566" t="s">
        <v>11</v>
      </c>
      <c r="F32" s="567"/>
      <c r="G32" s="325">
        <f>G18</f>
        <v>0</v>
      </c>
      <c r="H32" s="325">
        <f t="shared" ref="H32:AF32" si="5">H18</f>
        <v>0</v>
      </c>
      <c r="I32" s="325">
        <f t="shared" si="5"/>
        <v>0</v>
      </c>
      <c r="J32" s="325">
        <f t="shared" si="5"/>
        <v>0</v>
      </c>
      <c r="K32" s="325">
        <f t="shared" si="5"/>
        <v>0</v>
      </c>
      <c r="L32" s="325">
        <f t="shared" ca="1" si="5"/>
        <v>-0.28973329000000003</v>
      </c>
      <c r="M32" s="325">
        <f t="shared" ca="1" si="5"/>
        <v>-0.13757429000000077</v>
      </c>
      <c r="N32" s="325">
        <f t="shared" ca="1" si="5"/>
        <v>8.342570999999932E-2</v>
      </c>
      <c r="O32" s="325">
        <f t="shared" ca="1" si="5"/>
        <v>0.41842570999999928</v>
      </c>
      <c r="P32" s="325">
        <f t="shared" ca="1" si="5"/>
        <v>0.61342570999999957</v>
      </c>
      <c r="Q32" s="325">
        <f t="shared" ca="1" si="5"/>
        <v>0.78942570999999973</v>
      </c>
      <c r="R32" s="325">
        <f t="shared" ca="1" si="5"/>
        <v>0.91342570999999939</v>
      </c>
      <c r="S32" s="325">
        <f t="shared" ca="1" si="5"/>
        <v>0.94942570999999898</v>
      </c>
      <c r="T32" s="325">
        <f t="shared" ca="1" si="5"/>
        <v>0.98942570999999901</v>
      </c>
      <c r="U32" s="325">
        <f t="shared" ca="1" si="5"/>
        <v>1.0324257099999992</v>
      </c>
      <c r="V32" s="325">
        <f t="shared" ca="1" si="5"/>
        <v>1.0774257099999991</v>
      </c>
      <c r="W32" s="325">
        <f t="shared" ca="1" si="5"/>
        <v>1.2774257099999993</v>
      </c>
      <c r="X32" s="325">
        <f t="shared" ca="1" si="5"/>
        <v>1.4774257099999994</v>
      </c>
      <c r="Y32" s="325">
        <f t="shared" ca="1" si="5"/>
        <v>1.6774257099999996</v>
      </c>
      <c r="Z32" s="325">
        <f t="shared" ca="1" si="5"/>
        <v>1.8774257099999998</v>
      </c>
      <c r="AA32" s="325">
        <f t="shared" ca="1" si="5"/>
        <v>2.0774257099999995</v>
      </c>
      <c r="AB32" s="325">
        <f t="shared" ca="1" si="5"/>
        <v>2.2774257099999997</v>
      </c>
      <c r="AC32" s="325">
        <f t="shared" ca="1" si="5"/>
        <v>2.4774257099999994</v>
      </c>
      <c r="AD32" s="325">
        <f t="shared" ca="1" si="5"/>
        <v>2.6774257099999996</v>
      </c>
      <c r="AE32" s="325">
        <f t="shared" ca="1" si="5"/>
        <v>2.8774257099999998</v>
      </c>
      <c r="AF32" s="326">
        <f t="shared" ca="1" si="5"/>
        <v>3.2748937400000004</v>
      </c>
    </row>
    <row r="33" spans="1:35" s="294" customFormat="1">
      <c r="A33" s="553">
        <v>33</v>
      </c>
      <c r="C33" s="10"/>
      <c r="D33" s="29"/>
      <c r="E33" s="566" t="s">
        <v>339</v>
      </c>
      <c r="F33" s="570"/>
      <c r="G33" s="325">
        <f>G20</f>
        <v>0</v>
      </c>
      <c r="H33" s="325">
        <f t="shared" ref="H33:AF35" si="6">H20</f>
        <v>0</v>
      </c>
      <c r="I33" s="325">
        <f t="shared" si="6"/>
        <v>0</v>
      </c>
      <c r="J33" s="325">
        <f t="shared" si="6"/>
        <v>0</v>
      </c>
      <c r="K33" s="325">
        <f t="shared" si="6"/>
        <v>0</v>
      </c>
      <c r="L33" s="325">
        <f t="shared" ca="1" si="6"/>
        <v>3.8484305200000009</v>
      </c>
      <c r="M33" s="325">
        <f t="shared" ca="1" si="6"/>
        <v>8.4734305200000009</v>
      </c>
      <c r="N33" s="325">
        <f t="shared" ca="1" si="6"/>
        <v>13.704430520000003</v>
      </c>
      <c r="O33" s="325">
        <f t="shared" ca="1" si="6"/>
        <v>17.15043052</v>
      </c>
      <c r="P33" s="325">
        <f t="shared" ca="1" si="6"/>
        <v>18.488430520000001</v>
      </c>
      <c r="Q33" s="325">
        <f t="shared" ca="1" si="6"/>
        <v>19.988430520000001</v>
      </c>
      <c r="R33" s="325">
        <f t="shared" ca="1" si="6"/>
        <v>21.488430520000001</v>
      </c>
      <c r="S33" s="325">
        <f t="shared" ca="1" si="6"/>
        <v>23.488430520000001</v>
      </c>
      <c r="T33" s="325">
        <f t="shared" ca="1" si="6"/>
        <v>25.988430520000005</v>
      </c>
      <c r="U33" s="325">
        <f t="shared" ca="1" si="6"/>
        <v>28.488430520000009</v>
      </c>
      <c r="V33" s="325">
        <f t="shared" ca="1" si="6"/>
        <v>30.988430520000012</v>
      </c>
      <c r="W33" s="325">
        <f t="shared" ca="1" si="6"/>
        <v>33.488430520000016</v>
      </c>
      <c r="X33" s="325">
        <f t="shared" ca="1" si="6"/>
        <v>35.988430520000009</v>
      </c>
      <c r="Y33" s="325">
        <f t="shared" ca="1" si="6"/>
        <v>38.488430520000016</v>
      </c>
      <c r="Z33" s="325">
        <f t="shared" ca="1" si="6"/>
        <v>40.988430520000016</v>
      </c>
      <c r="AA33" s="325">
        <f t="shared" ca="1" si="6"/>
        <v>43.488430520000016</v>
      </c>
      <c r="AB33" s="325">
        <f t="shared" ca="1" si="6"/>
        <v>45.988430520000016</v>
      </c>
      <c r="AC33" s="325">
        <f t="shared" ca="1" si="6"/>
        <v>48.488430520000016</v>
      </c>
      <c r="AD33" s="325">
        <f t="shared" ca="1" si="6"/>
        <v>50.988430520000016</v>
      </c>
      <c r="AE33" s="325">
        <f t="shared" ca="1" si="6"/>
        <v>53.488430520000016</v>
      </c>
      <c r="AF33" s="326">
        <f t="shared" ca="1" si="6"/>
        <v>57.237661150000015</v>
      </c>
    </row>
    <row r="34" spans="1:35" s="294" customFormat="1">
      <c r="A34" s="553">
        <v>34</v>
      </c>
      <c r="C34" s="10"/>
      <c r="D34" s="29"/>
      <c r="E34" s="566" t="s">
        <v>340</v>
      </c>
      <c r="F34" s="570"/>
      <c r="G34" s="325">
        <f t="shared" ref="G34:V35" si="7">G21</f>
        <v>0</v>
      </c>
      <c r="H34" s="325">
        <f t="shared" si="7"/>
        <v>0</v>
      </c>
      <c r="I34" s="325">
        <f t="shared" si="7"/>
        <v>0</v>
      </c>
      <c r="J34" s="325">
        <f t="shared" si="7"/>
        <v>0</v>
      </c>
      <c r="K34" s="325">
        <f t="shared" si="7"/>
        <v>0</v>
      </c>
      <c r="L34" s="325">
        <f t="shared" ca="1" si="7"/>
        <v>2.2857999999999996</v>
      </c>
      <c r="M34" s="325">
        <f t="shared" ca="1" si="7"/>
        <v>3.1037999999999992</v>
      </c>
      <c r="N34" s="325">
        <f t="shared" ca="1" si="7"/>
        <v>4.4097999999999988</v>
      </c>
      <c r="O34" s="325">
        <f t="shared" ca="1" si="7"/>
        <v>5.359799999999999</v>
      </c>
      <c r="P34" s="325">
        <f t="shared" ca="1" si="7"/>
        <v>6.7687999999999988</v>
      </c>
      <c r="Q34" s="325">
        <f t="shared" ca="1" si="7"/>
        <v>6.7687999999999988</v>
      </c>
      <c r="R34" s="325">
        <f t="shared" ca="1" si="7"/>
        <v>6.7687999999999988</v>
      </c>
      <c r="S34" s="325">
        <f t="shared" ca="1" si="7"/>
        <v>7.1107999999999985</v>
      </c>
      <c r="T34" s="325">
        <f t="shared" ca="1" si="7"/>
        <v>8.085799999999999</v>
      </c>
      <c r="U34" s="325">
        <f t="shared" ca="1" si="7"/>
        <v>8.9857999999999993</v>
      </c>
      <c r="V34" s="325">
        <f t="shared" ca="1" si="7"/>
        <v>9.8857999999999997</v>
      </c>
      <c r="W34" s="325">
        <f t="shared" ca="1" si="6"/>
        <v>10.7858</v>
      </c>
      <c r="X34" s="325">
        <f t="shared" ca="1" si="6"/>
        <v>11.6858</v>
      </c>
      <c r="Y34" s="325">
        <f t="shared" ca="1" si="6"/>
        <v>12.585800000000001</v>
      </c>
      <c r="Z34" s="325">
        <f t="shared" ca="1" si="6"/>
        <v>13.485800000000001</v>
      </c>
      <c r="AA34" s="325">
        <f t="shared" ca="1" si="6"/>
        <v>14.385800000000001</v>
      </c>
      <c r="AB34" s="325">
        <f t="shared" ca="1" si="6"/>
        <v>15.2858</v>
      </c>
      <c r="AC34" s="325">
        <f t="shared" ca="1" si="6"/>
        <v>16.185799999999997</v>
      </c>
      <c r="AD34" s="325">
        <f t="shared" ca="1" si="6"/>
        <v>17.085799999999999</v>
      </c>
      <c r="AE34" s="325">
        <f t="shared" ca="1" si="6"/>
        <v>17.985799999999998</v>
      </c>
      <c r="AF34" s="326">
        <f t="shared" ca="1" si="6"/>
        <v>17.089700000000001</v>
      </c>
    </row>
    <row r="35" spans="1:35" s="294" customFormat="1">
      <c r="A35" s="553">
        <v>35</v>
      </c>
      <c r="C35" s="10"/>
      <c r="D35" s="29"/>
      <c r="E35" s="568" t="s">
        <v>530</v>
      </c>
      <c r="F35" s="571"/>
      <c r="G35" s="302">
        <f t="shared" si="7"/>
        <v>0</v>
      </c>
      <c r="H35" s="302">
        <f t="shared" si="6"/>
        <v>0</v>
      </c>
      <c r="I35" s="302">
        <f t="shared" si="6"/>
        <v>0</v>
      </c>
      <c r="J35" s="302">
        <f t="shared" si="6"/>
        <v>0</v>
      </c>
      <c r="K35" s="302">
        <f t="shared" si="6"/>
        <v>0</v>
      </c>
      <c r="L35" s="302">
        <f t="shared" ca="1" si="6"/>
        <v>0.77511001399993518</v>
      </c>
      <c r="M35" s="302">
        <f t="shared" ca="1" si="6"/>
        <v>2.3001100139999338</v>
      </c>
      <c r="N35" s="302">
        <f t="shared" ca="1" si="6"/>
        <v>4.5441100139999335</v>
      </c>
      <c r="O35" s="302">
        <f t="shared" ca="1" si="6"/>
        <v>6.948110013999937</v>
      </c>
      <c r="P35" s="302">
        <f t="shared" ca="1" si="6"/>
        <v>9.6351100139999346</v>
      </c>
      <c r="Q35" s="302">
        <f t="shared" ca="1" si="6"/>
        <v>13.626110013999934</v>
      </c>
      <c r="R35" s="302">
        <f t="shared" ca="1" si="6"/>
        <v>19.040110013999936</v>
      </c>
      <c r="S35" s="302">
        <f t="shared" ca="1" si="6"/>
        <v>23.978110013999938</v>
      </c>
      <c r="T35" s="302">
        <f t="shared" ca="1" si="6"/>
        <v>27.130110013999939</v>
      </c>
      <c r="U35" s="302">
        <f t="shared" ca="1" si="6"/>
        <v>30.152110013999945</v>
      </c>
      <c r="V35" s="302">
        <f t="shared" ca="1" si="6"/>
        <v>33.28111001399995</v>
      </c>
      <c r="W35" s="302">
        <f t="shared" ca="1" si="6"/>
        <v>35.78111001399995</v>
      </c>
      <c r="X35" s="302">
        <f t="shared" ca="1" si="6"/>
        <v>38.28111001399995</v>
      </c>
      <c r="Y35" s="302">
        <f t="shared" ca="1" si="6"/>
        <v>40.781110013999957</v>
      </c>
      <c r="Z35" s="302">
        <f t="shared" ca="1" si="6"/>
        <v>43.281110013999964</v>
      </c>
      <c r="AA35" s="302">
        <f t="shared" ca="1" si="6"/>
        <v>45.78111001399995</v>
      </c>
      <c r="AB35" s="302">
        <f t="shared" ca="1" si="6"/>
        <v>48.28111001399995</v>
      </c>
      <c r="AC35" s="302">
        <f t="shared" ca="1" si="6"/>
        <v>50.78111001399995</v>
      </c>
      <c r="AD35" s="302">
        <f t="shared" ca="1" si="6"/>
        <v>53.281110013999957</v>
      </c>
      <c r="AE35" s="302">
        <f t="shared" ca="1" si="6"/>
        <v>55.781110013999957</v>
      </c>
      <c r="AF35" s="55">
        <f t="shared" ca="1" si="6"/>
        <v>58.528669303999955</v>
      </c>
    </row>
    <row r="36" spans="1:35" s="294" customFormat="1">
      <c r="A36" s="553">
        <v>36</v>
      </c>
      <c r="C36" s="10"/>
      <c r="D36" s="29"/>
      <c r="E36" s="29"/>
      <c r="F36" s="36"/>
      <c r="G36" s="324"/>
      <c r="H36" s="324"/>
      <c r="I36" s="324"/>
      <c r="J36" s="324"/>
      <c r="K36" s="324"/>
      <c r="L36" s="324"/>
      <c r="M36" s="324"/>
      <c r="N36" s="324"/>
      <c r="O36" s="324"/>
      <c r="P36" s="324"/>
      <c r="Q36" s="324"/>
      <c r="R36" s="324"/>
      <c r="S36" s="324"/>
      <c r="T36" s="324"/>
      <c r="U36" s="324"/>
      <c r="V36" s="324"/>
      <c r="W36" s="324"/>
      <c r="X36" s="324"/>
      <c r="Y36" s="324"/>
      <c r="Z36" s="324"/>
      <c r="AA36" s="324"/>
      <c r="AB36" s="324"/>
      <c r="AC36" s="324"/>
      <c r="AD36" s="324"/>
      <c r="AE36" s="324"/>
      <c r="AF36" s="324"/>
    </row>
    <row r="37" spans="1:35" s="294" customFormat="1">
      <c r="A37" s="553">
        <v>37</v>
      </c>
      <c r="C37" s="10"/>
      <c r="D37" s="29"/>
      <c r="E37" s="29"/>
      <c r="F37" s="192" t="s">
        <v>769</v>
      </c>
      <c r="G37" s="324"/>
      <c r="H37" s="324"/>
      <c r="I37" s="324"/>
      <c r="J37" s="324"/>
      <c r="K37" s="324"/>
      <c r="L37" s="324"/>
      <c r="M37" s="324"/>
      <c r="N37" s="324"/>
      <c r="O37" s="324"/>
      <c r="P37" s="324"/>
      <c r="Q37" s="324"/>
      <c r="R37" s="324"/>
      <c r="S37" s="324"/>
      <c r="T37" s="324"/>
      <c r="U37" s="324"/>
      <c r="V37" s="324"/>
      <c r="W37" s="324"/>
      <c r="X37" s="324"/>
      <c r="Y37" s="324"/>
      <c r="Z37" s="324"/>
      <c r="AA37" s="324"/>
      <c r="AB37" s="324"/>
      <c r="AC37" s="324"/>
      <c r="AD37" s="324"/>
      <c r="AE37" s="324"/>
      <c r="AF37" s="324"/>
    </row>
    <row r="38" spans="1:35" s="294" customFormat="1">
      <c r="A38" s="553">
        <v>38</v>
      </c>
      <c r="C38" s="10"/>
      <c r="D38" s="29"/>
      <c r="E38" s="560"/>
      <c r="F38" s="561"/>
      <c r="G38" s="562">
        <v>2010</v>
      </c>
      <c r="H38" s="562">
        <v>2011</v>
      </c>
      <c r="I38" s="562">
        <v>2012</v>
      </c>
      <c r="J38" s="562">
        <v>2013</v>
      </c>
      <c r="K38" s="562">
        <v>2014</v>
      </c>
      <c r="L38" s="562">
        <v>2015</v>
      </c>
      <c r="M38" s="562">
        <v>2016</v>
      </c>
      <c r="N38" s="562">
        <v>2017</v>
      </c>
      <c r="O38" s="562">
        <v>2018</v>
      </c>
      <c r="P38" s="562">
        <v>2019</v>
      </c>
      <c r="Q38" s="562">
        <v>2020</v>
      </c>
      <c r="R38" s="562">
        <v>2021</v>
      </c>
      <c r="S38" s="562">
        <v>2022</v>
      </c>
      <c r="T38" s="562">
        <v>2023</v>
      </c>
      <c r="U38" s="562">
        <v>2024</v>
      </c>
      <c r="V38" s="562">
        <v>2025</v>
      </c>
      <c r="W38" s="562">
        <v>2026</v>
      </c>
      <c r="X38" s="562">
        <v>2027</v>
      </c>
      <c r="Y38" s="562">
        <v>2028</v>
      </c>
      <c r="Z38" s="562">
        <v>2029</v>
      </c>
      <c r="AA38" s="562">
        <v>2030</v>
      </c>
      <c r="AB38" s="562">
        <v>2031</v>
      </c>
      <c r="AC38" s="562">
        <v>2032</v>
      </c>
      <c r="AD38" s="562">
        <v>2033</v>
      </c>
      <c r="AE38" s="562">
        <v>2034</v>
      </c>
      <c r="AF38" s="563">
        <v>2035</v>
      </c>
    </row>
    <row r="39" spans="1:35" s="294" customFormat="1">
      <c r="A39" s="553">
        <v>39</v>
      </c>
      <c r="C39" s="10"/>
      <c r="D39" s="29"/>
      <c r="E39" s="566" t="s">
        <v>529</v>
      </c>
      <c r="F39" s="565" t="s">
        <v>1048</v>
      </c>
      <c r="G39" s="316">
        <f>'MOD-Berechnungen'!F238-G46</f>
        <v>5.444</v>
      </c>
      <c r="H39" s="316">
        <f>'MOD-Berechnungen'!G238-H46</f>
        <v>6.0667459999999993</v>
      </c>
      <c r="I39" s="316">
        <f>'MOD-Berechnungen'!H238-I46</f>
        <v>5.8298559999999995</v>
      </c>
      <c r="J39" s="316">
        <f>'MOD-Berechnungen'!I238-J46</f>
        <v>6.2952879999999993</v>
      </c>
      <c r="K39" s="316">
        <f>'MOD-Berechnungen'!J238-K46</f>
        <v>6.154331</v>
      </c>
      <c r="L39" s="316">
        <f>'MOD-Berechnungen'!K238-L46</f>
        <v>6.0918529999999995</v>
      </c>
      <c r="M39" s="316">
        <f>'MOD-Berechnungen'!L238-M46</f>
        <v>6.2462140000000002</v>
      </c>
      <c r="N39" s="316">
        <f>'MOD-Berechnungen'!M238-N46</f>
        <v>6.2808169999999999</v>
      </c>
      <c r="O39" s="316">
        <f>'MOD-Berechnungen'!N238-O46</f>
        <v>5.9237959999999994</v>
      </c>
      <c r="P39" s="316">
        <f>'MOD-Berechnungen'!O238-P46</f>
        <v>6.5145869999999997</v>
      </c>
      <c r="Q39" s="316">
        <f>'MOD-Berechnungen'!P238-Q46</f>
        <v>6.2246230000000002</v>
      </c>
      <c r="R39" s="316">
        <f>'MOD-Berechnungen'!Q238-R46</f>
        <v>6.3270030000000004</v>
      </c>
      <c r="S39" s="316">
        <f>'MOD-Berechnungen'!R238-S46</f>
        <v>6.3653839009576823</v>
      </c>
      <c r="T39" s="316">
        <f>'MOD-Berechnungen'!S238-T46</f>
        <v>6.3653839009576823</v>
      </c>
      <c r="U39" s="316">
        <f>'MOD-Berechnungen'!T238-U46</f>
        <v>6.3653839009576823</v>
      </c>
      <c r="V39" s="316">
        <f>'MOD-Berechnungen'!U238-V46</f>
        <v>6.3653839009576823</v>
      </c>
      <c r="W39" s="316">
        <f>'MOD-Berechnungen'!V238-W46</f>
        <v>6.3653839009576823</v>
      </c>
      <c r="X39" s="316">
        <f>'MOD-Berechnungen'!W238-X46</f>
        <v>6.3653839009576823</v>
      </c>
      <c r="Y39" s="316">
        <f>'MOD-Berechnungen'!X238-Y46</f>
        <v>6.3653839009576823</v>
      </c>
      <c r="Z39" s="316">
        <f>'MOD-Berechnungen'!Y238-Z46</f>
        <v>6.3653839009576823</v>
      </c>
      <c r="AA39" s="316">
        <f>'MOD-Berechnungen'!Z238-AA46</f>
        <v>5.8264018677620077</v>
      </c>
      <c r="AB39" s="316">
        <f>'MOD-Berechnungen'!AA238-AB46</f>
        <v>5.3606672290276043</v>
      </c>
      <c r="AC39" s="316">
        <f>'MOD-Berechnungen'!AB238-AC46</f>
        <v>5.0397223665748268</v>
      </c>
      <c r="AD39" s="316">
        <f>'MOD-Berechnungen'!AC238-AD46</f>
        <v>4.8537221589924613</v>
      </c>
      <c r="AE39" s="316">
        <f>'MOD-Berechnungen'!AD238-AE46</f>
        <v>4.2530569317466336</v>
      </c>
      <c r="AF39" s="317">
        <f>'MOD-Berechnungen'!AE238-AF46</f>
        <v>4.2024045692321126</v>
      </c>
      <c r="AH39" s="294" t="s">
        <v>220</v>
      </c>
      <c r="AI39" s="10" t="s">
        <v>222</v>
      </c>
    </row>
    <row r="40" spans="1:35" s="294" customFormat="1">
      <c r="A40" s="553">
        <v>40</v>
      </c>
      <c r="C40" s="10"/>
      <c r="D40" s="29"/>
      <c r="E40" s="566" t="s">
        <v>349</v>
      </c>
      <c r="F40" s="567" t="s">
        <v>1048</v>
      </c>
      <c r="G40" s="325">
        <f>'MOD-Berechnungen'!F239-G47</f>
        <v>1.835</v>
      </c>
      <c r="H40" s="325">
        <f>'MOD-Berechnungen'!G239-H47</f>
        <v>1.993012</v>
      </c>
      <c r="I40" s="325">
        <f>'MOD-Berechnungen'!H239-I47</f>
        <v>1.667049</v>
      </c>
      <c r="J40" s="325">
        <f>'MOD-Berechnungen'!I239-J47</f>
        <v>1.9069669999999999</v>
      </c>
      <c r="K40" s="325">
        <f>'MOD-Berechnungen'!J239-K47</f>
        <v>1.824149</v>
      </c>
      <c r="L40" s="325">
        <f>'MOD-Berechnungen'!K239-L47</f>
        <v>1.6121632090000002</v>
      </c>
      <c r="M40" s="325">
        <f>'MOD-Berechnungen'!L239-M47</f>
        <v>1.4688885760000006</v>
      </c>
      <c r="N40" s="325">
        <f>'MOD-Berechnungen'!M239-N47</f>
        <v>1.2400593340000006</v>
      </c>
      <c r="O40" s="325">
        <f>'MOD-Berechnungen'!N239-O47</f>
        <v>1.5150779340000005</v>
      </c>
      <c r="P40" s="325">
        <f>'MOD-Berechnungen'!O239-P47</f>
        <v>1.5302029340000005</v>
      </c>
      <c r="Q40" s="325">
        <f>'MOD-Berechnungen'!P239-Q47</f>
        <v>1.2550235686604219</v>
      </c>
      <c r="R40" s="325">
        <f>'MOD-Berechnungen'!Q239-R47</f>
        <v>1.0626982033208436</v>
      </c>
      <c r="S40" s="325">
        <f>'MOD-Berechnungen'!R239-S47</f>
        <v>1.0106083811612576</v>
      </c>
      <c r="T40" s="325">
        <f>'MOD-Berechnungen'!S239-T47</f>
        <v>0.74197769522039114</v>
      </c>
      <c r="U40" s="325">
        <f>'MOD-Berechnungen'!T239-U47</f>
        <v>0.43927686747089773</v>
      </c>
      <c r="V40" s="325">
        <f>'MOD-Berechnungen'!U239-V47</f>
        <v>0.15582886179697536</v>
      </c>
      <c r="W40" s="325">
        <f>'MOD-Berechnungen'!V239-W47</f>
        <v>0.12537230832477714</v>
      </c>
      <c r="X40" s="325">
        <f>'MOD-Berechnungen'!W239-X47</f>
        <v>0.10047524852672235</v>
      </c>
      <c r="Y40" s="325">
        <f>'MOD-Berechnungen'!X239-Y47</f>
        <v>9.6752700738409081E-2</v>
      </c>
      <c r="Z40" s="325">
        <f>'MOD-Berechnungen'!Y239-Z47</f>
        <v>9.3619703214801564E-2</v>
      </c>
      <c r="AA40" s="325">
        <f>'MOD-Berechnungen'!Z239-AA47</f>
        <v>5.5079993384563347E-2</v>
      </c>
      <c r="AB40" s="325">
        <f>'MOD-Berechnungen'!AA239-AB47</f>
        <v>4.8352437199624981E-2</v>
      </c>
      <c r="AC40" s="325">
        <f>'MOD-Berechnungen'!AB239-AC47</f>
        <v>1.5104555416539961E-2</v>
      </c>
      <c r="AD40" s="325">
        <f>'MOD-Berechnungen'!AC239-AD47</f>
        <v>1.2367230452041217E-2</v>
      </c>
      <c r="AE40" s="325">
        <f>'MOD-Berechnungen'!AD239-AE47</f>
        <v>8.1202989778740575E-3</v>
      </c>
      <c r="AF40" s="326">
        <f>'MOD-Berechnungen'!AE239-AF47</f>
        <v>0</v>
      </c>
    </row>
    <row r="41" spans="1:35" s="294" customFormat="1">
      <c r="A41" s="553">
        <v>41</v>
      </c>
      <c r="C41" s="10"/>
      <c r="D41" s="29"/>
      <c r="E41" s="566" t="s">
        <v>11</v>
      </c>
      <c r="F41" s="567" t="s">
        <v>1048</v>
      </c>
      <c r="G41" s="325">
        <f>'MOD-Berechnungen'!F240-G48</f>
        <v>26.262</v>
      </c>
      <c r="H41" s="325">
        <f>'MOD-Berechnungen'!G240-H48</f>
        <v>27.776935999999999</v>
      </c>
      <c r="I41" s="325">
        <f>'MOD-Berechnungen'!H240-I48</f>
        <v>30.355590999999997</v>
      </c>
      <c r="J41" s="325">
        <f>'MOD-Berechnungen'!I240-J48</f>
        <v>33.165135999999997</v>
      </c>
      <c r="K41" s="325">
        <f>'MOD-Berechnungen'!J240-K48</f>
        <v>34.944730999999997</v>
      </c>
      <c r="L41" s="325">
        <f>'MOD-Berechnungen'!K240-L48</f>
        <v>38.32016038295</v>
      </c>
      <c r="M41" s="325">
        <f>'MOD-Berechnungen'!L240-M48</f>
        <v>39.710752184400008</v>
      </c>
      <c r="N41" s="325">
        <f>'MOD-Berechnungen'!M240-N48</f>
        <v>39.165764102900006</v>
      </c>
      <c r="O41" s="325">
        <f>'MOD-Berechnungen'!N240-O48</f>
        <v>38.398412102900004</v>
      </c>
      <c r="P41" s="325">
        <f>'MOD-Berechnungen'!O240-P48</f>
        <v>36.765495602900003</v>
      </c>
      <c r="Q41" s="325">
        <f>'MOD-Berechnungen'!P240-Q48</f>
        <v>36.183259602900009</v>
      </c>
      <c r="R41" s="325">
        <f>'MOD-Berechnungen'!Q240-R48</f>
        <v>33.844061602900013</v>
      </c>
      <c r="S41" s="325">
        <f>'MOD-Berechnungen'!R240-S48</f>
        <v>38.829714281829894</v>
      </c>
      <c r="T41" s="325">
        <f>'MOD-Berechnungen'!S240-T48</f>
        <v>38.049447462908155</v>
      </c>
      <c r="U41" s="325">
        <f>'MOD-Berechnungen'!T240-U48</f>
        <v>36.913188946941609</v>
      </c>
      <c r="V41" s="325">
        <f>'MOD-Berechnungen'!U240-V48</f>
        <v>33.879601480015921</v>
      </c>
      <c r="W41" s="325">
        <f>'MOD-Berechnungen'!V240-W48</f>
        <v>29.979942877482884</v>
      </c>
      <c r="X41" s="325">
        <f>'MOD-Berechnungen'!W240-X48</f>
        <v>24.884416561314495</v>
      </c>
      <c r="Y41" s="325">
        <f>'MOD-Berechnungen'!X240-Y48</f>
        <v>20.958547637788435</v>
      </c>
      <c r="Z41" s="325">
        <f>'MOD-Berechnungen'!Y240-Z48</f>
        <v>18.738437533081807</v>
      </c>
      <c r="AA41" s="325">
        <f>'MOD-Berechnungen'!Z240-AA48</f>
        <v>15.850866075480793</v>
      </c>
      <c r="AB41" s="325">
        <f>'MOD-Berechnungen'!AA240-AB48</f>
        <v>11.467408760352546</v>
      </c>
      <c r="AC41" s="325">
        <f>'MOD-Berechnungen'!AB240-AC48</f>
        <v>4.2173214392664065</v>
      </c>
      <c r="AD41" s="325">
        <f>'MOD-Berechnungen'!AC240-AD48</f>
        <v>2.5538934635614154</v>
      </c>
      <c r="AE41" s="325">
        <f>'MOD-Berechnungen'!AD240-AE48</f>
        <v>1.1093808982965392</v>
      </c>
      <c r="AF41" s="326">
        <f>'MOD-Berechnungen'!AE240-AF48</f>
        <v>0</v>
      </c>
    </row>
    <row r="42" spans="1:35" s="294" customFormat="1">
      <c r="A42" s="553">
        <v>42</v>
      </c>
      <c r="C42" s="10"/>
      <c r="D42" s="29"/>
      <c r="E42" s="566" t="s">
        <v>10</v>
      </c>
      <c r="F42" s="567" t="s">
        <v>1048</v>
      </c>
      <c r="G42" s="325">
        <f>'MOD-Berechnungen'!F241-G49</f>
        <v>3.5999999999999997E-2</v>
      </c>
      <c r="H42" s="325">
        <f>'MOD-Berechnungen'!G241-H49</f>
        <v>6.1612E-2</v>
      </c>
      <c r="I42" s="325">
        <f>'MOD-Berechnungen'!H241-I49</f>
        <v>0.10724</v>
      </c>
      <c r="J42" s="325">
        <f>'MOD-Berechnungen'!I241-J49</f>
        <v>7.6874999999999999E-2</v>
      </c>
      <c r="K42" s="325">
        <f>'MOD-Berechnungen'!J241-K49</f>
        <v>0.130407</v>
      </c>
      <c r="L42" s="325">
        <f>'MOD-Berechnungen'!K241-L49</f>
        <v>0.15870499999999998</v>
      </c>
      <c r="M42" s="325">
        <f>'MOD-Berechnungen'!L241-M49</f>
        <v>0.1695035</v>
      </c>
      <c r="N42" s="325">
        <f>'MOD-Berechnungen'!M241-N49</f>
        <v>0.16151500000000002</v>
      </c>
      <c r="O42" s="325">
        <f>'MOD-Berechnungen'!N241-O49</f>
        <v>0.20720700000000003</v>
      </c>
      <c r="P42" s="325">
        <f>'MOD-Berechnungen'!O241-P49</f>
        <v>0.20774100000000001</v>
      </c>
      <c r="Q42" s="325">
        <f>'MOD-Berechnungen'!P241-Q49</f>
        <v>0.10962950000000002</v>
      </c>
      <c r="R42" s="325">
        <f>'MOD-Berechnungen'!Q241-R49</f>
        <v>0.14897200000000005</v>
      </c>
      <c r="S42" s="325">
        <f>'MOD-Berechnungen'!R241-S49</f>
        <v>0.14968884020373424</v>
      </c>
      <c r="T42" s="325">
        <f>'MOD-Berechnungen'!S241-T49</f>
        <v>0.14968884020373424</v>
      </c>
      <c r="U42" s="325">
        <f>'MOD-Berechnungen'!T241-U49</f>
        <v>0.14968884020373424</v>
      </c>
      <c r="V42" s="325">
        <f>'MOD-Berechnungen'!U241-V49</f>
        <v>0.14968884020373424</v>
      </c>
      <c r="W42" s="325">
        <f>'MOD-Berechnungen'!V241-W49</f>
        <v>0.14968884020373424</v>
      </c>
      <c r="X42" s="325">
        <f>'MOD-Berechnungen'!W241-X49</f>
        <v>0.14968884020373424</v>
      </c>
      <c r="Y42" s="325">
        <f>'MOD-Berechnungen'!X241-Y49</f>
        <v>0.14968884020373424</v>
      </c>
      <c r="Z42" s="325">
        <f>'MOD-Berechnungen'!Y241-Z49</f>
        <v>0.14968884020373424</v>
      </c>
      <c r="AA42" s="325">
        <f>'MOD-Berechnungen'!Z241-AA49</f>
        <v>0.14027279747116284</v>
      </c>
      <c r="AB42" s="325">
        <f>'MOD-Berechnungen'!AA241-AB49</f>
        <v>0.14027279747116284</v>
      </c>
      <c r="AC42" s="325">
        <f>'MOD-Berechnungen'!AB241-AC49</f>
        <v>0.14027279747116284</v>
      </c>
      <c r="AD42" s="325">
        <f>'MOD-Berechnungen'!AC241-AD49</f>
        <v>8.0174710482014119E-2</v>
      </c>
      <c r="AE42" s="325">
        <f>'MOD-Berechnungen'!AD241-AE49</f>
        <v>1.6693808528381496E-2</v>
      </c>
      <c r="AF42" s="326">
        <f>'MOD-Berechnungen'!AE241-AF49</f>
        <v>0</v>
      </c>
    </row>
    <row r="43" spans="1:35" s="294" customFormat="1">
      <c r="A43" s="553">
        <v>43</v>
      </c>
      <c r="C43" s="10"/>
      <c r="D43" s="29"/>
      <c r="E43" s="566" t="s">
        <v>339</v>
      </c>
      <c r="F43" s="567" t="s">
        <v>1048</v>
      </c>
      <c r="G43" s="325">
        <f>'MOD-Berechnungen'!F242-G50</f>
        <v>47.704000000000001</v>
      </c>
      <c r="H43" s="325">
        <f>'MOD-Berechnungen'!G242-H50</f>
        <v>53.882748999999997</v>
      </c>
      <c r="I43" s="325">
        <f>'MOD-Berechnungen'!H242-I50</f>
        <v>50.125189999999996</v>
      </c>
      <c r="J43" s="325">
        <f>'MOD-Berechnungen'!I242-J50</f>
        <v>55.830889999999997</v>
      </c>
      <c r="K43" s="325">
        <f>'MOD-Berechnungen'!J242-K50</f>
        <v>62.190390000000001</v>
      </c>
      <c r="L43" s="325">
        <f>'MOD-Berechnungen'!K242-L50</f>
        <v>63.746863999999995</v>
      </c>
      <c r="M43" s="325">
        <f>'MOD-Berechnungen'!L242-M50</f>
        <v>65.608738000000002</v>
      </c>
      <c r="N43" s="325">
        <f>'MOD-Berechnungen'!M242-N50</f>
        <v>62.849661999999995</v>
      </c>
      <c r="O43" s="325">
        <f>'MOD-Berechnungen'!N242-O50</f>
        <v>65.729611999999989</v>
      </c>
      <c r="P43" s="325">
        <f>'MOD-Berechnungen'!O242-P50</f>
        <v>67.424354999999991</v>
      </c>
      <c r="Q43" s="325">
        <f>'MOD-Berechnungen'!P242-Q50</f>
        <v>67.909641999999991</v>
      </c>
      <c r="R43" s="325">
        <f>'MOD-Berechnungen'!Q242-R50</f>
        <v>63.903676999999995</v>
      </c>
      <c r="S43" s="325">
        <f>'MOD-Berechnungen'!R242-S50</f>
        <v>53.273860613123752</v>
      </c>
      <c r="T43" s="325">
        <f>'MOD-Berechnungen'!S242-T50</f>
        <v>48.985144127866754</v>
      </c>
      <c r="U43" s="325">
        <f>'MOD-Berechnungen'!T242-U50</f>
        <v>44.953859251545779</v>
      </c>
      <c r="V43" s="325">
        <f>'MOD-Berechnungen'!U242-V50</f>
        <v>41.69529969394361</v>
      </c>
      <c r="W43" s="325">
        <f>'MOD-Berechnungen'!V242-W50</f>
        <v>38.889800126336482</v>
      </c>
      <c r="X43" s="325">
        <f>'MOD-Berechnungen'!W242-X50</f>
        <v>35.265691742050734</v>
      </c>
      <c r="Y43" s="325">
        <f>'MOD-Berechnungen'!X242-Y50</f>
        <v>32.453041205988214</v>
      </c>
      <c r="Z43" s="325">
        <f>'MOD-Berechnungen'!Y242-Z50</f>
        <v>31.191017671164573</v>
      </c>
      <c r="AA43" s="325">
        <f>'MOD-Berechnungen'!Z242-AA50</f>
        <v>26.534990416467977</v>
      </c>
      <c r="AB43" s="325">
        <f>'MOD-Berechnungen'!AA242-AB50</f>
        <v>23.848804711831974</v>
      </c>
      <c r="AC43" s="325">
        <f>'MOD-Berechnungen'!AB242-AC50</f>
        <v>20.453990621840418</v>
      </c>
      <c r="AD43" s="325">
        <f>'MOD-Berechnungen'!AC242-AD50</f>
        <v>15.896470455695578</v>
      </c>
      <c r="AE43" s="325">
        <f>'MOD-Berechnungen'!AD242-AE50</f>
        <v>9.6974811568969841</v>
      </c>
      <c r="AF43" s="326">
        <f>'MOD-Berechnungen'!AE242-AF50</f>
        <v>0</v>
      </c>
    </row>
    <row r="44" spans="1:35" s="294" customFormat="1">
      <c r="A44" s="553">
        <v>44</v>
      </c>
      <c r="C44" s="10"/>
      <c r="D44" s="29"/>
      <c r="E44" s="566" t="s">
        <v>340</v>
      </c>
      <c r="F44" s="567" t="s">
        <v>1048</v>
      </c>
      <c r="G44" s="325">
        <f>'MOD-Berechnungen'!F243-G51</f>
        <v>0.65400000000000003</v>
      </c>
      <c r="H44" s="325">
        <f>'MOD-Berechnungen'!G243-H51</f>
        <v>1.1467909999999999</v>
      </c>
      <c r="I44" s="325">
        <f>'MOD-Berechnungen'!H243-I51</f>
        <v>1.361415</v>
      </c>
      <c r="J44" s="325">
        <f>'MOD-Berechnungen'!I243-J51</f>
        <v>2.4940419999999999</v>
      </c>
      <c r="K44" s="325">
        <f>'MOD-Berechnungen'!J243-K51</f>
        <v>7.397958</v>
      </c>
      <c r="L44" s="325">
        <f>'MOD-Berechnungen'!K243-L51</f>
        <v>7.4838040000000001</v>
      </c>
      <c r="M44" s="325">
        <f>'MOD-Berechnungen'!L243-M51</f>
        <v>6.5432240000000004</v>
      </c>
      <c r="N44" s="325">
        <f>'MOD-Berechnungen'!M243-N51</f>
        <v>7.4668410000000005</v>
      </c>
      <c r="O44" s="325">
        <f>'MOD-Berechnungen'!N243-O51</f>
        <v>5.8992179999999976</v>
      </c>
      <c r="P44" s="325">
        <f>'MOD-Berechnungen'!O243-P51</f>
        <v>5.6125419999999977</v>
      </c>
      <c r="Q44" s="325">
        <f>'MOD-Berechnungen'!P243-Q51</f>
        <v>6.6080259999999953</v>
      </c>
      <c r="R44" s="325">
        <f>'MOD-Berechnungen'!Q243-R51</f>
        <v>6.3068899999999957</v>
      </c>
      <c r="S44" s="325">
        <f>'MOD-Berechnungen'!R243-S51</f>
        <v>4.1105473324434101</v>
      </c>
      <c r="T44" s="325">
        <f>'MOD-Berechnungen'!S243-T51</f>
        <v>4.1105473324434101</v>
      </c>
      <c r="U44" s="325">
        <f>'MOD-Berechnungen'!T243-U51</f>
        <v>4.1105473324434101</v>
      </c>
      <c r="V44" s="325">
        <f>'MOD-Berechnungen'!U243-V51</f>
        <v>4.1105473324434101</v>
      </c>
      <c r="W44" s="325">
        <f>'MOD-Berechnungen'!V243-W51</f>
        <v>4.1105473324434101</v>
      </c>
      <c r="X44" s="325">
        <f>'MOD-Berechnungen'!W243-X51</f>
        <v>4.1105473324434101</v>
      </c>
      <c r="Y44" s="325">
        <f>'MOD-Berechnungen'!X243-Y51</f>
        <v>4.1105473324434101</v>
      </c>
      <c r="Z44" s="325">
        <f>'MOD-Berechnungen'!Y243-Z51</f>
        <v>4.1105473324434101</v>
      </c>
      <c r="AA44" s="325">
        <f>'MOD-Berechnungen'!Z243-AA51</f>
        <v>3.9601506745242929</v>
      </c>
      <c r="AB44" s="325">
        <f>'MOD-Berechnungen'!AA243-AB51</f>
        <v>3.7744742876370196</v>
      </c>
      <c r="AC44" s="325">
        <f>'MOD-Berechnungen'!AB243-AC51</f>
        <v>3.3082822149057236</v>
      </c>
      <c r="AD44" s="325">
        <f>'MOD-Berechnungen'!AC243-AD51</f>
        <v>2.979331065584816</v>
      </c>
      <c r="AE44" s="325">
        <f>'MOD-Berechnungen'!AD243-AE51</f>
        <v>2.0382152120083674</v>
      </c>
      <c r="AF44" s="326">
        <f>'MOD-Berechnungen'!AE243-AF51</f>
        <v>0</v>
      </c>
    </row>
    <row r="45" spans="1:35" s="294" customFormat="1">
      <c r="A45" s="553">
        <v>45</v>
      </c>
      <c r="C45" s="10"/>
      <c r="D45" s="29"/>
      <c r="E45" s="568" t="s">
        <v>530</v>
      </c>
      <c r="F45" s="569" t="s">
        <v>1048</v>
      </c>
      <c r="G45" s="302">
        <f>'MOD-Berechnungen'!F244-G52</f>
        <v>8.2959999999999994</v>
      </c>
      <c r="H45" s="302">
        <f>'MOD-Berechnungen'!G244-H52</f>
        <v>19.399286999999998</v>
      </c>
      <c r="I45" s="302">
        <f>'MOD-Berechnungen'!H244-I52</f>
        <v>24.072319</v>
      </c>
      <c r="J45" s="302">
        <f>'MOD-Berechnungen'!I244-J52</f>
        <v>34.673694999999995</v>
      </c>
      <c r="K45" s="302">
        <f>'MOD-Berechnungen'!J244-K52</f>
        <v>36.594586999999997</v>
      </c>
      <c r="L45" s="302">
        <f>'MOD-Berechnungen'!K244-L52</f>
        <v>35.392149000000003</v>
      </c>
      <c r="M45" s="302">
        <f>'MOD-Berechnungen'!L244-M52</f>
        <v>34.6984195</v>
      </c>
      <c r="N45" s="302">
        <f>'MOD-Berechnungen'!M244-N52</f>
        <v>32.671796999999998</v>
      </c>
      <c r="O45" s="302">
        <f>'MOD-Berechnungen'!N244-O52</f>
        <v>33.058402000000001</v>
      </c>
      <c r="P45" s="302">
        <f>'MOD-Berechnungen'!O244-P52</f>
        <v>33.337899499999999</v>
      </c>
      <c r="Q45" s="302">
        <f>'MOD-Berechnungen'!P244-Q52</f>
        <v>32.385882402508614</v>
      </c>
      <c r="R45" s="302">
        <f>'MOD-Berechnungen'!Q244-R52</f>
        <v>33.67452203549842</v>
      </c>
      <c r="S45" s="302">
        <f>'MOD-Berechnungen'!R244-S52</f>
        <v>32.889992363151684</v>
      </c>
      <c r="T45" s="302">
        <f>'MOD-Berechnungen'!S244-T52</f>
        <v>32.802643428256573</v>
      </c>
      <c r="U45" s="302">
        <f>'MOD-Berechnungen'!T244-U52</f>
        <v>32.682146189674356</v>
      </c>
      <c r="V45" s="302">
        <f>'MOD-Berechnungen'!U244-V52</f>
        <v>32.118403998686745</v>
      </c>
      <c r="W45" s="302">
        <f>'MOD-Berechnungen'!V244-W52</f>
        <v>31.319274806708727</v>
      </c>
      <c r="X45" s="302">
        <f>'MOD-Berechnungen'!W244-X52</f>
        <v>30.58188633837478</v>
      </c>
      <c r="Y45" s="302">
        <f>'MOD-Berechnungen'!X244-Y52</f>
        <v>29.468001652940714</v>
      </c>
      <c r="Z45" s="302">
        <f>'MOD-Berechnungen'!Y244-Z52</f>
        <v>27.712738361025217</v>
      </c>
      <c r="AA45" s="302">
        <f>'MOD-Berechnungen'!Z244-AA52</f>
        <v>23.700450799975101</v>
      </c>
      <c r="AB45" s="302">
        <f>'MOD-Berechnungen'!AA244-AB52</f>
        <v>16.920444701113084</v>
      </c>
      <c r="AC45" s="302">
        <f>'MOD-Berechnungen'!AB244-AC52</f>
        <v>9.8246758626833426</v>
      </c>
      <c r="AD45" s="302">
        <f>'MOD-Berechnungen'!AC244-AD52</f>
        <v>3.897316944172907</v>
      </c>
      <c r="AE45" s="302">
        <f>'MOD-Berechnungen'!AD244-AE52</f>
        <v>1.3478885514705539</v>
      </c>
      <c r="AF45" s="55">
        <f>'MOD-Berechnungen'!AE244-AF52</f>
        <v>0</v>
      </c>
    </row>
    <row r="46" spans="1:35" s="294" customFormat="1">
      <c r="A46" s="553">
        <v>46</v>
      </c>
      <c r="C46" s="10"/>
      <c r="D46" s="29"/>
      <c r="E46" s="566" t="s">
        <v>529</v>
      </c>
      <c r="F46" s="570"/>
      <c r="G46" s="325"/>
      <c r="H46" s="325"/>
      <c r="I46" s="325"/>
      <c r="J46" s="325"/>
      <c r="K46" s="325"/>
      <c r="L46" s="325">
        <f>'MOD-Berechnungen'!K228</f>
        <v>0</v>
      </c>
      <c r="M46" s="325">
        <f>'MOD-Berechnungen'!L228</f>
        <v>0</v>
      </c>
      <c r="N46" s="325">
        <f>'MOD-Berechnungen'!M228</f>
        <v>0</v>
      </c>
      <c r="O46" s="325">
        <f>'MOD-Berechnungen'!N228</f>
        <v>0</v>
      </c>
      <c r="P46" s="325">
        <f>'MOD-Berechnungen'!O228</f>
        <v>0</v>
      </c>
      <c r="Q46" s="325">
        <f>'MOD-Berechnungen'!P228</f>
        <v>2.5713999999999997E-2</v>
      </c>
      <c r="R46" s="325">
        <f>'MOD-Berechnungen'!Q228</f>
        <v>5.1427999999999995E-2</v>
      </c>
      <c r="S46" s="325">
        <f>'MOD-Berechnungen'!R228</f>
        <v>5.1427999999999995E-2</v>
      </c>
      <c r="T46" s="325">
        <f>'MOD-Berechnungen'!S228</f>
        <v>5.1427999999999995E-2</v>
      </c>
      <c r="U46" s="325">
        <f>'MOD-Berechnungen'!T228</f>
        <v>5.1427999999999995E-2</v>
      </c>
      <c r="V46" s="325">
        <f>'MOD-Berechnungen'!U228</f>
        <v>5.1427999999999995E-2</v>
      </c>
      <c r="W46" s="325">
        <f>'MOD-Berechnungen'!V228</f>
        <v>5.1427999999999995E-2</v>
      </c>
      <c r="X46" s="325">
        <f>'MOD-Berechnungen'!W228</f>
        <v>5.1427999999999995E-2</v>
      </c>
      <c r="Y46" s="325">
        <f>'MOD-Berechnungen'!X228</f>
        <v>5.1427999999999995E-2</v>
      </c>
      <c r="Z46" s="325">
        <f>'MOD-Berechnungen'!Y228</f>
        <v>5.1427999999999995E-2</v>
      </c>
      <c r="AA46" s="325">
        <f>'MOD-Berechnungen'!Z228</f>
        <v>5.1427999999999995E-2</v>
      </c>
      <c r="AB46" s="325">
        <f>'MOD-Berechnungen'!AA228</f>
        <v>5.1427999999999995E-2</v>
      </c>
      <c r="AC46" s="325">
        <f>'MOD-Berechnungen'!AB228</f>
        <v>5.1427999999999995E-2</v>
      </c>
      <c r="AD46" s="325">
        <f>'MOD-Berechnungen'!AC228</f>
        <v>5.1427999999999995E-2</v>
      </c>
      <c r="AE46" s="325">
        <f>'MOD-Berechnungen'!AD228</f>
        <v>5.1427999999999995E-2</v>
      </c>
      <c r="AF46" s="326">
        <f>'MOD-Berechnungen'!AE228</f>
        <v>5.1427999999999995E-2</v>
      </c>
      <c r="AH46" s="294" t="s">
        <v>220</v>
      </c>
      <c r="AI46" s="10" t="s">
        <v>221</v>
      </c>
    </row>
    <row r="47" spans="1:35" s="294" customFormat="1">
      <c r="A47" s="553">
        <v>47</v>
      </c>
      <c r="C47" s="10"/>
      <c r="D47" s="29"/>
      <c r="E47" s="566" t="s">
        <v>349</v>
      </c>
      <c r="F47" s="570"/>
      <c r="G47" s="325"/>
      <c r="H47" s="325"/>
      <c r="I47" s="325"/>
      <c r="J47" s="325"/>
      <c r="K47" s="325"/>
      <c r="L47" s="325">
        <f>'MOD-Berechnungen'!K229</f>
        <v>6.6406790999999743E-2</v>
      </c>
      <c r="M47" s="325">
        <f>'MOD-Berechnungen'!L229</f>
        <v>0.13873742399999947</v>
      </c>
      <c r="N47" s="325">
        <f>'MOD-Berechnungen'!M229</f>
        <v>0.14801366599999941</v>
      </c>
      <c r="O47" s="325">
        <f>'MOD-Berechnungen'!N229</f>
        <v>0.16266706599999942</v>
      </c>
      <c r="P47" s="325">
        <f>'MOD-Berechnungen'!O229</f>
        <v>0.17765306599999942</v>
      </c>
      <c r="Q47" s="325">
        <f>'MOD-Berechnungen'!P229</f>
        <v>0.1847104313395779</v>
      </c>
      <c r="R47" s="325">
        <f>'MOD-Berechnungen'!Q229</f>
        <v>0.18808279667915634</v>
      </c>
      <c r="S47" s="325">
        <f>'MOD-Berechnungen'!R229</f>
        <v>0.18808279667915634</v>
      </c>
      <c r="T47" s="325">
        <f>'MOD-Berechnungen'!S229</f>
        <v>0.18808279667915634</v>
      </c>
      <c r="U47" s="325">
        <f>'MOD-Berechnungen'!T229</f>
        <v>0.18808279667915634</v>
      </c>
      <c r="V47" s="325">
        <f>'MOD-Berechnungen'!U229</f>
        <v>0.18808279667915634</v>
      </c>
      <c r="W47" s="325">
        <f>'MOD-Berechnungen'!V229</f>
        <v>0.18808279667915634</v>
      </c>
      <c r="X47" s="325">
        <f>'MOD-Berechnungen'!W229</f>
        <v>0.18808279667915634</v>
      </c>
      <c r="Y47" s="325">
        <f>'MOD-Berechnungen'!X229</f>
        <v>0.18808279667915634</v>
      </c>
      <c r="Z47" s="325">
        <f>'MOD-Berechnungen'!Y229</f>
        <v>0.18808279667915634</v>
      </c>
      <c r="AA47" s="325">
        <f>'MOD-Berechnungen'!Z229</f>
        <v>0.18808279667915634</v>
      </c>
      <c r="AB47" s="325">
        <f>'MOD-Berechnungen'!AA229</f>
        <v>0.18808279667915634</v>
      </c>
      <c r="AC47" s="325">
        <f>'MOD-Berechnungen'!AB229</f>
        <v>0.18808279667915634</v>
      </c>
      <c r="AD47" s="325">
        <f>'MOD-Berechnungen'!AC229</f>
        <v>0.18808279667915634</v>
      </c>
      <c r="AE47" s="325">
        <f>'MOD-Berechnungen'!AD229</f>
        <v>0.18808279667915634</v>
      </c>
      <c r="AF47" s="326">
        <f>'MOD-Berechnungen'!AE229</f>
        <v>0.18808279667915634</v>
      </c>
    </row>
    <row r="48" spans="1:35" s="294" customFormat="1">
      <c r="A48" s="553">
        <v>48</v>
      </c>
      <c r="C48" s="10"/>
      <c r="D48" s="29"/>
      <c r="E48" s="566" t="s">
        <v>11</v>
      </c>
      <c r="F48" s="570"/>
      <c r="G48" s="325"/>
      <c r="H48" s="325"/>
      <c r="I48" s="325"/>
      <c r="J48" s="325"/>
      <c r="K48" s="325"/>
      <c r="L48" s="325">
        <f>'MOD-Berechnungen'!K230</f>
        <v>3.744361704999831E-2</v>
      </c>
      <c r="M48" s="325">
        <f>'MOD-Berechnungen'!L230</f>
        <v>0.52809281559999333</v>
      </c>
      <c r="N48" s="325">
        <f>'MOD-Berechnungen'!M230</f>
        <v>1.6046288970999898</v>
      </c>
      <c r="O48" s="325">
        <f>'MOD-Berechnungen'!N230</f>
        <v>3.15607689709999</v>
      </c>
      <c r="P48" s="325">
        <f>'MOD-Berechnungen'!O230</f>
        <v>4.5861243970999901</v>
      </c>
      <c r="Q48" s="325">
        <f>'MOD-Berechnungen'!P230</f>
        <v>5.5634303970999897</v>
      </c>
      <c r="R48" s="325">
        <f>'MOD-Berechnungen'!Q230</f>
        <v>6.3626323970999898</v>
      </c>
      <c r="S48" s="325">
        <f>'MOD-Berechnungen'!R230</f>
        <v>6.7800943970999903</v>
      </c>
      <c r="T48" s="325">
        <f>'MOD-Berechnungen'!S230</f>
        <v>6.9777103970999894</v>
      </c>
      <c r="U48" s="325">
        <f>'MOD-Berechnungen'!T230</f>
        <v>7.1929958970999905</v>
      </c>
      <c r="V48" s="325">
        <f>'MOD-Berechnungen'!U230</f>
        <v>7.4208738970999901</v>
      </c>
      <c r="W48" s="325">
        <f>'MOD-Berechnungen'!V230</f>
        <v>8.0555463970999899</v>
      </c>
      <c r="X48" s="325">
        <f>'MOD-Berechnungen'!W230</f>
        <v>9.0917463970999908</v>
      </c>
      <c r="Y48" s="325">
        <f>'MOD-Berechnungen'!X230</f>
        <v>10.127946397099992</v>
      </c>
      <c r="Z48" s="325">
        <f>'MOD-Berechnungen'!Y230</f>
        <v>11.164146397099993</v>
      </c>
      <c r="AA48" s="325">
        <f>'MOD-Berechnungen'!Z230</f>
        <v>12.200346397099993</v>
      </c>
      <c r="AB48" s="325">
        <f>'MOD-Berechnungen'!AA230</f>
        <v>13.236546397099994</v>
      </c>
      <c r="AC48" s="325">
        <f>'MOD-Berechnungen'!AB230</f>
        <v>14.272746397099993</v>
      </c>
      <c r="AD48" s="325">
        <f>'MOD-Berechnungen'!AC230</f>
        <v>15.308946397099994</v>
      </c>
      <c r="AE48" s="325">
        <f>'MOD-Berechnungen'!AD230</f>
        <v>16.345146397099995</v>
      </c>
      <c r="AF48" s="326">
        <f>'MOD-Berechnungen'!AE230</f>
        <v>17.381346397099996</v>
      </c>
    </row>
    <row r="49" spans="1:32" s="294" customFormat="1">
      <c r="A49" s="553">
        <v>49</v>
      </c>
      <c r="C49" s="10"/>
      <c r="D49" s="29"/>
      <c r="E49" s="566" t="s">
        <v>10</v>
      </c>
      <c r="F49" s="570"/>
      <c r="G49" s="325"/>
      <c r="H49" s="325"/>
      <c r="I49" s="325"/>
      <c r="J49" s="325"/>
      <c r="K49" s="325"/>
      <c r="L49" s="325">
        <f>'MOD-Berechnungen'!K231</f>
        <v>0</v>
      </c>
      <c r="M49" s="325">
        <f>'MOD-Berechnungen'!L231</f>
        <v>1.0852499999999996E-2</v>
      </c>
      <c r="N49" s="325">
        <f>'MOD-Berechnungen'!M231</f>
        <v>2.8008999999999992E-2</v>
      </c>
      <c r="O49" s="325">
        <f>'MOD-Berechnungen'!N231</f>
        <v>5.0072999999999986E-2</v>
      </c>
      <c r="P49" s="325">
        <f>'MOD-Berechnungen'!O231</f>
        <v>7.8644999999999979E-2</v>
      </c>
      <c r="Q49" s="325">
        <f>'MOD-Berechnungen'!P231</f>
        <v>0.10509949999999998</v>
      </c>
      <c r="R49" s="325">
        <f>'MOD-Berechnungen'!Q231</f>
        <v>0.11874199999999997</v>
      </c>
      <c r="S49" s="325">
        <f>'MOD-Berechnungen'!R231</f>
        <v>0.11874199999999997</v>
      </c>
      <c r="T49" s="325">
        <f>'MOD-Berechnungen'!S231</f>
        <v>0.11874199999999997</v>
      </c>
      <c r="U49" s="325">
        <f>'MOD-Berechnungen'!T231</f>
        <v>0.11874199999999997</v>
      </c>
      <c r="V49" s="325">
        <f>'MOD-Berechnungen'!U231</f>
        <v>0.11874199999999997</v>
      </c>
      <c r="W49" s="325">
        <f>'MOD-Berechnungen'!V231</f>
        <v>0.11874199999999997</v>
      </c>
      <c r="X49" s="325">
        <f>'MOD-Berechnungen'!W231</f>
        <v>0.11874199999999997</v>
      </c>
      <c r="Y49" s="325">
        <f>'MOD-Berechnungen'!X231</f>
        <v>0.11874199999999997</v>
      </c>
      <c r="Z49" s="325">
        <f>'MOD-Berechnungen'!Y231</f>
        <v>0.11874199999999997</v>
      </c>
      <c r="AA49" s="325">
        <f>'MOD-Berechnungen'!Z231</f>
        <v>0.11874199999999997</v>
      </c>
      <c r="AB49" s="325">
        <f>'MOD-Berechnungen'!AA231</f>
        <v>0.11874199999999997</v>
      </c>
      <c r="AC49" s="325">
        <f>'MOD-Berechnungen'!AB231</f>
        <v>0.11874199999999997</v>
      </c>
      <c r="AD49" s="325">
        <f>'MOD-Berechnungen'!AC231</f>
        <v>0.11874199999999997</v>
      </c>
      <c r="AE49" s="325">
        <f>'MOD-Berechnungen'!AD231</f>
        <v>0.11874199999999997</v>
      </c>
      <c r="AF49" s="326">
        <f>'MOD-Berechnungen'!AE231</f>
        <v>0.11874199999999997</v>
      </c>
    </row>
    <row r="50" spans="1:32" s="294" customFormat="1">
      <c r="A50" s="553">
        <v>50</v>
      </c>
      <c r="C50" s="10"/>
      <c r="D50" s="29"/>
      <c r="E50" s="566" t="s">
        <v>339</v>
      </c>
      <c r="F50" s="570"/>
      <c r="G50" s="325"/>
      <c r="H50" s="325"/>
      <c r="I50" s="325"/>
      <c r="J50" s="325"/>
      <c r="K50" s="325"/>
      <c r="L50" s="325">
        <f>'MOD-Berechnungen'!K232</f>
        <v>3.1258240000000002</v>
      </c>
      <c r="M50" s="325">
        <f>'MOD-Berechnungen'!L232</f>
        <v>10.340148000000001</v>
      </c>
      <c r="N50" s="325">
        <f>'MOD-Berechnungen'!M232</f>
        <v>19.152241</v>
      </c>
      <c r="O50" s="325">
        <f>'MOD-Berechnungen'!N232</f>
        <v>26.994464000000004</v>
      </c>
      <c r="P50" s="325">
        <f>'MOD-Berechnungen'!O232</f>
        <v>31.374828000000004</v>
      </c>
      <c r="Q50" s="325">
        <f>'MOD-Berechnungen'!P232</f>
        <v>34.178562000000007</v>
      </c>
      <c r="R50" s="325">
        <f>'MOD-Berechnungen'!Q232</f>
        <v>37.282062000000003</v>
      </c>
      <c r="S50" s="325">
        <f>'MOD-Berechnungen'!R232</f>
        <v>40.976562000000008</v>
      </c>
      <c r="T50" s="325">
        <f>'MOD-Berechnungen'!S232</f>
        <v>45.842062000000006</v>
      </c>
      <c r="U50" s="325">
        <f>'MOD-Berechnungen'!T232</f>
        <v>51.382062000000005</v>
      </c>
      <c r="V50" s="325">
        <f>'MOD-Berechnungen'!U232</f>
        <v>57.144562000000008</v>
      </c>
      <c r="W50" s="325">
        <f>'MOD-Berechnungen'!V232</f>
        <v>63.128312000000008</v>
      </c>
      <c r="X50" s="325">
        <f>'MOD-Berechnungen'!W232</f>
        <v>69.230062000000004</v>
      </c>
      <c r="Y50" s="325">
        <f>'MOD-Berechnungen'!X232</f>
        <v>75.405562000000003</v>
      </c>
      <c r="Z50" s="325">
        <f>'MOD-Berechnungen'!Y232</f>
        <v>81.631633428571433</v>
      </c>
      <c r="AA50" s="325">
        <f>'MOD-Berechnungen'!Z232</f>
        <v>87.894579857142858</v>
      </c>
      <c r="AB50" s="325">
        <f>'MOD-Berechnungen'!AA232</f>
        <v>94.18562152380953</v>
      </c>
      <c r="AC50" s="325">
        <f>'MOD-Berechnungen'!AB232</f>
        <v>100.49878819047619</v>
      </c>
      <c r="AD50" s="325">
        <f>'MOD-Berechnungen'!AC232</f>
        <v>106.82983364502165</v>
      </c>
      <c r="AE50" s="325">
        <f>'MOD-Berechnungen'!AD232</f>
        <v>113.1756290995671</v>
      </c>
      <c r="AF50" s="326">
        <f>'MOD-Berechnungen'!AE232</f>
        <v>119.6018790995671</v>
      </c>
    </row>
    <row r="51" spans="1:32" s="294" customFormat="1">
      <c r="A51" s="553">
        <v>51</v>
      </c>
      <c r="C51" s="10"/>
      <c r="D51" s="29"/>
      <c r="E51" s="566" t="s">
        <v>340</v>
      </c>
      <c r="F51" s="570"/>
      <c r="G51" s="325"/>
      <c r="H51" s="325"/>
      <c r="I51" s="325"/>
      <c r="J51" s="325"/>
      <c r="K51" s="325"/>
      <c r="L51" s="325">
        <f>'MOD-Berechnungen'!K233</f>
        <v>3.7473999999999998</v>
      </c>
      <c r="M51" s="325">
        <f>'MOD-Berechnungen'!L233</f>
        <v>8.8363199999999988</v>
      </c>
      <c r="N51" s="325">
        <f>'MOD-Berechnungen'!M233</f>
        <v>12.566514</v>
      </c>
      <c r="O51" s="325">
        <f>'MOD-Berechnungen'!N233</f>
        <v>16.665188000000001</v>
      </c>
      <c r="P51" s="325">
        <f>'MOD-Berechnungen'!O233</f>
        <v>20.853619000000002</v>
      </c>
      <c r="Q51" s="325">
        <f>'MOD-Berechnungen'!P233</f>
        <v>23.332050000000002</v>
      </c>
      <c r="R51" s="325">
        <f>'MOD-Berechnungen'!Q233</f>
        <v>23.332050000000002</v>
      </c>
      <c r="S51" s="325">
        <f>'MOD-Berechnungen'!R233</f>
        <v>24.06222</v>
      </c>
      <c r="T51" s="325">
        <f>'MOD-Berechnungen'!S233</f>
        <v>26.889615000000003</v>
      </c>
      <c r="U51" s="325">
        <f>'MOD-Berechnungen'!T233</f>
        <v>30.948840000000004</v>
      </c>
      <c r="V51" s="325">
        <f>'MOD-Berechnungen'!U233</f>
        <v>34.923840000000006</v>
      </c>
      <c r="W51" s="325">
        <f>'MOD-Berechnungen'!V233</f>
        <v>38.975340000000003</v>
      </c>
      <c r="X51" s="325">
        <f>'MOD-Berechnungen'!W233</f>
        <v>43.067640000000004</v>
      </c>
      <c r="Y51" s="325">
        <f>'MOD-Berechnungen'!X233</f>
        <v>47.18544</v>
      </c>
      <c r="Z51" s="325">
        <f>'MOD-Berechnungen'!Y233</f>
        <v>51.320725714285722</v>
      </c>
      <c r="AA51" s="325">
        <f>'MOD-Berechnungen'!Z233</f>
        <v>55.468761428571433</v>
      </c>
      <c r="AB51" s="325">
        <f>'MOD-Berechnungen'!AA233</f>
        <v>59.626511428571433</v>
      </c>
      <c r="AC51" s="325">
        <f>'MOD-Berechnungen'!AB233</f>
        <v>63.791911428571431</v>
      </c>
      <c r="AD51" s="325">
        <f>'MOD-Berechnungen'!AC233</f>
        <v>67.963493246753245</v>
      </c>
      <c r="AE51" s="325">
        <f>'MOD-Berechnungen'!AD233</f>
        <v>72.140175064935065</v>
      </c>
      <c r="AF51" s="326">
        <f>'MOD-Berechnungen'!AE233</f>
        <v>76.344675064935061</v>
      </c>
    </row>
    <row r="52" spans="1:32" s="294" customFormat="1">
      <c r="A52" s="553">
        <v>52</v>
      </c>
      <c r="C52" s="10"/>
      <c r="D52" s="29"/>
      <c r="E52" s="568" t="s">
        <v>530</v>
      </c>
      <c r="F52" s="571"/>
      <c r="G52" s="302"/>
      <c r="H52" s="302"/>
      <c r="I52" s="302"/>
      <c r="J52" s="302"/>
      <c r="K52" s="302"/>
      <c r="L52" s="302">
        <f>'MOD-Berechnungen'!K234</f>
        <v>0.70480900000000002</v>
      </c>
      <c r="M52" s="302">
        <f>'MOD-Berechnungen'!L234</f>
        <v>2.1271304999999998</v>
      </c>
      <c r="N52" s="302">
        <f>'MOD-Berechnungen'!M234</f>
        <v>3.8903470000000002</v>
      </c>
      <c r="O52" s="302">
        <f>'MOD-Berechnungen'!N234</f>
        <v>6.1152130000000007</v>
      </c>
      <c r="P52" s="302">
        <f>'MOD-Berechnungen'!O234</f>
        <v>8.5397994999999991</v>
      </c>
      <c r="Q52" s="302">
        <f>'MOD-Berechnungen'!P234</f>
        <v>11.55336359749138</v>
      </c>
      <c r="R52" s="302">
        <f>'MOD-Berechnungen'!Q234</f>
        <v>15.669812964501579</v>
      </c>
      <c r="S52" s="302">
        <f>'MOD-Berechnungen'!R234</f>
        <v>20.203110650161328</v>
      </c>
      <c r="T52" s="302">
        <f>'MOD-Berechnungen'!S234</f>
        <v>23.804972802499947</v>
      </c>
      <c r="U52" s="302">
        <f>'MOD-Berechnungen'!T234</f>
        <v>26.58186481993982</v>
      </c>
      <c r="V52" s="302">
        <f>'MOD-Berechnungen'!U234</f>
        <v>29.349958998077479</v>
      </c>
      <c r="W52" s="302">
        <f>'MOD-Berechnungen'!V234</f>
        <v>31.888365665101809</v>
      </c>
      <c r="X52" s="302">
        <f>'MOD-Berechnungen'!W234</f>
        <v>34.154335384967844</v>
      </c>
      <c r="Y52" s="302">
        <f>'MOD-Berechnungen'!X234</f>
        <v>36.430923464050565</v>
      </c>
      <c r="Z52" s="302">
        <f>'MOD-Berechnungen'!Y234</f>
        <v>38.718129902349958</v>
      </c>
      <c r="AA52" s="302">
        <f>'MOD-Berechnungen'!Z234</f>
        <v>41.015954699866029</v>
      </c>
      <c r="AB52" s="302">
        <f>'MOD-Berechnungen'!AA234</f>
        <v>43.324397856598779</v>
      </c>
      <c r="AC52" s="302">
        <f>'MOD-Berechnungen'!AB234</f>
        <v>45.643459372548207</v>
      </c>
      <c r="AD52" s="302">
        <f>'MOD-Berechnungen'!AC234</f>
        <v>47.9731392477143</v>
      </c>
      <c r="AE52" s="302">
        <f>'MOD-Berechnungen'!AD234</f>
        <v>50.313437482097072</v>
      </c>
      <c r="AF52" s="55">
        <f>'MOD-Berechnungen'!AE234</f>
        <v>52.673741189092631</v>
      </c>
    </row>
    <row r="53" spans="1:32" s="294" customFormat="1">
      <c r="A53" s="553">
        <v>53</v>
      </c>
      <c r="C53" s="10"/>
      <c r="D53" s="29"/>
      <c r="E53" s="29"/>
      <c r="F53" s="36"/>
      <c r="G53" s="324"/>
      <c r="H53" s="324"/>
      <c r="I53" s="324"/>
      <c r="J53" s="324"/>
      <c r="K53" s="324"/>
      <c r="L53" s="324"/>
      <c r="M53" s="324"/>
      <c r="N53" s="324"/>
      <c r="O53" s="324"/>
      <c r="P53" s="324"/>
      <c r="Q53" s="324"/>
      <c r="R53" s="324"/>
      <c r="S53" s="324"/>
      <c r="T53" s="324"/>
      <c r="U53" s="324"/>
      <c r="V53" s="324"/>
      <c r="W53" s="324"/>
      <c r="X53" s="324"/>
      <c r="Y53" s="324"/>
      <c r="Z53" s="324"/>
      <c r="AA53" s="324"/>
      <c r="AB53" s="324"/>
      <c r="AC53" s="324"/>
      <c r="AD53" s="324"/>
      <c r="AE53" s="324"/>
      <c r="AF53" s="324"/>
    </row>
    <row r="54" spans="1:32" s="294" customFormat="1">
      <c r="A54" s="553">
        <v>54</v>
      </c>
      <c r="C54" s="10"/>
      <c r="D54" s="29"/>
      <c r="E54" s="29"/>
      <c r="F54" s="192" t="s">
        <v>770</v>
      </c>
      <c r="G54" s="324"/>
      <c r="H54" s="324"/>
      <c r="I54" s="324"/>
      <c r="J54" s="324"/>
      <c r="K54" s="324"/>
      <c r="L54" s="324"/>
      <c r="M54" s="324"/>
      <c r="N54" s="324"/>
      <c r="O54" s="324"/>
      <c r="P54" s="324"/>
      <c r="Q54" s="324"/>
      <c r="R54" s="324"/>
      <c r="S54" s="324"/>
      <c r="T54" s="324"/>
      <c r="U54" s="324"/>
      <c r="V54" s="324"/>
      <c r="W54" s="324"/>
      <c r="X54" s="324"/>
      <c r="Y54" s="324"/>
      <c r="Z54" s="324"/>
      <c r="AA54" s="324"/>
      <c r="AB54" s="324"/>
      <c r="AC54" s="324"/>
      <c r="AD54" s="324"/>
      <c r="AE54" s="324"/>
      <c r="AF54" s="324"/>
    </row>
    <row r="55" spans="1:32" s="294" customFormat="1">
      <c r="A55" s="553">
        <v>55</v>
      </c>
      <c r="C55" s="10"/>
      <c r="D55" s="29"/>
      <c r="E55" s="560"/>
      <c r="F55" s="561"/>
      <c r="G55" s="562">
        <v>2010</v>
      </c>
      <c r="H55" s="562">
        <v>2011</v>
      </c>
      <c r="I55" s="562">
        <v>2012</v>
      </c>
      <c r="J55" s="562">
        <v>2013</v>
      </c>
      <c r="K55" s="562">
        <v>2014</v>
      </c>
      <c r="L55" s="562">
        <v>2015</v>
      </c>
      <c r="M55" s="562">
        <v>2016</v>
      </c>
      <c r="N55" s="562">
        <v>2017</v>
      </c>
      <c r="O55" s="562">
        <v>2018</v>
      </c>
      <c r="P55" s="562">
        <v>2019</v>
      </c>
      <c r="Q55" s="562">
        <v>2020</v>
      </c>
      <c r="R55" s="562">
        <v>2021</v>
      </c>
      <c r="S55" s="562">
        <v>2022</v>
      </c>
      <c r="T55" s="562">
        <v>2023</v>
      </c>
      <c r="U55" s="562">
        <v>2024</v>
      </c>
      <c r="V55" s="562">
        <v>2025</v>
      </c>
      <c r="W55" s="562">
        <v>2026</v>
      </c>
      <c r="X55" s="562">
        <v>2027</v>
      </c>
      <c r="Y55" s="562">
        <v>2028</v>
      </c>
      <c r="Z55" s="562">
        <v>2029</v>
      </c>
      <c r="AA55" s="562">
        <v>2030</v>
      </c>
      <c r="AB55" s="562">
        <v>2031</v>
      </c>
      <c r="AC55" s="562">
        <v>2032</v>
      </c>
      <c r="AD55" s="562">
        <v>2033</v>
      </c>
      <c r="AE55" s="562">
        <v>2034</v>
      </c>
      <c r="AF55" s="563">
        <v>2035</v>
      </c>
    </row>
    <row r="56" spans="1:32" s="294" customFormat="1">
      <c r="A56" s="553">
        <v>56</v>
      </c>
      <c r="C56" s="10"/>
      <c r="D56" s="29"/>
      <c r="E56" s="564" t="s">
        <v>758</v>
      </c>
      <c r="F56" s="565" t="s">
        <v>1048</v>
      </c>
      <c r="G56" s="316">
        <f>G39+G40+G42</f>
        <v>7.3149999999999995</v>
      </c>
      <c r="H56" s="316">
        <f t="shared" ref="H56:AF56" si="8">H39+H40+H42</f>
        <v>8.1213699999999989</v>
      </c>
      <c r="I56" s="316">
        <f t="shared" si="8"/>
        <v>7.6041449999999999</v>
      </c>
      <c r="J56" s="316">
        <f t="shared" si="8"/>
        <v>8.2791299999999985</v>
      </c>
      <c r="K56" s="316">
        <f t="shared" si="8"/>
        <v>8.1088870000000011</v>
      </c>
      <c r="L56" s="316">
        <f t="shared" si="8"/>
        <v>7.862721209</v>
      </c>
      <c r="M56" s="316">
        <f t="shared" si="8"/>
        <v>7.8846060760000007</v>
      </c>
      <c r="N56" s="316">
        <f t="shared" si="8"/>
        <v>7.6823913340000001</v>
      </c>
      <c r="O56" s="316">
        <f t="shared" si="8"/>
        <v>7.6460809340000004</v>
      </c>
      <c r="P56" s="316">
        <f t="shared" si="8"/>
        <v>8.252530934000001</v>
      </c>
      <c r="Q56" s="316">
        <f t="shared" si="8"/>
        <v>7.5892760686604221</v>
      </c>
      <c r="R56" s="316">
        <f t="shared" si="8"/>
        <v>7.5386732033208439</v>
      </c>
      <c r="S56" s="316">
        <f t="shared" si="8"/>
        <v>7.5256811223226743</v>
      </c>
      <c r="T56" s="316">
        <f t="shared" si="8"/>
        <v>7.2570504363818076</v>
      </c>
      <c r="U56" s="316">
        <f t="shared" si="8"/>
        <v>6.954349608632314</v>
      </c>
      <c r="V56" s="316">
        <f t="shared" si="8"/>
        <v>6.6709016029583923</v>
      </c>
      <c r="W56" s="316">
        <f t="shared" si="8"/>
        <v>6.6404450494861935</v>
      </c>
      <c r="X56" s="316">
        <f t="shared" si="8"/>
        <v>6.6155479896881388</v>
      </c>
      <c r="Y56" s="316">
        <f t="shared" si="8"/>
        <v>6.6118254418998257</v>
      </c>
      <c r="Z56" s="316">
        <f t="shared" si="8"/>
        <v>6.6086924443762181</v>
      </c>
      <c r="AA56" s="316">
        <f t="shared" si="8"/>
        <v>6.0217546586177342</v>
      </c>
      <c r="AB56" s="316">
        <f t="shared" si="8"/>
        <v>5.5492924636983929</v>
      </c>
      <c r="AC56" s="316">
        <f t="shared" si="8"/>
        <v>5.1950997194625295</v>
      </c>
      <c r="AD56" s="316">
        <f t="shared" si="8"/>
        <v>4.9462640999265162</v>
      </c>
      <c r="AE56" s="316">
        <f t="shared" si="8"/>
        <v>4.2778710392528891</v>
      </c>
      <c r="AF56" s="317">
        <f t="shared" si="8"/>
        <v>4.2024045692321126</v>
      </c>
    </row>
    <row r="57" spans="1:32" s="294" customFormat="1">
      <c r="A57" s="553">
        <v>57</v>
      </c>
      <c r="C57" s="10"/>
      <c r="D57" s="29"/>
      <c r="E57" s="566" t="s">
        <v>11</v>
      </c>
      <c r="F57" s="567" t="s">
        <v>1048</v>
      </c>
      <c r="G57" s="325">
        <f>G41</f>
        <v>26.262</v>
      </c>
      <c r="H57" s="325">
        <f t="shared" ref="H57:AF57" si="9">H41</f>
        <v>27.776935999999999</v>
      </c>
      <c r="I57" s="325">
        <f t="shared" si="9"/>
        <v>30.355590999999997</v>
      </c>
      <c r="J57" s="325">
        <f t="shared" si="9"/>
        <v>33.165135999999997</v>
      </c>
      <c r="K57" s="325">
        <f t="shared" si="9"/>
        <v>34.944730999999997</v>
      </c>
      <c r="L57" s="325">
        <f t="shared" si="9"/>
        <v>38.32016038295</v>
      </c>
      <c r="M57" s="325">
        <f t="shared" si="9"/>
        <v>39.710752184400008</v>
      </c>
      <c r="N57" s="325">
        <f t="shared" si="9"/>
        <v>39.165764102900006</v>
      </c>
      <c r="O57" s="325">
        <f t="shared" si="9"/>
        <v>38.398412102900004</v>
      </c>
      <c r="P57" s="325">
        <f t="shared" si="9"/>
        <v>36.765495602900003</v>
      </c>
      <c r="Q57" s="325">
        <f t="shared" si="9"/>
        <v>36.183259602900009</v>
      </c>
      <c r="R57" s="325">
        <f t="shared" si="9"/>
        <v>33.844061602900013</v>
      </c>
      <c r="S57" s="325">
        <f t="shared" si="9"/>
        <v>38.829714281829894</v>
      </c>
      <c r="T57" s="325">
        <f t="shared" si="9"/>
        <v>38.049447462908155</v>
      </c>
      <c r="U57" s="325">
        <f t="shared" si="9"/>
        <v>36.913188946941609</v>
      </c>
      <c r="V57" s="325">
        <f t="shared" si="9"/>
        <v>33.879601480015921</v>
      </c>
      <c r="W57" s="325">
        <f t="shared" si="9"/>
        <v>29.979942877482884</v>
      </c>
      <c r="X57" s="325">
        <f t="shared" si="9"/>
        <v>24.884416561314495</v>
      </c>
      <c r="Y57" s="325">
        <f t="shared" si="9"/>
        <v>20.958547637788435</v>
      </c>
      <c r="Z57" s="325">
        <f t="shared" si="9"/>
        <v>18.738437533081807</v>
      </c>
      <c r="AA57" s="325">
        <f t="shared" si="9"/>
        <v>15.850866075480793</v>
      </c>
      <c r="AB57" s="325">
        <f t="shared" si="9"/>
        <v>11.467408760352546</v>
      </c>
      <c r="AC57" s="325">
        <f t="shared" si="9"/>
        <v>4.2173214392664065</v>
      </c>
      <c r="AD57" s="325">
        <f t="shared" si="9"/>
        <v>2.5538934635614154</v>
      </c>
      <c r="AE57" s="325">
        <f t="shared" si="9"/>
        <v>1.1093808982965392</v>
      </c>
      <c r="AF57" s="326">
        <f t="shared" si="9"/>
        <v>0</v>
      </c>
    </row>
    <row r="58" spans="1:32" s="294" customFormat="1">
      <c r="A58" s="553">
        <v>58</v>
      </c>
      <c r="C58" s="10"/>
      <c r="D58" s="29"/>
      <c r="E58" s="566" t="s">
        <v>339</v>
      </c>
      <c r="F58" s="567" t="s">
        <v>1048</v>
      </c>
      <c r="G58" s="325">
        <f>G43</f>
        <v>47.704000000000001</v>
      </c>
      <c r="H58" s="325">
        <f t="shared" ref="H58:AF58" si="10">H43</f>
        <v>53.882748999999997</v>
      </c>
      <c r="I58" s="325">
        <f t="shared" si="10"/>
        <v>50.125189999999996</v>
      </c>
      <c r="J58" s="325">
        <f t="shared" si="10"/>
        <v>55.830889999999997</v>
      </c>
      <c r="K58" s="325">
        <f t="shared" si="10"/>
        <v>62.190390000000001</v>
      </c>
      <c r="L58" s="325">
        <f t="shared" si="10"/>
        <v>63.746863999999995</v>
      </c>
      <c r="M58" s="325">
        <f t="shared" si="10"/>
        <v>65.608738000000002</v>
      </c>
      <c r="N58" s="325">
        <f t="shared" si="10"/>
        <v>62.849661999999995</v>
      </c>
      <c r="O58" s="325">
        <f t="shared" si="10"/>
        <v>65.729611999999989</v>
      </c>
      <c r="P58" s="325">
        <f t="shared" si="10"/>
        <v>67.424354999999991</v>
      </c>
      <c r="Q58" s="325">
        <f t="shared" si="10"/>
        <v>67.909641999999991</v>
      </c>
      <c r="R58" s="325">
        <f t="shared" si="10"/>
        <v>63.903676999999995</v>
      </c>
      <c r="S58" s="325">
        <f t="shared" si="10"/>
        <v>53.273860613123752</v>
      </c>
      <c r="T58" s="325">
        <f t="shared" si="10"/>
        <v>48.985144127866754</v>
      </c>
      <c r="U58" s="325">
        <f t="shared" si="10"/>
        <v>44.953859251545779</v>
      </c>
      <c r="V58" s="325">
        <f t="shared" si="10"/>
        <v>41.69529969394361</v>
      </c>
      <c r="W58" s="325">
        <f t="shared" si="10"/>
        <v>38.889800126336482</v>
      </c>
      <c r="X58" s="325">
        <f t="shared" si="10"/>
        <v>35.265691742050734</v>
      </c>
      <c r="Y58" s="325">
        <f t="shared" si="10"/>
        <v>32.453041205988214</v>
      </c>
      <c r="Z58" s="325">
        <f t="shared" si="10"/>
        <v>31.191017671164573</v>
      </c>
      <c r="AA58" s="325">
        <f t="shared" si="10"/>
        <v>26.534990416467977</v>
      </c>
      <c r="AB58" s="325">
        <f t="shared" si="10"/>
        <v>23.848804711831974</v>
      </c>
      <c r="AC58" s="325">
        <f t="shared" si="10"/>
        <v>20.453990621840418</v>
      </c>
      <c r="AD58" s="325">
        <f t="shared" si="10"/>
        <v>15.896470455695578</v>
      </c>
      <c r="AE58" s="325">
        <f t="shared" si="10"/>
        <v>9.6974811568969841</v>
      </c>
      <c r="AF58" s="326">
        <f t="shared" si="10"/>
        <v>0</v>
      </c>
    </row>
    <row r="59" spans="1:32" s="294" customFormat="1">
      <c r="A59" s="553">
        <v>59</v>
      </c>
      <c r="C59" s="10"/>
      <c r="D59" s="29"/>
      <c r="E59" s="566" t="s">
        <v>340</v>
      </c>
      <c r="F59" s="567" t="s">
        <v>1048</v>
      </c>
      <c r="G59" s="325">
        <f t="shared" ref="G59:AF59" si="11">G44</f>
        <v>0.65400000000000003</v>
      </c>
      <c r="H59" s="325">
        <f t="shared" si="11"/>
        <v>1.1467909999999999</v>
      </c>
      <c r="I59" s="325">
        <f t="shared" si="11"/>
        <v>1.361415</v>
      </c>
      <c r="J59" s="325">
        <f t="shared" si="11"/>
        <v>2.4940419999999999</v>
      </c>
      <c r="K59" s="325">
        <f t="shared" si="11"/>
        <v>7.397958</v>
      </c>
      <c r="L59" s="325">
        <f t="shared" si="11"/>
        <v>7.4838040000000001</v>
      </c>
      <c r="M59" s="325">
        <f t="shared" si="11"/>
        <v>6.5432240000000004</v>
      </c>
      <c r="N59" s="325">
        <f t="shared" si="11"/>
        <v>7.4668410000000005</v>
      </c>
      <c r="O59" s="325">
        <f t="shared" si="11"/>
        <v>5.8992179999999976</v>
      </c>
      <c r="P59" s="325">
        <f t="shared" si="11"/>
        <v>5.6125419999999977</v>
      </c>
      <c r="Q59" s="325">
        <f t="shared" si="11"/>
        <v>6.6080259999999953</v>
      </c>
      <c r="R59" s="325">
        <f t="shared" si="11"/>
        <v>6.3068899999999957</v>
      </c>
      <c r="S59" s="325">
        <f t="shared" si="11"/>
        <v>4.1105473324434101</v>
      </c>
      <c r="T59" s="325">
        <f t="shared" si="11"/>
        <v>4.1105473324434101</v>
      </c>
      <c r="U59" s="325">
        <f t="shared" si="11"/>
        <v>4.1105473324434101</v>
      </c>
      <c r="V59" s="325">
        <f t="shared" si="11"/>
        <v>4.1105473324434101</v>
      </c>
      <c r="W59" s="325">
        <f t="shared" si="11"/>
        <v>4.1105473324434101</v>
      </c>
      <c r="X59" s="325">
        <f t="shared" si="11"/>
        <v>4.1105473324434101</v>
      </c>
      <c r="Y59" s="325">
        <f t="shared" si="11"/>
        <v>4.1105473324434101</v>
      </c>
      <c r="Z59" s="325">
        <f t="shared" si="11"/>
        <v>4.1105473324434101</v>
      </c>
      <c r="AA59" s="325">
        <f t="shared" si="11"/>
        <v>3.9601506745242929</v>
      </c>
      <c r="AB59" s="325">
        <f t="shared" si="11"/>
        <v>3.7744742876370196</v>
      </c>
      <c r="AC59" s="325">
        <f t="shared" si="11"/>
        <v>3.3082822149057236</v>
      </c>
      <c r="AD59" s="325">
        <f t="shared" si="11"/>
        <v>2.979331065584816</v>
      </c>
      <c r="AE59" s="325">
        <f t="shared" si="11"/>
        <v>2.0382152120083674</v>
      </c>
      <c r="AF59" s="326">
        <f t="shared" si="11"/>
        <v>0</v>
      </c>
    </row>
    <row r="60" spans="1:32" s="294" customFormat="1">
      <c r="A60" s="553">
        <v>60</v>
      </c>
      <c r="C60" s="10"/>
      <c r="D60" s="29"/>
      <c r="E60" s="568" t="s">
        <v>530</v>
      </c>
      <c r="F60" s="569" t="s">
        <v>1048</v>
      </c>
      <c r="G60" s="302">
        <f t="shared" ref="G60:AF60" si="12">G45</f>
        <v>8.2959999999999994</v>
      </c>
      <c r="H60" s="302">
        <f t="shared" si="12"/>
        <v>19.399286999999998</v>
      </c>
      <c r="I60" s="302">
        <f t="shared" si="12"/>
        <v>24.072319</v>
      </c>
      <c r="J60" s="302">
        <f t="shared" si="12"/>
        <v>34.673694999999995</v>
      </c>
      <c r="K60" s="302">
        <f t="shared" si="12"/>
        <v>36.594586999999997</v>
      </c>
      <c r="L60" s="302">
        <f t="shared" si="12"/>
        <v>35.392149000000003</v>
      </c>
      <c r="M60" s="302">
        <f t="shared" si="12"/>
        <v>34.6984195</v>
      </c>
      <c r="N60" s="302">
        <f t="shared" si="12"/>
        <v>32.671796999999998</v>
      </c>
      <c r="O60" s="302">
        <f t="shared" si="12"/>
        <v>33.058402000000001</v>
      </c>
      <c r="P60" s="302">
        <f t="shared" si="12"/>
        <v>33.337899499999999</v>
      </c>
      <c r="Q60" s="302">
        <f t="shared" si="12"/>
        <v>32.385882402508614</v>
      </c>
      <c r="R60" s="302">
        <f t="shared" si="12"/>
        <v>33.67452203549842</v>
      </c>
      <c r="S60" s="302">
        <f t="shared" si="12"/>
        <v>32.889992363151684</v>
      </c>
      <c r="T60" s="302">
        <f t="shared" si="12"/>
        <v>32.802643428256573</v>
      </c>
      <c r="U60" s="302">
        <f t="shared" si="12"/>
        <v>32.682146189674356</v>
      </c>
      <c r="V60" s="302">
        <f t="shared" si="12"/>
        <v>32.118403998686745</v>
      </c>
      <c r="W60" s="302">
        <f t="shared" si="12"/>
        <v>31.319274806708727</v>
      </c>
      <c r="X60" s="302">
        <f t="shared" si="12"/>
        <v>30.58188633837478</v>
      </c>
      <c r="Y60" s="302">
        <f t="shared" si="12"/>
        <v>29.468001652940714</v>
      </c>
      <c r="Z60" s="302">
        <f t="shared" si="12"/>
        <v>27.712738361025217</v>
      </c>
      <c r="AA60" s="302">
        <f t="shared" si="12"/>
        <v>23.700450799975101</v>
      </c>
      <c r="AB60" s="302">
        <f t="shared" si="12"/>
        <v>16.920444701113084</v>
      </c>
      <c r="AC60" s="302">
        <f t="shared" si="12"/>
        <v>9.8246758626833426</v>
      </c>
      <c r="AD60" s="302">
        <f t="shared" si="12"/>
        <v>3.897316944172907</v>
      </c>
      <c r="AE60" s="302">
        <f t="shared" si="12"/>
        <v>1.3478885514705539</v>
      </c>
      <c r="AF60" s="55">
        <f t="shared" si="12"/>
        <v>0</v>
      </c>
    </row>
    <row r="61" spans="1:32" s="294" customFormat="1">
      <c r="A61" s="553">
        <v>61</v>
      </c>
      <c r="C61" s="10"/>
      <c r="D61" s="29"/>
      <c r="E61" s="564" t="s">
        <v>758</v>
      </c>
      <c r="F61" s="567"/>
      <c r="G61" s="325">
        <f>G46+G47+G49</f>
        <v>0</v>
      </c>
      <c r="H61" s="325">
        <f t="shared" ref="H61:AF61" si="13">H46+H47+H49</f>
        <v>0</v>
      </c>
      <c r="I61" s="325">
        <f t="shared" si="13"/>
        <v>0</v>
      </c>
      <c r="J61" s="325">
        <f t="shared" si="13"/>
        <v>0</v>
      </c>
      <c r="K61" s="325">
        <f t="shared" si="13"/>
        <v>0</v>
      </c>
      <c r="L61" s="325">
        <f t="shared" si="13"/>
        <v>6.6406790999999743E-2</v>
      </c>
      <c r="M61" s="325">
        <f t="shared" si="13"/>
        <v>0.14958992399999946</v>
      </c>
      <c r="N61" s="325">
        <f t="shared" si="13"/>
        <v>0.17602266599999938</v>
      </c>
      <c r="O61" s="325">
        <f t="shared" si="13"/>
        <v>0.21274006599999939</v>
      </c>
      <c r="P61" s="325">
        <f t="shared" si="13"/>
        <v>0.25629806599999938</v>
      </c>
      <c r="Q61" s="325">
        <f t="shared" si="13"/>
        <v>0.3155239313395779</v>
      </c>
      <c r="R61" s="325">
        <f t="shared" si="13"/>
        <v>0.35825279667915633</v>
      </c>
      <c r="S61" s="325">
        <f t="shared" si="13"/>
        <v>0.35825279667915633</v>
      </c>
      <c r="T61" s="325">
        <f t="shared" si="13"/>
        <v>0.35825279667915633</v>
      </c>
      <c r="U61" s="325">
        <f t="shared" si="13"/>
        <v>0.35825279667915633</v>
      </c>
      <c r="V61" s="325">
        <f t="shared" si="13"/>
        <v>0.35825279667915633</v>
      </c>
      <c r="W61" s="325">
        <f t="shared" si="13"/>
        <v>0.35825279667915633</v>
      </c>
      <c r="X61" s="325">
        <f t="shared" si="13"/>
        <v>0.35825279667915633</v>
      </c>
      <c r="Y61" s="325">
        <f t="shared" si="13"/>
        <v>0.35825279667915633</v>
      </c>
      <c r="Z61" s="325">
        <f t="shared" si="13"/>
        <v>0.35825279667915633</v>
      </c>
      <c r="AA61" s="325">
        <f t="shared" si="13"/>
        <v>0.35825279667915633</v>
      </c>
      <c r="AB61" s="325">
        <f t="shared" si="13"/>
        <v>0.35825279667915633</v>
      </c>
      <c r="AC61" s="325">
        <f t="shared" si="13"/>
        <v>0.35825279667915633</v>
      </c>
      <c r="AD61" s="325">
        <f t="shared" si="13"/>
        <v>0.35825279667915633</v>
      </c>
      <c r="AE61" s="325">
        <f t="shared" si="13"/>
        <v>0.35825279667915633</v>
      </c>
      <c r="AF61" s="326">
        <f t="shared" si="13"/>
        <v>0.35825279667915633</v>
      </c>
    </row>
    <row r="62" spans="1:32" s="294" customFormat="1">
      <c r="A62" s="553">
        <v>62</v>
      </c>
      <c r="C62" s="10"/>
      <c r="D62" s="29"/>
      <c r="E62" s="566" t="s">
        <v>11</v>
      </c>
      <c r="F62" s="567"/>
      <c r="G62" s="325">
        <f>G48</f>
        <v>0</v>
      </c>
      <c r="H62" s="325">
        <f t="shared" ref="H62:AF62" si="14">H48</f>
        <v>0</v>
      </c>
      <c r="I62" s="325">
        <f t="shared" si="14"/>
        <v>0</v>
      </c>
      <c r="J62" s="325">
        <f t="shared" si="14"/>
        <v>0</v>
      </c>
      <c r="K62" s="325">
        <f t="shared" si="14"/>
        <v>0</v>
      </c>
      <c r="L62" s="325">
        <f t="shared" si="14"/>
        <v>3.744361704999831E-2</v>
      </c>
      <c r="M62" s="325">
        <f t="shared" si="14"/>
        <v>0.52809281559999333</v>
      </c>
      <c r="N62" s="325">
        <f t="shared" si="14"/>
        <v>1.6046288970999898</v>
      </c>
      <c r="O62" s="325">
        <f t="shared" si="14"/>
        <v>3.15607689709999</v>
      </c>
      <c r="P62" s="325">
        <f t="shared" si="14"/>
        <v>4.5861243970999901</v>
      </c>
      <c r="Q62" s="325">
        <f t="shared" si="14"/>
        <v>5.5634303970999897</v>
      </c>
      <c r="R62" s="325">
        <f t="shared" si="14"/>
        <v>6.3626323970999898</v>
      </c>
      <c r="S62" s="325">
        <f t="shared" si="14"/>
        <v>6.7800943970999903</v>
      </c>
      <c r="T62" s="325">
        <f t="shared" si="14"/>
        <v>6.9777103970999894</v>
      </c>
      <c r="U62" s="325">
        <f t="shared" si="14"/>
        <v>7.1929958970999905</v>
      </c>
      <c r="V62" s="325">
        <f t="shared" si="14"/>
        <v>7.4208738970999901</v>
      </c>
      <c r="W62" s="325">
        <f t="shared" si="14"/>
        <v>8.0555463970999899</v>
      </c>
      <c r="X62" s="325">
        <f t="shared" si="14"/>
        <v>9.0917463970999908</v>
      </c>
      <c r="Y62" s="325">
        <f t="shared" si="14"/>
        <v>10.127946397099992</v>
      </c>
      <c r="Z62" s="325">
        <f t="shared" si="14"/>
        <v>11.164146397099993</v>
      </c>
      <c r="AA62" s="325">
        <f t="shared" si="14"/>
        <v>12.200346397099993</v>
      </c>
      <c r="AB62" s="325">
        <f t="shared" si="14"/>
        <v>13.236546397099994</v>
      </c>
      <c r="AC62" s="325">
        <f t="shared" si="14"/>
        <v>14.272746397099993</v>
      </c>
      <c r="AD62" s="325">
        <f t="shared" si="14"/>
        <v>15.308946397099994</v>
      </c>
      <c r="AE62" s="325">
        <f t="shared" si="14"/>
        <v>16.345146397099995</v>
      </c>
      <c r="AF62" s="326">
        <f t="shared" si="14"/>
        <v>17.381346397099996</v>
      </c>
    </row>
    <row r="63" spans="1:32" s="294" customFormat="1">
      <c r="A63" s="553">
        <v>63</v>
      </c>
      <c r="C63" s="10"/>
      <c r="D63" s="29"/>
      <c r="E63" s="566" t="s">
        <v>339</v>
      </c>
      <c r="F63" s="570"/>
      <c r="G63" s="325">
        <f>G50</f>
        <v>0</v>
      </c>
      <c r="H63" s="325">
        <f t="shared" ref="H63:AF63" si="15">H50</f>
        <v>0</v>
      </c>
      <c r="I63" s="325">
        <f t="shared" si="15"/>
        <v>0</v>
      </c>
      <c r="J63" s="325">
        <f t="shared" si="15"/>
        <v>0</v>
      </c>
      <c r="K63" s="325">
        <f t="shared" si="15"/>
        <v>0</v>
      </c>
      <c r="L63" s="325">
        <f t="shared" si="15"/>
        <v>3.1258240000000002</v>
      </c>
      <c r="M63" s="325">
        <f t="shared" si="15"/>
        <v>10.340148000000001</v>
      </c>
      <c r="N63" s="325">
        <f t="shared" si="15"/>
        <v>19.152241</v>
      </c>
      <c r="O63" s="325">
        <f t="shared" si="15"/>
        <v>26.994464000000004</v>
      </c>
      <c r="P63" s="325">
        <f t="shared" si="15"/>
        <v>31.374828000000004</v>
      </c>
      <c r="Q63" s="325">
        <f t="shared" si="15"/>
        <v>34.178562000000007</v>
      </c>
      <c r="R63" s="325">
        <f t="shared" si="15"/>
        <v>37.282062000000003</v>
      </c>
      <c r="S63" s="325">
        <f t="shared" si="15"/>
        <v>40.976562000000008</v>
      </c>
      <c r="T63" s="325">
        <f t="shared" si="15"/>
        <v>45.842062000000006</v>
      </c>
      <c r="U63" s="325">
        <f t="shared" si="15"/>
        <v>51.382062000000005</v>
      </c>
      <c r="V63" s="325">
        <f t="shared" si="15"/>
        <v>57.144562000000008</v>
      </c>
      <c r="W63" s="325">
        <f t="shared" si="15"/>
        <v>63.128312000000008</v>
      </c>
      <c r="X63" s="325">
        <f t="shared" si="15"/>
        <v>69.230062000000004</v>
      </c>
      <c r="Y63" s="325">
        <f t="shared" si="15"/>
        <v>75.405562000000003</v>
      </c>
      <c r="Z63" s="325">
        <f t="shared" si="15"/>
        <v>81.631633428571433</v>
      </c>
      <c r="AA63" s="325">
        <f t="shared" si="15"/>
        <v>87.894579857142858</v>
      </c>
      <c r="AB63" s="325">
        <f t="shared" si="15"/>
        <v>94.18562152380953</v>
      </c>
      <c r="AC63" s="325">
        <f t="shared" si="15"/>
        <v>100.49878819047619</v>
      </c>
      <c r="AD63" s="325">
        <f t="shared" si="15"/>
        <v>106.82983364502165</v>
      </c>
      <c r="AE63" s="325">
        <f t="shared" si="15"/>
        <v>113.1756290995671</v>
      </c>
      <c r="AF63" s="326">
        <f t="shared" si="15"/>
        <v>119.6018790995671</v>
      </c>
    </row>
    <row r="64" spans="1:32" s="294" customFormat="1">
      <c r="A64" s="553">
        <v>64</v>
      </c>
      <c r="C64" s="10"/>
      <c r="D64" s="29"/>
      <c r="E64" s="566" t="s">
        <v>340</v>
      </c>
      <c r="F64" s="570"/>
      <c r="G64" s="325">
        <f t="shared" ref="G64:AF64" si="16">G51</f>
        <v>0</v>
      </c>
      <c r="H64" s="325">
        <f t="shared" si="16"/>
        <v>0</v>
      </c>
      <c r="I64" s="325">
        <f t="shared" si="16"/>
        <v>0</v>
      </c>
      <c r="J64" s="325">
        <f t="shared" si="16"/>
        <v>0</v>
      </c>
      <c r="K64" s="325">
        <f t="shared" si="16"/>
        <v>0</v>
      </c>
      <c r="L64" s="325">
        <f t="shared" si="16"/>
        <v>3.7473999999999998</v>
      </c>
      <c r="M64" s="325">
        <f t="shared" si="16"/>
        <v>8.8363199999999988</v>
      </c>
      <c r="N64" s="325">
        <f t="shared" si="16"/>
        <v>12.566514</v>
      </c>
      <c r="O64" s="325">
        <f t="shared" si="16"/>
        <v>16.665188000000001</v>
      </c>
      <c r="P64" s="325">
        <f t="shared" si="16"/>
        <v>20.853619000000002</v>
      </c>
      <c r="Q64" s="325">
        <f t="shared" si="16"/>
        <v>23.332050000000002</v>
      </c>
      <c r="R64" s="325">
        <f t="shared" si="16"/>
        <v>23.332050000000002</v>
      </c>
      <c r="S64" s="325">
        <f t="shared" si="16"/>
        <v>24.06222</v>
      </c>
      <c r="T64" s="325">
        <f t="shared" si="16"/>
        <v>26.889615000000003</v>
      </c>
      <c r="U64" s="325">
        <f t="shared" si="16"/>
        <v>30.948840000000004</v>
      </c>
      <c r="V64" s="325">
        <f t="shared" si="16"/>
        <v>34.923840000000006</v>
      </c>
      <c r="W64" s="325">
        <f t="shared" si="16"/>
        <v>38.975340000000003</v>
      </c>
      <c r="X64" s="325">
        <f t="shared" si="16"/>
        <v>43.067640000000004</v>
      </c>
      <c r="Y64" s="325">
        <f t="shared" si="16"/>
        <v>47.18544</v>
      </c>
      <c r="Z64" s="325">
        <f t="shared" si="16"/>
        <v>51.320725714285722</v>
      </c>
      <c r="AA64" s="325">
        <f t="shared" si="16"/>
        <v>55.468761428571433</v>
      </c>
      <c r="AB64" s="325">
        <f t="shared" si="16"/>
        <v>59.626511428571433</v>
      </c>
      <c r="AC64" s="325">
        <f t="shared" si="16"/>
        <v>63.791911428571431</v>
      </c>
      <c r="AD64" s="325">
        <f t="shared" si="16"/>
        <v>67.963493246753245</v>
      </c>
      <c r="AE64" s="325">
        <f t="shared" si="16"/>
        <v>72.140175064935065</v>
      </c>
      <c r="AF64" s="326">
        <f t="shared" si="16"/>
        <v>76.344675064935061</v>
      </c>
    </row>
    <row r="65" spans="1:35" s="294" customFormat="1">
      <c r="A65" s="553">
        <v>65</v>
      </c>
      <c r="C65" s="10"/>
      <c r="D65" s="29"/>
      <c r="E65" s="568" t="s">
        <v>530</v>
      </c>
      <c r="F65" s="571"/>
      <c r="G65" s="302">
        <f t="shared" ref="G65:AF65" si="17">G52</f>
        <v>0</v>
      </c>
      <c r="H65" s="302">
        <f t="shared" si="17"/>
        <v>0</v>
      </c>
      <c r="I65" s="302">
        <f t="shared" si="17"/>
        <v>0</v>
      </c>
      <c r="J65" s="302">
        <f t="shared" si="17"/>
        <v>0</v>
      </c>
      <c r="K65" s="302">
        <f t="shared" si="17"/>
        <v>0</v>
      </c>
      <c r="L65" s="302">
        <f t="shared" si="17"/>
        <v>0.70480900000000002</v>
      </c>
      <c r="M65" s="302">
        <f t="shared" si="17"/>
        <v>2.1271304999999998</v>
      </c>
      <c r="N65" s="302">
        <f t="shared" si="17"/>
        <v>3.8903470000000002</v>
      </c>
      <c r="O65" s="302">
        <f t="shared" si="17"/>
        <v>6.1152130000000007</v>
      </c>
      <c r="P65" s="302">
        <f t="shared" si="17"/>
        <v>8.5397994999999991</v>
      </c>
      <c r="Q65" s="302">
        <f t="shared" si="17"/>
        <v>11.55336359749138</v>
      </c>
      <c r="R65" s="302">
        <f t="shared" si="17"/>
        <v>15.669812964501579</v>
      </c>
      <c r="S65" s="302">
        <f t="shared" si="17"/>
        <v>20.203110650161328</v>
      </c>
      <c r="T65" s="302">
        <f t="shared" si="17"/>
        <v>23.804972802499947</v>
      </c>
      <c r="U65" s="302">
        <f t="shared" si="17"/>
        <v>26.58186481993982</v>
      </c>
      <c r="V65" s="302">
        <f t="shared" si="17"/>
        <v>29.349958998077479</v>
      </c>
      <c r="W65" s="302">
        <f t="shared" si="17"/>
        <v>31.888365665101809</v>
      </c>
      <c r="X65" s="302">
        <f t="shared" si="17"/>
        <v>34.154335384967844</v>
      </c>
      <c r="Y65" s="302">
        <f t="shared" si="17"/>
        <v>36.430923464050565</v>
      </c>
      <c r="Z65" s="302">
        <f t="shared" si="17"/>
        <v>38.718129902349958</v>
      </c>
      <c r="AA65" s="302">
        <f t="shared" si="17"/>
        <v>41.015954699866029</v>
      </c>
      <c r="AB65" s="302">
        <f t="shared" si="17"/>
        <v>43.324397856598779</v>
      </c>
      <c r="AC65" s="302">
        <f t="shared" si="17"/>
        <v>45.643459372548207</v>
      </c>
      <c r="AD65" s="302">
        <f t="shared" si="17"/>
        <v>47.9731392477143</v>
      </c>
      <c r="AE65" s="302">
        <f t="shared" si="17"/>
        <v>50.313437482097072</v>
      </c>
      <c r="AF65" s="55">
        <f t="shared" si="17"/>
        <v>52.673741189092631</v>
      </c>
    </row>
    <row r="66" spans="1:35" s="294" customFormat="1">
      <c r="A66" s="553">
        <v>66</v>
      </c>
      <c r="C66" s="10"/>
      <c r="D66" s="29"/>
      <c r="E66" s="29"/>
      <c r="F66" s="36"/>
      <c r="G66" s="324"/>
      <c r="H66" s="324"/>
      <c r="I66" s="324"/>
      <c r="J66" s="324"/>
      <c r="K66" s="324"/>
      <c r="L66" s="324"/>
      <c r="M66" s="324"/>
      <c r="N66" s="324"/>
      <c r="O66" s="324"/>
      <c r="P66" s="324"/>
      <c r="Q66" s="324"/>
      <c r="R66" s="324"/>
      <c r="S66" s="324"/>
      <c r="T66" s="324"/>
      <c r="U66" s="324"/>
      <c r="V66" s="324"/>
      <c r="W66" s="324"/>
      <c r="X66" s="324"/>
      <c r="Y66" s="324"/>
      <c r="Z66" s="324"/>
      <c r="AA66" s="324"/>
      <c r="AB66" s="324"/>
      <c r="AC66" s="324"/>
      <c r="AD66" s="324"/>
      <c r="AE66" s="324"/>
      <c r="AF66" s="324"/>
    </row>
    <row r="67" spans="1:35" s="294" customFormat="1">
      <c r="A67" s="553">
        <v>67</v>
      </c>
      <c r="C67" s="10"/>
      <c r="D67" s="29"/>
      <c r="E67" s="29"/>
      <c r="F67" s="192" t="s">
        <v>771</v>
      </c>
      <c r="G67" s="324"/>
      <c r="H67" s="324"/>
      <c r="I67" s="324"/>
      <c r="J67" s="324"/>
      <c r="K67" s="324"/>
      <c r="L67" s="324"/>
      <c r="M67" s="324"/>
      <c r="N67" s="324"/>
      <c r="O67" s="324"/>
      <c r="P67" s="324"/>
      <c r="Q67" s="324"/>
      <c r="R67" s="324"/>
      <c r="S67" s="324"/>
      <c r="T67" s="324"/>
      <c r="U67" s="324"/>
      <c r="V67" s="324"/>
      <c r="W67" s="324"/>
      <c r="X67" s="324"/>
      <c r="Y67" s="324"/>
      <c r="Z67" s="324"/>
      <c r="AA67" s="324"/>
      <c r="AB67" s="324"/>
      <c r="AC67" s="324"/>
      <c r="AD67" s="324"/>
      <c r="AE67" s="324"/>
      <c r="AF67" s="324"/>
    </row>
    <row r="68" spans="1:35" s="294" customFormat="1">
      <c r="A68" s="553">
        <v>68</v>
      </c>
      <c r="C68" s="10"/>
      <c r="D68" s="29"/>
      <c r="E68" s="560"/>
      <c r="F68" s="561"/>
      <c r="G68" s="562">
        <v>2010</v>
      </c>
      <c r="H68" s="562">
        <v>2011</v>
      </c>
      <c r="I68" s="562">
        <v>2012</v>
      </c>
      <c r="J68" s="562">
        <v>2013</v>
      </c>
      <c r="K68" s="562">
        <v>2014</v>
      </c>
      <c r="L68" s="562">
        <v>2015</v>
      </c>
      <c r="M68" s="562">
        <v>2016</v>
      </c>
      <c r="N68" s="562">
        <v>2017</v>
      </c>
      <c r="O68" s="562">
        <v>2018</v>
      </c>
      <c r="P68" s="562">
        <v>2019</v>
      </c>
      <c r="Q68" s="562">
        <v>2020</v>
      </c>
      <c r="R68" s="562">
        <v>2021</v>
      </c>
      <c r="S68" s="562">
        <v>2022</v>
      </c>
      <c r="T68" s="562">
        <v>2023</v>
      </c>
      <c r="U68" s="562">
        <v>2024</v>
      </c>
      <c r="V68" s="562">
        <v>2025</v>
      </c>
      <c r="W68" s="562">
        <v>2026</v>
      </c>
      <c r="X68" s="562">
        <v>2027</v>
      </c>
      <c r="Y68" s="562">
        <v>2028</v>
      </c>
      <c r="Z68" s="562">
        <v>2029</v>
      </c>
      <c r="AA68" s="562">
        <v>2030</v>
      </c>
      <c r="AB68" s="562">
        <v>2031</v>
      </c>
      <c r="AC68" s="562">
        <v>2032</v>
      </c>
      <c r="AD68" s="562">
        <v>2033</v>
      </c>
      <c r="AE68" s="562">
        <v>2034</v>
      </c>
      <c r="AF68" s="563">
        <v>2035</v>
      </c>
    </row>
    <row r="69" spans="1:35" s="294" customFormat="1">
      <c r="A69" s="553">
        <v>69</v>
      </c>
      <c r="C69" s="10"/>
      <c r="D69" s="29"/>
      <c r="E69" s="566" t="s">
        <v>529</v>
      </c>
      <c r="F69" s="565" t="s">
        <v>1048</v>
      </c>
      <c r="G69" s="316">
        <f>('MOD-Berechnungen'!F314)/'MOD-Berechnungen'!F$26</f>
        <v>0.47706163396215207</v>
      </c>
      <c r="H69" s="316">
        <f>('MOD-Berechnungen'!G314)/'MOD-Berechnungen'!G$26</f>
        <v>0.18357248325424011</v>
      </c>
      <c r="I69" s="316">
        <f>('MOD-Berechnungen'!H314)/'MOD-Berechnungen'!H$26</f>
        <v>0.45599750816197115</v>
      </c>
      <c r="J69" s="316">
        <f>('MOD-Berechnungen'!I314)/'MOD-Berechnungen'!I$26</f>
        <v>0.53086001898064417</v>
      </c>
      <c r="K69" s="316">
        <f>('MOD-Berechnungen'!J314)/'MOD-Berechnungen'!J$26</f>
        <v>0.55193373127780654</v>
      </c>
      <c r="L69" s="316">
        <f>'MOD-Berechnungen'!K364/'MOD-Berechnungen'!K$26</f>
        <v>0.64195175126381177</v>
      </c>
      <c r="M69" s="316">
        <f>'MOD-Berechnungen'!L364/'MOD-Berechnungen'!L$26</f>
        <v>0.63246477957025793</v>
      </c>
      <c r="N69" s="316">
        <f>'MOD-Berechnungen'!M364/'MOD-Berechnungen'!M$26</f>
        <v>0.62311800942882567</v>
      </c>
      <c r="O69" s="316">
        <f>'MOD-Berechnungen'!N364/'MOD-Berechnungen'!N$26</f>
        <v>0.61390936889539471</v>
      </c>
      <c r="P69" s="316">
        <f>'MOD-Berechnungen'!O364/'MOD-Berechnungen'!O$26</f>
        <v>0.60483681664570921</v>
      </c>
      <c r="Q69" s="316">
        <f>'MOD-Berechnungen'!P364/'MOD-Berechnungen'!P$26</f>
        <v>0.59589834152286625</v>
      </c>
      <c r="R69" s="316">
        <f>'MOD-Berechnungen'!Q364/'MOD-Berechnungen'!Q$26</f>
        <v>0.58709196209149395</v>
      </c>
      <c r="S69" s="316">
        <f>'MOD-Berechnungen'!R364/'MOD-Berechnungen'!R$26</f>
        <v>0.57841572619851622</v>
      </c>
      <c r="T69" s="316">
        <f>'MOD-Berechnungen'!S364/'MOD-Berechnungen'!S$26</f>
        <v>0.56986771054041019</v>
      </c>
      <c r="U69" s="316">
        <f>'MOD-Berechnungen'!T364/'MOD-Berechnungen'!T$26</f>
        <v>0.56144602023685741</v>
      </c>
      <c r="V69" s="316">
        <f>'MOD-Berechnungen'!U364/'MOD-Berechnungen'!U$26</f>
        <v>0.55314878841069703</v>
      </c>
      <c r="W69" s="316">
        <f>'MOD-Berechnungen'!V364/'MOD-Berechnungen'!V$26</f>
        <v>0.5449741757740858</v>
      </c>
      <c r="X69" s="316">
        <f>'MOD-Berechnungen'!W364/'MOD-Berechnungen'!W$26</f>
        <v>0.53692037022077432</v>
      </c>
      <c r="Y69" s="316">
        <f>'MOD-Berechnungen'!X364/'MOD-Berechnungen'!X$26</f>
        <v>0.52898558642440818</v>
      </c>
      <c r="Z69" s="316">
        <f>'MOD-Berechnungen'!Y364/'MOD-Berechnungen'!Y$26</f>
        <v>0.52116806544276684</v>
      </c>
      <c r="AA69" s="316">
        <f>'MOD-Berechnungen'!Z364/'MOD-Berechnungen'!Z$26</f>
        <v>0.46698654668699924</v>
      </c>
      <c r="AB69" s="316">
        <f>'MOD-Berechnungen'!AA364/'MOD-Berechnungen'!AA$26</f>
        <v>0.42899948569944929</v>
      </c>
      <c r="AC69" s="316">
        <f>'MOD-Berechnungen'!AB364/'MOD-Berechnungen'!AB$26</f>
        <v>0.39529791932503838</v>
      </c>
      <c r="AD69" s="316">
        <f>'MOD-Berechnungen'!AC364/'MOD-Berechnungen'!AC$26</f>
        <v>0.37159043127154223</v>
      </c>
      <c r="AE69" s="316">
        <f>'MOD-Berechnungen'!AD364/'MOD-Berechnungen'!AD$26</f>
        <v>0.32789768134576108</v>
      </c>
      <c r="AF69" s="317">
        <f>'MOD-Berechnungen'!AE364/'MOD-Berechnungen'!AE$26</f>
        <v>0.31820538476908061</v>
      </c>
      <c r="AH69" s="294" t="s">
        <v>179</v>
      </c>
    </row>
    <row r="70" spans="1:35" s="294" customFormat="1">
      <c r="A70" s="553">
        <v>70</v>
      </c>
      <c r="C70" s="10"/>
      <c r="D70" s="29"/>
      <c r="E70" s="566" t="s">
        <v>349</v>
      </c>
      <c r="F70" s="567" t="s">
        <v>1048</v>
      </c>
      <c r="G70" s="325">
        <f>('MOD-Berechnungen'!F315)/'MOD-Berechnungen'!F$26</f>
        <v>0.14927721261125074</v>
      </c>
      <c r="H70" s="325">
        <f>('MOD-Berechnungen'!G315)/'MOD-Berechnungen'!G$26</f>
        <v>1.5887265259401255E-2</v>
      </c>
      <c r="I70" s="325">
        <f>('MOD-Berechnungen'!H315)/'MOD-Berechnungen'!H$26</f>
        <v>5.7986063939289595E-2</v>
      </c>
      <c r="J70" s="325">
        <f>('MOD-Berechnungen'!I315)/'MOD-Berechnungen'!I$26</f>
        <v>0.11771550206286226</v>
      </c>
      <c r="K70" s="325">
        <f>('MOD-Berechnungen'!J315)/'MOD-Berechnungen'!J$26</f>
        <v>6.9029890258563972E-2</v>
      </c>
      <c r="L70" s="325">
        <f>'MOD-Berechnungen'!K365/'MOD-Berechnungen'!K$26</f>
        <v>0.10897935953198096</v>
      </c>
      <c r="M70" s="325">
        <f>'MOD-Berechnungen'!L365/'MOD-Berechnungen'!L$26</f>
        <v>0.1073688271251044</v>
      </c>
      <c r="N70" s="325">
        <f>'MOD-Berechnungen'!M365/'MOD-Berechnungen'!M$26</f>
        <v>0.10578209568975804</v>
      </c>
      <c r="O70" s="325">
        <f>'MOD-Berechnungen'!N365/'MOD-Berechnungen'!N$26</f>
        <v>0.10421881348744634</v>
      </c>
      <c r="P70" s="325">
        <f>'MOD-Berechnungen'!O365/'MOD-Berechnungen'!O$26</f>
        <v>0.10267863397777965</v>
      </c>
      <c r="Q70" s="325">
        <f>'MOD-Berechnungen'!P365/'MOD-Berechnungen'!P$26</f>
        <v>0.10116121574165485</v>
      </c>
      <c r="R70" s="325">
        <f>'MOD-Berechnungen'!Q365/'MOD-Berechnungen'!Q$26</f>
        <v>7.796408432080025E-2</v>
      </c>
      <c r="S70" s="325">
        <f>'MOD-Berechnungen'!R365/'MOD-Berechnungen'!R$26</f>
        <v>6.9622801699850065E-2</v>
      </c>
      <c r="T70" s="325">
        <f>'MOD-Berechnungen'!S365/'MOD-Berechnungen'!S$26</f>
        <v>5.0554823858063987E-2</v>
      </c>
      <c r="U70" s="325">
        <f>'MOD-Berechnungen'!T365/'MOD-Berechnungen'!T$26</f>
        <v>2.9544946704714865E-2</v>
      </c>
      <c r="V70" s="325">
        <f>'MOD-Berechnungen'!U365/'MOD-Berechnungen'!U$26</f>
        <v>1.0510028269532448E-2</v>
      </c>
      <c r="W70" s="325">
        <f>'MOD-Berechnungen'!V365/'MOD-Berechnungen'!V$26</f>
        <v>8.2903946020077383E-3</v>
      </c>
      <c r="X70" s="325">
        <f>'MOD-Berechnungen'!W365/'MOD-Berechnungen'!W$26</f>
        <v>6.5275562426511625E-3</v>
      </c>
      <c r="Y70" s="325">
        <f>'MOD-Berechnungen'!X365/'MOD-Berechnungen'!X$26</f>
        <v>6.1873456996463967E-3</v>
      </c>
      <c r="Z70" s="325">
        <f>'MOD-Berechnungen'!Y365/'MOD-Berechnungen'!Y$26</f>
        <v>5.8960024943149223E-3</v>
      </c>
      <c r="AA70" s="325">
        <f>'MOD-Berechnungen'!Z365/'MOD-Berechnungen'!Z$26</f>
        <v>3.3091479962720095E-3</v>
      </c>
      <c r="AB70" s="325">
        <f>'MOD-Berechnungen'!AA365/'MOD-Berechnungen'!AA$26</f>
        <v>2.7107776146380602E-3</v>
      </c>
      <c r="AC70" s="325">
        <f>'MOD-Berechnungen'!AB365/'MOD-Berechnungen'!AB$26</f>
        <v>9.0715586485243618E-4</v>
      </c>
      <c r="AD70" s="325">
        <f>'MOD-Berechnungen'!AC365/'MOD-Berechnungen'!AC$26</f>
        <v>7.0649088441973075E-4</v>
      </c>
      <c r="AE70" s="325">
        <f>'MOD-Berechnungen'!AD365/'MOD-Berechnungen'!AD$26</f>
        <v>4.5547226131081365E-4</v>
      </c>
      <c r="AF70" s="326">
        <f>'MOD-Berechnungen'!AE365/'MOD-Berechnungen'!AE$26</f>
        <v>0</v>
      </c>
      <c r="AH70" s="294" t="s">
        <v>179</v>
      </c>
    </row>
    <row r="71" spans="1:35" s="294" customFormat="1">
      <c r="A71" s="553">
        <v>71</v>
      </c>
      <c r="C71" s="10"/>
      <c r="D71" s="29"/>
      <c r="E71" s="566" t="s">
        <v>11</v>
      </c>
      <c r="F71" s="567" t="s">
        <v>1048</v>
      </c>
      <c r="G71" s="325">
        <f>('MOD-Berechnungen'!F316)/'MOD-Berechnungen'!F$26</f>
        <v>4.55308112378495</v>
      </c>
      <c r="H71" s="325">
        <f>('MOD-Berechnungen'!G316)/'MOD-Berechnungen'!G$26</f>
        <v>4.7968291263350817</v>
      </c>
      <c r="I71" s="325">
        <f>('MOD-Berechnungen'!H316)/'MOD-Berechnungen'!H$26</f>
        <v>5.6320844225902285</v>
      </c>
      <c r="J71" s="325">
        <f>('MOD-Berechnungen'!I316)/'MOD-Berechnungen'!I$26</f>
        <v>6.5963664929675154</v>
      </c>
      <c r="K71" s="325">
        <f>('MOD-Berechnungen'!J316)/'MOD-Berechnungen'!J$26</f>
        <v>6.9578827288684932</v>
      </c>
      <c r="L71" s="325">
        <f>'MOD-Berechnungen'!K366/'MOD-Berechnungen'!K$26</f>
        <v>8.5369791914889994</v>
      </c>
      <c r="M71" s="325">
        <f>'MOD-Berechnungen'!L366/'MOD-Berechnungen'!L$26</f>
        <v>8.410816937427585</v>
      </c>
      <c r="N71" s="325">
        <f>'MOD-Berechnungen'!M366/'MOD-Berechnungen'!M$26</f>
        <v>8.2865191501749624</v>
      </c>
      <c r="O71" s="325">
        <f>'MOD-Berechnungen'!N366/'MOD-Berechnungen'!N$26</f>
        <v>8.1640582760344458</v>
      </c>
      <c r="P71" s="325">
        <f>'MOD-Berechnungen'!O366/'MOD-Berechnungen'!O$26</f>
        <v>8.0434071685068442</v>
      </c>
      <c r="Q71" s="325">
        <f>'MOD-Berechnungen'!P366/'MOD-Berechnungen'!P$26</f>
        <v>7.9245390822727533</v>
      </c>
      <c r="R71" s="325">
        <f>'MOD-Berechnungen'!Q366/'MOD-Berechnungen'!Q$26</f>
        <v>7.5902111606829799</v>
      </c>
      <c r="S71" s="325">
        <f>'MOD-Berechnungen'!R366/'MOD-Berechnungen'!R$26</f>
        <v>7.3215793161740779</v>
      </c>
      <c r="T71" s="325">
        <f>'MOD-Berechnungen'!S366/'MOD-Berechnungen'!S$26</f>
        <v>7.1043083635107536</v>
      </c>
      <c r="U71" s="325">
        <f>'MOD-Berechnungen'!T366/'MOD-Berechnungen'!T$26</f>
        <v>6.8702691893945449</v>
      </c>
      <c r="V71" s="325">
        <f>'MOD-Berechnungen'!U366/'MOD-Berechnungen'!U$26</f>
        <v>6.3795046589172619</v>
      </c>
      <c r="W71" s="325">
        <f>'MOD-Berechnungen'!V366/'MOD-Berechnungen'!V$26</f>
        <v>5.5871504683362172</v>
      </c>
      <c r="X71" s="325">
        <f>'MOD-Berechnungen'!W366/'MOD-Berechnungen'!W$26</f>
        <v>4.6131742292754536</v>
      </c>
      <c r="Y71" s="325">
        <f>'MOD-Berechnungen'!X366/'MOD-Berechnungen'!X$26</f>
        <v>3.8448141694612774</v>
      </c>
      <c r="Z71" s="325">
        <f>'MOD-Berechnungen'!Y366/'MOD-Berechnungen'!Y$26</f>
        <v>3.4146491526776823</v>
      </c>
      <c r="AA71" s="325">
        <f>'MOD-Berechnungen'!Z366/'MOD-Berechnungen'!Z$26</f>
        <v>2.8638487418305218</v>
      </c>
      <c r="AB71" s="325">
        <f>'MOD-Berechnungen'!AA366/'MOD-Berechnungen'!AA$26</f>
        <v>2.0250087400367045</v>
      </c>
      <c r="AC71" s="325">
        <f>'MOD-Berechnungen'!AB366/'MOD-Berechnungen'!AB$26</f>
        <v>0.70392863975280973</v>
      </c>
      <c r="AD71" s="325">
        <f>'MOD-Berechnungen'!AC366/'MOD-Berechnungen'!AC$26</f>
        <v>0.41768882986249256</v>
      </c>
      <c r="AE71" s="325">
        <f>'MOD-Berechnungen'!AD366/'MOD-Berechnungen'!AD$26</f>
        <v>0.17596808588053828</v>
      </c>
      <c r="AF71" s="326">
        <f>'MOD-Berechnungen'!AE366/'MOD-Berechnungen'!AE$26</f>
        <v>0</v>
      </c>
      <c r="AH71" s="294" t="s">
        <v>179</v>
      </c>
    </row>
    <row r="72" spans="1:35" s="294" customFormat="1">
      <c r="A72" s="553">
        <v>72</v>
      </c>
      <c r="C72" s="10"/>
      <c r="D72" s="29"/>
      <c r="E72" s="566" t="s">
        <v>10</v>
      </c>
      <c r="F72" s="567" t="s">
        <v>1048</v>
      </c>
      <c r="G72" s="325">
        <f>('MOD-Berechnungen'!F317)/'MOD-Berechnungen'!F$26</f>
        <v>6.2231178633398911E-3</v>
      </c>
      <c r="H72" s="325">
        <f>('MOD-Berechnungen'!G317)/'MOD-Berechnungen'!G$26</f>
        <v>1.477542501198508E-2</v>
      </c>
      <c r="I72" s="325">
        <f>('MOD-Berechnungen'!H317)/'MOD-Berechnungen'!H$26</f>
        <v>2.6258686590468712E-2</v>
      </c>
      <c r="J72" s="325">
        <f>('MOD-Berechnungen'!I317)/'MOD-Berechnungen'!I$26</f>
        <v>1.9759225521915818E-2</v>
      </c>
      <c r="K72" s="325">
        <f>('MOD-Berechnungen'!J317)/'MOD-Berechnungen'!J$26</f>
        <v>3.4287513006840638E-2</v>
      </c>
      <c r="L72" s="325">
        <f>'MOD-Berechnungen'!K367/'MOD-Berechnungen'!K$26</f>
        <v>4.0303770369244041E-2</v>
      </c>
      <c r="M72" s="325">
        <f>'MOD-Berechnungen'!L367/'MOD-Berechnungen'!L$26</f>
        <v>3.970814814703847E-2</v>
      </c>
      <c r="N72" s="325">
        <f>'MOD-Berechnungen'!M367/'MOD-Berechnungen'!M$26</f>
        <v>3.9121328223683222E-2</v>
      </c>
      <c r="O72" s="325">
        <f>'MOD-Berechnungen'!N367/'MOD-Berechnungen'!N$26</f>
        <v>3.8543180515944062E-2</v>
      </c>
      <c r="P72" s="325">
        <f>'MOD-Berechnungen'!O367/'MOD-Berechnungen'!O$26</f>
        <v>3.7973576862999084E-2</v>
      </c>
      <c r="Q72" s="325">
        <f>'MOD-Berechnungen'!P367/'MOD-Berechnungen'!P$26</f>
        <v>3.7412390998028656E-2</v>
      </c>
      <c r="R72" s="325">
        <f>'MOD-Berechnungen'!Q367/'MOD-Berechnungen'!Q$26</f>
        <v>3.6859498520225284E-2</v>
      </c>
      <c r="S72" s="325">
        <f>'MOD-Berechnungen'!R367/'MOD-Berechnungen'!R$26</f>
        <v>3.6314776867217034E-2</v>
      </c>
      <c r="T72" s="325">
        <f>'MOD-Berechnungen'!S367/'MOD-Berechnungen'!S$26</f>
        <v>3.5778105287898557E-2</v>
      </c>
      <c r="U72" s="325">
        <f>'MOD-Berechnungen'!T367/'MOD-Berechnungen'!T$26</f>
        <v>3.5249364815663611E-2</v>
      </c>
      <c r="V72" s="325">
        <f>'MOD-Berechnungen'!U367/'MOD-Berechnungen'!U$26</f>
        <v>3.4728438242033116E-2</v>
      </c>
      <c r="W72" s="325">
        <f>'MOD-Berechnungen'!V367/'MOD-Berechnungen'!V$26</f>
        <v>3.4215210090673027E-2</v>
      </c>
      <c r="X72" s="325">
        <f>'MOD-Berechnungen'!W367/'MOD-Berechnungen'!W$26</f>
        <v>3.3709566591796095E-2</v>
      </c>
      <c r="Y72" s="325">
        <f>'MOD-Berechnungen'!X367/'MOD-Berechnungen'!X$26</f>
        <v>3.3211395656941964E-2</v>
      </c>
      <c r="Z72" s="325">
        <f>'MOD-Berechnungen'!Y367/'MOD-Berechnungen'!Y$26</f>
        <v>3.272058685413002E-2</v>
      </c>
      <c r="AA72" s="325">
        <f>'MOD-Berechnungen'!Z367/'MOD-Berechnungen'!Z$26</f>
        <v>3.0378700098868058E-2</v>
      </c>
      <c r="AB72" s="325">
        <f>'MOD-Berechnungen'!AA367/'MOD-Berechnungen'!AA$26</f>
        <v>2.9929753791988239E-2</v>
      </c>
      <c r="AC72" s="325">
        <f>'MOD-Berechnungen'!AB367/'MOD-Berechnungen'!AB$26</f>
        <v>2.9487442159594323E-2</v>
      </c>
      <c r="AD72" s="325">
        <f>'MOD-Berechnungen'!AC367/'MOD-Berechnungen'!AC$26</f>
        <v>1.6578471779897356E-2</v>
      </c>
      <c r="AE72" s="325">
        <f>'MOD-Berechnungen'!AD367/'MOD-Berechnungen'!AD$26</f>
        <v>3.3526583610916602E-3</v>
      </c>
      <c r="AF72" s="326">
        <f>'MOD-Berechnungen'!AE367/'MOD-Berechnungen'!AE$26</f>
        <v>0</v>
      </c>
      <c r="AH72" s="294" t="s">
        <v>179</v>
      </c>
    </row>
    <row r="73" spans="1:35" s="294" customFormat="1">
      <c r="A73" s="553">
        <v>73</v>
      </c>
      <c r="C73" s="10"/>
      <c r="D73" s="29"/>
      <c r="E73" s="566" t="s">
        <v>339</v>
      </c>
      <c r="F73" s="567" t="s">
        <v>1048</v>
      </c>
      <c r="G73" s="325">
        <f>('MOD-Berechnungen'!F318)/'MOD-Berechnungen'!F$26</f>
        <v>4.8251982461659804</v>
      </c>
      <c r="H73" s="325">
        <f>('MOD-Berechnungen'!G318)/'MOD-Berechnungen'!G$26</f>
        <v>5.0731940410182741</v>
      </c>
      <c r="I73" s="325">
        <f>('MOD-Berechnungen'!H318)/'MOD-Berechnungen'!H$26</f>
        <v>4.8174277965642593</v>
      </c>
      <c r="J73" s="325">
        <f>('MOD-Berechnungen'!I318)/'MOD-Berechnungen'!I$26</f>
        <v>5.8429995073503687</v>
      </c>
      <c r="K73" s="325">
        <f>('MOD-Berechnungen'!J318)/'MOD-Berechnungen'!J$26</f>
        <v>6.5951522213084619</v>
      </c>
      <c r="L73" s="325">
        <f>'MOD-Berechnungen'!K368/'MOD-Berechnungen'!K$26</f>
        <v>6.4786964414608263</v>
      </c>
      <c r="M73" s="325">
        <f>'MOD-Berechnungen'!L368/'MOD-Berechnungen'!L$26</f>
        <v>6.3453162220726096</v>
      </c>
      <c r="N73" s="325">
        <f>'MOD-Berechnungen'!M368/'MOD-Berechnungen'!M$26</f>
        <v>6.2021034214152539</v>
      </c>
      <c r="O73" s="325">
        <f>'MOD-Berechnungen'!N368/'MOD-Berechnungen'!N$26</f>
        <v>6.0495604465687816</v>
      </c>
      <c r="P73" s="325">
        <f>'MOD-Berechnungen'!O368/'MOD-Berechnungen'!O$26</f>
        <v>5.7928853561171527</v>
      </c>
      <c r="Q73" s="325">
        <f>'MOD-Berechnungen'!P368/'MOD-Berechnungen'!P$26</f>
        <v>5.5322549090503328</v>
      </c>
      <c r="R73" s="325">
        <f>'MOD-Berechnungen'!Q368/'MOD-Berechnungen'!Q$26</f>
        <v>5.1667228904345937</v>
      </c>
      <c r="S73" s="325">
        <f>'MOD-Berechnungen'!R368/'MOD-Berechnungen'!R$26</f>
        <v>4.7472230208156461</v>
      </c>
      <c r="T73" s="325">
        <f>'MOD-Berechnungen'!S368/'MOD-Berechnungen'!S$26</f>
        <v>4.3054636907471249</v>
      </c>
      <c r="U73" s="325">
        <f>'MOD-Berechnungen'!T368/'MOD-Berechnungen'!T$26</f>
        <v>3.9099474818170141</v>
      </c>
      <c r="V73" s="325">
        <f>'MOD-Berechnungen'!U368/'MOD-Berechnungen'!U$26</f>
        <v>3.5711946919106081</v>
      </c>
      <c r="W73" s="325">
        <f>'MOD-Berechnungen'!V368/'MOD-Berechnungen'!V$26</f>
        <v>3.2931764960894094</v>
      </c>
      <c r="X73" s="325">
        <f>'MOD-Berechnungen'!W368/'MOD-Berechnungen'!W$26</f>
        <v>3.0296275008520861</v>
      </c>
      <c r="Y73" s="325">
        <f>'MOD-Berechnungen'!X368/'MOD-Berechnungen'!X$26</f>
        <v>2.6317731529076864</v>
      </c>
      <c r="Z73" s="325">
        <f>'MOD-Berechnungen'!Y368/'MOD-Berechnungen'!Y$26</f>
        <v>2.4100267218966711</v>
      </c>
      <c r="AA73" s="325">
        <f>'MOD-Berechnungen'!Z368/'MOD-Berechnungen'!Z$26</f>
        <v>2.0232679978656547</v>
      </c>
      <c r="AB73" s="325">
        <f>'MOD-Berechnungen'!AA368/'MOD-Berechnungen'!AA$26</f>
        <v>1.6739408367454942</v>
      </c>
      <c r="AC73" s="325">
        <f>'MOD-Berechnungen'!AB368/'MOD-Berechnungen'!AB$26</f>
        <v>1.2372871092380653</v>
      </c>
      <c r="AD73" s="325">
        <f>'MOD-Berechnungen'!AC368/'MOD-Berechnungen'!AC$26</f>
        <v>0.64431998795128742</v>
      </c>
      <c r="AE73" s="325">
        <f>'MOD-Berechnungen'!AD368/'MOD-Berechnungen'!AD$26</f>
        <v>0.38970820699649539</v>
      </c>
      <c r="AF73" s="326">
        <f>'MOD-Berechnungen'!AE368/'MOD-Berechnungen'!AE$26</f>
        <v>0</v>
      </c>
      <c r="AH73" s="294" t="s">
        <v>179</v>
      </c>
    </row>
    <row r="74" spans="1:35" s="294" customFormat="1">
      <c r="A74" s="553">
        <v>74</v>
      </c>
      <c r="C74" s="10"/>
      <c r="D74" s="29"/>
      <c r="E74" s="566" t="s">
        <v>340</v>
      </c>
      <c r="F74" s="567" t="s">
        <v>1048</v>
      </c>
      <c r="G74" s="325">
        <f>('MOD-Berechnungen'!F319)/'MOD-Berechnungen'!F$26</f>
        <v>0.1130533078506747</v>
      </c>
      <c r="H74" s="325">
        <f>('MOD-Berechnungen'!G319)/'MOD-Berechnungen'!G$26</f>
        <v>0.1941619590867015</v>
      </c>
      <c r="I74" s="325">
        <f>('MOD-Berechnungen'!H319)/'MOD-Berechnungen'!H$26</f>
        <v>0.24037310952599303</v>
      </c>
      <c r="J74" s="325">
        <f>('MOD-Berechnungen'!I319)/'MOD-Berechnungen'!I$26</f>
        <v>0.51417574232634355</v>
      </c>
      <c r="K74" s="325">
        <f>('MOD-Berechnungen'!J319)/'MOD-Berechnungen'!J$26</f>
        <v>1.5276805071412196</v>
      </c>
      <c r="L74" s="325">
        <f>'MOD-Berechnungen'!K369/'MOD-Berechnungen'!K$26</f>
        <v>0.7766752025195236</v>
      </c>
      <c r="M74" s="325">
        <f>'MOD-Berechnungen'!L369/'MOD-Berechnungen'!L$26</f>
        <v>0.7651972438615996</v>
      </c>
      <c r="N74" s="325">
        <f>'MOD-Berechnungen'!M369/'MOD-Berechnungen'!M$26</f>
        <v>0.7538889102084726</v>
      </c>
      <c r="O74" s="325">
        <f>'MOD-Berechnungen'!N369/'MOD-Berechnungen'!N$26</f>
        <v>0.74274769478667257</v>
      </c>
      <c r="P74" s="325">
        <f>'MOD-Berechnungen'!O369/'MOD-Berechnungen'!O$26</f>
        <v>0.73177112786864296</v>
      </c>
      <c r="Q74" s="325">
        <f>'MOD-Berechnungen'!P369/'MOD-Berechnungen'!P$26</f>
        <v>0.72095677622526411</v>
      </c>
      <c r="R74" s="325">
        <f>'MOD-Berechnungen'!Q369/'MOD-Berechnungen'!Q$26</f>
        <v>0.69733865049500243</v>
      </c>
      <c r="S74" s="325">
        <f>'MOD-Berechnungen'!R369/'MOD-Berechnungen'!R$26</f>
        <v>0.65049294679256464</v>
      </c>
      <c r="T74" s="325">
        <f>'MOD-Berechnungen'!S369/'MOD-Berechnungen'!S$26</f>
        <v>0.56291255676874385</v>
      </c>
      <c r="U74" s="325">
        <f>'MOD-Berechnungen'!T369/'MOD-Berechnungen'!T$26</f>
        <v>0.51771167432335186</v>
      </c>
      <c r="V74" s="325">
        <f>'MOD-Berechnungen'!U369/'MOD-Berechnungen'!U$26</f>
        <v>0.38948903954663144</v>
      </c>
      <c r="W74" s="325">
        <f>'MOD-Berechnungen'!V369/'MOD-Berechnungen'!V$26</f>
        <v>0.16976648973883371</v>
      </c>
      <c r="X74" s="325">
        <f>'MOD-Berechnungen'!W369/'MOD-Berechnungen'!W$26</f>
        <v>0.11721099522453671</v>
      </c>
      <c r="Y74" s="325">
        <f>'MOD-Berechnungen'!X369/'MOD-Berechnungen'!X$26</f>
        <v>0.1153702522501162</v>
      </c>
      <c r="Z74" s="325">
        <f>'MOD-Berechnungen'!Y369/'MOD-Berechnungen'!Y$26</f>
        <v>0.11351008146645629</v>
      </c>
      <c r="AA74" s="325">
        <f>'MOD-Berechnungen'!Z369/'MOD-Berechnungen'!Z$26</f>
        <v>0.10709645640853081</v>
      </c>
      <c r="AB74" s="325">
        <f>'MOD-Berechnungen'!AA369/'MOD-Berechnungen'!AA$26</f>
        <v>9.9752531367567635E-2</v>
      </c>
      <c r="AC74" s="325">
        <f>'MOD-Berechnungen'!AB369/'MOD-Berechnungen'!AB$26</f>
        <v>8.434445733871121E-2</v>
      </c>
      <c r="AD74" s="325">
        <f>'MOD-Berechnungen'!AC369/'MOD-Berechnungen'!AC$26</f>
        <v>7.3282720044045804E-2</v>
      </c>
      <c r="AE74" s="325">
        <f>'MOD-Berechnungen'!AD369/'MOD-Berechnungen'!AD$26</f>
        <v>4.5090243295082932E-2</v>
      </c>
      <c r="AF74" s="326">
        <f>'MOD-Berechnungen'!AE369/'MOD-Berechnungen'!AE$26</f>
        <v>0</v>
      </c>
      <c r="AH74" s="294" t="s">
        <v>179</v>
      </c>
    </row>
    <row r="75" spans="1:35" s="294" customFormat="1">
      <c r="A75" s="553">
        <v>75</v>
      </c>
      <c r="C75" s="10"/>
      <c r="D75" s="29"/>
      <c r="E75" s="568" t="s">
        <v>530</v>
      </c>
      <c r="F75" s="569" t="s">
        <v>1048</v>
      </c>
      <c r="G75" s="302">
        <f>('MOD-Berechnungen'!F320)/'MOD-Berechnungen'!F$26</f>
        <v>4.4744343743657859</v>
      </c>
      <c r="H75" s="302">
        <f>('MOD-Berechnungen'!G320)/'MOD-Berechnungen'!G$26</f>
        <v>9.053083381130671</v>
      </c>
      <c r="I75" s="302">
        <f>('MOD-Berechnungen'!H320)/'MOD-Berechnungen'!H$26</f>
        <v>9.7261808746820506</v>
      </c>
      <c r="J75" s="302">
        <f>('MOD-Berechnungen'!I320)/'MOD-Berechnungen'!I$26</f>
        <v>11.232217773829971</v>
      </c>
      <c r="K75" s="302">
        <f>('MOD-Berechnungen'!J320)/'MOD-Berechnungen'!J$26</f>
        <v>11.593621853760409</v>
      </c>
      <c r="L75" s="302">
        <f>'MOD-Berechnungen'!K370/'MOD-Berechnungen'!K$26</f>
        <v>10.664254767588913</v>
      </c>
      <c r="M75" s="302">
        <f>'MOD-Berechnungen'!L370/'MOD-Berechnungen'!L$26</f>
        <v>10.506654943437354</v>
      </c>
      <c r="N75" s="302">
        <f>'MOD-Berechnungen'!M370/'MOD-Berechnungen'!M$26</f>
        <v>10.351384180726457</v>
      </c>
      <c r="O75" s="302">
        <f>'MOD-Berechnungen'!N370/'MOD-Berechnungen'!N$26</f>
        <v>10.198408059829024</v>
      </c>
      <c r="P75" s="302">
        <f>'MOD-Berechnungen'!O370/'MOD-Berechnungen'!O$26</f>
        <v>10.04769266978229</v>
      </c>
      <c r="Q75" s="302">
        <f>'MOD-Berechnungen'!P370/'MOD-Berechnungen'!P$26</f>
        <v>9.8992046007707302</v>
      </c>
      <c r="R75" s="302">
        <f>'MOD-Berechnungen'!Q370/'MOD-Berechnungen'!Q$26</f>
        <v>9.7283971609898447</v>
      </c>
      <c r="S75" s="302">
        <f>'MOD-Berechnungen'!R370/'MOD-Berechnungen'!R$26</f>
        <v>9.545393022841667</v>
      </c>
      <c r="T75" s="302">
        <f>'MOD-Berechnungen'!S370/'MOD-Berechnungen'!S$26</f>
        <v>9.3641602621798921</v>
      </c>
      <c r="U75" s="302">
        <f>'MOD-Berechnungen'!T370/'MOD-Berechnungen'!T$26</f>
        <v>9.1738881797619953</v>
      </c>
      <c r="V75" s="302">
        <f>'MOD-Berechnungen'!U370/'MOD-Berechnungen'!U$26</f>
        <v>8.7444982541490965</v>
      </c>
      <c r="W75" s="302">
        <f>'MOD-Berechnungen'!V370/'MOD-Berechnungen'!V$26</f>
        <v>8.2269411178105738</v>
      </c>
      <c r="X75" s="302">
        <f>'MOD-Berechnungen'!W370/'MOD-Berechnungen'!W$26</f>
        <v>7.7696994986837238</v>
      </c>
      <c r="Y75" s="302">
        <f>'MOD-Berechnungen'!X370/'MOD-Berechnungen'!X$26</f>
        <v>7.1880535563323331</v>
      </c>
      <c r="Z75" s="302">
        <f>'MOD-Berechnungen'!Y370/'MOD-Berechnungen'!Y$26</f>
        <v>6.3900617473567998</v>
      </c>
      <c r="AA75" s="302">
        <f>'MOD-Berechnungen'!Z370/'MOD-Berechnungen'!Z$26</f>
        <v>4.9004210836508415</v>
      </c>
      <c r="AB75" s="302">
        <f>'MOD-Berechnungen'!AA370/'MOD-Berechnungen'!AA$26</f>
        <v>2.8391708836960445</v>
      </c>
      <c r="AC75" s="302">
        <f>'MOD-Berechnungen'!AB370/'MOD-Berechnungen'!AB$26</f>
        <v>1.2626221617802089</v>
      </c>
      <c r="AD75" s="302">
        <f>'MOD-Berechnungen'!AC370/'MOD-Berechnungen'!AC$26</f>
        <v>0.33998240379983841</v>
      </c>
      <c r="AE75" s="302">
        <f>'MOD-Berechnungen'!AD370/'MOD-Berechnungen'!AD$26</f>
        <v>9.9105885709601077E-2</v>
      </c>
      <c r="AF75" s="55">
        <f>'MOD-Berechnungen'!AE370/'MOD-Berechnungen'!AE$26</f>
        <v>0</v>
      </c>
      <c r="AH75" s="294" t="s">
        <v>179</v>
      </c>
    </row>
    <row r="76" spans="1:35" s="294" customFormat="1">
      <c r="A76" s="553">
        <v>76</v>
      </c>
      <c r="C76" s="10"/>
      <c r="D76" s="29"/>
      <c r="E76" s="566" t="s">
        <v>529</v>
      </c>
      <c r="F76" s="570"/>
      <c r="G76" s="325">
        <f>G106/'MOD-Berechnungen'!F$26</f>
        <v>0</v>
      </c>
      <c r="H76" s="325">
        <f>H106/'MOD-Berechnungen'!G$26</f>
        <v>0</v>
      </c>
      <c r="I76" s="325">
        <f>I106/'MOD-Berechnungen'!H$26</f>
        <v>0</v>
      </c>
      <c r="J76" s="325">
        <f>J106/'MOD-Berechnungen'!I$26</f>
        <v>0</v>
      </c>
      <c r="K76" s="325">
        <f>K106/'MOD-Berechnungen'!J$26</f>
        <v>0</v>
      </c>
      <c r="L76" s="325">
        <f>L106/'MOD-Berechnungen'!K$26</f>
        <v>0</v>
      </c>
      <c r="M76" s="325">
        <f>M106/'MOD-Berechnungen'!L$26</f>
        <v>0</v>
      </c>
      <c r="N76" s="325">
        <f>N106/'MOD-Berechnungen'!M$26</f>
        <v>0</v>
      </c>
      <c r="O76" s="325">
        <f>O106/'MOD-Berechnungen'!N$26</f>
        <v>0</v>
      </c>
      <c r="P76" s="325">
        <f>P106/'MOD-Berechnungen'!O$26</f>
        <v>0</v>
      </c>
      <c r="Q76" s="325">
        <f>Q106/'MOD-Berechnungen'!P$26</f>
        <v>2.7855335944751156E-3</v>
      </c>
      <c r="R76" s="325">
        <f>R106/'MOD-Berechnungen'!Q$26</f>
        <v>5.4922220004608906E-3</v>
      </c>
      <c r="S76" s="325">
        <f>S106/'MOD-Berechnungen'!R$26</f>
        <v>5.4110561580895484E-3</v>
      </c>
      <c r="T76" s="325">
        <f>T106/'MOD-Berechnungen'!S$26</f>
        <v>5.3310898109256641E-3</v>
      </c>
      <c r="U76" s="325">
        <f>U106/'MOD-Berechnungen'!T$26</f>
        <v>5.252305232439078E-3</v>
      </c>
      <c r="V76" s="325">
        <f>V106/'MOD-Berechnungen'!U$26</f>
        <v>5.1746849580680578E-3</v>
      </c>
      <c r="W76" s="325">
        <f>W106/'MOD-Berechnungen'!V$26</f>
        <v>5.0982117813478415E-3</v>
      </c>
      <c r="X76" s="325">
        <f>X106/'MOD-Berechnungen'!W$26</f>
        <v>5.0228687500963962E-3</v>
      </c>
      <c r="Y76" s="325">
        <f>Y106/'MOD-Berechnungen'!X$26</f>
        <v>4.9486391626565483E-3</v>
      </c>
      <c r="Z76" s="325">
        <f>Z106/'MOD-Berechnungen'!Y$26</f>
        <v>4.8755065641936449E-3</v>
      </c>
      <c r="AA76" s="325">
        <f>AA106/'MOD-Berechnungen'!Z$26</f>
        <v>4.8034547430479265E-3</v>
      </c>
      <c r="AB76" s="325">
        <f>AB106/'MOD-Berechnungen'!AA$26</f>
        <v>4.7324677271408143E-3</v>
      </c>
      <c r="AC76" s="325">
        <f>AC106/'MOD-Berechnungen'!AB$26</f>
        <v>4.6625297804343E-3</v>
      </c>
      <c r="AD76" s="325">
        <f>AD106/'MOD-Berechnungen'!AC$26</f>
        <v>4.5936253994426609E-3</v>
      </c>
      <c r="AE76" s="325">
        <f>AE106/'MOD-Berechnungen'!AD$26</f>
        <v>4.5257393097957246E-3</v>
      </c>
      <c r="AF76" s="326">
        <f>AF106/'MOD-Berechnungen'!AE$26</f>
        <v>4.458856462852932E-3</v>
      </c>
      <c r="AH76" s="294" t="s">
        <v>211</v>
      </c>
      <c r="AI76" s="896"/>
    </row>
    <row r="77" spans="1:35" s="294" customFormat="1">
      <c r="A77" s="553">
        <v>77</v>
      </c>
      <c r="C77" s="10"/>
      <c r="D77" s="29"/>
      <c r="E77" s="566" t="s">
        <v>349</v>
      </c>
      <c r="F77" s="570"/>
      <c r="G77" s="325">
        <f>G107/'MOD-Berechnungen'!F$26</f>
        <v>0</v>
      </c>
      <c r="H77" s="325">
        <f>H107/'MOD-Berechnungen'!G$26</f>
        <v>0</v>
      </c>
      <c r="I77" s="325">
        <f>I107/'MOD-Berechnungen'!H$26</f>
        <v>0</v>
      </c>
      <c r="J77" s="325">
        <f>J107/'MOD-Berechnungen'!I$26</f>
        <v>0</v>
      </c>
      <c r="K77" s="325">
        <f>K107/'MOD-Berechnungen'!J$26</f>
        <v>0</v>
      </c>
      <c r="L77" s="325">
        <f>L107/'MOD-Berechnungen'!K$26</f>
        <v>5.3771678664792507E-3</v>
      </c>
      <c r="M77" s="325">
        <f>M107/'MOD-Berechnungen'!L$26</f>
        <v>1.1082162420963066E-2</v>
      </c>
      <c r="N77" s="325">
        <f>N107/'MOD-Berechnungen'!M$26</f>
        <v>1.1632233195228067E-2</v>
      </c>
      <c r="O77" s="325">
        <f>O107/'MOD-Berechnungen'!N$26</f>
        <v>1.2452274508615004E-2</v>
      </c>
      <c r="P77" s="325">
        <f>P107/'MOD-Berechnungen'!O$26</f>
        <v>1.3254902511981454E-2</v>
      </c>
      <c r="Q77" s="325">
        <f>Q107/'MOD-Berechnungen'!P$26</f>
        <v>1.3504390379544803E-2</v>
      </c>
      <c r="R77" s="325">
        <f>R107/'MOD-Berechnungen'!Q$26</f>
        <v>1.3511308306283608E-2</v>
      </c>
      <c r="S77" s="325">
        <f>S107/'MOD-Berechnungen'!R$26</f>
        <v>1.3311633799294197E-2</v>
      </c>
      <c r="T77" s="325">
        <f>T107/'MOD-Berechnungen'!S$26</f>
        <v>1.3114910147087879E-2</v>
      </c>
      <c r="U77" s="325">
        <f>U107/'MOD-Berechnungen'!T$26</f>
        <v>1.2921093740973283E-2</v>
      </c>
      <c r="V77" s="325">
        <f>V107/'MOD-Berechnungen'!U$26</f>
        <v>1.2730141616722448E-2</v>
      </c>
      <c r="W77" s="325">
        <f>W107/'MOD-Berechnungen'!V$26</f>
        <v>1.2542011445046748E-2</v>
      </c>
      <c r="X77" s="325">
        <f>X107/'MOD-Berechnungen'!W$26</f>
        <v>1.2356661522213546E-2</v>
      </c>
      <c r="Y77" s="325">
        <f>Y107/'MOD-Berechnungen'!X$26</f>
        <v>1.2174050760801525E-2</v>
      </c>
      <c r="Z77" s="325">
        <f>Z107/'MOD-Berechnungen'!Y$26</f>
        <v>1.1994138680592637E-2</v>
      </c>
      <c r="AA77" s="325">
        <f>AA107/'MOD-Berechnungen'!Z$26</f>
        <v>1.1816885399598659E-2</v>
      </c>
      <c r="AB77" s="325">
        <f>AB107/'MOD-Berechnungen'!AA$26</f>
        <v>1.1642251625220354E-2</v>
      </c>
      <c r="AC77" s="325">
        <f>AC107/'MOD-Berechnungen'!AB$26</f>
        <v>1.1470198645537296E-2</v>
      </c>
      <c r="AD77" s="325">
        <f>AD107/'MOD-Berechnungen'!AC$26</f>
        <v>1.13006883207264E-2</v>
      </c>
      <c r="AE77" s="325">
        <f>AE107/'MOD-Berechnungen'!AD$26</f>
        <v>1.1133683074607293E-2</v>
      </c>
      <c r="AF77" s="326">
        <f>AF107/'MOD-Berechnungen'!AE$26</f>
        <v>1.0969145886312604E-2</v>
      </c>
      <c r="AH77" s="294" t="s">
        <v>211</v>
      </c>
    </row>
    <row r="78" spans="1:35" s="294" customFormat="1">
      <c r="A78" s="553">
        <v>78</v>
      </c>
      <c r="C78" s="10"/>
      <c r="D78" s="29"/>
      <c r="E78" s="566" t="s">
        <v>11</v>
      </c>
      <c r="F78" s="570"/>
      <c r="G78" s="325">
        <f>G108/'MOD-Berechnungen'!F$26</f>
        <v>0</v>
      </c>
      <c r="H78" s="325">
        <f>H108/'MOD-Berechnungen'!G$26</f>
        <v>0</v>
      </c>
      <c r="I78" s="325">
        <f>I108/'MOD-Berechnungen'!H$26</f>
        <v>0</v>
      </c>
      <c r="J78" s="325">
        <f>J108/'MOD-Berechnungen'!I$26</f>
        <v>0</v>
      </c>
      <c r="K78" s="325">
        <f>K108/'MOD-Berechnungen'!J$26</f>
        <v>0</v>
      </c>
      <c r="L78" s="325">
        <f>L108/'MOD-Berechnungen'!K$26</f>
        <v>6.5437178368330396E-3</v>
      </c>
      <c r="M78" s="325">
        <f>M108/'MOD-Berechnungen'!L$26</f>
        <v>9.3675038942142352E-2</v>
      </c>
      <c r="N78" s="325">
        <f>N108/'MOD-Berechnungen'!M$26</f>
        <v>0.2672805196545564</v>
      </c>
      <c r="O78" s="325">
        <f>O108/'MOD-Berechnungen'!N$26</f>
        <v>0.49649709865464603</v>
      </c>
      <c r="P78" s="325">
        <f>P108/'MOD-Berechnungen'!O$26</f>
        <v>0.69927805138773202</v>
      </c>
      <c r="Q78" s="325">
        <f>Q108/'MOD-Berechnungen'!P$26</f>
        <v>0.82699182048282049</v>
      </c>
      <c r="R78" s="325">
        <f>R108/'MOD-Berechnungen'!Q$26</f>
        <v>0.92583513651214655</v>
      </c>
      <c r="S78" s="325">
        <f>S108/'MOD-Berechnungen'!R$26</f>
        <v>0.97043671055581804</v>
      </c>
      <c r="T78" s="325">
        <f>T108/'MOD-Berechnungen'!S$26</f>
        <v>0.98254702206064404</v>
      </c>
      <c r="U78" s="325">
        <f>U108/'MOD-Berechnungen'!T$26</f>
        <v>0.99583316709202807</v>
      </c>
      <c r="V78" s="325">
        <f>V108/'MOD-Berechnungen'!U$26</f>
        <v>1.0102177437163768</v>
      </c>
      <c r="W78" s="325">
        <f>W108/'MOD-Berechnungen'!V$26</f>
        <v>1.0753746285453776</v>
      </c>
      <c r="X78" s="325">
        <f>X108/'MOD-Berechnungen'!W$26</f>
        <v>1.187439294258456</v>
      </c>
      <c r="Y78" s="325">
        <f>Y108/'MOD-Berechnungen'!X$26</f>
        <v>1.2946928350596483</v>
      </c>
      <c r="Z78" s="325">
        <f>Z108/'MOD-Berechnungen'!Y$26</f>
        <v>1.3972753690600668</v>
      </c>
      <c r="AA78" s="325">
        <f>AA108/'MOD-Berechnungen'!Z$26</f>
        <v>1.4953255992749659</v>
      </c>
      <c r="AB78" s="325">
        <f>AB108/'MOD-Berechnungen'!AA$26</f>
        <v>1.5889798829800381</v>
      </c>
      <c r="AC78" s="325">
        <f>AC108/'MOD-Berechnungen'!AB$26</f>
        <v>1.678371760645935</v>
      </c>
      <c r="AD78" s="325">
        <f>AD108/'MOD-Berechnungen'!AC$26</f>
        <v>1.7636317198653704</v>
      </c>
      <c r="AE78" s="325">
        <f>AE108/'MOD-Berechnungen'!AD$26</f>
        <v>1.8448870863956335</v>
      </c>
      <c r="AF78" s="326">
        <f>AF108/'MOD-Berechnungen'!AE$26</f>
        <v>1.9235959771934024</v>
      </c>
      <c r="AH78" s="294" t="s">
        <v>211</v>
      </c>
    </row>
    <row r="79" spans="1:35" s="294" customFormat="1">
      <c r="A79" s="553">
        <v>79</v>
      </c>
      <c r="C79" s="10"/>
      <c r="D79" s="29"/>
      <c r="E79" s="566" t="s">
        <v>10</v>
      </c>
      <c r="F79" s="570"/>
      <c r="G79" s="325">
        <f>G109/'MOD-Berechnungen'!F$26</f>
        <v>0</v>
      </c>
      <c r="H79" s="325">
        <f>H109/'MOD-Berechnungen'!G$26</f>
        <v>0</v>
      </c>
      <c r="I79" s="325">
        <f>I109/'MOD-Berechnungen'!H$26</f>
        <v>0</v>
      </c>
      <c r="J79" s="325">
        <f>J109/'MOD-Berechnungen'!I$26</f>
        <v>0</v>
      </c>
      <c r="K79" s="325">
        <f>K109/'MOD-Berechnungen'!J$26</f>
        <v>0</v>
      </c>
      <c r="L79" s="325">
        <f>L109/'MOD-Berechnungen'!K$26</f>
        <v>0</v>
      </c>
      <c r="M79" s="325">
        <f>M109/'MOD-Berechnungen'!L$26</f>
        <v>2.7064561387499983E-3</v>
      </c>
      <c r="N79" s="325">
        <f>N109/'MOD-Berechnungen'!M$26</f>
        <v>6.9112207499999988E-3</v>
      </c>
      <c r="O79" s="325">
        <f>O109/'MOD-Berechnungen'!N$26</f>
        <v>1.2268339382940105E-2</v>
      </c>
      <c r="P79" s="325">
        <f>P109/'MOD-Berechnungen'!O$26</f>
        <v>1.9065338882282994E-2</v>
      </c>
      <c r="Q79" s="325">
        <f>Q109/'MOD-Berechnungen'!P$26</f>
        <v>2.5156990357859607E-2</v>
      </c>
      <c r="R79" s="325">
        <f>R109/'MOD-Berechnungen'!Q$26</f>
        <v>2.8025148388112899E-2</v>
      </c>
      <c r="S79" s="325">
        <f>S109/'MOD-Berechnungen'!R$26</f>
        <v>2.7610983633608772E-2</v>
      </c>
      <c r="T79" s="325">
        <f>T109/'MOD-Berechnungen'!S$26</f>
        <v>2.7202939540501257E-2</v>
      </c>
      <c r="U79" s="325">
        <f>U109/'MOD-Berechnungen'!T$26</f>
        <v>2.6800925655666268E-2</v>
      </c>
      <c r="V79" s="325">
        <f>V109/'MOD-Berechnungen'!U$26</f>
        <v>2.6404852862725391E-2</v>
      </c>
      <c r="W79" s="325">
        <f>W109/'MOD-Berechnungen'!V$26</f>
        <v>2.6014633362291029E-2</v>
      </c>
      <c r="X79" s="325">
        <f>X109/'MOD-Berechnungen'!W$26</f>
        <v>2.5630180652503481E-2</v>
      </c>
      <c r="Y79" s="325">
        <f>Y109/'MOD-Berechnungen'!X$26</f>
        <v>2.525140950985565E-2</v>
      </c>
      <c r="Z79" s="325">
        <f>Z109/'MOD-Berechnungen'!Y$26</f>
        <v>2.4878235970301133E-2</v>
      </c>
      <c r="AA79" s="325">
        <f>AA109/'MOD-Berechnungen'!Z$26</f>
        <v>2.4510577310641515E-2</v>
      </c>
      <c r="AB79" s="325">
        <f>AB109/'MOD-Berechnungen'!AA$26</f>
        <v>2.4148352030188686E-2</v>
      </c>
      <c r="AC79" s="325">
        <f>AC109/'MOD-Berechnungen'!AB$26</f>
        <v>2.3791479832698213E-2</v>
      </c>
      <c r="AD79" s="325">
        <f>AD109/'MOD-Berechnungen'!AC$26</f>
        <v>2.343988160856967E-2</v>
      </c>
      <c r="AE79" s="325">
        <f>AE109/'MOD-Berechnungen'!AD$26</f>
        <v>2.3093479417310023E-2</v>
      </c>
      <c r="AF79" s="326">
        <f>AF109/'MOD-Berechnungen'!AE$26</f>
        <v>2.2752196470256184E-2</v>
      </c>
      <c r="AH79" s="294" t="s">
        <v>211</v>
      </c>
    </row>
    <row r="80" spans="1:35" s="294" customFormat="1">
      <c r="A80" s="553">
        <v>80</v>
      </c>
      <c r="C80" s="10"/>
      <c r="D80" s="29"/>
      <c r="E80" s="566" t="s">
        <v>339</v>
      </c>
      <c r="F80" s="570"/>
      <c r="G80" s="325">
        <f>G110/'MOD-Berechnungen'!F$26</f>
        <v>0</v>
      </c>
      <c r="H80" s="325">
        <f>H110/'MOD-Berechnungen'!G$26</f>
        <v>0</v>
      </c>
      <c r="I80" s="325">
        <f>I110/'MOD-Berechnungen'!H$26</f>
        <v>0</v>
      </c>
      <c r="J80" s="325">
        <f>J110/'MOD-Berechnungen'!I$26</f>
        <v>0</v>
      </c>
      <c r="K80" s="325">
        <f>K110/'MOD-Berechnungen'!J$26</f>
        <v>0</v>
      </c>
      <c r="L80" s="325">
        <f>L110/'MOD-Berechnungen'!K$26</f>
        <v>0.27408703054187206</v>
      </c>
      <c r="M80" s="325">
        <f>M110/'MOD-Berechnungen'!L$26</f>
        <v>0.90099378375220907</v>
      </c>
      <c r="N80" s="325">
        <f>N110/'MOD-Berechnungen'!M$26</f>
        <v>1.6246385994021257</v>
      </c>
      <c r="O80" s="325">
        <f>O110/'MOD-Berechnungen'!N$26</f>
        <v>2.2089098378128975</v>
      </c>
      <c r="P80" s="325">
        <f>P110/'MOD-Berechnungen'!O$26</f>
        <v>2.4849956833813152</v>
      </c>
      <c r="Q80" s="325">
        <f>Q110/'MOD-Berechnungen'!P$26</f>
        <v>2.6225815087148665</v>
      </c>
      <c r="R80" s="325">
        <f>R110/'MOD-Berechnungen'!Q$26</f>
        <v>2.7723769897867774</v>
      </c>
      <c r="S80" s="325">
        <f>S110/'MOD-Berechnungen'!R$26</f>
        <v>2.9488666036512683</v>
      </c>
      <c r="T80" s="325">
        <f>T110/'MOD-Berechnungen'!S$26</f>
        <v>3.1830115819717393</v>
      </c>
      <c r="U80" s="325">
        <f>U110/'MOD-Berechnungen'!T$26</f>
        <v>3.4425257911745359</v>
      </c>
      <c r="V80" s="325">
        <f>V110/'MOD-Berechnungen'!U$26</f>
        <v>3.7014001997696511</v>
      </c>
      <c r="W80" s="325">
        <f>W110/'MOD-Berechnungen'!V$26</f>
        <v>3.9589617737305223</v>
      </c>
      <c r="X80" s="325">
        <f>X110/'MOD-Berechnungen'!W$26</f>
        <v>4.2084137655253482</v>
      </c>
      <c r="Y80" s="325">
        <f>Y110/'MOD-Berechnungen'!X$26</f>
        <v>4.4472381659528999</v>
      </c>
      <c r="Z80" s="325">
        <f>Z110/'MOD-Berechnungen'!Y$26</f>
        <v>4.6744092666003123</v>
      </c>
      <c r="AA80" s="325">
        <f>AA110/'MOD-Berechnungen'!Z$26</f>
        <v>4.8895473902271727</v>
      </c>
      <c r="AB80" s="325">
        <f>AB110/'MOD-Berechnungen'!AA$26</f>
        <v>5.0925903712628982</v>
      </c>
      <c r="AC80" s="325">
        <f>AC110/'MOD-Berechnungen'!AB$26</f>
        <v>5.283645245070522</v>
      </c>
      <c r="AD80" s="325">
        <f>AD110/'MOD-Berechnungen'!AC$26</f>
        <v>5.4629139849856916</v>
      </c>
      <c r="AE80" s="325">
        <f>AE110/'MOD-Berechnungen'!AD$26</f>
        <v>5.6306533829141827</v>
      </c>
      <c r="AF80" s="326">
        <f>AF110/'MOD-Berechnungen'!AE$26</f>
        <v>5.7904479786395457</v>
      </c>
      <c r="AH80" s="294" t="s">
        <v>211</v>
      </c>
    </row>
    <row r="81" spans="1:34" s="294" customFormat="1">
      <c r="A81" s="553">
        <v>81</v>
      </c>
      <c r="C81" s="10"/>
      <c r="D81" s="29"/>
      <c r="E81" s="566" t="s">
        <v>340</v>
      </c>
      <c r="F81" s="570"/>
      <c r="G81" s="325">
        <f>G111/'MOD-Berechnungen'!F$26</f>
        <v>0</v>
      </c>
      <c r="H81" s="325">
        <f>H111/'MOD-Berechnungen'!G$26</f>
        <v>0</v>
      </c>
      <c r="I81" s="325">
        <f>I111/'MOD-Berechnungen'!H$26</f>
        <v>0</v>
      </c>
      <c r="J81" s="325">
        <f>J111/'MOD-Berechnungen'!I$26</f>
        <v>0</v>
      </c>
      <c r="K81" s="325">
        <f>K111/'MOD-Berechnungen'!J$26</f>
        <v>0</v>
      </c>
      <c r="L81" s="325">
        <f>L111/'MOD-Berechnungen'!K$26</f>
        <v>0.71625182266009846</v>
      </c>
      <c r="M81" s="325">
        <f>M111/'MOD-Berechnungen'!L$26</f>
        <v>1.6685479656295534</v>
      </c>
      <c r="N81" s="325">
        <f>N111/'MOD-Berechnungen'!M$26</f>
        <v>2.3591587814390356</v>
      </c>
      <c r="O81" s="325">
        <f>O111/'MOD-Berechnungen'!N$26</f>
        <v>3.0342866920361722</v>
      </c>
      <c r="P81" s="325">
        <f>P111/'MOD-Berechnungen'!O$26</f>
        <v>3.5997955962891206</v>
      </c>
      <c r="Q81" s="325">
        <f>Q111/'MOD-Berechnungen'!P$26</f>
        <v>3.9011229551727005</v>
      </c>
      <c r="R81" s="325">
        <f>R111/'MOD-Berechnungen'!Q$26</f>
        <v>3.8315400937662076</v>
      </c>
      <c r="S81" s="325">
        <f>S111/'MOD-Berechnungen'!R$26</f>
        <v>3.8051617590441702</v>
      </c>
      <c r="T81" s="325">
        <f>T111/'MOD-Berechnungen'!S$26</f>
        <v>3.9124089429948716</v>
      </c>
      <c r="U81" s="325">
        <f>U111/'MOD-Berechnungen'!T$26</f>
        <v>3.83894304485441</v>
      </c>
      <c r="V81" s="325">
        <f>V111/'MOD-Berechnungen'!U$26</f>
        <v>3.8730638760538545</v>
      </c>
      <c r="W81" s="325">
        <f>W111/'MOD-Berechnungen'!V$26</f>
        <v>3.727174500446556</v>
      </c>
      <c r="X81" s="325">
        <f>X111/'MOD-Berechnungen'!W$26</f>
        <v>3.1177524307618758</v>
      </c>
      <c r="Y81" s="325">
        <f>Y111/'MOD-Berechnungen'!X$26</f>
        <v>3.0488157957986322</v>
      </c>
      <c r="Z81" s="325">
        <f>Z111/'MOD-Berechnungen'!Y$26</f>
        <v>2.7666176081611513</v>
      </c>
      <c r="AA81" s="325">
        <f>AA111/'MOD-Berechnungen'!Z$26</f>
        <v>2.9618039969818266</v>
      </c>
      <c r="AB81" s="325">
        <f>AB111/'MOD-Berechnungen'!AA$26</f>
        <v>3.161647945359495</v>
      </c>
      <c r="AC81" s="325">
        <f>AC111/'MOD-Berechnungen'!AB$26</f>
        <v>3.3717096591764415</v>
      </c>
      <c r="AD81" s="325">
        <f>AD111/'MOD-Berechnungen'!AC$26</f>
        <v>3.5770969241497634</v>
      </c>
      <c r="AE81" s="325">
        <f>AE111/'MOD-Berechnungen'!AD$26</f>
        <v>3.5285341442752887</v>
      </c>
      <c r="AF81" s="326">
        <f>AF111/'MOD-Berechnungen'!AE$26</f>
        <v>3.4413857643612258</v>
      </c>
      <c r="AH81" s="294" t="s">
        <v>211</v>
      </c>
    </row>
    <row r="82" spans="1:34" s="294" customFormat="1">
      <c r="A82" s="553">
        <v>82</v>
      </c>
      <c r="C82" s="10"/>
      <c r="D82" s="29"/>
      <c r="E82" s="568" t="s">
        <v>530</v>
      </c>
      <c r="F82" s="571"/>
      <c r="G82" s="302">
        <f>G112/'MOD-Berechnungen'!F$26</f>
        <v>0</v>
      </c>
      <c r="H82" s="302">
        <f>H112/'MOD-Berechnungen'!G$26</f>
        <v>0</v>
      </c>
      <c r="I82" s="302">
        <f>I112/'MOD-Berechnungen'!H$26</f>
        <v>0</v>
      </c>
      <c r="J82" s="302">
        <f>J112/'MOD-Berechnungen'!I$26</f>
        <v>0</v>
      </c>
      <c r="K82" s="302">
        <f>K112/'MOD-Berechnungen'!J$26</f>
        <v>0</v>
      </c>
      <c r="L82" s="302">
        <f>L112/'MOD-Berechnungen'!K$26</f>
        <v>6.0892213150692355E-2</v>
      </c>
      <c r="M82" s="302">
        <f>M112/'MOD-Berechnungen'!L$26</f>
        <v>0.16966903543461637</v>
      </c>
      <c r="N82" s="302">
        <f>N112/'MOD-Berechnungen'!M$26</f>
        <v>0.35950720686124715</v>
      </c>
      <c r="O82" s="302">
        <f>O112/'MOD-Berechnungen'!N$26</f>
        <v>0.55829386020459393</v>
      </c>
      <c r="P82" s="302">
        <f>P112/'MOD-Berechnungen'!O$26</f>
        <v>0.810444674129978</v>
      </c>
      <c r="Q82" s="302">
        <f>Q112/'MOD-Berechnungen'!P$26</f>
        <v>1.0929147690033234</v>
      </c>
      <c r="R82" s="302">
        <f>R112/'MOD-Berechnungen'!Q$26</f>
        <v>1.3951592517008613</v>
      </c>
      <c r="S82" s="302">
        <f>S112/'MOD-Berechnungen'!R$26</f>
        <v>1.7152921103909746</v>
      </c>
      <c r="T82" s="302">
        <f>T112/'MOD-Berechnungen'!S$26</f>
        <v>1.9445585355380353</v>
      </c>
      <c r="U82" s="302">
        <f>U112/'MOD-Berechnungen'!T$26</f>
        <v>2.1019456355193982</v>
      </c>
      <c r="V82" s="302">
        <f>V112/'MOD-Berechnungen'!U$26</f>
        <v>2.2475767027560996</v>
      </c>
      <c r="W82" s="302">
        <f>W112/'MOD-Berechnungen'!V$26</f>
        <v>2.3691047252367454</v>
      </c>
      <c r="X82" s="302">
        <f>X112/'MOD-Berechnungen'!W$26</f>
        <v>2.4655979297883666</v>
      </c>
      <c r="Y82" s="302">
        <f>Y112/'MOD-Berechnungen'!X$26</f>
        <v>2.5551813107156103</v>
      </c>
      <c r="Z82" s="302">
        <f>Z112/'MOD-Berechnungen'!Y$26</f>
        <v>2.6381729223034713</v>
      </c>
      <c r="AA82" s="302">
        <f>AA112/'MOD-Berechnungen'!Z$26</f>
        <v>2.714895474433443</v>
      </c>
      <c r="AB82" s="302">
        <f>AB112/'MOD-Berechnungen'!AA$26</f>
        <v>2.7857448216826244</v>
      </c>
      <c r="AC82" s="302">
        <f>AC112/'MOD-Berechnungen'!AB$26</f>
        <v>2.8509297175510802</v>
      </c>
      <c r="AD82" s="302">
        <f>AD112/'MOD-Berechnungen'!AC$26</f>
        <v>2.9105466203554773</v>
      </c>
      <c r="AE82" s="302">
        <f>AE112/'MOD-Berechnungen'!AD$26</f>
        <v>2.9648897100943472</v>
      </c>
      <c r="AF82" s="55">
        <f>AF112/'MOD-Berechnungen'!AE$26</f>
        <v>3.0148094394546097</v>
      </c>
      <c r="AH82" s="294" t="s">
        <v>211</v>
      </c>
    </row>
    <row r="83" spans="1:34" s="294" customFormat="1">
      <c r="A83" s="553">
        <v>83</v>
      </c>
      <c r="C83" s="10"/>
      <c r="D83" s="29"/>
      <c r="E83" s="29"/>
      <c r="F83" s="36"/>
      <c r="G83" s="324"/>
      <c r="H83" s="324"/>
      <c r="I83" s="324"/>
      <c r="J83" s="324"/>
      <c r="K83" s="324"/>
      <c r="L83" s="324"/>
      <c r="M83" s="324"/>
      <c r="N83" s="324"/>
      <c r="O83" s="324"/>
      <c r="P83" s="324"/>
      <c r="Q83" s="324"/>
      <c r="R83" s="324"/>
      <c r="S83" s="324"/>
      <c r="T83" s="324"/>
      <c r="U83" s="324"/>
      <c r="V83" s="324"/>
      <c r="W83" s="324"/>
      <c r="X83" s="324"/>
      <c r="Y83" s="324"/>
      <c r="Z83" s="324"/>
      <c r="AA83" s="324"/>
      <c r="AB83" s="324"/>
      <c r="AC83" s="324"/>
      <c r="AD83" s="324"/>
      <c r="AE83" s="324"/>
      <c r="AF83" s="324"/>
    </row>
    <row r="84" spans="1:34" s="294" customFormat="1">
      <c r="A84" s="553">
        <v>84</v>
      </c>
      <c r="C84" s="10"/>
      <c r="D84" s="29"/>
      <c r="E84" s="29"/>
      <c r="F84" s="192" t="s">
        <v>772</v>
      </c>
      <c r="G84" s="324"/>
      <c r="H84" s="324"/>
      <c r="I84" s="324"/>
      <c r="J84" s="324"/>
      <c r="K84" s="324"/>
      <c r="L84" s="324"/>
      <c r="M84" s="324"/>
      <c r="N84" s="324"/>
      <c r="O84" s="324"/>
      <c r="P84" s="324"/>
      <c r="Q84" s="324"/>
      <c r="R84" s="324"/>
      <c r="S84" s="324"/>
      <c r="T84" s="324"/>
      <c r="U84" s="324"/>
      <c r="V84" s="324"/>
      <c r="W84" s="324"/>
      <c r="X84" s="324"/>
      <c r="Y84" s="324"/>
      <c r="Z84" s="324"/>
      <c r="AA84" s="324"/>
      <c r="AB84" s="324"/>
      <c r="AC84" s="324"/>
      <c r="AD84" s="324"/>
      <c r="AE84" s="324"/>
      <c r="AF84" s="324"/>
    </row>
    <row r="85" spans="1:34" s="294" customFormat="1">
      <c r="A85" s="553">
        <v>85</v>
      </c>
      <c r="C85" s="10"/>
      <c r="D85" s="29"/>
      <c r="E85" s="560"/>
      <c r="F85" s="561"/>
      <c r="G85" s="562">
        <v>2010</v>
      </c>
      <c r="H85" s="562">
        <v>2011</v>
      </c>
      <c r="I85" s="562">
        <v>2012</v>
      </c>
      <c r="J85" s="562">
        <v>2013</v>
      </c>
      <c r="K85" s="562">
        <v>2014</v>
      </c>
      <c r="L85" s="562">
        <v>2015</v>
      </c>
      <c r="M85" s="562">
        <v>2016</v>
      </c>
      <c r="N85" s="562">
        <v>2017</v>
      </c>
      <c r="O85" s="562">
        <v>2018</v>
      </c>
      <c r="P85" s="562">
        <v>2019</v>
      </c>
      <c r="Q85" s="562">
        <v>2020</v>
      </c>
      <c r="R85" s="562">
        <v>2021</v>
      </c>
      <c r="S85" s="562">
        <v>2022</v>
      </c>
      <c r="T85" s="562">
        <v>2023</v>
      </c>
      <c r="U85" s="562">
        <v>2024</v>
      </c>
      <c r="V85" s="562">
        <v>2025</v>
      </c>
      <c r="W85" s="562">
        <v>2026</v>
      </c>
      <c r="X85" s="562">
        <v>2027</v>
      </c>
      <c r="Y85" s="562">
        <v>2028</v>
      </c>
      <c r="Z85" s="562">
        <v>2029</v>
      </c>
      <c r="AA85" s="562">
        <v>2030</v>
      </c>
      <c r="AB85" s="562">
        <v>2031</v>
      </c>
      <c r="AC85" s="562">
        <v>2032</v>
      </c>
      <c r="AD85" s="562">
        <v>2033</v>
      </c>
      <c r="AE85" s="562">
        <v>2034</v>
      </c>
      <c r="AF85" s="563">
        <v>2035</v>
      </c>
    </row>
    <row r="86" spans="1:34" s="294" customFormat="1">
      <c r="A86" s="553">
        <v>86</v>
      </c>
      <c r="C86" s="10"/>
      <c r="D86" s="29"/>
      <c r="E86" s="564" t="s">
        <v>758</v>
      </c>
      <c r="F86" s="565" t="s">
        <v>1048</v>
      </c>
      <c r="G86" s="316">
        <f>G69+G70+G72</f>
        <v>0.63256196443674262</v>
      </c>
      <c r="H86" s="316">
        <f t="shared" ref="H86:AF86" si="18">H69+H70+H72</f>
        <v>0.21423517352562646</v>
      </c>
      <c r="I86" s="316">
        <f t="shared" si="18"/>
        <v>0.54024225869172948</v>
      </c>
      <c r="J86" s="316">
        <f t="shared" si="18"/>
        <v>0.66833474656542224</v>
      </c>
      <c r="K86" s="316">
        <f t="shared" si="18"/>
        <v>0.65525113454321116</v>
      </c>
      <c r="L86" s="316">
        <f t="shared" si="18"/>
        <v>0.79123488116503682</v>
      </c>
      <c r="M86" s="316">
        <f t="shared" si="18"/>
        <v>0.77954175484240085</v>
      </c>
      <c r="N86" s="316">
        <f t="shared" si="18"/>
        <v>0.76802143334226691</v>
      </c>
      <c r="O86" s="316">
        <f t="shared" si="18"/>
        <v>0.75667136289878512</v>
      </c>
      <c r="P86" s="316">
        <f t="shared" si="18"/>
        <v>0.74548902748648793</v>
      </c>
      <c r="Q86" s="316">
        <f t="shared" si="18"/>
        <v>0.73447194826254969</v>
      </c>
      <c r="R86" s="316">
        <f t="shared" si="18"/>
        <v>0.70191554493251951</v>
      </c>
      <c r="S86" s="316">
        <f t="shared" si="18"/>
        <v>0.68435330476558331</v>
      </c>
      <c r="T86" s="316">
        <f t="shared" si="18"/>
        <v>0.65620063968637277</v>
      </c>
      <c r="U86" s="316">
        <f t="shared" si="18"/>
        <v>0.62624033175723592</v>
      </c>
      <c r="V86" s="316">
        <f t="shared" si="18"/>
        <v>0.59838725492226252</v>
      </c>
      <c r="W86" s="316">
        <f t="shared" si="18"/>
        <v>0.58747978046676663</v>
      </c>
      <c r="X86" s="316">
        <f t="shared" si="18"/>
        <v>0.57715749305522157</v>
      </c>
      <c r="Y86" s="316">
        <f t="shared" si="18"/>
        <v>0.56838432778099657</v>
      </c>
      <c r="Z86" s="316">
        <f t="shared" si="18"/>
        <v>0.55978465479121176</v>
      </c>
      <c r="AA86" s="316">
        <f t="shared" si="18"/>
        <v>0.50067439478213926</v>
      </c>
      <c r="AB86" s="316">
        <f t="shared" si="18"/>
        <v>0.46164001710607561</v>
      </c>
      <c r="AC86" s="316">
        <f t="shared" si="18"/>
        <v>0.42569251734948516</v>
      </c>
      <c r="AD86" s="316">
        <f t="shared" si="18"/>
        <v>0.38887539393585929</v>
      </c>
      <c r="AE86" s="316">
        <f t="shared" si="18"/>
        <v>0.33170581196816357</v>
      </c>
      <c r="AF86" s="317">
        <f t="shared" si="18"/>
        <v>0.31820538476908061</v>
      </c>
    </row>
    <row r="87" spans="1:34" s="294" customFormat="1">
      <c r="A87" s="553">
        <v>87</v>
      </c>
      <c r="C87" s="10"/>
      <c r="D87" s="29"/>
      <c r="E87" s="566" t="s">
        <v>11</v>
      </c>
      <c r="F87" s="567" t="s">
        <v>1048</v>
      </c>
      <c r="G87" s="325">
        <f>G71</f>
        <v>4.55308112378495</v>
      </c>
      <c r="H87" s="325">
        <f t="shared" ref="H87:AF87" si="19">H71</f>
        <v>4.7968291263350817</v>
      </c>
      <c r="I87" s="325">
        <f t="shared" si="19"/>
        <v>5.6320844225902285</v>
      </c>
      <c r="J87" s="325">
        <f t="shared" si="19"/>
        <v>6.5963664929675154</v>
      </c>
      <c r="K87" s="325">
        <f t="shared" si="19"/>
        <v>6.9578827288684932</v>
      </c>
      <c r="L87" s="325">
        <f t="shared" si="19"/>
        <v>8.5369791914889994</v>
      </c>
      <c r="M87" s="325">
        <f t="shared" si="19"/>
        <v>8.410816937427585</v>
      </c>
      <c r="N87" s="325">
        <f t="shared" si="19"/>
        <v>8.2865191501749624</v>
      </c>
      <c r="O87" s="325">
        <f t="shared" si="19"/>
        <v>8.1640582760344458</v>
      </c>
      <c r="P87" s="325">
        <f t="shared" si="19"/>
        <v>8.0434071685068442</v>
      </c>
      <c r="Q87" s="325">
        <f t="shared" si="19"/>
        <v>7.9245390822727533</v>
      </c>
      <c r="R87" s="325">
        <f t="shared" si="19"/>
        <v>7.5902111606829799</v>
      </c>
      <c r="S87" s="325">
        <f t="shared" si="19"/>
        <v>7.3215793161740779</v>
      </c>
      <c r="T87" s="325">
        <f t="shared" si="19"/>
        <v>7.1043083635107536</v>
      </c>
      <c r="U87" s="325">
        <f t="shared" si="19"/>
        <v>6.8702691893945449</v>
      </c>
      <c r="V87" s="325">
        <f t="shared" si="19"/>
        <v>6.3795046589172619</v>
      </c>
      <c r="W87" s="325">
        <f t="shared" si="19"/>
        <v>5.5871504683362172</v>
      </c>
      <c r="X87" s="325">
        <f t="shared" si="19"/>
        <v>4.6131742292754536</v>
      </c>
      <c r="Y87" s="325">
        <f t="shared" si="19"/>
        <v>3.8448141694612774</v>
      </c>
      <c r="Z87" s="325">
        <f t="shared" si="19"/>
        <v>3.4146491526776823</v>
      </c>
      <c r="AA87" s="325">
        <f t="shared" si="19"/>
        <v>2.8638487418305218</v>
      </c>
      <c r="AB87" s="325">
        <f t="shared" si="19"/>
        <v>2.0250087400367045</v>
      </c>
      <c r="AC87" s="325">
        <f t="shared" si="19"/>
        <v>0.70392863975280973</v>
      </c>
      <c r="AD87" s="325">
        <f t="shared" si="19"/>
        <v>0.41768882986249256</v>
      </c>
      <c r="AE87" s="325">
        <f t="shared" si="19"/>
        <v>0.17596808588053828</v>
      </c>
      <c r="AF87" s="326">
        <f t="shared" si="19"/>
        <v>0</v>
      </c>
    </row>
    <row r="88" spans="1:34" s="294" customFormat="1">
      <c r="A88" s="553">
        <v>88</v>
      </c>
      <c r="C88" s="10"/>
      <c r="D88" s="29"/>
      <c r="E88" s="566" t="s">
        <v>339</v>
      </c>
      <c r="F88" s="567" t="s">
        <v>1048</v>
      </c>
      <c r="G88" s="325">
        <f>G73</f>
        <v>4.8251982461659804</v>
      </c>
      <c r="H88" s="325">
        <f t="shared" ref="H88:AF88" si="20">H73</f>
        <v>5.0731940410182741</v>
      </c>
      <c r="I88" s="325">
        <f t="shared" si="20"/>
        <v>4.8174277965642593</v>
      </c>
      <c r="J88" s="325">
        <f t="shared" si="20"/>
        <v>5.8429995073503687</v>
      </c>
      <c r="K88" s="325">
        <f t="shared" si="20"/>
        <v>6.5951522213084619</v>
      </c>
      <c r="L88" s="325">
        <f t="shared" si="20"/>
        <v>6.4786964414608263</v>
      </c>
      <c r="M88" s="325">
        <f t="shared" si="20"/>
        <v>6.3453162220726096</v>
      </c>
      <c r="N88" s="325">
        <f t="shared" si="20"/>
        <v>6.2021034214152539</v>
      </c>
      <c r="O88" s="325">
        <f t="shared" si="20"/>
        <v>6.0495604465687816</v>
      </c>
      <c r="P88" s="325">
        <f t="shared" si="20"/>
        <v>5.7928853561171527</v>
      </c>
      <c r="Q88" s="325">
        <f t="shared" si="20"/>
        <v>5.5322549090503328</v>
      </c>
      <c r="R88" s="325">
        <f t="shared" si="20"/>
        <v>5.1667228904345937</v>
      </c>
      <c r="S88" s="325">
        <f t="shared" si="20"/>
        <v>4.7472230208156461</v>
      </c>
      <c r="T88" s="325">
        <f t="shared" si="20"/>
        <v>4.3054636907471249</v>
      </c>
      <c r="U88" s="325">
        <f t="shared" si="20"/>
        <v>3.9099474818170141</v>
      </c>
      <c r="V88" s="325">
        <f t="shared" si="20"/>
        <v>3.5711946919106081</v>
      </c>
      <c r="W88" s="325">
        <f t="shared" si="20"/>
        <v>3.2931764960894094</v>
      </c>
      <c r="X88" s="325">
        <f t="shared" si="20"/>
        <v>3.0296275008520861</v>
      </c>
      <c r="Y88" s="325">
        <f t="shared" si="20"/>
        <v>2.6317731529076864</v>
      </c>
      <c r="Z88" s="325">
        <f t="shared" si="20"/>
        <v>2.4100267218966711</v>
      </c>
      <c r="AA88" s="325">
        <f t="shared" si="20"/>
        <v>2.0232679978656547</v>
      </c>
      <c r="AB88" s="325">
        <f t="shared" si="20"/>
        <v>1.6739408367454942</v>
      </c>
      <c r="AC88" s="325">
        <f t="shared" si="20"/>
        <v>1.2372871092380653</v>
      </c>
      <c r="AD88" s="325">
        <f t="shared" si="20"/>
        <v>0.64431998795128742</v>
      </c>
      <c r="AE88" s="325">
        <f t="shared" si="20"/>
        <v>0.38970820699649539</v>
      </c>
      <c r="AF88" s="326">
        <f t="shared" si="20"/>
        <v>0</v>
      </c>
    </row>
    <row r="89" spans="1:34" s="294" customFormat="1">
      <c r="A89" s="553">
        <v>89</v>
      </c>
      <c r="C89" s="10"/>
      <c r="D89" s="29"/>
      <c r="E89" s="566" t="s">
        <v>340</v>
      </c>
      <c r="F89" s="567" t="s">
        <v>1048</v>
      </c>
      <c r="G89" s="325">
        <f t="shared" ref="G89:AF89" si="21">G74</f>
        <v>0.1130533078506747</v>
      </c>
      <c r="H89" s="325">
        <f t="shared" si="21"/>
        <v>0.1941619590867015</v>
      </c>
      <c r="I89" s="325">
        <f t="shared" si="21"/>
        <v>0.24037310952599303</v>
      </c>
      <c r="J89" s="325">
        <f t="shared" si="21"/>
        <v>0.51417574232634355</v>
      </c>
      <c r="K89" s="325">
        <f t="shared" si="21"/>
        <v>1.5276805071412196</v>
      </c>
      <c r="L89" s="325">
        <f t="shared" si="21"/>
        <v>0.7766752025195236</v>
      </c>
      <c r="M89" s="325">
        <f t="shared" si="21"/>
        <v>0.7651972438615996</v>
      </c>
      <c r="N89" s="325">
        <f t="shared" si="21"/>
        <v>0.7538889102084726</v>
      </c>
      <c r="O89" s="325">
        <f t="shared" si="21"/>
        <v>0.74274769478667257</v>
      </c>
      <c r="P89" s="325">
        <f t="shared" si="21"/>
        <v>0.73177112786864296</v>
      </c>
      <c r="Q89" s="325">
        <f t="shared" si="21"/>
        <v>0.72095677622526411</v>
      </c>
      <c r="R89" s="325">
        <f t="shared" si="21"/>
        <v>0.69733865049500243</v>
      </c>
      <c r="S89" s="325">
        <f t="shared" si="21"/>
        <v>0.65049294679256464</v>
      </c>
      <c r="T89" s="325">
        <f t="shared" si="21"/>
        <v>0.56291255676874385</v>
      </c>
      <c r="U89" s="325">
        <f t="shared" si="21"/>
        <v>0.51771167432335186</v>
      </c>
      <c r="V89" s="325">
        <f t="shared" si="21"/>
        <v>0.38948903954663144</v>
      </c>
      <c r="W89" s="325">
        <f t="shared" si="21"/>
        <v>0.16976648973883371</v>
      </c>
      <c r="X89" s="325">
        <f t="shared" si="21"/>
        <v>0.11721099522453671</v>
      </c>
      <c r="Y89" s="325">
        <f t="shared" si="21"/>
        <v>0.1153702522501162</v>
      </c>
      <c r="Z89" s="325">
        <f t="shared" si="21"/>
        <v>0.11351008146645629</v>
      </c>
      <c r="AA89" s="325">
        <f t="shared" si="21"/>
        <v>0.10709645640853081</v>
      </c>
      <c r="AB89" s="325">
        <f t="shared" si="21"/>
        <v>9.9752531367567635E-2</v>
      </c>
      <c r="AC89" s="325">
        <f t="shared" si="21"/>
        <v>8.434445733871121E-2</v>
      </c>
      <c r="AD89" s="325">
        <f t="shared" si="21"/>
        <v>7.3282720044045804E-2</v>
      </c>
      <c r="AE89" s="325">
        <f t="shared" si="21"/>
        <v>4.5090243295082932E-2</v>
      </c>
      <c r="AF89" s="326">
        <f t="shared" si="21"/>
        <v>0</v>
      </c>
    </row>
    <row r="90" spans="1:34" s="294" customFormat="1">
      <c r="A90" s="553">
        <v>90</v>
      </c>
      <c r="C90" s="10"/>
      <c r="D90" s="29"/>
      <c r="E90" s="568" t="s">
        <v>530</v>
      </c>
      <c r="F90" s="569" t="s">
        <v>1048</v>
      </c>
      <c r="G90" s="302">
        <f t="shared" ref="G90:AF90" si="22">G75</f>
        <v>4.4744343743657859</v>
      </c>
      <c r="H90" s="302">
        <f t="shared" si="22"/>
        <v>9.053083381130671</v>
      </c>
      <c r="I90" s="302">
        <f t="shared" si="22"/>
        <v>9.7261808746820506</v>
      </c>
      <c r="J90" s="302">
        <f t="shared" si="22"/>
        <v>11.232217773829971</v>
      </c>
      <c r="K90" s="302">
        <f t="shared" si="22"/>
        <v>11.593621853760409</v>
      </c>
      <c r="L90" s="302">
        <f t="shared" si="22"/>
        <v>10.664254767588913</v>
      </c>
      <c r="M90" s="302">
        <f t="shared" si="22"/>
        <v>10.506654943437354</v>
      </c>
      <c r="N90" s="302">
        <f t="shared" si="22"/>
        <v>10.351384180726457</v>
      </c>
      <c r="O90" s="302">
        <f t="shared" si="22"/>
        <v>10.198408059829024</v>
      </c>
      <c r="P90" s="302">
        <f t="shared" si="22"/>
        <v>10.04769266978229</v>
      </c>
      <c r="Q90" s="302">
        <f t="shared" si="22"/>
        <v>9.8992046007707302</v>
      </c>
      <c r="R90" s="302">
        <f t="shared" si="22"/>
        <v>9.7283971609898447</v>
      </c>
      <c r="S90" s="302">
        <f t="shared" si="22"/>
        <v>9.545393022841667</v>
      </c>
      <c r="T90" s="302">
        <f t="shared" si="22"/>
        <v>9.3641602621798921</v>
      </c>
      <c r="U90" s="302">
        <f t="shared" si="22"/>
        <v>9.1738881797619953</v>
      </c>
      <c r="V90" s="302">
        <f t="shared" si="22"/>
        <v>8.7444982541490965</v>
      </c>
      <c r="W90" s="302">
        <f t="shared" si="22"/>
        <v>8.2269411178105738</v>
      </c>
      <c r="X90" s="302">
        <f t="shared" si="22"/>
        <v>7.7696994986837238</v>
      </c>
      <c r="Y90" s="302">
        <f t="shared" si="22"/>
        <v>7.1880535563323331</v>
      </c>
      <c r="Z90" s="302">
        <f t="shared" si="22"/>
        <v>6.3900617473567998</v>
      </c>
      <c r="AA90" s="302">
        <f t="shared" si="22"/>
        <v>4.9004210836508415</v>
      </c>
      <c r="AB90" s="302">
        <f t="shared" si="22"/>
        <v>2.8391708836960445</v>
      </c>
      <c r="AC90" s="302">
        <f t="shared" si="22"/>
        <v>1.2626221617802089</v>
      </c>
      <c r="AD90" s="302">
        <f t="shared" si="22"/>
        <v>0.33998240379983841</v>
      </c>
      <c r="AE90" s="302">
        <f t="shared" si="22"/>
        <v>9.9105885709601077E-2</v>
      </c>
      <c r="AF90" s="55">
        <f t="shared" si="22"/>
        <v>0</v>
      </c>
    </row>
    <row r="91" spans="1:34" s="294" customFormat="1">
      <c r="A91" s="553">
        <v>91</v>
      </c>
      <c r="C91" s="10"/>
      <c r="D91" s="29"/>
      <c r="E91" s="564" t="s">
        <v>758</v>
      </c>
      <c r="F91" s="567"/>
      <c r="G91" s="325">
        <f>G76+G77+G79</f>
        <v>0</v>
      </c>
      <c r="H91" s="325">
        <f t="shared" ref="H91:AF91" si="23">H76+H77+H79</f>
        <v>0</v>
      </c>
      <c r="I91" s="325">
        <f t="shared" si="23"/>
        <v>0</v>
      </c>
      <c r="J91" s="325">
        <f t="shared" si="23"/>
        <v>0</v>
      </c>
      <c r="K91" s="325">
        <f t="shared" si="23"/>
        <v>0</v>
      </c>
      <c r="L91" s="325">
        <f t="shared" si="23"/>
        <v>5.3771678664792507E-3</v>
      </c>
      <c r="M91" s="325">
        <f t="shared" si="23"/>
        <v>1.3788618559713065E-2</v>
      </c>
      <c r="N91" s="325">
        <f t="shared" si="23"/>
        <v>1.8543453945228064E-2</v>
      </c>
      <c r="O91" s="325">
        <f t="shared" si="23"/>
        <v>2.472061389155511E-2</v>
      </c>
      <c r="P91" s="325">
        <f t="shared" si="23"/>
        <v>3.2320241394264447E-2</v>
      </c>
      <c r="Q91" s="325">
        <f t="shared" si="23"/>
        <v>4.1446914331879525E-2</v>
      </c>
      <c r="R91" s="325">
        <f t="shared" si="23"/>
        <v>4.7028678694857398E-2</v>
      </c>
      <c r="S91" s="325">
        <f t="shared" si="23"/>
        <v>4.6333673590992518E-2</v>
      </c>
      <c r="T91" s="325">
        <f t="shared" si="23"/>
        <v>4.5648939498514798E-2</v>
      </c>
      <c r="U91" s="325">
        <f t="shared" si="23"/>
        <v>4.4974324629078632E-2</v>
      </c>
      <c r="V91" s="325">
        <f t="shared" si="23"/>
        <v>4.4309679437515896E-2</v>
      </c>
      <c r="W91" s="325">
        <f t="shared" si="23"/>
        <v>4.365485658868562E-2</v>
      </c>
      <c r="X91" s="325">
        <f t="shared" si="23"/>
        <v>4.3009710924813427E-2</v>
      </c>
      <c r="Y91" s="325">
        <f t="shared" si="23"/>
        <v>4.2374099433313724E-2</v>
      </c>
      <c r="Z91" s="325">
        <f t="shared" si="23"/>
        <v>4.1747881215087421E-2</v>
      </c>
      <c r="AA91" s="325">
        <f t="shared" si="23"/>
        <v>4.1130917453288104E-2</v>
      </c>
      <c r="AB91" s="325">
        <f t="shared" si="23"/>
        <v>4.0523071382549854E-2</v>
      </c>
      <c r="AC91" s="325">
        <f t="shared" si="23"/>
        <v>3.992420825866981E-2</v>
      </c>
      <c r="AD91" s="325">
        <f t="shared" si="23"/>
        <v>3.9334195328738733E-2</v>
      </c>
      <c r="AE91" s="325">
        <f t="shared" si="23"/>
        <v>3.8752901801713036E-2</v>
      </c>
      <c r="AF91" s="326">
        <f t="shared" si="23"/>
        <v>3.8180198819421723E-2</v>
      </c>
    </row>
    <row r="92" spans="1:34" s="294" customFormat="1">
      <c r="A92" s="553">
        <v>92</v>
      </c>
      <c r="C92" s="10"/>
      <c r="D92" s="29"/>
      <c r="E92" s="566" t="s">
        <v>11</v>
      </c>
      <c r="F92" s="567"/>
      <c r="G92" s="325">
        <f>G78</f>
        <v>0</v>
      </c>
      <c r="H92" s="325">
        <f t="shared" ref="H92:AF92" si="24">H78</f>
        <v>0</v>
      </c>
      <c r="I92" s="325">
        <f t="shared" si="24"/>
        <v>0</v>
      </c>
      <c r="J92" s="325">
        <f t="shared" si="24"/>
        <v>0</v>
      </c>
      <c r="K92" s="325">
        <f t="shared" si="24"/>
        <v>0</v>
      </c>
      <c r="L92" s="325">
        <f t="shared" si="24"/>
        <v>6.5437178368330396E-3</v>
      </c>
      <c r="M92" s="325">
        <f t="shared" si="24"/>
        <v>9.3675038942142352E-2</v>
      </c>
      <c r="N92" s="325">
        <f t="shared" si="24"/>
        <v>0.2672805196545564</v>
      </c>
      <c r="O92" s="325">
        <f t="shared" si="24"/>
        <v>0.49649709865464603</v>
      </c>
      <c r="P92" s="325">
        <f t="shared" si="24"/>
        <v>0.69927805138773202</v>
      </c>
      <c r="Q92" s="325">
        <f t="shared" si="24"/>
        <v>0.82699182048282049</v>
      </c>
      <c r="R92" s="325">
        <f t="shared" si="24"/>
        <v>0.92583513651214655</v>
      </c>
      <c r="S92" s="325">
        <f t="shared" si="24"/>
        <v>0.97043671055581804</v>
      </c>
      <c r="T92" s="325">
        <f t="shared" si="24"/>
        <v>0.98254702206064404</v>
      </c>
      <c r="U92" s="325">
        <f t="shared" si="24"/>
        <v>0.99583316709202807</v>
      </c>
      <c r="V92" s="325">
        <f t="shared" si="24"/>
        <v>1.0102177437163768</v>
      </c>
      <c r="W92" s="325">
        <f t="shared" si="24"/>
        <v>1.0753746285453776</v>
      </c>
      <c r="X92" s="325">
        <f t="shared" si="24"/>
        <v>1.187439294258456</v>
      </c>
      <c r="Y92" s="325">
        <f t="shared" si="24"/>
        <v>1.2946928350596483</v>
      </c>
      <c r="Z92" s="325">
        <f t="shared" si="24"/>
        <v>1.3972753690600668</v>
      </c>
      <c r="AA92" s="325">
        <f t="shared" si="24"/>
        <v>1.4953255992749659</v>
      </c>
      <c r="AB92" s="325">
        <f t="shared" si="24"/>
        <v>1.5889798829800381</v>
      </c>
      <c r="AC92" s="325">
        <f t="shared" si="24"/>
        <v>1.678371760645935</v>
      </c>
      <c r="AD92" s="325">
        <f t="shared" si="24"/>
        <v>1.7636317198653704</v>
      </c>
      <c r="AE92" s="325">
        <f t="shared" si="24"/>
        <v>1.8448870863956335</v>
      </c>
      <c r="AF92" s="326">
        <f t="shared" si="24"/>
        <v>1.9235959771934024</v>
      </c>
    </row>
    <row r="93" spans="1:34" s="294" customFormat="1">
      <c r="A93" s="553">
        <v>93</v>
      </c>
      <c r="C93" s="10"/>
      <c r="D93" s="29"/>
      <c r="E93" s="566" t="s">
        <v>339</v>
      </c>
      <c r="F93" s="570"/>
      <c r="G93" s="325">
        <f>G80</f>
        <v>0</v>
      </c>
      <c r="H93" s="325">
        <f t="shared" ref="H93:AF93" si="25">H80</f>
        <v>0</v>
      </c>
      <c r="I93" s="325">
        <f t="shared" si="25"/>
        <v>0</v>
      </c>
      <c r="J93" s="325">
        <f t="shared" si="25"/>
        <v>0</v>
      </c>
      <c r="K93" s="325">
        <f t="shared" si="25"/>
        <v>0</v>
      </c>
      <c r="L93" s="325">
        <f t="shared" si="25"/>
        <v>0.27408703054187206</v>
      </c>
      <c r="M93" s="325">
        <f t="shared" si="25"/>
        <v>0.90099378375220907</v>
      </c>
      <c r="N93" s="325">
        <f t="shared" si="25"/>
        <v>1.6246385994021257</v>
      </c>
      <c r="O93" s="325">
        <f t="shared" si="25"/>
        <v>2.2089098378128975</v>
      </c>
      <c r="P93" s="325">
        <f t="shared" si="25"/>
        <v>2.4849956833813152</v>
      </c>
      <c r="Q93" s="325">
        <f t="shared" si="25"/>
        <v>2.6225815087148665</v>
      </c>
      <c r="R93" s="325">
        <f t="shared" si="25"/>
        <v>2.7723769897867774</v>
      </c>
      <c r="S93" s="325">
        <f t="shared" si="25"/>
        <v>2.9488666036512683</v>
      </c>
      <c r="T93" s="325">
        <f t="shared" si="25"/>
        <v>3.1830115819717393</v>
      </c>
      <c r="U93" s="325">
        <f t="shared" si="25"/>
        <v>3.4425257911745359</v>
      </c>
      <c r="V93" s="325">
        <f t="shared" si="25"/>
        <v>3.7014001997696511</v>
      </c>
      <c r="W93" s="325">
        <f t="shared" si="25"/>
        <v>3.9589617737305223</v>
      </c>
      <c r="X93" s="325">
        <f t="shared" si="25"/>
        <v>4.2084137655253482</v>
      </c>
      <c r="Y93" s="325">
        <f t="shared" si="25"/>
        <v>4.4472381659528999</v>
      </c>
      <c r="Z93" s="325">
        <f t="shared" si="25"/>
        <v>4.6744092666003123</v>
      </c>
      <c r="AA93" s="325">
        <f t="shared" si="25"/>
        <v>4.8895473902271727</v>
      </c>
      <c r="AB93" s="325">
        <f t="shared" si="25"/>
        <v>5.0925903712628982</v>
      </c>
      <c r="AC93" s="325">
        <f t="shared" si="25"/>
        <v>5.283645245070522</v>
      </c>
      <c r="AD93" s="325">
        <f t="shared" si="25"/>
        <v>5.4629139849856916</v>
      </c>
      <c r="AE93" s="325">
        <f t="shared" si="25"/>
        <v>5.6306533829141827</v>
      </c>
      <c r="AF93" s="326">
        <f t="shared" si="25"/>
        <v>5.7904479786395457</v>
      </c>
    </row>
    <row r="94" spans="1:34" s="294" customFormat="1">
      <c r="A94" s="553">
        <v>94</v>
      </c>
      <c r="C94" s="10"/>
      <c r="D94" s="29"/>
      <c r="E94" s="566" t="s">
        <v>340</v>
      </c>
      <c r="F94" s="570"/>
      <c r="G94" s="325">
        <f t="shared" ref="G94:AF94" si="26">G81</f>
        <v>0</v>
      </c>
      <c r="H94" s="325">
        <f t="shared" si="26"/>
        <v>0</v>
      </c>
      <c r="I94" s="325">
        <f t="shared" si="26"/>
        <v>0</v>
      </c>
      <c r="J94" s="325">
        <f t="shared" si="26"/>
        <v>0</v>
      </c>
      <c r="K94" s="325">
        <f t="shared" si="26"/>
        <v>0</v>
      </c>
      <c r="L94" s="325">
        <f t="shared" si="26"/>
        <v>0.71625182266009846</v>
      </c>
      <c r="M94" s="325">
        <f t="shared" si="26"/>
        <v>1.6685479656295534</v>
      </c>
      <c r="N94" s="325">
        <f t="shared" si="26"/>
        <v>2.3591587814390356</v>
      </c>
      <c r="O94" s="325">
        <f t="shared" si="26"/>
        <v>3.0342866920361722</v>
      </c>
      <c r="P94" s="325">
        <f t="shared" si="26"/>
        <v>3.5997955962891206</v>
      </c>
      <c r="Q94" s="325">
        <f t="shared" si="26"/>
        <v>3.9011229551727005</v>
      </c>
      <c r="R94" s="325">
        <f t="shared" si="26"/>
        <v>3.8315400937662076</v>
      </c>
      <c r="S94" s="325">
        <f t="shared" si="26"/>
        <v>3.8051617590441702</v>
      </c>
      <c r="T94" s="325">
        <f t="shared" si="26"/>
        <v>3.9124089429948716</v>
      </c>
      <c r="U94" s="325">
        <f t="shared" si="26"/>
        <v>3.83894304485441</v>
      </c>
      <c r="V94" s="325">
        <f t="shared" si="26"/>
        <v>3.8730638760538545</v>
      </c>
      <c r="W94" s="325">
        <f t="shared" si="26"/>
        <v>3.727174500446556</v>
      </c>
      <c r="X94" s="325">
        <f t="shared" si="26"/>
        <v>3.1177524307618758</v>
      </c>
      <c r="Y94" s="325">
        <f t="shared" si="26"/>
        <v>3.0488157957986322</v>
      </c>
      <c r="Z94" s="325">
        <f t="shared" si="26"/>
        <v>2.7666176081611513</v>
      </c>
      <c r="AA94" s="325">
        <f t="shared" si="26"/>
        <v>2.9618039969818266</v>
      </c>
      <c r="AB94" s="325">
        <f t="shared" si="26"/>
        <v>3.161647945359495</v>
      </c>
      <c r="AC94" s="325">
        <f t="shared" si="26"/>
        <v>3.3717096591764415</v>
      </c>
      <c r="AD94" s="325">
        <f t="shared" si="26"/>
        <v>3.5770969241497634</v>
      </c>
      <c r="AE94" s="325">
        <f t="shared" si="26"/>
        <v>3.5285341442752887</v>
      </c>
      <c r="AF94" s="326">
        <f t="shared" si="26"/>
        <v>3.4413857643612258</v>
      </c>
    </row>
    <row r="95" spans="1:34" s="294" customFormat="1">
      <c r="A95" s="553">
        <v>95</v>
      </c>
      <c r="C95" s="10"/>
      <c r="D95" s="29"/>
      <c r="E95" s="568" t="s">
        <v>530</v>
      </c>
      <c r="F95" s="571"/>
      <c r="G95" s="302">
        <f t="shared" ref="G95:AF95" si="27">G82</f>
        <v>0</v>
      </c>
      <c r="H95" s="302">
        <f t="shared" si="27"/>
        <v>0</v>
      </c>
      <c r="I95" s="302">
        <f t="shared" si="27"/>
        <v>0</v>
      </c>
      <c r="J95" s="302">
        <f t="shared" si="27"/>
        <v>0</v>
      </c>
      <c r="K95" s="302">
        <f t="shared" si="27"/>
        <v>0</v>
      </c>
      <c r="L95" s="302">
        <f t="shared" si="27"/>
        <v>6.0892213150692355E-2</v>
      </c>
      <c r="M95" s="302">
        <f t="shared" si="27"/>
        <v>0.16966903543461637</v>
      </c>
      <c r="N95" s="302">
        <f t="shared" si="27"/>
        <v>0.35950720686124715</v>
      </c>
      <c r="O95" s="302">
        <f t="shared" si="27"/>
        <v>0.55829386020459393</v>
      </c>
      <c r="P95" s="302">
        <f t="shared" si="27"/>
        <v>0.810444674129978</v>
      </c>
      <c r="Q95" s="302">
        <f t="shared" si="27"/>
        <v>1.0929147690033234</v>
      </c>
      <c r="R95" s="302">
        <f t="shared" si="27"/>
        <v>1.3951592517008613</v>
      </c>
      <c r="S95" s="302">
        <f t="shared" si="27"/>
        <v>1.7152921103909746</v>
      </c>
      <c r="T95" s="302">
        <f t="shared" si="27"/>
        <v>1.9445585355380353</v>
      </c>
      <c r="U95" s="302">
        <f t="shared" si="27"/>
        <v>2.1019456355193982</v>
      </c>
      <c r="V95" s="302">
        <f t="shared" si="27"/>
        <v>2.2475767027560996</v>
      </c>
      <c r="W95" s="302">
        <f t="shared" si="27"/>
        <v>2.3691047252367454</v>
      </c>
      <c r="X95" s="302">
        <f t="shared" si="27"/>
        <v>2.4655979297883666</v>
      </c>
      <c r="Y95" s="302">
        <f t="shared" si="27"/>
        <v>2.5551813107156103</v>
      </c>
      <c r="Z95" s="302">
        <f t="shared" si="27"/>
        <v>2.6381729223034713</v>
      </c>
      <c r="AA95" s="302">
        <f t="shared" si="27"/>
        <v>2.714895474433443</v>
      </c>
      <c r="AB95" s="302">
        <f t="shared" si="27"/>
        <v>2.7857448216826244</v>
      </c>
      <c r="AC95" s="302">
        <f t="shared" si="27"/>
        <v>2.8509297175510802</v>
      </c>
      <c r="AD95" s="302">
        <f t="shared" si="27"/>
        <v>2.9105466203554773</v>
      </c>
      <c r="AE95" s="302">
        <f t="shared" si="27"/>
        <v>2.9648897100943472</v>
      </c>
      <c r="AF95" s="55">
        <f t="shared" si="27"/>
        <v>3.0148094394546097</v>
      </c>
    </row>
    <row r="96" spans="1:34" s="294" customFormat="1">
      <c r="A96" s="553">
        <v>96</v>
      </c>
      <c r="C96" s="10"/>
      <c r="D96" s="29"/>
      <c r="E96" s="29"/>
      <c r="F96" s="36"/>
      <c r="G96" s="324"/>
      <c r="H96" s="324"/>
      <c r="I96" s="324"/>
      <c r="J96" s="324"/>
      <c r="K96" s="324"/>
      <c r="L96" s="324"/>
      <c r="M96" s="324"/>
      <c r="N96" s="324"/>
      <c r="O96" s="324"/>
      <c r="P96" s="324"/>
      <c r="Q96" s="324"/>
      <c r="R96" s="324"/>
      <c r="S96" s="324"/>
      <c r="T96" s="324"/>
      <c r="U96" s="324"/>
      <c r="V96" s="324"/>
      <c r="W96" s="324"/>
      <c r="X96" s="324"/>
      <c r="Y96" s="324"/>
      <c r="Z96" s="324"/>
      <c r="AA96" s="324"/>
      <c r="AB96" s="324"/>
      <c r="AC96" s="324"/>
      <c r="AD96" s="324"/>
      <c r="AE96" s="324"/>
      <c r="AF96" s="324"/>
    </row>
    <row r="97" spans="1:32" s="294" customFormat="1">
      <c r="A97" s="553">
        <v>97</v>
      </c>
      <c r="C97" s="10"/>
      <c r="D97" s="29"/>
      <c r="E97" s="29"/>
      <c r="F97" s="192" t="s">
        <v>773</v>
      </c>
      <c r="G97" s="324"/>
      <c r="H97" s="324"/>
      <c r="I97" s="324"/>
      <c r="J97" s="324"/>
      <c r="K97" s="324"/>
      <c r="L97" s="324"/>
      <c r="M97" s="324"/>
      <c r="N97" s="324"/>
      <c r="O97" s="324"/>
      <c r="P97" s="324"/>
      <c r="Q97" s="324"/>
      <c r="R97" s="324"/>
      <c r="S97" s="324"/>
      <c r="T97" s="324"/>
      <c r="U97" s="324"/>
      <c r="V97" s="324"/>
      <c r="W97" s="324"/>
      <c r="X97" s="324"/>
      <c r="Y97" s="324"/>
      <c r="Z97" s="324"/>
      <c r="AA97" s="324"/>
      <c r="AB97" s="324"/>
      <c r="AC97" s="324"/>
      <c r="AD97" s="324"/>
      <c r="AE97" s="324"/>
      <c r="AF97" s="324"/>
    </row>
    <row r="98" spans="1:32" s="294" customFormat="1">
      <c r="A98" s="553">
        <v>98</v>
      </c>
      <c r="C98" s="10"/>
      <c r="D98" s="29"/>
      <c r="E98" s="560"/>
      <c r="F98" s="561"/>
      <c r="G98" s="562">
        <v>2010</v>
      </c>
      <c r="H98" s="562">
        <v>2011</v>
      </c>
      <c r="I98" s="562">
        <v>2012</v>
      </c>
      <c r="J98" s="562">
        <v>2013</v>
      </c>
      <c r="K98" s="562">
        <v>2014</v>
      </c>
      <c r="L98" s="562">
        <v>2015</v>
      </c>
      <c r="M98" s="562">
        <v>2016</v>
      </c>
      <c r="N98" s="562">
        <v>2017</v>
      </c>
      <c r="O98" s="562">
        <v>2018</v>
      </c>
      <c r="P98" s="562">
        <v>2019</v>
      </c>
      <c r="Q98" s="562">
        <v>2020</v>
      </c>
      <c r="R98" s="562">
        <v>2021</v>
      </c>
      <c r="S98" s="562">
        <v>2022</v>
      </c>
      <c r="T98" s="562">
        <v>2023</v>
      </c>
      <c r="U98" s="562">
        <v>2024</v>
      </c>
      <c r="V98" s="562">
        <v>2025</v>
      </c>
      <c r="W98" s="562">
        <v>2026</v>
      </c>
      <c r="X98" s="562">
        <v>2027</v>
      </c>
      <c r="Y98" s="562">
        <v>2028</v>
      </c>
      <c r="Z98" s="562">
        <v>2029</v>
      </c>
      <c r="AA98" s="562">
        <v>2030</v>
      </c>
      <c r="AB98" s="562">
        <v>2031</v>
      </c>
      <c r="AC98" s="562">
        <v>2032</v>
      </c>
      <c r="AD98" s="562">
        <v>2033</v>
      </c>
      <c r="AE98" s="562">
        <v>2034</v>
      </c>
      <c r="AF98" s="563">
        <v>2035</v>
      </c>
    </row>
    <row r="99" spans="1:32" s="294" customFormat="1">
      <c r="A99" s="553">
        <v>99</v>
      </c>
      <c r="C99" s="10"/>
      <c r="D99" s="29"/>
      <c r="E99" s="566" t="s">
        <v>529</v>
      </c>
      <c r="F99" s="565" t="s">
        <v>1048</v>
      </c>
      <c r="G99" s="316">
        <f>G69*'MOD-Berechnungen'!F$26</f>
        <v>0.41396176000000001</v>
      </c>
      <c r="H99" s="316">
        <f>H69*'MOD-Berechnungen'!G$26</f>
        <v>0.16263688900000001</v>
      </c>
      <c r="I99" s="316">
        <f>I69*'MOD-Berechnungen'!H$26</f>
        <v>0.41207295941425998</v>
      </c>
      <c r="J99" s="316">
        <f>J69*'MOD-Berechnungen'!I$26</f>
        <v>0.48692010585074996</v>
      </c>
      <c r="K99" s="316">
        <f>K69*'MOD-Berechnungen'!J$26</f>
        <v>0.51080576769520003</v>
      </c>
      <c r="L99" s="316">
        <f>L69*'MOD-Berechnungen'!K$26</f>
        <v>0.59589834152286625</v>
      </c>
      <c r="M99" s="316">
        <f>M69*'MOD-Berechnungen'!L$26</f>
        <v>0.59589834152286625</v>
      </c>
      <c r="N99" s="316">
        <f>N69*'MOD-Berechnungen'!M$26</f>
        <v>0.59589834152286625</v>
      </c>
      <c r="O99" s="316">
        <f>O69*'MOD-Berechnungen'!N$26</f>
        <v>0.59589834152286625</v>
      </c>
      <c r="P99" s="316">
        <f>P69*'MOD-Berechnungen'!O$26</f>
        <v>0.59589834152286625</v>
      </c>
      <c r="Q99" s="316">
        <f>Q69*'MOD-Berechnungen'!P$26</f>
        <v>0.59589834152286625</v>
      </c>
      <c r="R99" s="316">
        <f>R69*'MOD-Berechnungen'!Q$26</f>
        <v>0.59589834152286625</v>
      </c>
      <c r="S99" s="316">
        <f>S69*'MOD-Berechnungen'!R$26</f>
        <v>0.59589834152286625</v>
      </c>
      <c r="T99" s="316">
        <f>T69*'MOD-Berechnungen'!S$26</f>
        <v>0.59589834152286625</v>
      </c>
      <c r="U99" s="316">
        <f>U69*'MOD-Berechnungen'!T$26</f>
        <v>0.59589834152286625</v>
      </c>
      <c r="V99" s="316">
        <f>V69*'MOD-Berechnungen'!U$26</f>
        <v>0.59589834152286625</v>
      </c>
      <c r="W99" s="316">
        <f>W69*'MOD-Berechnungen'!V$26</f>
        <v>0.59589834152286625</v>
      </c>
      <c r="X99" s="316">
        <f>X69*'MOD-Berechnungen'!W$26</f>
        <v>0.59589834152286625</v>
      </c>
      <c r="Y99" s="316">
        <f>Y69*'MOD-Berechnungen'!X$26</f>
        <v>0.59589834152286625</v>
      </c>
      <c r="Z99" s="316">
        <f>Z69*'MOD-Berechnungen'!Y$26</f>
        <v>0.59589834152286636</v>
      </c>
      <c r="AA99" s="316">
        <f>AA69*'MOD-Berechnungen'!Z$26</f>
        <v>0.54195695216777517</v>
      </c>
      <c r="AB99" s="316">
        <f>AB69*'MOD-Berechnungen'!AA$26</f>
        <v>0.50533948832503828</v>
      </c>
      <c r="AC99" s="316">
        <f>AC69*'MOD-Berechnungen'!AB$26</f>
        <v>0.47262537548595118</v>
      </c>
      <c r="AD99" s="316">
        <f>AD69*'MOD-Berechnungen'!AC$26</f>
        <v>0.45094447604902621</v>
      </c>
      <c r="AE99" s="316">
        <f>AE69*'MOD-Berechnungen'!AD$26</f>
        <v>0.4038898480789026</v>
      </c>
      <c r="AF99" s="317">
        <f>AF69*'MOD-Berechnungen'!AE$26</f>
        <v>0.39783057582039583</v>
      </c>
    </row>
    <row r="100" spans="1:32" s="294" customFormat="1">
      <c r="A100" s="553">
        <v>100</v>
      </c>
      <c r="C100" s="10"/>
      <c r="D100" s="29"/>
      <c r="E100" s="566" t="s">
        <v>349</v>
      </c>
      <c r="F100" s="567" t="s">
        <v>1048</v>
      </c>
      <c r="G100" s="325">
        <f>G70*'MOD-Berechnungen'!F$26</f>
        <v>0.12953265</v>
      </c>
      <c r="H100" s="325">
        <f>H70*'MOD-Berechnungen'!G$26</f>
        <v>1.4075396E-2</v>
      </c>
      <c r="I100" s="325">
        <f>I70*'MOD-Berechnungen'!H$26</f>
        <v>5.2400481459999995E-2</v>
      </c>
      <c r="J100" s="325">
        <f>J70*'MOD-Berechnungen'!I$26</f>
        <v>0.10797205039999999</v>
      </c>
      <c r="K100" s="325">
        <f>K70*'MOD-Berechnungen'!J$26</f>
        <v>6.3886050243399994E-2</v>
      </c>
      <c r="L100" s="325">
        <f>L70*'MOD-Berechnungen'!K$26</f>
        <v>0.10116121574165485</v>
      </c>
      <c r="M100" s="325">
        <f>M70*'MOD-Berechnungen'!L$26</f>
        <v>0.10116121574165485</v>
      </c>
      <c r="N100" s="325">
        <f>N70*'MOD-Berechnungen'!M$26</f>
        <v>0.10116121574165485</v>
      </c>
      <c r="O100" s="325">
        <f>O70*'MOD-Berechnungen'!N$26</f>
        <v>0.10116121574165485</v>
      </c>
      <c r="P100" s="325">
        <f>P70*'MOD-Berechnungen'!O$26</f>
        <v>0.10116121574165485</v>
      </c>
      <c r="Q100" s="325">
        <f>Q70*'MOD-Berechnungen'!P$26</f>
        <v>0.10116121574165485</v>
      </c>
      <c r="R100" s="325">
        <f>R70*'MOD-Berechnungen'!Q$26</f>
        <v>7.9133545585612253E-2</v>
      </c>
      <c r="S100" s="325">
        <f>S70*'MOD-Berechnungen'!R$26</f>
        <v>7.1727150881228011E-2</v>
      </c>
      <c r="T100" s="325">
        <f>T70*'MOD-Berechnungen'!S$26</f>
        <v>5.2864086060311559E-2</v>
      </c>
      <c r="U100" s="325">
        <f>U70*'MOD-Berechnungen'!T$26</f>
        <v>3.1357929537542545E-2</v>
      </c>
      <c r="V100" s="325">
        <f>V70*'MOD-Berechnungen'!U$26</f>
        <v>1.1322285335139877E-2</v>
      </c>
      <c r="W100" s="325">
        <f>W70*'MOD-Berechnungen'!V$26</f>
        <v>9.0650761329917826E-3</v>
      </c>
      <c r="X100" s="325">
        <f>X70*'MOD-Berechnungen'!W$26</f>
        <v>7.2445750895866442E-3</v>
      </c>
      <c r="Y100" s="325">
        <f>Y70*'MOD-Berechnungen'!X$26</f>
        <v>6.9699990613540106E-3</v>
      </c>
      <c r="Z100" s="325">
        <f>Z70*'MOD-Berechnungen'!Y$26</f>
        <v>6.741430146899088E-3</v>
      </c>
      <c r="AA100" s="325">
        <f>AA70*'MOD-Berechnungen'!Z$26</f>
        <v>3.8404013457238352E-3</v>
      </c>
      <c r="AB100" s="325">
        <f>AB70*'MOD-Berechnungen'!AA$26</f>
        <v>3.1931576106920346E-3</v>
      </c>
      <c r="AC100" s="325">
        <f>AC70*'MOD-Berechnungen'!AB$26</f>
        <v>1.0846120363654757E-3</v>
      </c>
      <c r="AD100" s="325">
        <f>AD70*'MOD-Berechnungen'!AC$26</f>
        <v>8.5736373947492247E-4</v>
      </c>
      <c r="AE100" s="325">
        <f>AE70*'MOD-Berechnungen'!AD$26</f>
        <v>5.6103056804173075E-4</v>
      </c>
      <c r="AF100" s="326">
        <f>AF70*'MOD-Berechnungen'!AE$26</f>
        <v>0</v>
      </c>
    </row>
    <row r="101" spans="1:32" s="294" customFormat="1">
      <c r="A101" s="553">
        <v>101</v>
      </c>
      <c r="C101" s="10"/>
      <c r="D101" s="29"/>
      <c r="E101" s="566" t="s">
        <v>11</v>
      </c>
      <c r="F101" s="567" t="s">
        <v>1048</v>
      </c>
      <c r="G101" s="325">
        <f>G71*'MOD-Berechnungen'!F$26</f>
        <v>3.9508552799999999</v>
      </c>
      <c r="H101" s="325">
        <f>H71*'MOD-Berechnungen'!G$26</f>
        <v>4.2497729089999998</v>
      </c>
      <c r="I101" s="325">
        <f>I71*'MOD-Berechnungen'!H$26</f>
        <v>5.0895666185599993</v>
      </c>
      <c r="J101" s="325">
        <f>J71*'MOD-Berechnungen'!I$26</f>
        <v>6.0503774180499983</v>
      </c>
      <c r="K101" s="325">
        <f>K71*'MOD-Berechnungen'!J$26</f>
        <v>6.4394082612499988</v>
      </c>
      <c r="L101" s="325">
        <f>L71*'MOD-Berechnungen'!K$26</f>
        <v>7.9245390822727542</v>
      </c>
      <c r="M101" s="325">
        <f>M71*'MOD-Berechnungen'!L$26</f>
        <v>7.9245390822727524</v>
      </c>
      <c r="N101" s="325">
        <f>N71*'MOD-Berechnungen'!M$26</f>
        <v>7.9245390822727542</v>
      </c>
      <c r="O101" s="325">
        <f>O71*'MOD-Berechnungen'!N$26</f>
        <v>7.9245390822727533</v>
      </c>
      <c r="P101" s="325">
        <f>P71*'MOD-Berechnungen'!O$26</f>
        <v>7.9245390822727542</v>
      </c>
      <c r="Q101" s="325">
        <f>Q71*'MOD-Berechnungen'!P$26</f>
        <v>7.9245390822727533</v>
      </c>
      <c r="R101" s="325">
        <f>R71*'MOD-Berechnungen'!Q$26</f>
        <v>7.7040643280932235</v>
      </c>
      <c r="S101" s="325">
        <f>S71*'MOD-Berechnungen'!R$26</f>
        <v>7.5428740510054375</v>
      </c>
      <c r="T101" s="325">
        <f>T71*'MOD-Berechnungen'!S$26</f>
        <v>7.4288216250548311</v>
      </c>
      <c r="U101" s="325">
        <f>U71*'MOD-Berechnungen'!T$26</f>
        <v>7.2918533006053305</v>
      </c>
      <c r="V101" s="325">
        <f>V71*'MOD-Berechnungen'!U$26</f>
        <v>6.8725383217574079</v>
      </c>
      <c r="W101" s="325">
        <f>W71*'MOD-Berechnungen'!V$26</f>
        <v>6.1092320442362009</v>
      </c>
      <c r="X101" s="325">
        <f>X71*'MOD-Berechnungen'!W$26</f>
        <v>5.1199079506909477</v>
      </c>
      <c r="Y101" s="325">
        <f>Y71*'MOD-Berechnungen'!X$26</f>
        <v>4.3311546587347163</v>
      </c>
      <c r="Z101" s="325">
        <f>Z71*'MOD-Berechnungen'!Y$26</f>
        <v>3.9042756106600809</v>
      </c>
      <c r="AA101" s="325">
        <f>AA71*'MOD-Berechnungen'!Z$26</f>
        <v>3.3236133815912274</v>
      </c>
      <c r="AB101" s="325">
        <f>AB71*'MOD-Berechnungen'!AA$26</f>
        <v>2.3853568935530132</v>
      </c>
      <c r="AC101" s="325">
        <f>AC71*'MOD-Berechnungen'!AB$26</f>
        <v>0.84162987310065884</v>
      </c>
      <c r="AD101" s="325">
        <f>AD71*'MOD-Berechnungen'!AC$26</f>
        <v>0.50688730032510243</v>
      </c>
      <c r="AE101" s="325">
        <f>AE71*'MOD-Berechnungen'!AD$26</f>
        <v>0.21674969820259959</v>
      </c>
      <c r="AF101" s="326">
        <f>AF71*'MOD-Berechnungen'!AE$26</f>
        <v>0</v>
      </c>
    </row>
    <row r="102" spans="1:32" s="294" customFormat="1">
      <c r="A102" s="553">
        <v>102</v>
      </c>
      <c r="C102" s="10"/>
      <c r="D102" s="29"/>
      <c r="E102" s="566" t="s">
        <v>10</v>
      </c>
      <c r="F102" s="567" t="s">
        <v>1048</v>
      </c>
      <c r="G102" s="325">
        <f>G72*'MOD-Berechnungen'!F$26</f>
        <v>5.3999999999999994E-3</v>
      </c>
      <c r="H102" s="325">
        <f>H72*'MOD-Berechnungen'!G$26</f>
        <v>1.3090355999999999E-2</v>
      </c>
      <c r="I102" s="325">
        <f>I72*'MOD-Berechnungen'!H$26</f>
        <v>2.3729284699999999E-2</v>
      </c>
      <c r="J102" s="325">
        <f>J72*'MOD-Berechnungen'!I$26</f>
        <v>1.8123731000000001E-2</v>
      </c>
      <c r="K102" s="325">
        <f>K72*'MOD-Berechnungen'!J$26</f>
        <v>3.1732540359999999E-2</v>
      </c>
      <c r="L102" s="325">
        <f>L72*'MOD-Berechnungen'!K$26</f>
        <v>3.7412390998028656E-2</v>
      </c>
      <c r="M102" s="325">
        <f>M72*'MOD-Berechnungen'!L$26</f>
        <v>3.7412390998028656E-2</v>
      </c>
      <c r="N102" s="325">
        <f>N72*'MOD-Berechnungen'!M$26</f>
        <v>3.7412390998028656E-2</v>
      </c>
      <c r="O102" s="325">
        <f>O72*'MOD-Berechnungen'!N$26</f>
        <v>3.7412390998028656E-2</v>
      </c>
      <c r="P102" s="325">
        <f>P72*'MOD-Berechnungen'!O$26</f>
        <v>3.7412390998028656E-2</v>
      </c>
      <c r="Q102" s="325">
        <f>Q72*'MOD-Berechnungen'!P$26</f>
        <v>3.7412390998028656E-2</v>
      </c>
      <c r="R102" s="325">
        <f>R72*'MOD-Berechnungen'!Q$26</f>
        <v>3.7412390998028656E-2</v>
      </c>
      <c r="S102" s="325">
        <f>S72*'MOD-Berechnungen'!R$26</f>
        <v>3.7412390998028656E-2</v>
      </c>
      <c r="T102" s="325">
        <f>T72*'MOD-Berechnungen'!S$26</f>
        <v>3.7412390998028656E-2</v>
      </c>
      <c r="U102" s="325">
        <f>U72*'MOD-Berechnungen'!T$26</f>
        <v>3.7412390998028656E-2</v>
      </c>
      <c r="V102" s="325">
        <f>V72*'MOD-Berechnungen'!U$26</f>
        <v>3.7412390998028656E-2</v>
      </c>
      <c r="W102" s="325">
        <f>W72*'MOD-Berechnungen'!V$26</f>
        <v>3.7412390998028656E-2</v>
      </c>
      <c r="X102" s="325">
        <f>X72*'MOD-Berechnungen'!W$26</f>
        <v>3.7412390998028656E-2</v>
      </c>
      <c r="Y102" s="325">
        <f>Y72*'MOD-Berechnungen'!X$26</f>
        <v>3.7412390998028656E-2</v>
      </c>
      <c r="Z102" s="325">
        <f>Z72*'MOD-Berechnungen'!Y$26</f>
        <v>3.7412390998028656E-2</v>
      </c>
      <c r="AA102" s="325">
        <f>AA72*'MOD-Berechnungen'!Z$26</f>
        <v>3.5255721675931898E-2</v>
      </c>
      <c r="AB102" s="325">
        <f>AB72*'MOD-Berechnungen'!AA$26</f>
        <v>3.5255721675931898E-2</v>
      </c>
      <c r="AC102" s="325">
        <f>AC72*'MOD-Berechnungen'!AB$26</f>
        <v>3.5255721675931898E-2</v>
      </c>
      <c r="AD102" s="325">
        <f>AD72*'MOD-Berechnungen'!AC$26</f>
        <v>2.0118844946834122E-2</v>
      </c>
      <c r="AE102" s="325">
        <f>AE72*'MOD-Berechnungen'!AD$26</f>
        <v>4.1296561493336659E-3</v>
      </c>
      <c r="AF102" s="326">
        <f>AF72*'MOD-Berechnungen'!AE$26</f>
        <v>0</v>
      </c>
    </row>
    <row r="103" spans="1:32" s="294" customFormat="1">
      <c r="A103" s="553">
        <v>103</v>
      </c>
      <c r="C103" s="10"/>
      <c r="D103" s="29"/>
      <c r="E103" s="566" t="s">
        <v>339</v>
      </c>
      <c r="F103" s="567" t="s">
        <v>1048</v>
      </c>
      <c r="G103" s="325">
        <f>G73*'MOD-Berechnungen'!F$26</f>
        <v>4.1869800800000005</v>
      </c>
      <c r="H103" s="325">
        <f>H73*'MOD-Berechnungen'!G$26</f>
        <v>4.4946196810000005</v>
      </c>
      <c r="I103" s="325">
        <f>I73*'MOD-Berechnungen'!H$26</f>
        <v>4.3533828439027991</v>
      </c>
      <c r="J103" s="325">
        <f>J73*'MOD-Berechnungen'!I$26</f>
        <v>5.3593675109834491</v>
      </c>
      <c r="K103" s="325">
        <f>K73*'MOD-Berechnungen'!J$26</f>
        <v>6.1037070259736002</v>
      </c>
      <c r="L103" s="325">
        <f>L73*'MOD-Berechnungen'!K$26</f>
        <v>6.0139168669547871</v>
      </c>
      <c r="M103" s="325">
        <f>M73*'MOD-Berechnungen'!L$26</f>
        <v>5.9784568806193468</v>
      </c>
      <c r="N103" s="325">
        <f>N73*'MOD-Berechnungen'!M$26</f>
        <v>5.9311768988387614</v>
      </c>
      <c r="O103" s="325">
        <f>O73*'MOD-Berechnungen'!N$26</f>
        <v>5.8720769216130293</v>
      </c>
      <c r="P103" s="325">
        <f>P73*'MOD-Berechnungen'!O$26</f>
        <v>5.7072762129233041</v>
      </c>
      <c r="Q103" s="325">
        <f>Q73*'MOD-Berechnungen'!P$26</f>
        <v>5.5322549090503328</v>
      </c>
      <c r="R103" s="325">
        <f>R73*'MOD-Berechnungen'!Q$26</f>
        <v>5.2442237337911122</v>
      </c>
      <c r="S103" s="325">
        <f>S73*'MOD-Berechnungen'!R$26</f>
        <v>4.8907078366197974</v>
      </c>
      <c r="T103" s="325">
        <f>T73*'MOD-Berechnungen'!S$26</f>
        <v>4.5021302757619548</v>
      </c>
      <c r="U103" s="325">
        <f>U73*'MOD-Berechnungen'!T$26</f>
        <v>4.1498757420585815</v>
      </c>
      <c r="V103" s="325">
        <f>V73*'MOD-Berechnungen'!U$26</f>
        <v>3.8471909163520843</v>
      </c>
      <c r="W103" s="325">
        <f>W73*'MOD-Berechnungen'!V$26</f>
        <v>3.6009016566231895</v>
      </c>
      <c r="X103" s="325">
        <f>X73*'MOD-Berechnungen'!W$26</f>
        <v>3.362416669808018</v>
      </c>
      <c r="Y103" s="325">
        <f>Y73*'MOD-Berechnungen'!X$26</f>
        <v>2.9646729463510626</v>
      </c>
      <c r="Z103" s="325">
        <f>Z73*'MOD-Berechnungen'!Y$26</f>
        <v>2.755600394248884</v>
      </c>
      <c r="AA103" s="325">
        <f>AA73*'MOD-Berechnungen'!Z$26</f>
        <v>2.3480851114899872</v>
      </c>
      <c r="AB103" s="325">
        <f>AB73*'MOD-Berechnungen'!AA$26</f>
        <v>1.9718168299157017</v>
      </c>
      <c r="AC103" s="325">
        <f>AC73*'MOD-Berechnungen'!AB$26</f>
        <v>1.4793229511201422</v>
      </c>
      <c r="AD103" s="325">
        <f>AD73*'MOD-Berechnungen'!AC$26</f>
        <v>0.78191609611789203</v>
      </c>
      <c r="AE103" s="325">
        <f>AE73*'MOD-Berechnungen'!AD$26</f>
        <v>0.48002531726640046</v>
      </c>
      <c r="AF103" s="326">
        <f>AF73*'MOD-Berechnungen'!AE$26</f>
        <v>0</v>
      </c>
    </row>
    <row r="104" spans="1:32" s="294" customFormat="1">
      <c r="A104" s="553">
        <v>104</v>
      </c>
      <c r="C104" s="10"/>
      <c r="D104" s="29"/>
      <c r="E104" s="566" t="s">
        <v>340</v>
      </c>
      <c r="F104" s="567" t="s">
        <v>1048</v>
      </c>
      <c r="G104" s="325">
        <f>G74*'MOD-Berechnungen'!F$26</f>
        <v>9.8100000000000007E-2</v>
      </c>
      <c r="H104" s="325">
        <f>H74*'MOD-Berechnungen'!G$26</f>
        <v>0.17201868399999998</v>
      </c>
      <c r="I104" s="325">
        <f>I74*'MOD-Berechnungen'!H$26</f>
        <v>0.21721885938639998</v>
      </c>
      <c r="J104" s="325">
        <f>J74*'MOD-Berechnungen'!I$26</f>
        <v>0.47161680655509991</v>
      </c>
      <c r="K104" s="325">
        <f>K74*'MOD-Berechnungen'!J$26</f>
        <v>1.4138436736538</v>
      </c>
      <c r="L104" s="325">
        <f>L74*'MOD-Berechnungen'!K$26</f>
        <v>0.72095677622526411</v>
      </c>
      <c r="M104" s="325">
        <f>M74*'MOD-Berechnungen'!L$26</f>
        <v>0.72095677622526411</v>
      </c>
      <c r="N104" s="325">
        <f>N74*'MOD-Berechnungen'!M$26</f>
        <v>0.72095677622526411</v>
      </c>
      <c r="O104" s="325">
        <f>O74*'MOD-Berechnungen'!N$26</f>
        <v>0.72095677622526411</v>
      </c>
      <c r="P104" s="325">
        <f>P74*'MOD-Berechnungen'!O$26</f>
        <v>0.72095677622526411</v>
      </c>
      <c r="Q104" s="325">
        <f>Q74*'MOD-Berechnungen'!P$26</f>
        <v>0.72095677622526411</v>
      </c>
      <c r="R104" s="325">
        <f>R74*'MOD-Berechnungen'!Q$26</f>
        <v>0.70779873025242745</v>
      </c>
      <c r="S104" s="325">
        <f>S74*'MOD-Berechnungen'!R$26</f>
        <v>0.67015409610936971</v>
      </c>
      <c r="T104" s="325">
        <f>T74*'MOD-Berechnungen'!S$26</f>
        <v>0.5886254876290351</v>
      </c>
      <c r="U104" s="325">
        <f>U74*'MOD-Berechnungen'!T$26</f>
        <v>0.54948030085984612</v>
      </c>
      <c r="V104" s="325">
        <f>V74*'MOD-Berechnungen'!U$26</f>
        <v>0.41959031199187452</v>
      </c>
      <c r="W104" s="325">
        <f>W74*'MOD-Berechnungen'!V$26</f>
        <v>0.18563002464811498</v>
      </c>
      <c r="X104" s="325">
        <f>X74*'MOD-Berechnungen'!W$26</f>
        <v>0.13008602678610678</v>
      </c>
      <c r="Y104" s="325">
        <f>Y74*'MOD-Berechnungen'!X$26</f>
        <v>0.12996373387338628</v>
      </c>
      <c r="Z104" s="325">
        <f>Z74*'MOD-Berechnungen'!Y$26</f>
        <v>0.12978628925492908</v>
      </c>
      <c r="AA104" s="325">
        <f>AA74*'MOD-Berechnungen'!Z$26</f>
        <v>0.12428980987762621</v>
      </c>
      <c r="AB104" s="325">
        <f>AB74*'MOD-Berechnungen'!AA$26</f>
        <v>0.1175033883274389</v>
      </c>
      <c r="AC104" s="325">
        <f>AC74*'MOD-Berechnungen'!AB$26</f>
        <v>0.10084376585622522</v>
      </c>
      <c r="AD104" s="325">
        <f>AD74*'MOD-Berechnungen'!AC$26</f>
        <v>8.893242401487135E-2</v>
      </c>
      <c r="AE104" s="325">
        <f>AE74*'MOD-Berechnungen'!AD$26</f>
        <v>5.5540165577103222E-2</v>
      </c>
      <c r="AF104" s="326">
        <f>AF74*'MOD-Berechnungen'!AE$26</f>
        <v>0</v>
      </c>
    </row>
    <row r="105" spans="1:32" s="294" customFormat="1">
      <c r="A105" s="553">
        <v>105</v>
      </c>
      <c r="C105" s="10"/>
      <c r="D105" s="29"/>
      <c r="E105" s="568" t="s">
        <v>530</v>
      </c>
      <c r="F105" s="569" t="s">
        <v>1048</v>
      </c>
      <c r="G105" s="302">
        <f>G75*'MOD-Berechnungen'!F$26</f>
        <v>3.8826109599999996</v>
      </c>
      <c r="H105" s="302">
        <f>H75*'MOD-Berechnungen'!G$26</f>
        <v>8.0206210149999997</v>
      </c>
      <c r="I105" s="302">
        <f>I75*'MOD-Berechnungen'!H$26</f>
        <v>8.7892939436962809</v>
      </c>
      <c r="J105" s="302">
        <f>J75*'MOD-Berechnungen'!I$26</f>
        <v>10.302513792381449</v>
      </c>
      <c r="K105" s="302">
        <f>K75*'MOD-Berechnungen'!J$26</f>
        <v>10.72971006440835</v>
      </c>
      <c r="L105" s="302">
        <f>L75*'MOD-Berechnungen'!K$26</f>
        <v>9.8992046007707302</v>
      </c>
      <c r="M105" s="302">
        <f>M75*'MOD-Berechnungen'!L$26</f>
        <v>9.8992046007707302</v>
      </c>
      <c r="N105" s="302">
        <f>N75*'MOD-Berechnungen'!M$26</f>
        <v>9.8992046007707302</v>
      </c>
      <c r="O105" s="302">
        <f>O75*'MOD-Berechnungen'!N$26</f>
        <v>9.8992046007707302</v>
      </c>
      <c r="P105" s="302">
        <f>P75*'MOD-Berechnungen'!O$26</f>
        <v>9.8992046007707302</v>
      </c>
      <c r="Q105" s="302">
        <f>Q75*'MOD-Berechnungen'!P$26</f>
        <v>9.8992046007707302</v>
      </c>
      <c r="R105" s="302">
        <f>R75*'MOD-Berechnungen'!Q$26</f>
        <v>9.8743231184046909</v>
      </c>
      <c r="S105" s="302">
        <f>S75*'MOD-Berechnungen'!R$26</f>
        <v>9.8339025269570541</v>
      </c>
      <c r="T105" s="302">
        <f>T75*'MOD-Berechnungen'!S$26</f>
        <v>9.7918998861958393</v>
      </c>
      <c r="U105" s="302">
        <f>U75*'MOD-Berechnungen'!T$26</f>
        <v>9.7368305315089039</v>
      </c>
      <c r="V105" s="302">
        <f>V75*'MOD-Berechnungen'!U$26</f>
        <v>9.4203080911896588</v>
      </c>
      <c r="W105" s="302">
        <f>W75*'MOD-Berechnungen'!V$26</f>
        <v>8.9956933481227033</v>
      </c>
      <c r="X105" s="302">
        <f>X75*'MOD-Berechnungen'!W$26</f>
        <v>8.6231614633896339</v>
      </c>
      <c r="Y105" s="302">
        <f>Y75*'MOD-Berechnungen'!X$26</f>
        <v>8.0972890432583959</v>
      </c>
      <c r="Z105" s="302">
        <f>Z75*'MOD-Berechnungen'!Y$26</f>
        <v>7.306332544077935</v>
      </c>
      <c r="AA105" s="302">
        <f>AA75*'MOD-Berechnungen'!Z$26</f>
        <v>5.6871387273907805</v>
      </c>
      <c r="AB105" s="302">
        <f>AB75*'MOD-Berechnungen'!AA$26</f>
        <v>3.344398325548267</v>
      </c>
      <c r="AC105" s="302">
        <f>AC75*'MOD-Berechnungen'!AB$26</f>
        <v>1.5096140003144618</v>
      </c>
      <c r="AD105" s="302">
        <f>AD75*'MOD-Berechnungen'!AC$26</f>
        <v>0.41258647705966339</v>
      </c>
      <c r="AE105" s="302">
        <f>AE75*'MOD-Berechnungen'!AD$26</f>
        <v>0.12207424266830158</v>
      </c>
      <c r="AF105" s="55">
        <f>AF75*'MOD-Berechnungen'!AE$26</f>
        <v>0</v>
      </c>
    </row>
    <row r="106" spans="1:32" s="294" customFormat="1">
      <c r="A106" s="553">
        <v>106</v>
      </c>
      <c r="C106" s="10"/>
      <c r="D106" s="29"/>
      <c r="E106" s="566" t="s">
        <v>529</v>
      </c>
      <c r="F106" s="570"/>
      <c r="G106" s="325">
        <f>'MOD-Berechnungen'!F304</f>
        <v>0</v>
      </c>
      <c r="H106" s="325">
        <f>'MOD-Berechnungen'!G304</f>
        <v>0</v>
      </c>
      <c r="I106" s="325">
        <f>'MOD-Berechnungen'!H304</f>
        <v>0</v>
      </c>
      <c r="J106" s="325">
        <f>'MOD-Berechnungen'!I304</f>
        <v>0</v>
      </c>
      <c r="K106" s="325">
        <f>'MOD-Berechnungen'!J304</f>
        <v>0</v>
      </c>
      <c r="L106" s="325">
        <f>'MOD-Berechnungen'!K304</f>
        <v>0</v>
      </c>
      <c r="M106" s="325">
        <f>'MOD-Berechnungen'!L304</f>
        <v>0</v>
      </c>
      <c r="N106" s="325">
        <f>'MOD-Berechnungen'!M304</f>
        <v>0</v>
      </c>
      <c r="O106" s="325">
        <f>'MOD-Berechnungen'!N304</f>
        <v>0</v>
      </c>
      <c r="P106" s="325">
        <f>'MOD-Berechnungen'!O304</f>
        <v>0</v>
      </c>
      <c r="Q106" s="325">
        <f>'MOD-Berechnungen'!P304</f>
        <v>2.7855335944751156E-3</v>
      </c>
      <c r="R106" s="325">
        <f>'MOD-Berechnungen'!Q304</f>
        <v>5.5746053304678031E-3</v>
      </c>
      <c r="S106" s="325">
        <f>'MOD-Berechnungen'!R304</f>
        <v>5.5746053304678031E-3</v>
      </c>
      <c r="T106" s="325">
        <f>'MOD-Berechnungen'!S304</f>
        <v>5.5746053304678031E-3</v>
      </c>
      <c r="U106" s="325">
        <f>'MOD-Berechnungen'!T304</f>
        <v>5.5746053304678031E-3</v>
      </c>
      <c r="V106" s="325">
        <f>'MOD-Berechnungen'!U304</f>
        <v>5.5746053304678031E-3</v>
      </c>
      <c r="W106" s="325">
        <f>'MOD-Berechnungen'!V304</f>
        <v>5.5746053304678031E-3</v>
      </c>
      <c r="X106" s="325">
        <f>'MOD-Berechnungen'!W304</f>
        <v>5.5746053304678031E-3</v>
      </c>
      <c r="Y106" s="325">
        <f>'MOD-Berechnungen'!X304</f>
        <v>5.5746053304678031E-3</v>
      </c>
      <c r="Z106" s="325">
        <f>'MOD-Berechnungen'!Y304</f>
        <v>5.5746053304678031E-3</v>
      </c>
      <c r="AA106" s="325">
        <f>'MOD-Berechnungen'!Z304</f>
        <v>5.5746053304678031E-3</v>
      </c>
      <c r="AB106" s="325">
        <f>'MOD-Berechnungen'!AA304</f>
        <v>5.5746053304678031E-3</v>
      </c>
      <c r="AC106" s="325">
        <f>'MOD-Berechnungen'!AB304</f>
        <v>5.5746053304678031E-3</v>
      </c>
      <c r="AD106" s="325">
        <f>'MOD-Berechnungen'!AC304</f>
        <v>5.5746053304678031E-3</v>
      </c>
      <c r="AE106" s="325">
        <f>'MOD-Berechnungen'!AD304</f>
        <v>5.5746053304678031E-3</v>
      </c>
      <c r="AF106" s="326">
        <f>'MOD-Berechnungen'!AE304</f>
        <v>5.5746053304678031E-3</v>
      </c>
    </row>
    <row r="107" spans="1:32" s="294" customFormat="1">
      <c r="A107" s="553">
        <v>107</v>
      </c>
      <c r="C107" s="10"/>
      <c r="D107" s="29"/>
      <c r="E107" s="566" t="s">
        <v>349</v>
      </c>
      <c r="F107" s="570"/>
      <c r="G107" s="325">
        <f>'MOD-Berechnungen'!F305</f>
        <v>0</v>
      </c>
      <c r="H107" s="325">
        <f>'MOD-Berechnungen'!G305</f>
        <v>0</v>
      </c>
      <c r="I107" s="325">
        <f>'MOD-Berechnungen'!H305</f>
        <v>0</v>
      </c>
      <c r="J107" s="325">
        <f>'MOD-Berechnungen'!I305</f>
        <v>0</v>
      </c>
      <c r="K107" s="325">
        <f>'MOD-Berechnungen'!J305</f>
        <v>0</v>
      </c>
      <c r="L107" s="325">
        <f>'MOD-Berechnungen'!K305</f>
        <v>4.9914115934987791E-3</v>
      </c>
      <c r="M107" s="325">
        <f>'MOD-Berechnungen'!L305</f>
        <v>1.0441438670507548E-2</v>
      </c>
      <c r="N107" s="325">
        <f>'MOD-Berechnungen'!M305</f>
        <v>1.1124102279755063E-2</v>
      </c>
      <c r="O107" s="325">
        <f>'MOD-Berechnungen'!N305</f>
        <v>1.208694654916645E-2</v>
      </c>
      <c r="P107" s="325">
        <f>'MOD-Berechnungen'!O305</f>
        <v>1.3059017253183701E-2</v>
      </c>
      <c r="Q107" s="325">
        <f>'MOD-Berechnungen'!P305</f>
        <v>1.3504390379544803E-2</v>
      </c>
      <c r="R107" s="325">
        <f>'MOD-Berechnungen'!Q305</f>
        <v>1.371397793087786E-2</v>
      </c>
      <c r="S107" s="325">
        <f>'MOD-Berechnungen'!R305</f>
        <v>1.371397793087786E-2</v>
      </c>
      <c r="T107" s="325">
        <f>'MOD-Berechnungen'!S305</f>
        <v>1.371397793087786E-2</v>
      </c>
      <c r="U107" s="325">
        <f>'MOD-Berechnungen'!T305</f>
        <v>1.371397793087786E-2</v>
      </c>
      <c r="V107" s="325">
        <f>'MOD-Berechnungen'!U305</f>
        <v>1.371397793087786E-2</v>
      </c>
      <c r="W107" s="325">
        <f>'MOD-Berechnungen'!V305</f>
        <v>1.371397793087786E-2</v>
      </c>
      <c r="X107" s="325">
        <f>'MOD-Berechnungen'!W305</f>
        <v>1.371397793087786E-2</v>
      </c>
      <c r="Y107" s="325">
        <f>'MOD-Berechnungen'!X305</f>
        <v>1.371397793087786E-2</v>
      </c>
      <c r="Z107" s="325">
        <f>'MOD-Berechnungen'!Y305</f>
        <v>1.371397793087786E-2</v>
      </c>
      <c r="AA107" s="325">
        <f>'MOD-Berechnungen'!Z305</f>
        <v>1.371397793087786E-2</v>
      </c>
      <c r="AB107" s="325">
        <f>'MOD-Berechnungen'!AA305</f>
        <v>1.371397793087786E-2</v>
      </c>
      <c r="AC107" s="325">
        <f>'MOD-Berechnungen'!AB305</f>
        <v>1.371397793087786E-2</v>
      </c>
      <c r="AD107" s="325">
        <f>'MOD-Berechnungen'!AC305</f>
        <v>1.371397793087786E-2</v>
      </c>
      <c r="AE107" s="325">
        <f>'MOD-Berechnungen'!AD305</f>
        <v>1.371397793087786E-2</v>
      </c>
      <c r="AF107" s="326">
        <f>'MOD-Berechnungen'!AE305</f>
        <v>1.371397793087786E-2</v>
      </c>
    </row>
    <row r="108" spans="1:32" s="294" customFormat="1">
      <c r="A108" s="553">
        <v>108</v>
      </c>
      <c r="C108" s="10"/>
      <c r="D108" s="29"/>
      <c r="E108" s="566" t="s">
        <v>11</v>
      </c>
      <c r="F108" s="570"/>
      <c r="G108" s="325">
        <f>'MOD-Berechnungen'!F306</f>
        <v>0</v>
      </c>
      <c r="H108" s="325">
        <f>'MOD-Berechnungen'!G306</f>
        <v>0</v>
      </c>
      <c r="I108" s="325">
        <f>'MOD-Berechnungen'!H306</f>
        <v>0</v>
      </c>
      <c r="J108" s="325">
        <f>'MOD-Berechnungen'!I306</f>
        <v>0</v>
      </c>
      <c r="K108" s="325">
        <f>'MOD-Berechnungen'!J306</f>
        <v>0</v>
      </c>
      <c r="L108" s="325">
        <f>'MOD-Berechnungen'!K306</f>
        <v>6.0742736485813265E-3</v>
      </c>
      <c r="M108" s="325">
        <f>'MOD-Berechnungen'!L306</f>
        <v>8.8259144462781311E-2</v>
      </c>
      <c r="N108" s="325">
        <f>'MOD-Berechnungen'!M306</f>
        <v>0.25560490304158434</v>
      </c>
      <c r="O108" s="325">
        <f>'MOD-Berechnungen'!N306</f>
        <v>0.48193074197835051</v>
      </c>
      <c r="P108" s="325">
        <f>'MOD-Berechnungen'!O306</f>
        <v>0.68894389299283953</v>
      </c>
      <c r="Q108" s="325">
        <f>'MOD-Berechnungen'!P306</f>
        <v>0.82699182048282049</v>
      </c>
      <c r="R108" s="325">
        <f>'MOD-Berechnungen'!Q306</f>
        <v>0.9397226635598287</v>
      </c>
      <c r="S108" s="325">
        <f>'MOD-Berechnungen'!R306</f>
        <v>0.99976816013236736</v>
      </c>
      <c r="T108" s="325">
        <f>'MOD-Berechnungen'!S306</f>
        <v>1.027428173389463</v>
      </c>
      <c r="U108" s="325">
        <f>'MOD-Berechnungen'!T306</f>
        <v>1.0569410260549332</v>
      </c>
      <c r="V108" s="325">
        <f>'MOD-Berechnungen'!U306</f>
        <v>1.0882914157458172</v>
      </c>
      <c r="W108" s="325">
        <f>'MOD-Berechnungen'!V306</f>
        <v>1.1758611437977615</v>
      </c>
      <c r="X108" s="325">
        <f>'MOD-Berechnungen'!W306</f>
        <v>1.317873460112426</v>
      </c>
      <c r="Y108" s="325">
        <f>'MOD-Berechnungen'!X306</f>
        <v>1.4584618806127527</v>
      </c>
      <c r="Z108" s="325">
        <f>'MOD-Berechnungen'!Y306</f>
        <v>1.5976306498485606</v>
      </c>
      <c r="AA108" s="325">
        <f>'MOD-Berechnungen'!Z306</f>
        <v>1.7353864046637937</v>
      </c>
      <c r="AB108" s="325">
        <f>'MOD-Berechnungen'!AA306</f>
        <v>1.8717371647071475</v>
      </c>
      <c r="AC108" s="325">
        <f>'MOD-Berechnungen'!AB306</f>
        <v>2.0066917754961673</v>
      </c>
      <c r="AD108" s="325">
        <f>'MOD-Berechnungen'!AC306</f>
        <v>2.1402595840175485</v>
      </c>
      <c r="AE108" s="325">
        <f>'MOD-Berechnungen'!AD306</f>
        <v>2.2724502411511009</v>
      </c>
      <c r="AF108" s="326">
        <f>'MOD-Berechnungen'!AE306</f>
        <v>2.4049413739745349</v>
      </c>
    </row>
    <row r="109" spans="1:32" s="294" customFormat="1">
      <c r="A109" s="553">
        <v>109</v>
      </c>
      <c r="C109" s="10"/>
      <c r="D109" s="29"/>
      <c r="E109" s="566" t="s">
        <v>10</v>
      </c>
      <c r="F109" s="570"/>
      <c r="G109" s="325">
        <f>'MOD-Berechnungen'!F307</f>
        <v>0</v>
      </c>
      <c r="H109" s="325">
        <f>'MOD-Berechnungen'!G307</f>
        <v>0</v>
      </c>
      <c r="I109" s="325">
        <f>'MOD-Berechnungen'!H307</f>
        <v>0</v>
      </c>
      <c r="J109" s="325">
        <f>'MOD-Berechnungen'!I307</f>
        <v>0</v>
      </c>
      <c r="K109" s="325">
        <f>'MOD-Berechnungen'!J307</f>
        <v>0</v>
      </c>
      <c r="L109" s="325">
        <f>'MOD-Berechnungen'!K307</f>
        <v>0</v>
      </c>
      <c r="M109" s="325">
        <f>'MOD-Berechnungen'!L307</f>
        <v>2.5499802938929472E-3</v>
      </c>
      <c r="N109" s="325">
        <f>'MOD-Berechnungen'!M307</f>
        <v>6.6093178507205912E-3</v>
      </c>
      <c r="O109" s="325">
        <f>'MOD-Berechnungen'!N307</f>
        <v>1.1908407758441221E-2</v>
      </c>
      <c r="P109" s="325">
        <f>'MOD-Berechnungen'!O307</f>
        <v>1.8783585105697533E-2</v>
      </c>
      <c r="Q109" s="325">
        <f>'MOD-Berechnungen'!P307</f>
        <v>2.5156990357859607E-2</v>
      </c>
      <c r="R109" s="325">
        <f>'MOD-Berechnungen'!Q307</f>
        <v>2.844552561393459E-2</v>
      </c>
      <c r="S109" s="325">
        <f>'MOD-Berechnungen'!R307</f>
        <v>2.844552561393459E-2</v>
      </c>
      <c r="T109" s="325">
        <f>'MOD-Berechnungen'!S307</f>
        <v>2.844552561393459E-2</v>
      </c>
      <c r="U109" s="325">
        <f>'MOD-Berechnungen'!T307</f>
        <v>2.844552561393459E-2</v>
      </c>
      <c r="V109" s="325">
        <f>'MOD-Berechnungen'!U307</f>
        <v>2.844552561393459E-2</v>
      </c>
      <c r="W109" s="325">
        <f>'MOD-Berechnungen'!V307</f>
        <v>2.844552561393459E-2</v>
      </c>
      <c r="X109" s="325">
        <f>'MOD-Berechnungen'!W307</f>
        <v>2.844552561393459E-2</v>
      </c>
      <c r="Y109" s="325">
        <f>'MOD-Berechnungen'!X307</f>
        <v>2.844552561393459E-2</v>
      </c>
      <c r="Z109" s="325">
        <f>'MOD-Berechnungen'!Y307</f>
        <v>2.844552561393459E-2</v>
      </c>
      <c r="AA109" s="325">
        <f>'MOD-Berechnungen'!Z307</f>
        <v>2.844552561393459E-2</v>
      </c>
      <c r="AB109" s="325">
        <f>'MOD-Berechnungen'!AA307</f>
        <v>2.844552561393459E-2</v>
      </c>
      <c r="AC109" s="325">
        <f>'MOD-Berechnungen'!AB307</f>
        <v>2.844552561393459E-2</v>
      </c>
      <c r="AD109" s="325">
        <f>'MOD-Berechnungen'!AC307</f>
        <v>2.844552561393459E-2</v>
      </c>
      <c r="AE109" s="325">
        <f>'MOD-Berechnungen'!AD307</f>
        <v>2.844552561393459E-2</v>
      </c>
      <c r="AF109" s="326">
        <f>'MOD-Berechnungen'!AE307</f>
        <v>2.844552561393459E-2</v>
      </c>
    </row>
    <row r="110" spans="1:32" s="294" customFormat="1">
      <c r="A110" s="553">
        <v>110</v>
      </c>
      <c r="C110" s="10"/>
      <c r="D110" s="29"/>
      <c r="E110" s="566" t="s">
        <v>339</v>
      </c>
      <c r="F110" s="570"/>
      <c r="G110" s="325">
        <f>'MOD-Berechnungen'!F308</f>
        <v>0</v>
      </c>
      <c r="H110" s="325">
        <f>'MOD-Berechnungen'!G308</f>
        <v>0</v>
      </c>
      <c r="I110" s="325">
        <f>'MOD-Berechnungen'!H308</f>
        <v>0</v>
      </c>
      <c r="J110" s="325">
        <f>'MOD-Berechnungen'!I308</f>
        <v>0</v>
      </c>
      <c r="K110" s="325">
        <f>'MOD-Berechnungen'!J308</f>
        <v>0</v>
      </c>
      <c r="L110" s="325">
        <f>'MOD-Berechnungen'!K308</f>
        <v>0.25442411616026367</v>
      </c>
      <c r="M110" s="325">
        <f>'MOD-Berechnungen'!L308</f>
        <v>0.84890213463769837</v>
      </c>
      <c r="N110" s="325">
        <f>'MOD-Berechnungen'!M308</f>
        <v>1.5536695012958703</v>
      </c>
      <c r="O110" s="325">
        <f>'MOD-Berechnungen'!N308</f>
        <v>2.1441042857753385</v>
      </c>
      <c r="P110" s="325">
        <f>'MOD-Berechnungen'!O308</f>
        <v>2.4482716092426755</v>
      </c>
      <c r="Q110" s="325">
        <f>'MOD-Berechnungen'!P308</f>
        <v>2.6225815087148665</v>
      </c>
      <c r="R110" s="325">
        <f>'MOD-Berechnungen'!Q308</f>
        <v>2.8139626446335786</v>
      </c>
      <c r="S110" s="325">
        <f>'MOD-Berechnungen'!R308</f>
        <v>3.0379960967466269</v>
      </c>
      <c r="T110" s="325">
        <f>'MOD-Berechnungen'!S308</f>
        <v>3.3284063786423865</v>
      </c>
      <c r="U110" s="325">
        <f>'MOD-Berechnungen'!T308</f>
        <v>3.653771396839141</v>
      </c>
      <c r="V110" s="325">
        <f>'MOD-Berechnungen'!U308</f>
        <v>3.9874592271862723</v>
      </c>
      <c r="W110" s="325">
        <f>'MOD-Berechnungen'!V308</f>
        <v>4.3289000836920444</v>
      </c>
      <c r="X110" s="325">
        <f>'MOD-Berechnungen'!W308</f>
        <v>4.6706866090541279</v>
      </c>
      <c r="Y110" s="325">
        <f>'MOD-Berechnungen'!X308</f>
        <v>5.0097808247696456</v>
      </c>
      <c r="Z110" s="325">
        <f>'MOD-Berechnungen'!Y308</f>
        <v>5.3446726963207158</v>
      </c>
      <c r="AA110" s="325">
        <f>'MOD-Berechnungen'!Z308</f>
        <v>5.6745193622538048</v>
      </c>
      <c r="AB110" s="325">
        <f>'MOD-Berechnungen'!AA308</f>
        <v>5.998811416445279</v>
      </c>
      <c r="AC110" s="325">
        <f>'MOD-Berechnungen'!AB308</f>
        <v>6.3172222665626432</v>
      </c>
      <c r="AD110" s="325">
        <f>'MOD-Berechnungen'!AC308</f>
        <v>6.6295326180239345</v>
      </c>
      <c r="AE110" s="325">
        <f>'MOD-Berechnungen'!AD308</f>
        <v>6.9355895719558669</v>
      </c>
      <c r="AF110" s="326">
        <f>'MOD-Berechnungen'!AE308</f>
        <v>7.2394037431891238</v>
      </c>
    </row>
    <row r="111" spans="1:32" s="294" customFormat="1">
      <c r="A111" s="553">
        <v>111</v>
      </c>
      <c r="C111" s="10"/>
      <c r="D111" s="29"/>
      <c r="E111" s="566" t="s">
        <v>340</v>
      </c>
      <c r="F111" s="570"/>
      <c r="G111" s="325">
        <f>'MOD-Berechnungen'!F309</f>
        <v>0</v>
      </c>
      <c r="H111" s="325">
        <f>'MOD-Berechnungen'!G309</f>
        <v>0</v>
      </c>
      <c r="I111" s="325">
        <f>'MOD-Berechnungen'!H309</f>
        <v>0</v>
      </c>
      <c r="J111" s="325">
        <f>'MOD-Berechnungen'!I309</f>
        <v>0</v>
      </c>
      <c r="K111" s="325">
        <f>'MOD-Berechnungen'!J309</f>
        <v>0</v>
      </c>
      <c r="L111" s="325">
        <f>'MOD-Berechnungen'!K309</f>
        <v>0.66486814997484556</v>
      </c>
      <c r="M111" s="325">
        <f>'MOD-Berechnungen'!L309</f>
        <v>1.5720795806931604</v>
      </c>
      <c r="N111" s="325">
        <f>'MOD-Berechnungen'!M309</f>
        <v>2.2561036336235185</v>
      </c>
      <c r="O111" s="325">
        <f>'MOD-Berechnungen'!N309</f>
        <v>2.9452660263885782</v>
      </c>
      <c r="P111" s="325">
        <f>'MOD-Berechnungen'!O309</f>
        <v>3.5465966465902672</v>
      </c>
      <c r="Q111" s="325">
        <f>'MOD-Berechnungen'!P309</f>
        <v>3.9011229551727005</v>
      </c>
      <c r="R111" s="325">
        <f>'MOD-Berechnungen'!Q309</f>
        <v>3.8890131951727005</v>
      </c>
      <c r="S111" s="325">
        <f>'MOD-Berechnungen'!R309</f>
        <v>3.920172773211279</v>
      </c>
      <c r="T111" s="325">
        <f>'MOD-Berechnungen'!S309</f>
        <v>4.0911214258463433</v>
      </c>
      <c r="U111" s="325">
        <f>'MOD-Berechnungen'!T309</f>
        <v>4.074514220733823</v>
      </c>
      <c r="V111" s="325">
        <f>'MOD-Berechnungen'!U309</f>
        <v>4.1723897596952302</v>
      </c>
      <c r="W111" s="325">
        <f>'MOD-Berechnungen'!V309</f>
        <v>4.0754538510520595</v>
      </c>
      <c r="X111" s="325">
        <f>'MOD-Berechnungen'!W309</f>
        <v>3.4602216749682242</v>
      </c>
      <c r="Y111" s="325">
        <f>'MOD-Berechnungen'!X309</f>
        <v>3.4344683918618264</v>
      </c>
      <c r="Z111" s="325">
        <f>'MOD-Berechnungen'!Y309</f>
        <v>3.1633228389206365</v>
      </c>
      <c r="AA111" s="325">
        <f>'MOD-Berechnungen'!Z309</f>
        <v>3.4372944542200714</v>
      </c>
      <c r="AB111" s="325">
        <f>'MOD-Berechnungen'!AA309</f>
        <v>3.7242598376707723</v>
      </c>
      <c r="AC111" s="325">
        <f>'MOD-Berechnungen'!AB309</f>
        <v>4.0312773374037274</v>
      </c>
      <c r="AD111" s="325">
        <f>'MOD-Berechnungen'!AC309</f>
        <v>4.3409947148465049</v>
      </c>
      <c r="AE111" s="325">
        <f>'MOD-Berechnungen'!AD309</f>
        <v>4.3462921531603884</v>
      </c>
      <c r="AF111" s="326">
        <f>'MOD-Berechnungen'!AE309</f>
        <v>4.302530836332255</v>
      </c>
    </row>
    <row r="112" spans="1:32" s="294" customFormat="1">
      <c r="A112" s="553">
        <v>112</v>
      </c>
      <c r="C112" s="10"/>
      <c r="D112" s="29"/>
      <c r="E112" s="568" t="s">
        <v>530</v>
      </c>
      <c r="F112" s="571"/>
      <c r="G112" s="302">
        <f>'MOD-Berechnungen'!F310</f>
        <v>0</v>
      </c>
      <c r="H112" s="302">
        <f>'MOD-Berechnungen'!G310</f>
        <v>0</v>
      </c>
      <c r="I112" s="302">
        <f>'MOD-Berechnungen'!H310</f>
        <v>0</v>
      </c>
      <c r="J112" s="302">
        <f>'MOD-Berechnungen'!I310</f>
        <v>0</v>
      </c>
      <c r="K112" s="302">
        <f>'MOD-Berechnungen'!J310</f>
        <v>0</v>
      </c>
      <c r="L112" s="302">
        <f>'MOD-Berechnungen'!K310</f>
        <v>5.6523825593931258E-2</v>
      </c>
      <c r="M112" s="302">
        <f>'MOD-Berechnungen'!L310</f>
        <v>0.15985948955445498</v>
      </c>
      <c r="N112" s="302">
        <f>'MOD-Berechnungen'!M310</f>
        <v>0.34380285129378069</v>
      </c>
      <c r="O112" s="302">
        <f>'MOD-Berechnungen'!N310</f>
        <v>0.54191449460515329</v>
      </c>
      <c r="P112" s="302">
        <f>'MOD-Berechnungen'!O310</f>
        <v>0.79846765924135776</v>
      </c>
      <c r="Q112" s="302">
        <f>'MOD-Berechnungen'!P310</f>
        <v>1.0929147690033234</v>
      </c>
      <c r="R112" s="302">
        <f>'MOD-Berechnungen'!Q310</f>
        <v>1.4160866404763741</v>
      </c>
      <c r="S112" s="302">
        <f>'MOD-Berechnungen'!R310</f>
        <v>1.7671368144275414</v>
      </c>
      <c r="T112" s="302">
        <f>'MOD-Berechnungen'!S310</f>
        <v>2.0333828095337916</v>
      </c>
      <c r="U112" s="302">
        <f>'MOD-Berechnungen'!T310</f>
        <v>2.2309284829355893</v>
      </c>
      <c r="V112" s="302">
        <f>'MOD-Berechnungen'!U310</f>
        <v>2.4212784293823311</v>
      </c>
      <c r="W112" s="302">
        <f>'MOD-Berechnungen'!V310</f>
        <v>2.5904816033847977</v>
      </c>
      <c r="X112" s="302">
        <f>'MOD-Berechnungen'!W310</f>
        <v>2.7364313196367767</v>
      </c>
      <c r="Y112" s="302">
        <f>'MOD-Berechnungen'!X310</f>
        <v>2.8783928039280111</v>
      </c>
      <c r="Z112" s="302">
        <f>'MOD-Berechnungen'!Y310</f>
        <v>3.0164604727183035</v>
      </c>
      <c r="AA112" s="302">
        <f>'MOD-Berechnungen'!Z310</f>
        <v>3.1507470337560299</v>
      </c>
      <c r="AB112" s="302">
        <f>'MOD-Berechnungen'!AA310</f>
        <v>3.2814651525700644</v>
      </c>
      <c r="AC112" s="302">
        <f>'MOD-Berechnungen'!AB310</f>
        <v>3.4086233758637685</v>
      </c>
      <c r="AD112" s="302">
        <f>'MOD-Berechnungen'!AC310</f>
        <v>3.5321009646057062</v>
      </c>
      <c r="AE112" s="302">
        <f>'MOD-Berechnungen'!AD310</f>
        <v>3.6520198912842603</v>
      </c>
      <c r="AF112" s="55">
        <f>'MOD-Berechnungen'!AE310</f>
        <v>3.7692114360584315</v>
      </c>
    </row>
    <row r="113" spans="1:32" s="294" customFormat="1">
      <c r="A113" s="553">
        <v>113</v>
      </c>
      <c r="C113" s="10"/>
      <c r="D113" s="29"/>
      <c r="E113" s="29"/>
      <c r="F113" s="36"/>
      <c r="G113" s="324"/>
      <c r="H113" s="324"/>
      <c r="I113" s="324"/>
      <c r="J113" s="324"/>
      <c r="K113" s="324"/>
      <c r="L113" s="324"/>
      <c r="M113" s="324"/>
      <c r="N113" s="324"/>
      <c r="O113" s="324"/>
      <c r="P113" s="324"/>
      <c r="Q113" s="324"/>
      <c r="R113" s="324"/>
      <c r="S113" s="324"/>
      <c r="T113" s="324"/>
      <c r="U113" s="324"/>
      <c r="V113" s="324"/>
      <c r="W113" s="324"/>
      <c r="X113" s="324"/>
      <c r="Y113" s="324"/>
      <c r="Z113" s="324"/>
      <c r="AA113" s="324"/>
      <c r="AB113" s="324"/>
      <c r="AC113" s="324"/>
      <c r="AD113" s="324"/>
      <c r="AE113" s="324"/>
      <c r="AF113" s="324"/>
    </row>
    <row r="114" spans="1:32" s="294" customFormat="1">
      <c r="A114" s="553">
        <v>114</v>
      </c>
      <c r="C114" s="10"/>
      <c r="D114" s="29"/>
      <c r="E114" s="29"/>
      <c r="F114" s="192" t="s">
        <v>767</v>
      </c>
      <c r="G114" s="324"/>
      <c r="H114" s="324"/>
      <c r="I114" s="324"/>
      <c r="J114" s="324"/>
      <c r="K114" s="324"/>
      <c r="L114" s="324"/>
      <c r="M114" s="324"/>
      <c r="N114" s="324"/>
      <c r="O114" s="324"/>
      <c r="P114" s="324"/>
      <c r="Q114" s="324"/>
      <c r="R114" s="324"/>
      <c r="S114" s="324"/>
      <c r="T114" s="324"/>
      <c r="U114" s="324"/>
      <c r="V114" s="324"/>
      <c r="W114" s="324"/>
      <c r="X114" s="324"/>
      <c r="Y114" s="324"/>
      <c r="Z114" s="324"/>
      <c r="AA114" s="324"/>
      <c r="AB114" s="324"/>
      <c r="AC114" s="324"/>
      <c r="AD114" s="324"/>
      <c r="AE114" s="324"/>
      <c r="AF114" s="324"/>
    </row>
    <row r="115" spans="1:32" s="294" customFormat="1">
      <c r="A115" s="553">
        <v>115</v>
      </c>
      <c r="C115" s="10"/>
      <c r="D115" s="29"/>
      <c r="E115" s="560"/>
      <c r="F115" s="561"/>
      <c r="G115" s="562">
        <v>2010</v>
      </c>
      <c r="H115" s="562">
        <v>2011</v>
      </c>
      <c r="I115" s="562">
        <v>2012</v>
      </c>
      <c r="J115" s="562">
        <v>2013</v>
      </c>
      <c r="K115" s="562">
        <v>2014</v>
      </c>
      <c r="L115" s="562">
        <v>2015</v>
      </c>
      <c r="M115" s="562">
        <v>2016</v>
      </c>
      <c r="N115" s="562">
        <v>2017</v>
      </c>
      <c r="O115" s="562">
        <v>2018</v>
      </c>
      <c r="P115" s="562">
        <v>2019</v>
      </c>
      <c r="Q115" s="562">
        <v>2020</v>
      </c>
      <c r="R115" s="562">
        <v>2021</v>
      </c>
      <c r="S115" s="562">
        <v>2022</v>
      </c>
      <c r="T115" s="562">
        <v>2023</v>
      </c>
      <c r="U115" s="562">
        <v>2024</v>
      </c>
      <c r="V115" s="562">
        <v>2025</v>
      </c>
      <c r="W115" s="562">
        <v>2026</v>
      </c>
      <c r="X115" s="562">
        <v>2027</v>
      </c>
      <c r="Y115" s="562">
        <v>2028</v>
      </c>
      <c r="Z115" s="562">
        <v>2029</v>
      </c>
      <c r="AA115" s="562">
        <v>2030</v>
      </c>
      <c r="AB115" s="562">
        <v>2031</v>
      </c>
      <c r="AC115" s="562">
        <v>2032</v>
      </c>
      <c r="AD115" s="562">
        <v>2033</v>
      </c>
      <c r="AE115" s="562">
        <v>2034</v>
      </c>
      <c r="AF115" s="563">
        <v>2035</v>
      </c>
    </row>
    <row r="116" spans="1:32" s="294" customFormat="1">
      <c r="A116" s="553">
        <v>116</v>
      </c>
      <c r="C116" s="10"/>
      <c r="D116" s="29"/>
      <c r="E116" s="564" t="s">
        <v>758</v>
      </c>
      <c r="F116" s="565" t="s">
        <v>1048</v>
      </c>
      <c r="G116" s="316">
        <f>G99+G100+G102</f>
        <v>0.54889440999999994</v>
      </c>
      <c r="H116" s="316">
        <f t="shared" ref="H116:AF116" si="28">H99+H100+H102</f>
        <v>0.18980264099999999</v>
      </c>
      <c r="I116" s="316">
        <f t="shared" si="28"/>
        <v>0.48820272557425998</v>
      </c>
      <c r="J116" s="316">
        <f t="shared" si="28"/>
        <v>0.61301588725074996</v>
      </c>
      <c r="K116" s="316">
        <f t="shared" si="28"/>
        <v>0.60642435829859997</v>
      </c>
      <c r="L116" s="316">
        <f t="shared" si="28"/>
        <v>0.73447194826254969</v>
      </c>
      <c r="M116" s="316">
        <f t="shared" si="28"/>
        <v>0.73447194826254969</v>
      </c>
      <c r="N116" s="316">
        <f t="shared" si="28"/>
        <v>0.73447194826254969</v>
      </c>
      <c r="O116" s="316">
        <f t="shared" si="28"/>
        <v>0.73447194826254969</v>
      </c>
      <c r="P116" s="316">
        <f t="shared" si="28"/>
        <v>0.73447194826254969</v>
      </c>
      <c r="Q116" s="316">
        <f t="shared" si="28"/>
        <v>0.73447194826254969</v>
      </c>
      <c r="R116" s="316">
        <f t="shared" si="28"/>
        <v>0.71244427810650712</v>
      </c>
      <c r="S116" s="316">
        <f t="shared" si="28"/>
        <v>0.70503788340212292</v>
      </c>
      <c r="T116" s="316">
        <f t="shared" si="28"/>
        <v>0.68617481858120644</v>
      </c>
      <c r="U116" s="316">
        <f t="shared" si="28"/>
        <v>0.66466866205843744</v>
      </c>
      <c r="V116" s="316">
        <f t="shared" si="28"/>
        <v>0.64463301785603477</v>
      </c>
      <c r="W116" s="316">
        <f t="shared" si="28"/>
        <v>0.64237580865388666</v>
      </c>
      <c r="X116" s="316">
        <f t="shared" si="28"/>
        <v>0.64055530761048152</v>
      </c>
      <c r="Y116" s="316">
        <f t="shared" si="28"/>
        <v>0.64028073158224885</v>
      </c>
      <c r="Z116" s="316">
        <f t="shared" si="28"/>
        <v>0.64005216266779408</v>
      </c>
      <c r="AA116" s="316">
        <f t="shared" si="28"/>
        <v>0.58105307518943095</v>
      </c>
      <c r="AB116" s="316">
        <f t="shared" si="28"/>
        <v>0.54378836761166227</v>
      </c>
      <c r="AC116" s="316">
        <f t="shared" si="28"/>
        <v>0.50896570919824857</v>
      </c>
      <c r="AD116" s="316">
        <f t="shared" si="28"/>
        <v>0.47192068473533527</v>
      </c>
      <c r="AE116" s="316">
        <f t="shared" si="28"/>
        <v>0.40858053479627798</v>
      </c>
      <c r="AF116" s="317">
        <f t="shared" si="28"/>
        <v>0.39783057582039583</v>
      </c>
    </row>
    <row r="117" spans="1:32" s="294" customFormat="1">
      <c r="A117" s="553">
        <v>117</v>
      </c>
      <c r="C117" s="10"/>
      <c r="D117" s="29"/>
      <c r="E117" s="566" t="s">
        <v>11</v>
      </c>
      <c r="F117" s="567" t="s">
        <v>1048</v>
      </c>
      <c r="G117" s="325">
        <f>G101</f>
        <v>3.9508552799999999</v>
      </c>
      <c r="H117" s="325">
        <f t="shared" ref="H117:AF117" si="29">H101</f>
        <v>4.2497729089999998</v>
      </c>
      <c r="I117" s="325">
        <f t="shared" si="29"/>
        <v>5.0895666185599993</v>
      </c>
      <c r="J117" s="325">
        <f t="shared" si="29"/>
        <v>6.0503774180499983</v>
      </c>
      <c r="K117" s="325">
        <f t="shared" si="29"/>
        <v>6.4394082612499988</v>
      </c>
      <c r="L117" s="325">
        <f t="shared" si="29"/>
        <v>7.9245390822727542</v>
      </c>
      <c r="M117" s="325">
        <f t="shared" si="29"/>
        <v>7.9245390822727524</v>
      </c>
      <c r="N117" s="325">
        <f t="shared" si="29"/>
        <v>7.9245390822727542</v>
      </c>
      <c r="O117" s="325">
        <f t="shared" si="29"/>
        <v>7.9245390822727533</v>
      </c>
      <c r="P117" s="325">
        <f t="shared" si="29"/>
        <v>7.9245390822727542</v>
      </c>
      <c r="Q117" s="325">
        <f t="shared" si="29"/>
        <v>7.9245390822727533</v>
      </c>
      <c r="R117" s="325">
        <f t="shared" si="29"/>
        <v>7.7040643280932235</v>
      </c>
      <c r="S117" s="325">
        <f t="shared" si="29"/>
        <v>7.5428740510054375</v>
      </c>
      <c r="T117" s="325">
        <f t="shared" si="29"/>
        <v>7.4288216250548311</v>
      </c>
      <c r="U117" s="325">
        <f t="shared" si="29"/>
        <v>7.2918533006053305</v>
      </c>
      <c r="V117" s="325">
        <f t="shared" si="29"/>
        <v>6.8725383217574079</v>
      </c>
      <c r="W117" s="325">
        <f t="shared" si="29"/>
        <v>6.1092320442362009</v>
      </c>
      <c r="X117" s="325">
        <f t="shared" si="29"/>
        <v>5.1199079506909477</v>
      </c>
      <c r="Y117" s="325">
        <f t="shared" si="29"/>
        <v>4.3311546587347163</v>
      </c>
      <c r="Z117" s="325">
        <f t="shared" si="29"/>
        <v>3.9042756106600809</v>
      </c>
      <c r="AA117" s="325">
        <f t="shared" si="29"/>
        <v>3.3236133815912274</v>
      </c>
      <c r="AB117" s="325">
        <f t="shared" si="29"/>
        <v>2.3853568935530132</v>
      </c>
      <c r="AC117" s="325">
        <f t="shared" si="29"/>
        <v>0.84162987310065884</v>
      </c>
      <c r="AD117" s="325">
        <f t="shared" si="29"/>
        <v>0.50688730032510243</v>
      </c>
      <c r="AE117" s="325">
        <f t="shared" si="29"/>
        <v>0.21674969820259959</v>
      </c>
      <c r="AF117" s="326">
        <f t="shared" si="29"/>
        <v>0</v>
      </c>
    </row>
    <row r="118" spans="1:32" s="294" customFormat="1">
      <c r="A118" s="553">
        <v>118</v>
      </c>
      <c r="C118" s="10"/>
      <c r="D118" s="29"/>
      <c r="E118" s="566" t="s">
        <v>339</v>
      </c>
      <c r="F118" s="567" t="s">
        <v>1048</v>
      </c>
      <c r="G118" s="325">
        <f>G103</f>
        <v>4.1869800800000005</v>
      </c>
      <c r="H118" s="325">
        <f t="shared" ref="H118:AF118" si="30">H103</f>
        <v>4.4946196810000005</v>
      </c>
      <c r="I118" s="325">
        <f t="shared" si="30"/>
        <v>4.3533828439027991</v>
      </c>
      <c r="J118" s="325">
        <f t="shared" si="30"/>
        <v>5.3593675109834491</v>
      </c>
      <c r="K118" s="325">
        <f t="shared" si="30"/>
        <v>6.1037070259736002</v>
      </c>
      <c r="L118" s="325">
        <f t="shared" si="30"/>
        <v>6.0139168669547871</v>
      </c>
      <c r="M118" s="325">
        <f t="shared" si="30"/>
        <v>5.9784568806193468</v>
      </c>
      <c r="N118" s="325">
        <f t="shared" si="30"/>
        <v>5.9311768988387614</v>
      </c>
      <c r="O118" s="325">
        <f t="shared" si="30"/>
        <v>5.8720769216130293</v>
      </c>
      <c r="P118" s="325">
        <f t="shared" si="30"/>
        <v>5.7072762129233041</v>
      </c>
      <c r="Q118" s="325">
        <f t="shared" si="30"/>
        <v>5.5322549090503328</v>
      </c>
      <c r="R118" s="325">
        <f t="shared" si="30"/>
        <v>5.2442237337911122</v>
      </c>
      <c r="S118" s="325">
        <f t="shared" si="30"/>
        <v>4.8907078366197974</v>
      </c>
      <c r="T118" s="325">
        <f t="shared" si="30"/>
        <v>4.5021302757619548</v>
      </c>
      <c r="U118" s="325">
        <f t="shared" si="30"/>
        <v>4.1498757420585815</v>
      </c>
      <c r="V118" s="325">
        <f t="shared" si="30"/>
        <v>3.8471909163520843</v>
      </c>
      <c r="W118" s="325">
        <f t="shared" si="30"/>
        <v>3.6009016566231895</v>
      </c>
      <c r="X118" s="325">
        <f t="shared" si="30"/>
        <v>3.362416669808018</v>
      </c>
      <c r="Y118" s="325">
        <f t="shared" si="30"/>
        <v>2.9646729463510626</v>
      </c>
      <c r="Z118" s="325">
        <f t="shared" si="30"/>
        <v>2.755600394248884</v>
      </c>
      <c r="AA118" s="325">
        <f t="shared" si="30"/>
        <v>2.3480851114899872</v>
      </c>
      <c r="AB118" s="325">
        <f t="shared" si="30"/>
        <v>1.9718168299157017</v>
      </c>
      <c r="AC118" s="325">
        <f t="shared" si="30"/>
        <v>1.4793229511201422</v>
      </c>
      <c r="AD118" s="325">
        <f t="shared" si="30"/>
        <v>0.78191609611789203</v>
      </c>
      <c r="AE118" s="325">
        <f t="shared" si="30"/>
        <v>0.48002531726640046</v>
      </c>
      <c r="AF118" s="326">
        <f t="shared" si="30"/>
        <v>0</v>
      </c>
    </row>
    <row r="119" spans="1:32" s="294" customFormat="1">
      <c r="A119" s="553">
        <v>119</v>
      </c>
      <c r="C119" s="10"/>
      <c r="D119" s="29"/>
      <c r="E119" s="566" t="s">
        <v>340</v>
      </c>
      <c r="F119" s="567" t="s">
        <v>1048</v>
      </c>
      <c r="G119" s="325">
        <f t="shared" ref="G119:AF119" si="31">G104</f>
        <v>9.8100000000000007E-2</v>
      </c>
      <c r="H119" s="325">
        <f t="shared" si="31"/>
        <v>0.17201868399999998</v>
      </c>
      <c r="I119" s="325">
        <f t="shared" si="31"/>
        <v>0.21721885938639998</v>
      </c>
      <c r="J119" s="325">
        <f t="shared" si="31"/>
        <v>0.47161680655509991</v>
      </c>
      <c r="K119" s="325">
        <f t="shared" si="31"/>
        <v>1.4138436736538</v>
      </c>
      <c r="L119" s="325">
        <f t="shared" si="31"/>
        <v>0.72095677622526411</v>
      </c>
      <c r="M119" s="325">
        <f t="shared" si="31"/>
        <v>0.72095677622526411</v>
      </c>
      <c r="N119" s="325">
        <f t="shared" si="31"/>
        <v>0.72095677622526411</v>
      </c>
      <c r="O119" s="325">
        <f t="shared" si="31"/>
        <v>0.72095677622526411</v>
      </c>
      <c r="P119" s="325">
        <f t="shared" si="31"/>
        <v>0.72095677622526411</v>
      </c>
      <c r="Q119" s="325">
        <f t="shared" si="31"/>
        <v>0.72095677622526411</v>
      </c>
      <c r="R119" s="325">
        <f t="shared" si="31"/>
        <v>0.70779873025242745</v>
      </c>
      <c r="S119" s="325">
        <f t="shared" si="31"/>
        <v>0.67015409610936971</v>
      </c>
      <c r="T119" s="325">
        <f t="shared" si="31"/>
        <v>0.5886254876290351</v>
      </c>
      <c r="U119" s="325">
        <f t="shared" si="31"/>
        <v>0.54948030085984612</v>
      </c>
      <c r="V119" s="325">
        <f t="shared" si="31"/>
        <v>0.41959031199187452</v>
      </c>
      <c r="W119" s="325">
        <f t="shared" si="31"/>
        <v>0.18563002464811498</v>
      </c>
      <c r="X119" s="325">
        <f t="shared" si="31"/>
        <v>0.13008602678610678</v>
      </c>
      <c r="Y119" s="325">
        <f t="shared" si="31"/>
        <v>0.12996373387338628</v>
      </c>
      <c r="Z119" s="325">
        <f t="shared" si="31"/>
        <v>0.12978628925492908</v>
      </c>
      <c r="AA119" s="325">
        <f t="shared" si="31"/>
        <v>0.12428980987762621</v>
      </c>
      <c r="AB119" s="325">
        <f t="shared" si="31"/>
        <v>0.1175033883274389</v>
      </c>
      <c r="AC119" s="325">
        <f t="shared" si="31"/>
        <v>0.10084376585622522</v>
      </c>
      <c r="AD119" s="325">
        <f t="shared" si="31"/>
        <v>8.893242401487135E-2</v>
      </c>
      <c r="AE119" s="325">
        <f t="shared" si="31"/>
        <v>5.5540165577103222E-2</v>
      </c>
      <c r="AF119" s="326">
        <f t="shared" si="31"/>
        <v>0</v>
      </c>
    </row>
    <row r="120" spans="1:32" s="294" customFormat="1">
      <c r="A120" s="553">
        <v>120</v>
      </c>
      <c r="C120" s="10"/>
      <c r="D120" s="29"/>
      <c r="E120" s="568" t="s">
        <v>530</v>
      </c>
      <c r="F120" s="569" t="s">
        <v>1048</v>
      </c>
      <c r="G120" s="302">
        <f t="shared" ref="G120:AF120" si="32">G105</f>
        <v>3.8826109599999996</v>
      </c>
      <c r="H120" s="302">
        <f t="shared" si="32"/>
        <v>8.0206210149999997</v>
      </c>
      <c r="I120" s="302">
        <f t="shared" si="32"/>
        <v>8.7892939436962809</v>
      </c>
      <c r="J120" s="302">
        <f t="shared" si="32"/>
        <v>10.302513792381449</v>
      </c>
      <c r="K120" s="302">
        <f t="shared" si="32"/>
        <v>10.72971006440835</v>
      </c>
      <c r="L120" s="302">
        <f t="shared" si="32"/>
        <v>9.8992046007707302</v>
      </c>
      <c r="M120" s="302">
        <f t="shared" si="32"/>
        <v>9.8992046007707302</v>
      </c>
      <c r="N120" s="302">
        <f t="shared" si="32"/>
        <v>9.8992046007707302</v>
      </c>
      <c r="O120" s="302">
        <f t="shared" si="32"/>
        <v>9.8992046007707302</v>
      </c>
      <c r="P120" s="302">
        <f t="shared" si="32"/>
        <v>9.8992046007707302</v>
      </c>
      <c r="Q120" s="302">
        <f t="shared" si="32"/>
        <v>9.8992046007707302</v>
      </c>
      <c r="R120" s="302">
        <f t="shared" si="32"/>
        <v>9.8743231184046909</v>
      </c>
      <c r="S120" s="302">
        <f t="shared" si="32"/>
        <v>9.8339025269570541</v>
      </c>
      <c r="T120" s="302">
        <f t="shared" si="32"/>
        <v>9.7918998861958393</v>
      </c>
      <c r="U120" s="302">
        <f t="shared" si="32"/>
        <v>9.7368305315089039</v>
      </c>
      <c r="V120" s="302">
        <f t="shared" si="32"/>
        <v>9.4203080911896588</v>
      </c>
      <c r="W120" s="302">
        <f t="shared" si="32"/>
        <v>8.9956933481227033</v>
      </c>
      <c r="X120" s="302">
        <f t="shared" si="32"/>
        <v>8.6231614633896339</v>
      </c>
      <c r="Y120" s="302">
        <f t="shared" si="32"/>
        <v>8.0972890432583959</v>
      </c>
      <c r="Z120" s="302">
        <f t="shared" si="32"/>
        <v>7.306332544077935</v>
      </c>
      <c r="AA120" s="302">
        <f t="shared" si="32"/>
        <v>5.6871387273907805</v>
      </c>
      <c r="AB120" s="302">
        <f t="shared" si="32"/>
        <v>3.344398325548267</v>
      </c>
      <c r="AC120" s="302">
        <f t="shared" si="32"/>
        <v>1.5096140003144618</v>
      </c>
      <c r="AD120" s="302">
        <f t="shared" si="32"/>
        <v>0.41258647705966339</v>
      </c>
      <c r="AE120" s="302">
        <f t="shared" si="32"/>
        <v>0.12207424266830158</v>
      </c>
      <c r="AF120" s="55">
        <f t="shared" si="32"/>
        <v>0</v>
      </c>
    </row>
    <row r="121" spans="1:32" s="294" customFormat="1">
      <c r="A121" s="553">
        <v>121</v>
      </c>
      <c r="C121" s="10"/>
      <c r="D121" s="29"/>
      <c r="E121" s="564" t="s">
        <v>758</v>
      </c>
      <c r="F121" s="567"/>
      <c r="G121" s="325">
        <f>G106+G107+G109</f>
        <v>0</v>
      </c>
      <c r="H121" s="325">
        <f t="shared" ref="H121:AF121" si="33">H106+H107+H109</f>
        <v>0</v>
      </c>
      <c r="I121" s="325">
        <f t="shared" si="33"/>
        <v>0</v>
      </c>
      <c r="J121" s="325">
        <f t="shared" si="33"/>
        <v>0</v>
      </c>
      <c r="K121" s="325">
        <f t="shared" si="33"/>
        <v>0</v>
      </c>
      <c r="L121" s="325">
        <f t="shared" si="33"/>
        <v>4.9914115934987791E-3</v>
      </c>
      <c r="M121" s="325">
        <f t="shared" si="33"/>
        <v>1.2991418964400495E-2</v>
      </c>
      <c r="N121" s="325">
        <f t="shared" si="33"/>
        <v>1.7733420130475654E-2</v>
      </c>
      <c r="O121" s="325">
        <f t="shared" si="33"/>
        <v>2.3995354307607672E-2</v>
      </c>
      <c r="P121" s="325">
        <f t="shared" si="33"/>
        <v>3.1842602358881235E-2</v>
      </c>
      <c r="Q121" s="325">
        <f t="shared" si="33"/>
        <v>4.1446914331879525E-2</v>
      </c>
      <c r="R121" s="325">
        <f t="shared" si="33"/>
        <v>4.7734108875280248E-2</v>
      </c>
      <c r="S121" s="325">
        <f t="shared" si="33"/>
        <v>4.7734108875280248E-2</v>
      </c>
      <c r="T121" s="325">
        <f t="shared" si="33"/>
        <v>4.7734108875280248E-2</v>
      </c>
      <c r="U121" s="325">
        <f t="shared" si="33"/>
        <v>4.7734108875280248E-2</v>
      </c>
      <c r="V121" s="325">
        <f t="shared" si="33"/>
        <v>4.7734108875280248E-2</v>
      </c>
      <c r="W121" s="325">
        <f t="shared" si="33"/>
        <v>4.7734108875280248E-2</v>
      </c>
      <c r="X121" s="325">
        <f t="shared" si="33"/>
        <v>4.7734108875280248E-2</v>
      </c>
      <c r="Y121" s="325">
        <f t="shared" si="33"/>
        <v>4.7734108875280248E-2</v>
      </c>
      <c r="Z121" s="325">
        <f t="shared" si="33"/>
        <v>4.7734108875280248E-2</v>
      </c>
      <c r="AA121" s="325">
        <f t="shared" si="33"/>
        <v>4.7734108875280248E-2</v>
      </c>
      <c r="AB121" s="325">
        <f t="shared" si="33"/>
        <v>4.7734108875280248E-2</v>
      </c>
      <c r="AC121" s="325">
        <f t="shared" si="33"/>
        <v>4.7734108875280248E-2</v>
      </c>
      <c r="AD121" s="325">
        <f t="shared" si="33"/>
        <v>4.7734108875280248E-2</v>
      </c>
      <c r="AE121" s="325">
        <f t="shared" si="33"/>
        <v>4.7734108875280248E-2</v>
      </c>
      <c r="AF121" s="326">
        <f t="shared" si="33"/>
        <v>4.7734108875280248E-2</v>
      </c>
    </row>
    <row r="122" spans="1:32" s="294" customFormat="1">
      <c r="A122" s="553">
        <v>122</v>
      </c>
      <c r="C122" s="10"/>
      <c r="D122" s="29"/>
      <c r="E122" s="566" t="s">
        <v>11</v>
      </c>
      <c r="F122" s="567"/>
      <c r="G122" s="325">
        <f>G108</f>
        <v>0</v>
      </c>
      <c r="H122" s="325">
        <f t="shared" ref="H122:AF122" si="34">H108</f>
        <v>0</v>
      </c>
      <c r="I122" s="325">
        <f t="shared" si="34"/>
        <v>0</v>
      </c>
      <c r="J122" s="325">
        <f t="shared" si="34"/>
        <v>0</v>
      </c>
      <c r="K122" s="325">
        <f t="shared" si="34"/>
        <v>0</v>
      </c>
      <c r="L122" s="325">
        <f t="shared" si="34"/>
        <v>6.0742736485813265E-3</v>
      </c>
      <c r="M122" s="325">
        <f t="shared" si="34"/>
        <v>8.8259144462781311E-2</v>
      </c>
      <c r="N122" s="325">
        <f t="shared" si="34"/>
        <v>0.25560490304158434</v>
      </c>
      <c r="O122" s="325">
        <f t="shared" si="34"/>
        <v>0.48193074197835051</v>
      </c>
      <c r="P122" s="325">
        <f t="shared" si="34"/>
        <v>0.68894389299283953</v>
      </c>
      <c r="Q122" s="325">
        <f t="shared" si="34"/>
        <v>0.82699182048282049</v>
      </c>
      <c r="R122" s="325">
        <f t="shared" si="34"/>
        <v>0.9397226635598287</v>
      </c>
      <c r="S122" s="325">
        <f t="shared" si="34"/>
        <v>0.99976816013236736</v>
      </c>
      <c r="T122" s="325">
        <f t="shared" si="34"/>
        <v>1.027428173389463</v>
      </c>
      <c r="U122" s="325">
        <f t="shared" si="34"/>
        <v>1.0569410260549332</v>
      </c>
      <c r="V122" s="325">
        <f t="shared" si="34"/>
        <v>1.0882914157458172</v>
      </c>
      <c r="W122" s="325">
        <f t="shared" si="34"/>
        <v>1.1758611437977615</v>
      </c>
      <c r="X122" s="325">
        <f t="shared" si="34"/>
        <v>1.317873460112426</v>
      </c>
      <c r="Y122" s="325">
        <f t="shared" si="34"/>
        <v>1.4584618806127527</v>
      </c>
      <c r="Z122" s="325">
        <f t="shared" si="34"/>
        <v>1.5976306498485606</v>
      </c>
      <c r="AA122" s="325">
        <f t="shared" si="34"/>
        <v>1.7353864046637937</v>
      </c>
      <c r="AB122" s="325">
        <f t="shared" si="34"/>
        <v>1.8717371647071475</v>
      </c>
      <c r="AC122" s="325">
        <f t="shared" si="34"/>
        <v>2.0066917754961673</v>
      </c>
      <c r="AD122" s="325">
        <f t="shared" si="34"/>
        <v>2.1402595840175485</v>
      </c>
      <c r="AE122" s="325">
        <f t="shared" si="34"/>
        <v>2.2724502411511009</v>
      </c>
      <c r="AF122" s="326">
        <f t="shared" si="34"/>
        <v>2.4049413739745349</v>
      </c>
    </row>
    <row r="123" spans="1:32" s="294" customFormat="1">
      <c r="A123" s="553">
        <v>123</v>
      </c>
      <c r="C123" s="10"/>
      <c r="D123" s="29"/>
      <c r="E123" s="566" t="s">
        <v>339</v>
      </c>
      <c r="F123" s="570"/>
      <c r="G123" s="325">
        <f>G110</f>
        <v>0</v>
      </c>
      <c r="H123" s="325">
        <f t="shared" ref="H123:AF123" si="35">H110</f>
        <v>0</v>
      </c>
      <c r="I123" s="325">
        <f t="shared" si="35"/>
        <v>0</v>
      </c>
      <c r="J123" s="325">
        <f t="shared" si="35"/>
        <v>0</v>
      </c>
      <c r="K123" s="325">
        <f t="shared" si="35"/>
        <v>0</v>
      </c>
      <c r="L123" s="325">
        <f t="shared" si="35"/>
        <v>0.25442411616026367</v>
      </c>
      <c r="M123" s="325">
        <f t="shared" si="35"/>
        <v>0.84890213463769837</v>
      </c>
      <c r="N123" s="325">
        <f t="shared" si="35"/>
        <v>1.5536695012958703</v>
      </c>
      <c r="O123" s="325">
        <f t="shared" si="35"/>
        <v>2.1441042857753385</v>
      </c>
      <c r="P123" s="325">
        <f t="shared" si="35"/>
        <v>2.4482716092426755</v>
      </c>
      <c r="Q123" s="325">
        <f t="shared" si="35"/>
        <v>2.6225815087148665</v>
      </c>
      <c r="R123" s="325">
        <f t="shared" si="35"/>
        <v>2.8139626446335786</v>
      </c>
      <c r="S123" s="325">
        <f t="shared" si="35"/>
        <v>3.0379960967466269</v>
      </c>
      <c r="T123" s="325">
        <f t="shared" si="35"/>
        <v>3.3284063786423865</v>
      </c>
      <c r="U123" s="325">
        <f t="shared" si="35"/>
        <v>3.653771396839141</v>
      </c>
      <c r="V123" s="325">
        <f t="shared" si="35"/>
        <v>3.9874592271862723</v>
      </c>
      <c r="W123" s="325">
        <f t="shared" si="35"/>
        <v>4.3289000836920444</v>
      </c>
      <c r="X123" s="325">
        <f t="shared" si="35"/>
        <v>4.6706866090541279</v>
      </c>
      <c r="Y123" s="325">
        <f t="shared" si="35"/>
        <v>5.0097808247696456</v>
      </c>
      <c r="Z123" s="325">
        <f t="shared" si="35"/>
        <v>5.3446726963207158</v>
      </c>
      <c r="AA123" s="325">
        <f t="shared" si="35"/>
        <v>5.6745193622538048</v>
      </c>
      <c r="AB123" s="325">
        <f t="shared" si="35"/>
        <v>5.998811416445279</v>
      </c>
      <c r="AC123" s="325">
        <f t="shared" si="35"/>
        <v>6.3172222665626432</v>
      </c>
      <c r="AD123" s="325">
        <f t="shared" si="35"/>
        <v>6.6295326180239345</v>
      </c>
      <c r="AE123" s="325">
        <f t="shared" si="35"/>
        <v>6.9355895719558669</v>
      </c>
      <c r="AF123" s="326">
        <f t="shared" si="35"/>
        <v>7.2394037431891238</v>
      </c>
    </row>
    <row r="124" spans="1:32" s="294" customFormat="1">
      <c r="A124" s="553">
        <v>124</v>
      </c>
      <c r="C124" s="10"/>
      <c r="D124" s="29"/>
      <c r="E124" s="566" t="s">
        <v>340</v>
      </c>
      <c r="F124" s="570"/>
      <c r="G124" s="325">
        <f t="shared" ref="G124:AF124" si="36">G111</f>
        <v>0</v>
      </c>
      <c r="H124" s="325">
        <f t="shared" si="36"/>
        <v>0</v>
      </c>
      <c r="I124" s="325">
        <f t="shared" si="36"/>
        <v>0</v>
      </c>
      <c r="J124" s="325">
        <f t="shared" si="36"/>
        <v>0</v>
      </c>
      <c r="K124" s="325">
        <f t="shared" si="36"/>
        <v>0</v>
      </c>
      <c r="L124" s="325">
        <f t="shared" si="36"/>
        <v>0.66486814997484556</v>
      </c>
      <c r="M124" s="325">
        <f t="shared" si="36"/>
        <v>1.5720795806931604</v>
      </c>
      <c r="N124" s="325">
        <f t="shared" si="36"/>
        <v>2.2561036336235185</v>
      </c>
      <c r="O124" s="325">
        <f t="shared" si="36"/>
        <v>2.9452660263885782</v>
      </c>
      <c r="P124" s="325">
        <f t="shared" si="36"/>
        <v>3.5465966465902672</v>
      </c>
      <c r="Q124" s="325">
        <f t="shared" si="36"/>
        <v>3.9011229551727005</v>
      </c>
      <c r="R124" s="325">
        <f t="shared" si="36"/>
        <v>3.8890131951727005</v>
      </c>
      <c r="S124" s="325">
        <f t="shared" si="36"/>
        <v>3.920172773211279</v>
      </c>
      <c r="T124" s="325">
        <f t="shared" si="36"/>
        <v>4.0911214258463433</v>
      </c>
      <c r="U124" s="325">
        <f t="shared" si="36"/>
        <v>4.074514220733823</v>
      </c>
      <c r="V124" s="325">
        <f t="shared" si="36"/>
        <v>4.1723897596952302</v>
      </c>
      <c r="W124" s="325">
        <f t="shared" si="36"/>
        <v>4.0754538510520595</v>
      </c>
      <c r="X124" s="325">
        <f t="shared" si="36"/>
        <v>3.4602216749682242</v>
      </c>
      <c r="Y124" s="325">
        <f t="shared" si="36"/>
        <v>3.4344683918618264</v>
      </c>
      <c r="Z124" s="325">
        <f t="shared" si="36"/>
        <v>3.1633228389206365</v>
      </c>
      <c r="AA124" s="325">
        <f t="shared" si="36"/>
        <v>3.4372944542200714</v>
      </c>
      <c r="AB124" s="325">
        <f t="shared" si="36"/>
        <v>3.7242598376707723</v>
      </c>
      <c r="AC124" s="325">
        <f t="shared" si="36"/>
        <v>4.0312773374037274</v>
      </c>
      <c r="AD124" s="325">
        <f t="shared" si="36"/>
        <v>4.3409947148465049</v>
      </c>
      <c r="AE124" s="325">
        <f t="shared" si="36"/>
        <v>4.3462921531603884</v>
      </c>
      <c r="AF124" s="326">
        <f t="shared" si="36"/>
        <v>4.302530836332255</v>
      </c>
    </row>
    <row r="125" spans="1:32" s="294" customFormat="1">
      <c r="A125" s="553">
        <v>125</v>
      </c>
      <c r="C125" s="10"/>
      <c r="D125" s="29"/>
      <c r="E125" s="568" t="s">
        <v>530</v>
      </c>
      <c r="F125" s="571"/>
      <c r="G125" s="302">
        <f t="shared" ref="G125:AF125" si="37">G112</f>
        <v>0</v>
      </c>
      <c r="H125" s="302">
        <f t="shared" si="37"/>
        <v>0</v>
      </c>
      <c r="I125" s="302">
        <f t="shared" si="37"/>
        <v>0</v>
      </c>
      <c r="J125" s="302">
        <f t="shared" si="37"/>
        <v>0</v>
      </c>
      <c r="K125" s="302">
        <f t="shared" si="37"/>
        <v>0</v>
      </c>
      <c r="L125" s="302">
        <f t="shared" si="37"/>
        <v>5.6523825593931258E-2</v>
      </c>
      <c r="M125" s="302">
        <f t="shared" si="37"/>
        <v>0.15985948955445498</v>
      </c>
      <c r="N125" s="302">
        <f t="shared" si="37"/>
        <v>0.34380285129378069</v>
      </c>
      <c r="O125" s="302">
        <f t="shared" si="37"/>
        <v>0.54191449460515329</v>
      </c>
      <c r="P125" s="302">
        <f t="shared" si="37"/>
        <v>0.79846765924135776</v>
      </c>
      <c r="Q125" s="302">
        <f t="shared" si="37"/>
        <v>1.0929147690033234</v>
      </c>
      <c r="R125" s="302">
        <f t="shared" si="37"/>
        <v>1.4160866404763741</v>
      </c>
      <c r="S125" s="302">
        <f t="shared" si="37"/>
        <v>1.7671368144275414</v>
      </c>
      <c r="T125" s="302">
        <f t="shared" si="37"/>
        <v>2.0333828095337916</v>
      </c>
      <c r="U125" s="302">
        <f t="shared" si="37"/>
        <v>2.2309284829355893</v>
      </c>
      <c r="V125" s="302">
        <f t="shared" si="37"/>
        <v>2.4212784293823311</v>
      </c>
      <c r="W125" s="302">
        <f t="shared" si="37"/>
        <v>2.5904816033847977</v>
      </c>
      <c r="X125" s="302">
        <f t="shared" si="37"/>
        <v>2.7364313196367767</v>
      </c>
      <c r="Y125" s="302">
        <f t="shared" si="37"/>
        <v>2.8783928039280111</v>
      </c>
      <c r="Z125" s="302">
        <f t="shared" si="37"/>
        <v>3.0164604727183035</v>
      </c>
      <c r="AA125" s="302">
        <f t="shared" si="37"/>
        <v>3.1507470337560299</v>
      </c>
      <c r="AB125" s="302">
        <f t="shared" si="37"/>
        <v>3.2814651525700644</v>
      </c>
      <c r="AC125" s="302">
        <f t="shared" si="37"/>
        <v>3.4086233758637685</v>
      </c>
      <c r="AD125" s="302">
        <f t="shared" si="37"/>
        <v>3.5321009646057062</v>
      </c>
      <c r="AE125" s="302">
        <f t="shared" si="37"/>
        <v>3.6520198912842603</v>
      </c>
      <c r="AF125" s="55">
        <f t="shared" si="37"/>
        <v>3.7692114360584315</v>
      </c>
    </row>
    <row r="126" spans="1:32" s="294" customFormat="1">
      <c r="A126" s="553">
        <v>126</v>
      </c>
      <c r="C126" s="10"/>
      <c r="D126" s="29"/>
      <c r="E126" s="29"/>
      <c r="F126" s="36"/>
      <c r="G126" s="324"/>
      <c r="H126" s="324"/>
      <c r="I126" s="324"/>
      <c r="J126" s="324"/>
      <c r="K126" s="324"/>
      <c r="L126" s="324"/>
      <c r="M126" s="324"/>
      <c r="N126" s="324"/>
      <c r="O126" s="324"/>
      <c r="P126" s="324"/>
      <c r="Q126" s="324"/>
      <c r="R126" s="324"/>
      <c r="S126" s="324"/>
      <c r="T126" s="324"/>
      <c r="U126" s="324"/>
      <c r="V126" s="324"/>
      <c r="W126" s="324"/>
      <c r="X126" s="324"/>
      <c r="Y126" s="324"/>
      <c r="Z126" s="324"/>
      <c r="AA126" s="324"/>
      <c r="AB126" s="324"/>
      <c r="AC126" s="324"/>
      <c r="AD126" s="324"/>
      <c r="AE126" s="324"/>
      <c r="AF126" s="324"/>
    </row>
    <row r="127" spans="1:32" s="294" customFormat="1">
      <c r="A127" s="553">
        <v>127</v>
      </c>
      <c r="C127" s="10"/>
      <c r="D127" s="29"/>
      <c r="E127" s="29"/>
      <c r="F127" s="36"/>
      <c r="G127" s="324"/>
      <c r="H127" s="324"/>
      <c r="I127" s="324"/>
      <c r="J127" s="324"/>
      <c r="K127" s="324"/>
      <c r="L127" s="324"/>
      <c r="M127" s="324"/>
      <c r="N127" s="324"/>
      <c r="O127" s="324"/>
      <c r="P127" s="324"/>
      <c r="Q127" s="324"/>
      <c r="R127" s="324"/>
      <c r="S127" s="324"/>
      <c r="T127" s="324"/>
      <c r="U127" s="324"/>
      <c r="V127" s="324"/>
      <c r="W127" s="324"/>
      <c r="X127" s="324"/>
      <c r="Y127" s="324"/>
      <c r="Z127" s="324"/>
      <c r="AA127" s="324"/>
      <c r="AB127" s="324"/>
      <c r="AC127" s="324"/>
      <c r="AD127" s="324"/>
      <c r="AE127" s="324"/>
      <c r="AF127" s="324"/>
    </row>
    <row r="128" spans="1:32" s="294" customFormat="1">
      <c r="A128" s="553">
        <v>128</v>
      </c>
      <c r="C128" s="10"/>
      <c r="D128" s="29"/>
      <c r="E128" s="29"/>
      <c r="F128" s="36"/>
      <c r="G128" s="324"/>
      <c r="H128" s="324"/>
      <c r="I128" s="573"/>
      <c r="J128" s="324"/>
      <c r="K128" s="324"/>
      <c r="L128" s="324"/>
      <c r="M128" s="324"/>
      <c r="N128" s="324"/>
      <c r="O128" s="324"/>
      <c r="P128" s="324"/>
      <c r="Q128" s="324"/>
      <c r="R128" s="324"/>
      <c r="S128" s="324"/>
      <c r="T128" s="324"/>
      <c r="U128" s="324"/>
      <c r="V128" s="324"/>
      <c r="W128" s="324"/>
      <c r="X128" s="324"/>
      <c r="Y128" s="324"/>
      <c r="Z128" s="324"/>
      <c r="AA128" s="324"/>
      <c r="AB128" s="324"/>
      <c r="AC128" s="324"/>
      <c r="AD128" s="324"/>
      <c r="AE128" s="324"/>
      <c r="AF128" s="324"/>
    </row>
    <row r="129" spans="1:35" s="294" customFormat="1">
      <c r="A129" s="553">
        <v>129</v>
      </c>
      <c r="C129" s="10"/>
      <c r="D129" s="29"/>
      <c r="E129" s="29"/>
      <c r="F129" s="36"/>
      <c r="G129" s="324"/>
      <c r="H129" s="324"/>
      <c r="I129" s="573"/>
      <c r="J129" s="324"/>
      <c r="K129" s="324"/>
      <c r="L129" s="324"/>
      <c r="M129" s="324"/>
      <c r="N129" s="324"/>
      <c r="O129" s="324"/>
      <c r="P129" s="324"/>
      <c r="Q129" s="324"/>
      <c r="R129" s="324"/>
      <c r="S129" s="324"/>
      <c r="T129" s="324"/>
      <c r="U129" s="324"/>
      <c r="V129" s="324"/>
      <c r="W129" s="324"/>
      <c r="X129" s="324"/>
      <c r="Y129" s="324"/>
      <c r="Z129" s="324"/>
      <c r="AA129" s="324"/>
      <c r="AB129" s="324"/>
      <c r="AC129" s="324"/>
      <c r="AD129" s="324"/>
      <c r="AE129" s="324"/>
      <c r="AF129" s="324"/>
    </row>
    <row r="130" spans="1:35" s="294" customFormat="1">
      <c r="A130" s="553">
        <v>130</v>
      </c>
      <c r="C130" s="10"/>
      <c r="D130" s="29"/>
      <c r="E130" s="29"/>
      <c r="F130" s="192" t="s">
        <v>766</v>
      </c>
      <c r="G130" s="324"/>
      <c r="H130" s="324"/>
      <c r="I130" s="324"/>
      <c r="J130" s="324"/>
      <c r="K130" s="324"/>
      <c r="L130" s="324"/>
      <c r="M130" s="324"/>
      <c r="N130" s="324"/>
      <c r="O130" s="324"/>
      <c r="P130" s="324"/>
      <c r="Q130" s="324"/>
      <c r="R130" s="324"/>
      <c r="S130" s="324"/>
      <c r="T130" s="324"/>
      <c r="U130" s="324"/>
      <c r="V130" s="324"/>
      <c r="W130" s="324"/>
      <c r="X130" s="324"/>
      <c r="Y130" s="324"/>
      <c r="Z130" s="324"/>
      <c r="AA130" s="324"/>
      <c r="AB130" s="324"/>
      <c r="AC130" s="324"/>
      <c r="AD130" s="324"/>
      <c r="AE130" s="324"/>
      <c r="AF130" s="324"/>
    </row>
    <row r="131" spans="1:35" s="294" customFormat="1">
      <c r="A131" s="553">
        <v>131</v>
      </c>
      <c r="C131" s="10"/>
      <c r="D131" s="29"/>
      <c r="E131" s="560"/>
      <c r="F131" s="561"/>
      <c r="G131" s="562">
        <v>2010</v>
      </c>
      <c r="H131" s="562">
        <v>2011</v>
      </c>
      <c r="I131" s="562">
        <v>2012</v>
      </c>
      <c r="J131" s="562">
        <v>2013</v>
      </c>
      <c r="K131" s="562">
        <v>2014</v>
      </c>
      <c r="L131" s="562">
        <v>2015</v>
      </c>
      <c r="M131" s="562">
        <v>2016</v>
      </c>
      <c r="N131" s="562">
        <v>2017</v>
      </c>
      <c r="O131" s="562">
        <v>2018</v>
      </c>
      <c r="P131" s="562">
        <v>2019</v>
      </c>
      <c r="Q131" s="562">
        <v>2020</v>
      </c>
      <c r="R131" s="562">
        <v>2021</v>
      </c>
      <c r="S131" s="562">
        <v>2022</v>
      </c>
      <c r="T131" s="562">
        <v>2023</v>
      </c>
      <c r="U131" s="562">
        <v>2024</v>
      </c>
      <c r="V131" s="562">
        <v>2025</v>
      </c>
      <c r="W131" s="562">
        <v>2026</v>
      </c>
      <c r="X131" s="562">
        <v>2027</v>
      </c>
      <c r="Y131" s="562">
        <v>2028</v>
      </c>
      <c r="Z131" s="562">
        <v>2029</v>
      </c>
      <c r="AA131" s="562">
        <v>2030</v>
      </c>
      <c r="AB131" s="562">
        <v>2031</v>
      </c>
      <c r="AC131" s="562">
        <v>2032</v>
      </c>
      <c r="AD131" s="562">
        <v>2033</v>
      </c>
      <c r="AE131" s="562">
        <v>2034</v>
      </c>
      <c r="AF131" s="563">
        <v>2035</v>
      </c>
      <c r="AH131" s="294" t="s">
        <v>209</v>
      </c>
      <c r="AI131" s="10"/>
    </row>
    <row r="132" spans="1:35" s="294" customFormat="1">
      <c r="A132" s="553">
        <v>132</v>
      </c>
      <c r="C132" s="10"/>
      <c r="D132" s="29"/>
      <c r="E132" s="564" t="s">
        <v>758</v>
      </c>
      <c r="F132" s="565" t="s">
        <v>1048</v>
      </c>
      <c r="G132" s="316">
        <f>IF(ControlPanel!$T$5="nominal",G116,G86)</f>
        <v>0.54889440999999994</v>
      </c>
      <c r="H132" s="316">
        <f>IF(ControlPanel!$T$5="nominal",H116,H86)</f>
        <v>0.18980264099999999</v>
      </c>
      <c r="I132" s="316">
        <f>IF(ControlPanel!$T$5="nominal",I116,I86)</f>
        <v>0.48820272557425998</v>
      </c>
      <c r="J132" s="316">
        <f>IF(ControlPanel!$T$5="nominal",J116,J86)</f>
        <v>0.61301588725074996</v>
      </c>
      <c r="K132" s="316">
        <f>IF(ControlPanel!$T$5="nominal",K116,K86)</f>
        <v>0.60642435829859997</v>
      </c>
      <c r="L132" s="316">
        <f>IF(ControlPanel!$T$5="nominal",L116,L86)</f>
        <v>0.73447194826254969</v>
      </c>
      <c r="M132" s="316">
        <f>IF(ControlPanel!$T$5="nominal",M116,M86)</f>
        <v>0.73447194826254969</v>
      </c>
      <c r="N132" s="316">
        <f>IF(ControlPanel!$T$5="nominal",N116,N86)</f>
        <v>0.73447194826254969</v>
      </c>
      <c r="O132" s="316">
        <f>IF(ControlPanel!$T$5="nominal",O116,O86)</f>
        <v>0.73447194826254969</v>
      </c>
      <c r="P132" s="316">
        <f>IF(ControlPanel!$T$5="nominal",P116,P86)</f>
        <v>0.73447194826254969</v>
      </c>
      <c r="Q132" s="316">
        <f>IF(ControlPanel!$T$5="nominal",Q116,Q86)</f>
        <v>0.73447194826254969</v>
      </c>
      <c r="R132" s="316">
        <f>IF(ControlPanel!$T$5="nominal",R116,R86)</f>
        <v>0.71244427810650712</v>
      </c>
      <c r="S132" s="316">
        <f>IF(ControlPanel!$T$5="nominal",S116,S86)</f>
        <v>0.70503788340212292</v>
      </c>
      <c r="T132" s="316">
        <f>IF(ControlPanel!$T$5="nominal",T116,T86)</f>
        <v>0.68617481858120644</v>
      </c>
      <c r="U132" s="316">
        <f>IF(ControlPanel!$T$5="nominal",U116,U86)</f>
        <v>0.66466866205843744</v>
      </c>
      <c r="V132" s="316">
        <f>IF(ControlPanel!$T$5="nominal",V116,V86)</f>
        <v>0.64463301785603477</v>
      </c>
      <c r="W132" s="316">
        <f>IF(ControlPanel!$T$5="nominal",W116,W86)</f>
        <v>0.64237580865388666</v>
      </c>
      <c r="X132" s="316">
        <f>IF(ControlPanel!$T$5="nominal",X116,X86)</f>
        <v>0.64055530761048152</v>
      </c>
      <c r="Y132" s="316">
        <f>IF(ControlPanel!$T$5="nominal",Y116,Y86)</f>
        <v>0.64028073158224885</v>
      </c>
      <c r="Z132" s="316">
        <f>IF(ControlPanel!$T$5="nominal",Z116,Z86)</f>
        <v>0.64005216266779408</v>
      </c>
      <c r="AA132" s="316">
        <f>IF(ControlPanel!$T$5="nominal",AA116,AA86)</f>
        <v>0.58105307518943095</v>
      </c>
      <c r="AB132" s="316">
        <f>IF(ControlPanel!$T$5="nominal",AB116,AB86)</f>
        <v>0.54378836761166227</v>
      </c>
      <c r="AC132" s="316">
        <f>IF(ControlPanel!$T$5="nominal",AC116,AC86)</f>
        <v>0.50896570919824857</v>
      </c>
      <c r="AD132" s="316">
        <f>IF(ControlPanel!$T$5="nominal",AD116,AD86)</f>
        <v>0.47192068473533527</v>
      </c>
      <c r="AE132" s="316">
        <f>IF(ControlPanel!$T$5="nominal",AE116,AE86)</f>
        <v>0.40858053479627798</v>
      </c>
      <c r="AF132" s="317">
        <f>IF(ControlPanel!$T$5="nominal",AF116,AF86)</f>
        <v>0.39783057582039583</v>
      </c>
      <c r="AH132" s="294" t="s">
        <v>209</v>
      </c>
    </row>
    <row r="133" spans="1:35" s="294" customFormat="1">
      <c r="A133" s="553">
        <v>133</v>
      </c>
      <c r="C133" s="10"/>
      <c r="D133" s="29"/>
      <c r="E133" s="566" t="s">
        <v>11</v>
      </c>
      <c r="F133" s="567" t="s">
        <v>1048</v>
      </c>
      <c r="G133" s="325">
        <f>IF(ControlPanel!$T$5="nominal",G117,G87)</f>
        <v>3.9508552799999999</v>
      </c>
      <c r="H133" s="325">
        <f>IF(ControlPanel!$T$5="nominal",H117,H87)</f>
        <v>4.2497729089999998</v>
      </c>
      <c r="I133" s="325">
        <f>IF(ControlPanel!$T$5="nominal",I117,I87)</f>
        <v>5.0895666185599993</v>
      </c>
      <c r="J133" s="325">
        <f>IF(ControlPanel!$T$5="nominal",J117,J87)</f>
        <v>6.0503774180499983</v>
      </c>
      <c r="K133" s="325">
        <f>IF(ControlPanel!$T$5="nominal",K117,K87)</f>
        <v>6.4394082612499988</v>
      </c>
      <c r="L133" s="325">
        <f>IF(ControlPanel!$T$5="nominal",L117,L87)</f>
        <v>7.9245390822727542</v>
      </c>
      <c r="M133" s="325">
        <f>IF(ControlPanel!$T$5="nominal",M117,M87)</f>
        <v>7.9245390822727524</v>
      </c>
      <c r="N133" s="325">
        <f>IF(ControlPanel!$T$5="nominal",N117,N87)</f>
        <v>7.9245390822727542</v>
      </c>
      <c r="O133" s="325">
        <f>IF(ControlPanel!$T$5="nominal",O117,O87)</f>
        <v>7.9245390822727533</v>
      </c>
      <c r="P133" s="325">
        <f>IF(ControlPanel!$T$5="nominal",P117,P87)</f>
        <v>7.9245390822727542</v>
      </c>
      <c r="Q133" s="325">
        <f>IF(ControlPanel!$T$5="nominal",Q117,Q87)</f>
        <v>7.9245390822727533</v>
      </c>
      <c r="R133" s="325">
        <f>IF(ControlPanel!$T$5="nominal",R117,R87)</f>
        <v>7.7040643280932235</v>
      </c>
      <c r="S133" s="325">
        <f>IF(ControlPanel!$T$5="nominal",S117,S87)</f>
        <v>7.5428740510054375</v>
      </c>
      <c r="T133" s="325">
        <f>IF(ControlPanel!$T$5="nominal",T117,T87)</f>
        <v>7.4288216250548311</v>
      </c>
      <c r="U133" s="325">
        <f>IF(ControlPanel!$T$5="nominal",U117,U87)</f>
        <v>7.2918533006053305</v>
      </c>
      <c r="V133" s="325">
        <f>IF(ControlPanel!$T$5="nominal",V117,V87)</f>
        <v>6.8725383217574079</v>
      </c>
      <c r="W133" s="325">
        <f>IF(ControlPanel!$T$5="nominal",W117,W87)</f>
        <v>6.1092320442362009</v>
      </c>
      <c r="X133" s="325">
        <f>IF(ControlPanel!$T$5="nominal",X117,X87)</f>
        <v>5.1199079506909477</v>
      </c>
      <c r="Y133" s="325">
        <f>IF(ControlPanel!$T$5="nominal",Y117,Y87)</f>
        <v>4.3311546587347163</v>
      </c>
      <c r="Z133" s="325">
        <f>IF(ControlPanel!$T$5="nominal",Z117,Z87)</f>
        <v>3.9042756106600809</v>
      </c>
      <c r="AA133" s="325">
        <f>IF(ControlPanel!$T$5="nominal",AA117,AA87)</f>
        <v>3.3236133815912274</v>
      </c>
      <c r="AB133" s="325">
        <f>IF(ControlPanel!$T$5="nominal",AB117,AB87)</f>
        <v>2.3853568935530132</v>
      </c>
      <c r="AC133" s="325">
        <f>IF(ControlPanel!$T$5="nominal",AC117,AC87)</f>
        <v>0.84162987310065884</v>
      </c>
      <c r="AD133" s="325">
        <f>IF(ControlPanel!$T$5="nominal",AD117,AD87)</f>
        <v>0.50688730032510243</v>
      </c>
      <c r="AE133" s="325">
        <f>IF(ControlPanel!$T$5="nominal",AE117,AE87)</f>
        <v>0.21674969820259959</v>
      </c>
      <c r="AF133" s="326">
        <f>IF(ControlPanel!$T$5="nominal",AF117,AF87)</f>
        <v>0</v>
      </c>
      <c r="AH133" s="294" t="s">
        <v>209</v>
      </c>
    </row>
    <row r="134" spans="1:35" s="294" customFormat="1">
      <c r="A134" s="553">
        <v>134</v>
      </c>
      <c r="C134" s="10"/>
      <c r="D134" s="29"/>
      <c r="E134" s="566" t="s">
        <v>339</v>
      </c>
      <c r="F134" s="567" t="s">
        <v>1048</v>
      </c>
      <c r="G134" s="325">
        <f>IF(ControlPanel!$T$5="nominal",G118,G88)</f>
        <v>4.1869800800000005</v>
      </c>
      <c r="H134" s="325">
        <f>IF(ControlPanel!$T$5="nominal",H118,H88)</f>
        <v>4.4946196810000005</v>
      </c>
      <c r="I134" s="325">
        <f>IF(ControlPanel!$T$5="nominal",I118,I88)</f>
        <v>4.3533828439027991</v>
      </c>
      <c r="J134" s="325">
        <f>IF(ControlPanel!$T$5="nominal",J118,J88)</f>
        <v>5.3593675109834491</v>
      </c>
      <c r="K134" s="325">
        <f>IF(ControlPanel!$T$5="nominal",K118,K88)</f>
        <v>6.1037070259736002</v>
      </c>
      <c r="L134" s="325">
        <f>IF(ControlPanel!$T$5="nominal",L118,L88)</f>
        <v>6.0139168669547871</v>
      </c>
      <c r="M134" s="325">
        <f>IF(ControlPanel!$T$5="nominal",M118,M88)</f>
        <v>5.9784568806193468</v>
      </c>
      <c r="N134" s="325">
        <f>IF(ControlPanel!$T$5="nominal",N118,N88)</f>
        <v>5.9311768988387614</v>
      </c>
      <c r="O134" s="325">
        <f>IF(ControlPanel!$T$5="nominal",O118,O88)</f>
        <v>5.8720769216130293</v>
      </c>
      <c r="P134" s="325">
        <f>IF(ControlPanel!$T$5="nominal",P118,P88)</f>
        <v>5.7072762129233041</v>
      </c>
      <c r="Q134" s="325">
        <f>IF(ControlPanel!$T$5="nominal",Q118,Q88)</f>
        <v>5.5322549090503328</v>
      </c>
      <c r="R134" s="325">
        <f>IF(ControlPanel!$T$5="nominal",R118,R88)</f>
        <v>5.2442237337911122</v>
      </c>
      <c r="S134" s="325">
        <f>IF(ControlPanel!$T$5="nominal",S118,S88)</f>
        <v>4.8907078366197974</v>
      </c>
      <c r="T134" s="325">
        <f>IF(ControlPanel!$T$5="nominal",T118,T88)</f>
        <v>4.5021302757619548</v>
      </c>
      <c r="U134" s="325">
        <f>IF(ControlPanel!$T$5="nominal",U118,U88)</f>
        <v>4.1498757420585815</v>
      </c>
      <c r="V134" s="325">
        <f>IF(ControlPanel!$T$5="nominal",V118,V88)</f>
        <v>3.8471909163520843</v>
      </c>
      <c r="W134" s="325">
        <f>IF(ControlPanel!$T$5="nominal",W118,W88)</f>
        <v>3.6009016566231895</v>
      </c>
      <c r="X134" s="325">
        <f>IF(ControlPanel!$T$5="nominal",X118,X88)</f>
        <v>3.362416669808018</v>
      </c>
      <c r="Y134" s="325">
        <f>IF(ControlPanel!$T$5="nominal",Y118,Y88)</f>
        <v>2.9646729463510626</v>
      </c>
      <c r="Z134" s="325">
        <f>IF(ControlPanel!$T$5="nominal",Z118,Z88)</f>
        <v>2.755600394248884</v>
      </c>
      <c r="AA134" s="325">
        <f>IF(ControlPanel!$T$5="nominal",AA118,AA88)</f>
        <v>2.3480851114899872</v>
      </c>
      <c r="AB134" s="325">
        <f>IF(ControlPanel!$T$5="nominal",AB118,AB88)</f>
        <v>1.9718168299157017</v>
      </c>
      <c r="AC134" s="325">
        <f>IF(ControlPanel!$T$5="nominal",AC118,AC88)</f>
        <v>1.4793229511201422</v>
      </c>
      <c r="AD134" s="325">
        <f>IF(ControlPanel!$T$5="nominal",AD118,AD88)</f>
        <v>0.78191609611789203</v>
      </c>
      <c r="AE134" s="325">
        <f>IF(ControlPanel!$T$5="nominal",AE118,AE88)</f>
        <v>0.48002531726640046</v>
      </c>
      <c r="AF134" s="326">
        <f>IF(ControlPanel!$T$5="nominal",AF118,AF88)</f>
        <v>0</v>
      </c>
      <c r="AH134" s="294" t="s">
        <v>209</v>
      </c>
    </row>
    <row r="135" spans="1:35" s="294" customFormat="1">
      <c r="A135" s="553">
        <v>135</v>
      </c>
      <c r="C135" s="10"/>
      <c r="D135" s="29"/>
      <c r="E135" s="566" t="s">
        <v>340</v>
      </c>
      <c r="F135" s="567" t="s">
        <v>1048</v>
      </c>
      <c r="G135" s="325">
        <f>IF(ControlPanel!$T$5="nominal",G119,G89)</f>
        <v>9.8100000000000007E-2</v>
      </c>
      <c r="H135" s="325">
        <f>IF(ControlPanel!$T$5="nominal",H119,H89)</f>
        <v>0.17201868399999998</v>
      </c>
      <c r="I135" s="325">
        <f>IF(ControlPanel!$T$5="nominal",I119,I89)</f>
        <v>0.21721885938639998</v>
      </c>
      <c r="J135" s="325">
        <f>IF(ControlPanel!$T$5="nominal",J119,J89)</f>
        <v>0.47161680655509991</v>
      </c>
      <c r="K135" s="325">
        <f>IF(ControlPanel!$T$5="nominal",K119,K89)</f>
        <v>1.4138436736538</v>
      </c>
      <c r="L135" s="325">
        <f>IF(ControlPanel!$T$5="nominal",L119,L89)</f>
        <v>0.72095677622526411</v>
      </c>
      <c r="M135" s="325">
        <f>IF(ControlPanel!$T$5="nominal",M119,M89)</f>
        <v>0.72095677622526411</v>
      </c>
      <c r="N135" s="325">
        <f>IF(ControlPanel!$T$5="nominal",N119,N89)</f>
        <v>0.72095677622526411</v>
      </c>
      <c r="O135" s="325">
        <f>IF(ControlPanel!$T$5="nominal",O119,O89)</f>
        <v>0.72095677622526411</v>
      </c>
      <c r="P135" s="325">
        <f>IF(ControlPanel!$T$5="nominal",P119,P89)</f>
        <v>0.72095677622526411</v>
      </c>
      <c r="Q135" s="325">
        <f>IF(ControlPanel!$T$5="nominal",Q119,Q89)</f>
        <v>0.72095677622526411</v>
      </c>
      <c r="R135" s="325">
        <f>IF(ControlPanel!$T$5="nominal",R119,R89)</f>
        <v>0.70779873025242745</v>
      </c>
      <c r="S135" s="325">
        <f>IF(ControlPanel!$T$5="nominal",S119,S89)</f>
        <v>0.67015409610936971</v>
      </c>
      <c r="T135" s="325">
        <f>IF(ControlPanel!$T$5="nominal",T119,T89)</f>
        <v>0.5886254876290351</v>
      </c>
      <c r="U135" s="325">
        <f>IF(ControlPanel!$T$5="nominal",U119,U89)</f>
        <v>0.54948030085984612</v>
      </c>
      <c r="V135" s="325">
        <f>IF(ControlPanel!$T$5="nominal",V119,V89)</f>
        <v>0.41959031199187452</v>
      </c>
      <c r="W135" s="325">
        <f>IF(ControlPanel!$T$5="nominal",W119,W89)</f>
        <v>0.18563002464811498</v>
      </c>
      <c r="X135" s="325">
        <f>IF(ControlPanel!$T$5="nominal",X119,X89)</f>
        <v>0.13008602678610678</v>
      </c>
      <c r="Y135" s="325">
        <f>IF(ControlPanel!$T$5="nominal",Y119,Y89)</f>
        <v>0.12996373387338628</v>
      </c>
      <c r="Z135" s="325">
        <f>IF(ControlPanel!$T$5="nominal",Z119,Z89)</f>
        <v>0.12978628925492908</v>
      </c>
      <c r="AA135" s="325">
        <f>IF(ControlPanel!$T$5="nominal",AA119,AA89)</f>
        <v>0.12428980987762621</v>
      </c>
      <c r="AB135" s="325">
        <f>IF(ControlPanel!$T$5="nominal",AB119,AB89)</f>
        <v>0.1175033883274389</v>
      </c>
      <c r="AC135" s="325">
        <f>IF(ControlPanel!$T$5="nominal",AC119,AC89)</f>
        <v>0.10084376585622522</v>
      </c>
      <c r="AD135" s="325">
        <f>IF(ControlPanel!$T$5="nominal",AD119,AD89)</f>
        <v>8.893242401487135E-2</v>
      </c>
      <c r="AE135" s="325">
        <f>IF(ControlPanel!$T$5="nominal",AE119,AE89)</f>
        <v>5.5540165577103222E-2</v>
      </c>
      <c r="AF135" s="326">
        <f>IF(ControlPanel!$T$5="nominal",AF119,AF89)</f>
        <v>0</v>
      </c>
      <c r="AH135" s="294" t="s">
        <v>209</v>
      </c>
    </row>
    <row r="136" spans="1:35" s="294" customFormat="1">
      <c r="A136" s="553">
        <v>136</v>
      </c>
      <c r="C136" s="10"/>
      <c r="D136" s="29"/>
      <c r="E136" s="568" t="s">
        <v>530</v>
      </c>
      <c r="F136" s="569" t="s">
        <v>1048</v>
      </c>
      <c r="G136" s="302">
        <f>IF(ControlPanel!$T$5="nominal",G120,G90)</f>
        <v>3.8826109599999996</v>
      </c>
      <c r="H136" s="302">
        <f>IF(ControlPanel!$T$5="nominal",H120,H90)</f>
        <v>8.0206210149999997</v>
      </c>
      <c r="I136" s="302">
        <f>IF(ControlPanel!$T$5="nominal",I120,I90)</f>
        <v>8.7892939436962809</v>
      </c>
      <c r="J136" s="302">
        <f>IF(ControlPanel!$T$5="nominal",J120,J90)</f>
        <v>10.302513792381449</v>
      </c>
      <c r="K136" s="302">
        <f>IF(ControlPanel!$T$5="nominal",K120,K90)</f>
        <v>10.72971006440835</v>
      </c>
      <c r="L136" s="302">
        <f>IF(ControlPanel!$T$5="nominal",L120,L90)</f>
        <v>9.8992046007707302</v>
      </c>
      <c r="M136" s="302">
        <f>IF(ControlPanel!$T$5="nominal",M120,M90)</f>
        <v>9.8992046007707302</v>
      </c>
      <c r="N136" s="302">
        <f>IF(ControlPanel!$T$5="nominal",N120,N90)</f>
        <v>9.8992046007707302</v>
      </c>
      <c r="O136" s="302">
        <f>IF(ControlPanel!$T$5="nominal",O120,O90)</f>
        <v>9.8992046007707302</v>
      </c>
      <c r="P136" s="302">
        <f>IF(ControlPanel!$T$5="nominal",P120,P90)</f>
        <v>9.8992046007707302</v>
      </c>
      <c r="Q136" s="302">
        <f>IF(ControlPanel!$T$5="nominal",Q120,Q90)</f>
        <v>9.8992046007707302</v>
      </c>
      <c r="R136" s="302">
        <f>IF(ControlPanel!$T$5="nominal",R120,R90)</f>
        <v>9.8743231184046909</v>
      </c>
      <c r="S136" s="302">
        <f>IF(ControlPanel!$T$5="nominal",S120,S90)</f>
        <v>9.8339025269570541</v>
      </c>
      <c r="T136" s="302">
        <f>IF(ControlPanel!$T$5="nominal",T120,T90)</f>
        <v>9.7918998861958393</v>
      </c>
      <c r="U136" s="302">
        <f>IF(ControlPanel!$T$5="nominal",U120,U90)</f>
        <v>9.7368305315089039</v>
      </c>
      <c r="V136" s="302">
        <f>IF(ControlPanel!$T$5="nominal",V120,V90)</f>
        <v>9.4203080911896588</v>
      </c>
      <c r="W136" s="302">
        <f>IF(ControlPanel!$T$5="nominal",W120,W90)</f>
        <v>8.9956933481227033</v>
      </c>
      <c r="X136" s="302">
        <f>IF(ControlPanel!$T$5="nominal",X120,X90)</f>
        <v>8.6231614633896339</v>
      </c>
      <c r="Y136" s="302">
        <f>IF(ControlPanel!$T$5="nominal",Y120,Y90)</f>
        <v>8.0972890432583959</v>
      </c>
      <c r="Z136" s="302">
        <f>IF(ControlPanel!$T$5="nominal",Z120,Z90)</f>
        <v>7.306332544077935</v>
      </c>
      <c r="AA136" s="302">
        <f>IF(ControlPanel!$T$5="nominal",AA120,AA90)</f>
        <v>5.6871387273907805</v>
      </c>
      <c r="AB136" s="302">
        <f>IF(ControlPanel!$T$5="nominal",AB120,AB90)</f>
        <v>3.344398325548267</v>
      </c>
      <c r="AC136" s="302">
        <f>IF(ControlPanel!$T$5="nominal",AC120,AC90)</f>
        <v>1.5096140003144618</v>
      </c>
      <c r="AD136" s="302">
        <f>IF(ControlPanel!$T$5="nominal",AD120,AD90)</f>
        <v>0.41258647705966339</v>
      </c>
      <c r="AE136" s="302">
        <f>IF(ControlPanel!$T$5="nominal",AE120,AE90)</f>
        <v>0.12207424266830158</v>
      </c>
      <c r="AF136" s="55">
        <f>IF(ControlPanel!$T$5="nominal",AF120,AF90)</f>
        <v>0</v>
      </c>
      <c r="AH136" s="294" t="s">
        <v>209</v>
      </c>
    </row>
    <row r="137" spans="1:35" s="294" customFormat="1">
      <c r="A137" s="553">
        <v>137</v>
      </c>
      <c r="C137" s="10"/>
      <c r="D137" s="29"/>
      <c r="E137" s="564" t="s">
        <v>758</v>
      </c>
      <c r="F137" s="567"/>
      <c r="G137" s="325">
        <f>IF(ControlPanel!$T$5="nominal",G121,G91)</f>
        <v>0</v>
      </c>
      <c r="H137" s="325">
        <f>IF(ControlPanel!$T$5="nominal",H121,H91)</f>
        <v>0</v>
      </c>
      <c r="I137" s="325">
        <f>IF(ControlPanel!$T$5="nominal",I121,I91)</f>
        <v>0</v>
      </c>
      <c r="J137" s="325">
        <f>IF(ControlPanel!$T$5="nominal",J121,J91)</f>
        <v>0</v>
      </c>
      <c r="K137" s="325">
        <f>IF(ControlPanel!$T$5="nominal",K121,K91)</f>
        <v>0</v>
      </c>
      <c r="L137" s="325">
        <f>IF(ControlPanel!$T$5="nominal",L121,L91)</f>
        <v>4.9914115934987791E-3</v>
      </c>
      <c r="M137" s="325">
        <f>IF(ControlPanel!$T$5="nominal",M121,M91)</f>
        <v>1.2991418964400495E-2</v>
      </c>
      <c r="N137" s="325">
        <f>IF(ControlPanel!$T$5="nominal",N121,N91)</f>
        <v>1.7733420130475654E-2</v>
      </c>
      <c r="O137" s="325">
        <f>IF(ControlPanel!$T$5="nominal",O121,O91)</f>
        <v>2.3995354307607672E-2</v>
      </c>
      <c r="P137" s="325">
        <f>IF(ControlPanel!$T$5="nominal",P121,P91)</f>
        <v>3.1842602358881235E-2</v>
      </c>
      <c r="Q137" s="325">
        <f>IF(ControlPanel!$T$5="nominal",Q121,Q91)</f>
        <v>4.1446914331879525E-2</v>
      </c>
      <c r="R137" s="325">
        <f>IF(ControlPanel!$T$5="nominal",R121,R91)</f>
        <v>4.7734108875280248E-2</v>
      </c>
      <c r="S137" s="325">
        <f>IF(ControlPanel!$T$5="nominal",S121,S91)</f>
        <v>4.7734108875280248E-2</v>
      </c>
      <c r="T137" s="325">
        <f>IF(ControlPanel!$T$5="nominal",T121,T91)</f>
        <v>4.7734108875280248E-2</v>
      </c>
      <c r="U137" s="325">
        <f>IF(ControlPanel!$T$5="nominal",U121,U91)</f>
        <v>4.7734108875280248E-2</v>
      </c>
      <c r="V137" s="325">
        <f>IF(ControlPanel!$T$5="nominal",V121,V91)</f>
        <v>4.7734108875280248E-2</v>
      </c>
      <c r="W137" s="325">
        <f>IF(ControlPanel!$T$5="nominal",W121,W91)</f>
        <v>4.7734108875280248E-2</v>
      </c>
      <c r="X137" s="325">
        <f>IF(ControlPanel!$T$5="nominal",X121,X91)</f>
        <v>4.7734108875280248E-2</v>
      </c>
      <c r="Y137" s="325">
        <f>IF(ControlPanel!$T$5="nominal",Y121,Y91)</f>
        <v>4.7734108875280248E-2</v>
      </c>
      <c r="Z137" s="325">
        <f>IF(ControlPanel!$T$5="nominal",Z121,Z91)</f>
        <v>4.7734108875280248E-2</v>
      </c>
      <c r="AA137" s="325">
        <f>IF(ControlPanel!$T$5="nominal",AA121,AA91)</f>
        <v>4.7734108875280248E-2</v>
      </c>
      <c r="AB137" s="325">
        <f>IF(ControlPanel!$T$5="nominal",AB121,AB91)</f>
        <v>4.7734108875280248E-2</v>
      </c>
      <c r="AC137" s="325">
        <f>IF(ControlPanel!$T$5="nominal",AC121,AC91)</f>
        <v>4.7734108875280248E-2</v>
      </c>
      <c r="AD137" s="325">
        <f>IF(ControlPanel!$T$5="nominal",AD121,AD91)</f>
        <v>4.7734108875280248E-2</v>
      </c>
      <c r="AE137" s="325">
        <f>IF(ControlPanel!$T$5="nominal",AE121,AE91)</f>
        <v>4.7734108875280248E-2</v>
      </c>
      <c r="AF137" s="326">
        <f>IF(ControlPanel!$T$5="nominal",AF121,AF91)</f>
        <v>4.7734108875280248E-2</v>
      </c>
      <c r="AH137" s="294" t="s">
        <v>209</v>
      </c>
    </row>
    <row r="138" spans="1:35" s="294" customFormat="1">
      <c r="A138" s="553">
        <v>138</v>
      </c>
      <c r="C138" s="10"/>
      <c r="D138" s="29"/>
      <c r="E138" s="566" t="s">
        <v>11</v>
      </c>
      <c r="F138" s="567"/>
      <c r="G138" s="325">
        <f>IF(ControlPanel!$T$5="nominal",G122,G92)</f>
        <v>0</v>
      </c>
      <c r="H138" s="325">
        <f>IF(ControlPanel!$T$5="nominal",H122,H92)</f>
        <v>0</v>
      </c>
      <c r="I138" s="325">
        <f>IF(ControlPanel!$T$5="nominal",I122,I92)</f>
        <v>0</v>
      </c>
      <c r="J138" s="325">
        <f>IF(ControlPanel!$T$5="nominal",J122,J92)</f>
        <v>0</v>
      </c>
      <c r="K138" s="325">
        <f>IF(ControlPanel!$T$5="nominal",K122,K92)</f>
        <v>0</v>
      </c>
      <c r="L138" s="325">
        <f>IF(ControlPanel!$T$5="nominal",L122,L92)</f>
        <v>6.0742736485813265E-3</v>
      </c>
      <c r="M138" s="325">
        <f>IF(ControlPanel!$T$5="nominal",M122,M92)</f>
        <v>8.8259144462781311E-2</v>
      </c>
      <c r="N138" s="325">
        <f>IF(ControlPanel!$T$5="nominal",N122,N92)</f>
        <v>0.25560490304158434</v>
      </c>
      <c r="O138" s="325">
        <f>IF(ControlPanel!$T$5="nominal",O122,O92)</f>
        <v>0.48193074197835051</v>
      </c>
      <c r="P138" s="325">
        <f>IF(ControlPanel!$T$5="nominal",P122,P92)</f>
        <v>0.68894389299283953</v>
      </c>
      <c r="Q138" s="325">
        <f>IF(ControlPanel!$T$5="nominal",Q122,Q92)</f>
        <v>0.82699182048282049</v>
      </c>
      <c r="R138" s="325">
        <f>IF(ControlPanel!$T$5="nominal",R122,R92)</f>
        <v>0.9397226635598287</v>
      </c>
      <c r="S138" s="325">
        <f>IF(ControlPanel!$T$5="nominal",S122,S92)</f>
        <v>0.99976816013236736</v>
      </c>
      <c r="T138" s="325">
        <f>IF(ControlPanel!$T$5="nominal",T122,T92)</f>
        <v>1.027428173389463</v>
      </c>
      <c r="U138" s="325">
        <f>IF(ControlPanel!$T$5="nominal",U122,U92)</f>
        <v>1.0569410260549332</v>
      </c>
      <c r="V138" s="325">
        <f>IF(ControlPanel!$T$5="nominal",V122,V92)</f>
        <v>1.0882914157458172</v>
      </c>
      <c r="W138" s="325">
        <f>IF(ControlPanel!$T$5="nominal",W122,W92)</f>
        <v>1.1758611437977615</v>
      </c>
      <c r="X138" s="325">
        <f>IF(ControlPanel!$T$5="nominal",X122,X92)</f>
        <v>1.317873460112426</v>
      </c>
      <c r="Y138" s="325">
        <f>IF(ControlPanel!$T$5="nominal",Y122,Y92)</f>
        <v>1.4584618806127527</v>
      </c>
      <c r="Z138" s="325">
        <f>IF(ControlPanel!$T$5="nominal",Z122,Z92)</f>
        <v>1.5976306498485606</v>
      </c>
      <c r="AA138" s="325">
        <f>IF(ControlPanel!$T$5="nominal",AA122,AA92)</f>
        <v>1.7353864046637937</v>
      </c>
      <c r="AB138" s="325">
        <f>IF(ControlPanel!$T$5="nominal",AB122,AB92)</f>
        <v>1.8717371647071475</v>
      </c>
      <c r="AC138" s="325">
        <f>IF(ControlPanel!$T$5="nominal",AC122,AC92)</f>
        <v>2.0066917754961673</v>
      </c>
      <c r="AD138" s="325">
        <f>IF(ControlPanel!$T$5="nominal",AD122,AD92)</f>
        <v>2.1402595840175485</v>
      </c>
      <c r="AE138" s="325">
        <f>IF(ControlPanel!$T$5="nominal",AE122,AE92)</f>
        <v>2.2724502411511009</v>
      </c>
      <c r="AF138" s="326">
        <f>IF(ControlPanel!$T$5="nominal",AF122,AF92)</f>
        <v>2.4049413739745349</v>
      </c>
      <c r="AH138" s="294" t="s">
        <v>209</v>
      </c>
    </row>
    <row r="139" spans="1:35" s="294" customFormat="1">
      <c r="A139" s="553">
        <v>139</v>
      </c>
      <c r="C139" s="10"/>
      <c r="D139" s="29"/>
      <c r="E139" s="566" t="s">
        <v>339</v>
      </c>
      <c r="F139" s="570"/>
      <c r="G139" s="325">
        <f>IF(ControlPanel!$T$5="nominal",G123,G93)</f>
        <v>0</v>
      </c>
      <c r="H139" s="325">
        <f>IF(ControlPanel!$T$5="nominal",H123,H93)</f>
        <v>0</v>
      </c>
      <c r="I139" s="325">
        <f>IF(ControlPanel!$T$5="nominal",I123,I93)</f>
        <v>0</v>
      </c>
      <c r="J139" s="325">
        <f>IF(ControlPanel!$T$5="nominal",J123,J93)</f>
        <v>0</v>
      </c>
      <c r="K139" s="325">
        <f>IF(ControlPanel!$T$5="nominal",K123,K93)</f>
        <v>0</v>
      </c>
      <c r="L139" s="325">
        <f>IF(ControlPanel!$T$5="nominal",L123,L93)</f>
        <v>0.25442411616026367</v>
      </c>
      <c r="M139" s="325">
        <f>IF(ControlPanel!$T$5="nominal",M123,M93)</f>
        <v>0.84890213463769837</v>
      </c>
      <c r="N139" s="325">
        <f>IF(ControlPanel!$T$5="nominal",N123,N93)</f>
        <v>1.5536695012958703</v>
      </c>
      <c r="O139" s="325">
        <f>IF(ControlPanel!$T$5="nominal",O123,O93)</f>
        <v>2.1441042857753385</v>
      </c>
      <c r="P139" s="325">
        <f>IF(ControlPanel!$T$5="nominal",P123,P93)</f>
        <v>2.4482716092426755</v>
      </c>
      <c r="Q139" s="325">
        <f>IF(ControlPanel!$T$5="nominal",Q123,Q93)</f>
        <v>2.6225815087148665</v>
      </c>
      <c r="R139" s="325">
        <f>IF(ControlPanel!$T$5="nominal",R123,R93)</f>
        <v>2.8139626446335786</v>
      </c>
      <c r="S139" s="325">
        <f>IF(ControlPanel!$T$5="nominal",S123,S93)</f>
        <v>3.0379960967466269</v>
      </c>
      <c r="T139" s="325">
        <f>IF(ControlPanel!$T$5="nominal",T123,T93)</f>
        <v>3.3284063786423865</v>
      </c>
      <c r="U139" s="325">
        <f>IF(ControlPanel!$T$5="nominal",U123,U93)</f>
        <v>3.653771396839141</v>
      </c>
      <c r="V139" s="325">
        <f>IF(ControlPanel!$T$5="nominal",V123,V93)</f>
        <v>3.9874592271862723</v>
      </c>
      <c r="W139" s="325">
        <f>IF(ControlPanel!$T$5="nominal",W123,W93)</f>
        <v>4.3289000836920444</v>
      </c>
      <c r="X139" s="325">
        <f>IF(ControlPanel!$T$5="nominal",X123,X93)</f>
        <v>4.6706866090541279</v>
      </c>
      <c r="Y139" s="325">
        <f>IF(ControlPanel!$T$5="nominal",Y123,Y93)</f>
        <v>5.0097808247696456</v>
      </c>
      <c r="Z139" s="325">
        <f>IF(ControlPanel!$T$5="nominal",Z123,Z93)</f>
        <v>5.3446726963207158</v>
      </c>
      <c r="AA139" s="325">
        <f>IF(ControlPanel!$T$5="nominal",AA123,AA93)</f>
        <v>5.6745193622538048</v>
      </c>
      <c r="AB139" s="325">
        <f>IF(ControlPanel!$T$5="nominal",AB123,AB93)</f>
        <v>5.998811416445279</v>
      </c>
      <c r="AC139" s="325">
        <f>IF(ControlPanel!$T$5="nominal",AC123,AC93)</f>
        <v>6.3172222665626432</v>
      </c>
      <c r="AD139" s="325">
        <f>IF(ControlPanel!$T$5="nominal",AD123,AD93)</f>
        <v>6.6295326180239345</v>
      </c>
      <c r="AE139" s="325">
        <f>IF(ControlPanel!$T$5="nominal",AE123,AE93)</f>
        <v>6.9355895719558669</v>
      </c>
      <c r="AF139" s="326">
        <f>IF(ControlPanel!$T$5="nominal",AF123,AF93)</f>
        <v>7.2394037431891238</v>
      </c>
      <c r="AH139" s="294" t="s">
        <v>209</v>
      </c>
    </row>
    <row r="140" spans="1:35" s="294" customFormat="1">
      <c r="A140" s="553">
        <v>140</v>
      </c>
      <c r="C140" s="10"/>
      <c r="D140" s="29"/>
      <c r="E140" s="566" t="s">
        <v>340</v>
      </c>
      <c r="F140" s="570"/>
      <c r="G140" s="325">
        <f>IF(ControlPanel!$T$5="nominal",G124,G94)</f>
        <v>0</v>
      </c>
      <c r="H140" s="325">
        <f>IF(ControlPanel!$T$5="nominal",H124,H94)</f>
        <v>0</v>
      </c>
      <c r="I140" s="325">
        <f>IF(ControlPanel!$T$5="nominal",I124,I94)</f>
        <v>0</v>
      </c>
      <c r="J140" s="325">
        <f>IF(ControlPanel!$T$5="nominal",J124,J94)</f>
        <v>0</v>
      </c>
      <c r="K140" s="325">
        <f>IF(ControlPanel!$T$5="nominal",K124,K94)</f>
        <v>0</v>
      </c>
      <c r="L140" s="325">
        <f>IF(ControlPanel!$T$5="nominal",L124,L94)</f>
        <v>0.66486814997484556</v>
      </c>
      <c r="M140" s="325">
        <f>IF(ControlPanel!$T$5="nominal",M124,M94)</f>
        <v>1.5720795806931604</v>
      </c>
      <c r="N140" s="325">
        <f>IF(ControlPanel!$T$5="nominal",N124,N94)</f>
        <v>2.2561036336235185</v>
      </c>
      <c r="O140" s="325">
        <f>IF(ControlPanel!$T$5="nominal",O124,O94)</f>
        <v>2.9452660263885782</v>
      </c>
      <c r="P140" s="325">
        <f>IF(ControlPanel!$T$5="nominal",P124,P94)</f>
        <v>3.5465966465902672</v>
      </c>
      <c r="Q140" s="325">
        <f>IF(ControlPanel!$T$5="nominal",Q124,Q94)</f>
        <v>3.9011229551727005</v>
      </c>
      <c r="R140" s="325">
        <f>IF(ControlPanel!$T$5="nominal",R124,R94)</f>
        <v>3.8890131951727005</v>
      </c>
      <c r="S140" s="325">
        <f>IF(ControlPanel!$T$5="nominal",S124,S94)</f>
        <v>3.920172773211279</v>
      </c>
      <c r="T140" s="325">
        <f>IF(ControlPanel!$T$5="nominal",T124,T94)</f>
        <v>4.0911214258463433</v>
      </c>
      <c r="U140" s="325">
        <f>IF(ControlPanel!$T$5="nominal",U124,U94)</f>
        <v>4.074514220733823</v>
      </c>
      <c r="V140" s="325">
        <f>IF(ControlPanel!$T$5="nominal",V124,V94)</f>
        <v>4.1723897596952302</v>
      </c>
      <c r="W140" s="325">
        <f>IF(ControlPanel!$T$5="nominal",W124,W94)</f>
        <v>4.0754538510520595</v>
      </c>
      <c r="X140" s="325">
        <f>IF(ControlPanel!$T$5="nominal",X124,X94)</f>
        <v>3.4602216749682242</v>
      </c>
      <c r="Y140" s="325">
        <f>IF(ControlPanel!$T$5="nominal",Y124,Y94)</f>
        <v>3.4344683918618264</v>
      </c>
      <c r="Z140" s="325">
        <f>IF(ControlPanel!$T$5="nominal",Z124,Z94)</f>
        <v>3.1633228389206365</v>
      </c>
      <c r="AA140" s="325">
        <f>IF(ControlPanel!$T$5="nominal",AA124,AA94)</f>
        <v>3.4372944542200714</v>
      </c>
      <c r="AB140" s="325">
        <f>IF(ControlPanel!$T$5="nominal",AB124,AB94)</f>
        <v>3.7242598376707723</v>
      </c>
      <c r="AC140" s="325">
        <f>IF(ControlPanel!$T$5="nominal",AC124,AC94)</f>
        <v>4.0312773374037274</v>
      </c>
      <c r="AD140" s="325">
        <f>IF(ControlPanel!$T$5="nominal",AD124,AD94)</f>
        <v>4.3409947148465049</v>
      </c>
      <c r="AE140" s="325">
        <f>IF(ControlPanel!$T$5="nominal",AE124,AE94)</f>
        <v>4.3462921531603884</v>
      </c>
      <c r="AF140" s="326">
        <f>IF(ControlPanel!$T$5="nominal",AF124,AF94)</f>
        <v>4.302530836332255</v>
      </c>
      <c r="AH140" s="294" t="s">
        <v>209</v>
      </c>
    </row>
    <row r="141" spans="1:35" s="294" customFormat="1">
      <c r="A141" s="553">
        <v>141</v>
      </c>
      <c r="C141" s="10"/>
      <c r="D141" s="29"/>
      <c r="E141" s="568" t="s">
        <v>530</v>
      </c>
      <c r="F141" s="571"/>
      <c r="G141" s="302">
        <f>IF(ControlPanel!$T$5="nominal",G125,G95)</f>
        <v>0</v>
      </c>
      <c r="H141" s="302">
        <f>IF(ControlPanel!$T$5="nominal",H125,H95)</f>
        <v>0</v>
      </c>
      <c r="I141" s="302">
        <f>IF(ControlPanel!$T$5="nominal",I125,I95)</f>
        <v>0</v>
      </c>
      <c r="J141" s="302">
        <f>IF(ControlPanel!$T$5="nominal",J125,J95)</f>
        <v>0</v>
      </c>
      <c r="K141" s="302">
        <f>IF(ControlPanel!$T$5="nominal",K125,K95)</f>
        <v>0</v>
      </c>
      <c r="L141" s="302">
        <f>IF(ControlPanel!$T$5="nominal",L125,L95)</f>
        <v>5.6523825593931258E-2</v>
      </c>
      <c r="M141" s="302">
        <f>IF(ControlPanel!$T$5="nominal",M125,M95)</f>
        <v>0.15985948955445498</v>
      </c>
      <c r="N141" s="302">
        <f>IF(ControlPanel!$T$5="nominal",N125,N95)</f>
        <v>0.34380285129378069</v>
      </c>
      <c r="O141" s="302">
        <f>IF(ControlPanel!$T$5="nominal",O125,O95)</f>
        <v>0.54191449460515329</v>
      </c>
      <c r="P141" s="302">
        <f>IF(ControlPanel!$T$5="nominal",P125,P95)</f>
        <v>0.79846765924135776</v>
      </c>
      <c r="Q141" s="302">
        <f>IF(ControlPanel!$T$5="nominal",Q125,Q95)</f>
        <v>1.0929147690033234</v>
      </c>
      <c r="R141" s="302">
        <f>IF(ControlPanel!$T$5="nominal",R125,R95)</f>
        <v>1.4160866404763741</v>
      </c>
      <c r="S141" s="302">
        <f>IF(ControlPanel!$T$5="nominal",S125,S95)</f>
        <v>1.7671368144275414</v>
      </c>
      <c r="T141" s="302">
        <f>IF(ControlPanel!$T$5="nominal",T125,T95)</f>
        <v>2.0333828095337916</v>
      </c>
      <c r="U141" s="302">
        <f>IF(ControlPanel!$T$5="nominal",U125,U95)</f>
        <v>2.2309284829355893</v>
      </c>
      <c r="V141" s="302">
        <f>IF(ControlPanel!$T$5="nominal",V125,V95)</f>
        <v>2.4212784293823311</v>
      </c>
      <c r="W141" s="302">
        <f>IF(ControlPanel!$T$5="nominal",W125,W95)</f>
        <v>2.5904816033847977</v>
      </c>
      <c r="X141" s="302">
        <f>IF(ControlPanel!$T$5="nominal",X125,X95)</f>
        <v>2.7364313196367767</v>
      </c>
      <c r="Y141" s="302">
        <f>IF(ControlPanel!$T$5="nominal",Y125,Y95)</f>
        <v>2.8783928039280111</v>
      </c>
      <c r="Z141" s="302">
        <f>IF(ControlPanel!$T$5="nominal",Z125,Z95)</f>
        <v>3.0164604727183035</v>
      </c>
      <c r="AA141" s="302">
        <f>IF(ControlPanel!$T$5="nominal",AA125,AA95)</f>
        <v>3.1507470337560299</v>
      </c>
      <c r="AB141" s="302">
        <f>IF(ControlPanel!$T$5="nominal",AB125,AB95)</f>
        <v>3.2814651525700644</v>
      </c>
      <c r="AC141" s="302">
        <f>IF(ControlPanel!$T$5="nominal",AC125,AC95)</f>
        <v>3.4086233758637685</v>
      </c>
      <c r="AD141" s="302">
        <f>IF(ControlPanel!$T$5="nominal",AD125,AD95)</f>
        <v>3.5321009646057062</v>
      </c>
      <c r="AE141" s="302">
        <f>IF(ControlPanel!$T$5="nominal",AE125,AE95)</f>
        <v>3.6520198912842603</v>
      </c>
      <c r="AF141" s="55">
        <f>IF(ControlPanel!$T$5="nominal",AF125,AF95)</f>
        <v>3.7692114360584315</v>
      </c>
      <c r="AH141" s="294" t="s">
        <v>209</v>
      </c>
    </row>
    <row r="142" spans="1:35" s="294" customFormat="1">
      <c r="A142" s="553">
        <v>142</v>
      </c>
      <c r="C142" s="10"/>
      <c r="D142" s="29"/>
      <c r="E142" s="29"/>
      <c r="F142" s="36"/>
      <c r="G142" s="324"/>
      <c r="H142" s="324"/>
      <c r="I142" s="324"/>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c r="AF142" s="324"/>
    </row>
    <row r="143" spans="1:35" s="294" customFormat="1">
      <c r="A143" s="553">
        <v>143</v>
      </c>
      <c r="C143" s="10"/>
      <c r="D143" s="29"/>
      <c r="E143" s="29"/>
      <c r="F143" s="36"/>
      <c r="G143" s="324"/>
      <c r="H143" s="324"/>
      <c r="I143" s="324"/>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c r="AF143" s="324"/>
    </row>
    <row r="144" spans="1:35" s="294" customFormat="1">
      <c r="A144" s="553">
        <v>144</v>
      </c>
      <c r="C144" s="10"/>
      <c r="D144" s="29"/>
      <c r="E144" s="29"/>
      <c r="F144" s="36"/>
      <c r="G144" s="324"/>
      <c r="H144" s="324"/>
      <c r="I144" s="324"/>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c r="AF144" s="324"/>
    </row>
    <row r="145" spans="1:32" s="294" customFormat="1">
      <c r="A145" s="553">
        <v>145</v>
      </c>
      <c r="C145" s="10"/>
      <c r="D145" s="29"/>
      <c r="E145" s="29"/>
      <c r="F145" s="192" t="s">
        <v>765</v>
      </c>
      <c r="G145" s="324"/>
      <c r="H145" s="324"/>
      <c r="I145" s="324"/>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c r="AF145" s="324"/>
    </row>
    <row r="146" spans="1:32" s="294" customFormat="1">
      <c r="A146" s="553">
        <v>146</v>
      </c>
      <c r="C146" s="10"/>
      <c r="D146" s="29"/>
      <c r="E146" s="29"/>
      <c r="F146" s="619"/>
      <c r="G146" s="562">
        <v>2010</v>
      </c>
      <c r="H146" s="562">
        <v>2011</v>
      </c>
      <c r="I146" s="562">
        <v>2012</v>
      </c>
      <c r="J146" s="562">
        <v>2013</v>
      </c>
      <c r="K146" s="562">
        <v>2014</v>
      </c>
      <c r="L146" s="562">
        <v>2015</v>
      </c>
      <c r="M146" s="562">
        <v>2016</v>
      </c>
      <c r="N146" s="562">
        <v>2017</v>
      </c>
      <c r="O146" s="562">
        <v>2018</v>
      </c>
      <c r="P146" s="562">
        <v>2019</v>
      </c>
      <c r="Q146" s="562">
        <v>2020</v>
      </c>
      <c r="R146" s="562">
        <v>2021</v>
      </c>
      <c r="S146" s="562">
        <v>2022</v>
      </c>
      <c r="T146" s="562">
        <v>2023</v>
      </c>
      <c r="U146" s="562">
        <v>2024</v>
      </c>
      <c r="V146" s="562">
        <v>2025</v>
      </c>
      <c r="W146" s="562">
        <v>2026</v>
      </c>
      <c r="X146" s="562">
        <v>2027</v>
      </c>
      <c r="Y146" s="562">
        <v>2028</v>
      </c>
      <c r="Z146" s="562">
        <v>2029</v>
      </c>
      <c r="AA146" s="562">
        <v>2030</v>
      </c>
      <c r="AB146" s="562">
        <v>2031</v>
      </c>
      <c r="AC146" s="562">
        <v>2032</v>
      </c>
      <c r="AD146" s="562">
        <v>2033</v>
      </c>
      <c r="AE146" s="562">
        <v>2034</v>
      </c>
      <c r="AF146" s="563">
        <v>2035</v>
      </c>
    </row>
    <row r="147" spans="1:32" s="294" customFormat="1">
      <c r="A147" s="553">
        <v>147</v>
      </c>
      <c r="C147" s="10"/>
      <c r="D147" s="29"/>
      <c r="E147" s="29"/>
      <c r="F147" s="564" t="s">
        <v>758</v>
      </c>
      <c r="G147" s="316">
        <f>'MOD-Berechnungen'!F56+'MOD-Berechnungen'!F57+'MOD-Berechnungen'!F59</f>
        <v>0.12954600000000022</v>
      </c>
      <c r="H147" s="316">
        <f>'MOD-Berechnungen'!G56+'MOD-Berechnungen'!G57+'MOD-Berechnungen'!G59</f>
        <v>0.10471489999999974</v>
      </c>
      <c r="I147" s="316">
        <f>'MOD-Berechnungen'!H56+'MOD-Berechnungen'!H57+'MOD-Berechnungen'!H59</f>
        <v>7.042649999999992E-2</v>
      </c>
      <c r="J147" s="316">
        <f>'MOD-Berechnungen'!I56+'MOD-Berechnungen'!I57+'MOD-Berechnungen'!I59</f>
        <v>9.3620800000000282E-2</v>
      </c>
      <c r="K147" s="316">
        <f>'MOD-Berechnungen'!J56+'MOD-Berechnungen'!J57+'MOD-Berechnungen'!J59</f>
        <v>3.7300000000000041E-3</v>
      </c>
      <c r="L147" s="316">
        <f>'MOD-Berechnungen'!K56+'MOD-Berechnungen'!K57+'MOD-Berechnungen'!K59</f>
        <v>0.33660678499999952</v>
      </c>
      <c r="M147" s="316">
        <f>'MOD-Berechnungen'!L56+'MOD-Berechnungen'!L57+'MOD-Berechnungen'!L59</f>
        <v>3.0717774999999795E-2</v>
      </c>
      <c r="N147" s="316">
        <f>'MOD-Berechnungen'!M56+'MOD-Berechnungen'!M57+'MOD-Berechnungen'!M59</f>
        <v>9.1000000000000004E-3</v>
      </c>
      <c r="O147" s="316">
        <f>'MOD-Berechnungen'!N56+'MOD-Berechnungen'!N57+'MOD-Berechnungen'!N59</f>
        <v>2.5999999999999999E-2</v>
      </c>
      <c r="P147" s="316">
        <f>'MOD-Berechnungen'!O56+'MOD-Berechnungen'!O57+'MOD-Berechnungen'!O59</f>
        <v>2.3000000000000003E-2</v>
      </c>
      <c r="Q147" s="316">
        <f>'MOD-Berechnungen'!P56+'MOD-Berechnungen'!P57+'MOD-Berechnungen'!P59</f>
        <v>0.02</v>
      </c>
      <c r="R147" s="316">
        <f>'MOD-Berechnungen'!Q56+'MOD-Berechnungen'!Q57+'MOD-Berechnungen'!Q59</f>
        <v>0</v>
      </c>
      <c r="S147" s="316">
        <f>'MOD-Berechnungen'!R56+'MOD-Berechnungen'!R57+'MOD-Berechnungen'!R59</f>
        <v>0</v>
      </c>
      <c r="T147" s="316">
        <f>'MOD-Berechnungen'!S56+'MOD-Berechnungen'!S57+'MOD-Berechnungen'!S59</f>
        <v>0</v>
      </c>
      <c r="U147" s="316">
        <f>'MOD-Berechnungen'!T56+'MOD-Berechnungen'!T57+'MOD-Berechnungen'!T59</f>
        <v>0</v>
      </c>
      <c r="V147" s="316">
        <f>'MOD-Berechnungen'!U56+'MOD-Berechnungen'!U57+'MOD-Berechnungen'!U59</f>
        <v>0</v>
      </c>
      <c r="W147" s="316">
        <f>'MOD-Berechnungen'!V56+'MOD-Berechnungen'!V57+'MOD-Berechnungen'!V59</f>
        <v>0</v>
      </c>
      <c r="X147" s="316">
        <f>'MOD-Berechnungen'!W56+'MOD-Berechnungen'!W57+'MOD-Berechnungen'!W59</f>
        <v>0</v>
      </c>
      <c r="Y147" s="316">
        <f>'MOD-Berechnungen'!X56+'MOD-Berechnungen'!X57+'MOD-Berechnungen'!X59</f>
        <v>0</v>
      </c>
      <c r="Z147" s="316">
        <f>'MOD-Berechnungen'!Y56+'MOD-Berechnungen'!Y57+'MOD-Berechnungen'!Y59</f>
        <v>0</v>
      </c>
      <c r="AA147" s="316">
        <f>'MOD-Berechnungen'!Z56+'MOD-Berechnungen'!Z57+'MOD-Berechnungen'!Z59</f>
        <v>0</v>
      </c>
      <c r="AB147" s="316">
        <f>'MOD-Berechnungen'!AA56+'MOD-Berechnungen'!AA57+'MOD-Berechnungen'!AA59</f>
        <v>0</v>
      </c>
      <c r="AC147" s="316">
        <f>'MOD-Berechnungen'!AB56+'MOD-Berechnungen'!AB57+'MOD-Berechnungen'!AB59</f>
        <v>0</v>
      </c>
      <c r="AD147" s="316">
        <f>'MOD-Berechnungen'!AC56+'MOD-Berechnungen'!AC57+'MOD-Berechnungen'!AC59</f>
        <v>0</v>
      </c>
      <c r="AE147" s="316">
        <f>'MOD-Berechnungen'!AD56+'MOD-Berechnungen'!AD57+'MOD-Berechnungen'!AD59</f>
        <v>0</v>
      </c>
      <c r="AF147" s="317">
        <f>'MOD-Berechnungen'!AE56+'MOD-Berechnungen'!AE57+'MOD-Berechnungen'!AE59</f>
        <v>0</v>
      </c>
    </row>
    <row r="148" spans="1:32" s="294" customFormat="1">
      <c r="A148" s="553">
        <v>148</v>
      </c>
      <c r="C148" s="10"/>
      <c r="D148" s="29"/>
      <c r="E148" s="29"/>
      <c r="F148" s="566" t="s">
        <v>11</v>
      </c>
      <c r="G148" s="325">
        <f>'MOD-Berechnungen'!F58</f>
        <v>0.54100080000000128</v>
      </c>
      <c r="H148" s="325">
        <f>'MOD-Berechnungen'!G58</f>
        <v>0.92484900000000014</v>
      </c>
      <c r="I148" s="325">
        <f>'MOD-Berechnungen'!H58</f>
        <v>0.2370309999999996</v>
      </c>
      <c r="J148" s="325">
        <f>'MOD-Berechnungen'!I58</f>
        <v>0.21040099999999845</v>
      </c>
      <c r="K148" s="325">
        <f>'MOD-Berechnungen'!J58</f>
        <v>0.63719819999999994</v>
      </c>
      <c r="L148" s="325">
        <f>'MOD-Berechnungen'!K58</f>
        <v>1.2571299999999432E-2</v>
      </c>
      <c r="M148" s="325">
        <f>'MOD-Berechnungen'!L58</f>
        <v>0.15215899999999888</v>
      </c>
      <c r="N148" s="325">
        <f>'MOD-Berechnungen'!M58</f>
        <v>0.221</v>
      </c>
      <c r="O148" s="325">
        <f>'MOD-Berechnungen'!N58</f>
        <v>0.33500000000000002</v>
      </c>
      <c r="P148" s="325">
        <f>'MOD-Berechnungen'!O58</f>
        <v>0.19500000000000001</v>
      </c>
      <c r="Q148" s="325">
        <f>'MOD-Berechnungen'!P58</f>
        <v>0.17599999999999999</v>
      </c>
      <c r="R148" s="325">
        <f>'MOD-Berechnungen'!Q58</f>
        <v>0.124</v>
      </c>
      <c r="S148" s="325">
        <f>'MOD-Berechnungen'!R58</f>
        <v>3.5999999999999997E-2</v>
      </c>
      <c r="T148" s="325">
        <f>'MOD-Berechnungen'!S58</f>
        <v>0.04</v>
      </c>
      <c r="U148" s="325">
        <f>'MOD-Berechnungen'!T58</f>
        <v>4.2999999999999997E-2</v>
      </c>
      <c r="V148" s="325">
        <f>'MOD-Berechnungen'!U58</f>
        <v>4.4999999999999998E-2</v>
      </c>
      <c r="W148" s="325">
        <f>'MOD-Berechnungen'!V58</f>
        <v>0.2</v>
      </c>
      <c r="X148" s="325">
        <f>'MOD-Berechnungen'!W58</f>
        <v>0.2</v>
      </c>
      <c r="Y148" s="325">
        <f>'MOD-Berechnungen'!X58</f>
        <v>0.2</v>
      </c>
      <c r="Z148" s="325">
        <f>'MOD-Berechnungen'!Y58</f>
        <v>0.2</v>
      </c>
      <c r="AA148" s="325">
        <f>'MOD-Berechnungen'!Z58</f>
        <v>0.2</v>
      </c>
      <c r="AB148" s="325">
        <f>'MOD-Berechnungen'!AA58</f>
        <v>0.2</v>
      </c>
      <c r="AC148" s="325">
        <f>'MOD-Berechnungen'!AB58</f>
        <v>0.2</v>
      </c>
      <c r="AD148" s="325">
        <f>'MOD-Berechnungen'!AC58</f>
        <v>0.2</v>
      </c>
      <c r="AE148" s="325">
        <f>'MOD-Berechnungen'!AD58</f>
        <v>0.2</v>
      </c>
      <c r="AF148" s="326">
        <f>'MOD-Berechnungen'!AE58</f>
        <v>0.2</v>
      </c>
    </row>
    <row r="149" spans="1:32" s="294" customFormat="1">
      <c r="A149" s="553">
        <v>149</v>
      </c>
      <c r="C149" s="10"/>
      <c r="D149" s="29"/>
      <c r="E149" s="29"/>
      <c r="F149" s="566" t="s">
        <v>339</v>
      </c>
      <c r="G149" s="325">
        <f>'MOD-Berechnungen'!F60</f>
        <v>1.4349999999999989</v>
      </c>
      <c r="H149" s="325">
        <f>'MOD-Berechnungen'!G60</f>
        <v>1.8959999999999988</v>
      </c>
      <c r="I149" s="325">
        <f>'MOD-Berechnungen'!H60</f>
        <v>2.2069999999999994</v>
      </c>
      <c r="J149" s="325">
        <f>'MOD-Berechnungen'!I60</f>
        <v>2.9129999999999994</v>
      </c>
      <c r="K149" s="325">
        <f>'MOD-Berechnungen'!J60</f>
        <v>4.2570000000000032</v>
      </c>
      <c r="L149" s="325">
        <f>'MOD-Berechnungen'!K60</f>
        <v>3.536</v>
      </c>
      <c r="M149" s="325">
        <f>'MOD-Berechnungen'!L60</f>
        <v>4.625</v>
      </c>
      <c r="N149" s="325">
        <f>'MOD-Berechnungen'!M60</f>
        <v>5.2309999999999999</v>
      </c>
      <c r="O149" s="325">
        <f>'MOD-Berechnungen'!N60</f>
        <v>3.4460000000000002</v>
      </c>
      <c r="P149" s="325">
        <f>'MOD-Berechnungen'!O60</f>
        <v>1.3380000000000001</v>
      </c>
      <c r="Q149" s="325">
        <f>'MOD-Berechnungen'!P60</f>
        <v>1.5</v>
      </c>
      <c r="R149" s="325">
        <f>'MOD-Berechnungen'!Q60</f>
        <v>1.5</v>
      </c>
      <c r="S149" s="325">
        <f>'MOD-Berechnungen'!R60</f>
        <v>2</v>
      </c>
      <c r="T149" s="325">
        <f>'MOD-Berechnungen'!S60</f>
        <v>2.5</v>
      </c>
      <c r="U149" s="325">
        <f>'MOD-Berechnungen'!T60</f>
        <v>2.5</v>
      </c>
      <c r="V149" s="325">
        <f>'MOD-Berechnungen'!U60</f>
        <v>2.5</v>
      </c>
      <c r="W149" s="325">
        <f>'MOD-Berechnungen'!V60</f>
        <v>2.5</v>
      </c>
      <c r="X149" s="325">
        <f>'MOD-Berechnungen'!W60</f>
        <v>2.5</v>
      </c>
      <c r="Y149" s="325">
        <f>'MOD-Berechnungen'!X60</f>
        <v>2.5</v>
      </c>
      <c r="Z149" s="325">
        <f>'MOD-Berechnungen'!Y60</f>
        <v>2.5</v>
      </c>
      <c r="AA149" s="325">
        <f>'MOD-Berechnungen'!Z60</f>
        <v>2.5</v>
      </c>
      <c r="AB149" s="325">
        <f>'MOD-Berechnungen'!AA60</f>
        <v>2.5</v>
      </c>
      <c r="AC149" s="325">
        <f>'MOD-Berechnungen'!AB60</f>
        <v>2.5</v>
      </c>
      <c r="AD149" s="325">
        <f>'MOD-Berechnungen'!AC60</f>
        <v>2.5</v>
      </c>
      <c r="AE149" s="325">
        <f>'MOD-Berechnungen'!AD60</f>
        <v>2.5</v>
      </c>
      <c r="AF149" s="326">
        <f>'MOD-Berechnungen'!AE60</f>
        <v>2.5</v>
      </c>
    </row>
    <row r="150" spans="1:32" s="294" customFormat="1">
      <c r="A150" s="553">
        <v>150</v>
      </c>
      <c r="C150" s="10"/>
      <c r="D150" s="29"/>
      <c r="E150" s="29"/>
      <c r="F150" s="566" t="s">
        <v>340</v>
      </c>
      <c r="G150" s="325">
        <f>'MOD-Berechnungen'!F61</f>
        <v>4.4999999999999998E-2</v>
      </c>
      <c r="H150" s="325">
        <f>'MOD-Berechnungen'!G61</f>
        <v>0.108</v>
      </c>
      <c r="I150" s="325">
        <f>'MOD-Berechnungen'!H61</f>
        <v>9.2299999999999993E-2</v>
      </c>
      <c r="J150" s="325">
        <f>'MOD-Berechnungen'!I61</f>
        <v>0.24</v>
      </c>
      <c r="K150" s="325">
        <f>'MOD-Berechnungen'!J61</f>
        <v>0.47770000000000001</v>
      </c>
      <c r="L150" s="325">
        <f>'MOD-Berechnungen'!K61</f>
        <v>2.2849999999999997</v>
      </c>
      <c r="M150" s="325">
        <f>'MOD-Berechnungen'!L61</f>
        <v>0.81799999999999995</v>
      </c>
      <c r="N150" s="325">
        <f>'MOD-Berechnungen'!M61</f>
        <v>1.306</v>
      </c>
      <c r="O150" s="325">
        <f>'MOD-Berechnungen'!N61</f>
        <v>0.95</v>
      </c>
      <c r="P150" s="325">
        <f>'MOD-Berechnungen'!O61</f>
        <v>1.409</v>
      </c>
      <c r="Q150" s="325">
        <f>'MOD-Berechnungen'!P61</f>
        <v>0</v>
      </c>
      <c r="R150" s="325">
        <f>'MOD-Berechnungen'!Q61</f>
        <v>0</v>
      </c>
      <c r="S150" s="325">
        <f>'MOD-Berechnungen'!R61</f>
        <v>0.34200000000000003</v>
      </c>
      <c r="T150" s="325">
        <f>'MOD-Berechnungen'!S61</f>
        <v>0.97499999999999998</v>
      </c>
      <c r="U150" s="325">
        <f>'MOD-Berechnungen'!T61</f>
        <v>0.9</v>
      </c>
      <c r="V150" s="325">
        <f>'MOD-Berechnungen'!U61</f>
        <v>0.9</v>
      </c>
      <c r="W150" s="325">
        <f>'MOD-Berechnungen'!V61</f>
        <v>0.9</v>
      </c>
      <c r="X150" s="325">
        <f>'MOD-Berechnungen'!W61</f>
        <v>0.9</v>
      </c>
      <c r="Y150" s="325">
        <f>'MOD-Berechnungen'!X61</f>
        <v>0.9</v>
      </c>
      <c r="Z150" s="325">
        <f>'MOD-Berechnungen'!Y61</f>
        <v>0.9</v>
      </c>
      <c r="AA150" s="325">
        <f>'MOD-Berechnungen'!Z61</f>
        <v>0.9</v>
      </c>
      <c r="AB150" s="325">
        <f>'MOD-Berechnungen'!AA61</f>
        <v>0.9</v>
      </c>
      <c r="AC150" s="325">
        <f>'MOD-Berechnungen'!AB61</f>
        <v>0.9</v>
      </c>
      <c r="AD150" s="325">
        <f>'MOD-Berechnungen'!AC61</f>
        <v>0.9</v>
      </c>
      <c r="AE150" s="325">
        <f>'MOD-Berechnungen'!AD61</f>
        <v>0.9</v>
      </c>
      <c r="AF150" s="326">
        <f>'MOD-Berechnungen'!AE61</f>
        <v>0.9</v>
      </c>
    </row>
    <row r="151" spans="1:32" s="294" customFormat="1">
      <c r="A151" s="553">
        <v>151</v>
      </c>
      <c r="C151" s="10"/>
      <c r="D151" s="29"/>
      <c r="E151" s="29"/>
      <c r="F151" s="568" t="s">
        <v>530</v>
      </c>
      <c r="G151" s="302">
        <f>'MOD-Berechnungen'!F62</f>
        <v>7.3779999999999983</v>
      </c>
      <c r="H151" s="302">
        <f>'MOD-Berechnungen'!G62</f>
        <v>7.4849999999999994</v>
      </c>
      <c r="I151" s="302">
        <f>'MOD-Berechnungen'!H62</f>
        <v>7.6040000000000028</v>
      </c>
      <c r="J151" s="302">
        <f>'MOD-Berechnungen'!I62</f>
        <v>3.304000000000002</v>
      </c>
      <c r="K151" s="302">
        <f>'MOD-Berechnungen'!J62</f>
        <v>0.7958877419999979</v>
      </c>
      <c r="L151" s="302">
        <f>'MOD-Berechnungen'!K62</f>
        <v>1.498</v>
      </c>
      <c r="M151" s="302">
        <f>'MOD-Berechnungen'!L62</f>
        <v>1.5249999999999999</v>
      </c>
      <c r="N151" s="302">
        <f>'MOD-Berechnungen'!M62</f>
        <v>2.2440000000000002</v>
      </c>
      <c r="O151" s="302">
        <f>'MOD-Berechnungen'!N62</f>
        <v>2.4039999999999999</v>
      </c>
      <c r="P151" s="302">
        <f>'MOD-Berechnungen'!O62</f>
        <v>2.6869999999999998</v>
      </c>
      <c r="Q151" s="302">
        <f>'MOD-Berechnungen'!P62</f>
        <v>3.9910000000000001</v>
      </c>
      <c r="R151" s="302">
        <f>'MOD-Berechnungen'!Q62</f>
        <v>5.4139999999999997</v>
      </c>
      <c r="S151" s="302">
        <f>'MOD-Berechnungen'!R62</f>
        <v>4.9379999999999997</v>
      </c>
      <c r="T151" s="302">
        <f>'MOD-Berechnungen'!S62</f>
        <v>3.1520000000000001</v>
      </c>
      <c r="U151" s="302">
        <f>'MOD-Berechnungen'!T62</f>
        <v>3.0219999999999998</v>
      </c>
      <c r="V151" s="302">
        <f>'MOD-Berechnungen'!U62</f>
        <v>3.129</v>
      </c>
      <c r="W151" s="302">
        <f>'MOD-Berechnungen'!V62</f>
        <v>2.5</v>
      </c>
      <c r="X151" s="302">
        <f>'MOD-Berechnungen'!W62</f>
        <v>2.5</v>
      </c>
      <c r="Y151" s="302">
        <f>'MOD-Berechnungen'!X62</f>
        <v>2.5</v>
      </c>
      <c r="Z151" s="302">
        <f>'MOD-Berechnungen'!Y62</f>
        <v>2.5</v>
      </c>
      <c r="AA151" s="302">
        <f>'MOD-Berechnungen'!Z62</f>
        <v>2.5</v>
      </c>
      <c r="AB151" s="302">
        <f>'MOD-Berechnungen'!AA62</f>
        <v>2.5</v>
      </c>
      <c r="AC151" s="302">
        <f>'MOD-Berechnungen'!AB62</f>
        <v>2.5</v>
      </c>
      <c r="AD151" s="302">
        <f>'MOD-Berechnungen'!AC62</f>
        <v>2.5</v>
      </c>
      <c r="AE151" s="302">
        <f>'MOD-Berechnungen'!AD62</f>
        <v>2.5</v>
      </c>
      <c r="AF151" s="55">
        <f>'MOD-Berechnungen'!AE62</f>
        <v>2.5</v>
      </c>
    </row>
    <row r="152" spans="1:32" s="294" customFormat="1">
      <c r="A152" s="553">
        <v>152</v>
      </c>
      <c r="C152" s="10"/>
      <c r="D152" s="29"/>
      <c r="E152" s="29"/>
      <c r="F152" s="36"/>
      <c r="G152" s="324"/>
      <c r="H152" s="324"/>
      <c r="I152" s="324"/>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c r="AF152" s="324"/>
    </row>
    <row r="153" spans="1:32" s="294" customFormat="1">
      <c r="A153" s="553">
        <v>153</v>
      </c>
      <c r="C153" s="10"/>
      <c r="D153" s="29"/>
      <c r="E153" s="29"/>
      <c r="F153" s="192" t="s">
        <v>764</v>
      </c>
      <c r="G153" s="324"/>
      <c r="H153" s="324"/>
      <c r="I153" s="324"/>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c r="AF153" s="324"/>
    </row>
    <row r="154" spans="1:32" s="294" customFormat="1">
      <c r="A154" s="553">
        <v>154</v>
      </c>
      <c r="C154" s="10"/>
      <c r="D154" s="29"/>
      <c r="E154" s="29"/>
      <c r="F154" s="619"/>
      <c r="G154" s="562">
        <v>2010</v>
      </c>
      <c r="H154" s="562">
        <v>2011</v>
      </c>
      <c r="I154" s="562">
        <v>2012</v>
      </c>
      <c r="J154" s="562">
        <v>2013</v>
      </c>
      <c r="K154" s="562">
        <v>2014</v>
      </c>
      <c r="L154" s="562">
        <v>2015</v>
      </c>
      <c r="M154" s="562">
        <v>2016</v>
      </c>
      <c r="N154" s="562">
        <v>2017</v>
      </c>
      <c r="O154" s="562">
        <v>2018</v>
      </c>
      <c r="P154" s="562">
        <v>2019</v>
      </c>
      <c r="Q154" s="562">
        <v>2020</v>
      </c>
      <c r="R154" s="562">
        <v>2021</v>
      </c>
      <c r="S154" s="562">
        <v>2022</v>
      </c>
      <c r="T154" s="562">
        <v>2023</v>
      </c>
      <c r="U154" s="562">
        <v>2024</v>
      </c>
      <c r="V154" s="562">
        <v>2025</v>
      </c>
      <c r="W154" s="562">
        <v>2026</v>
      </c>
      <c r="X154" s="562">
        <v>2027</v>
      </c>
      <c r="Y154" s="562">
        <v>2028</v>
      </c>
      <c r="Z154" s="562">
        <v>2029</v>
      </c>
      <c r="AA154" s="562">
        <v>2030</v>
      </c>
      <c r="AB154" s="562">
        <v>2031</v>
      </c>
      <c r="AC154" s="562">
        <v>2032</v>
      </c>
      <c r="AD154" s="562">
        <v>2033</v>
      </c>
      <c r="AE154" s="562">
        <v>2034</v>
      </c>
      <c r="AF154" s="563">
        <v>2035</v>
      </c>
    </row>
    <row r="155" spans="1:32" s="294" customFormat="1">
      <c r="A155" s="553">
        <v>155</v>
      </c>
      <c r="C155" s="10"/>
      <c r="D155" s="29"/>
      <c r="E155" s="29"/>
      <c r="F155" s="564" t="s">
        <v>758</v>
      </c>
      <c r="G155" s="316">
        <f ca="1">'MOD-Berechnungen'!F199+'MOD-Berechnungen'!F200+'MOD-Berechnungen'!F202</f>
        <v>0.10599999999999994</v>
      </c>
      <c r="H155" s="316">
        <f ca="1">'MOD-Berechnungen'!G199+'MOD-Berechnungen'!G200+'MOD-Berechnungen'!G202</f>
        <v>8.2999999999999866E-2</v>
      </c>
      <c r="I155" s="316">
        <f ca="1">'MOD-Berechnungen'!H199+'MOD-Berechnungen'!H200+'MOD-Berechnungen'!H202</f>
        <v>4.8800000000000045E-2</v>
      </c>
      <c r="J155" s="316">
        <f ca="1">'MOD-Berechnungen'!I199+'MOD-Berechnungen'!I200+'MOD-Berechnungen'!I202</f>
        <v>7.3320000000000163E-2</v>
      </c>
      <c r="K155" s="316">
        <f ca="1">'MOD-Berechnungen'!J199+'MOD-Berechnungen'!J200+'MOD-Berechnungen'!J202</f>
        <v>-1.7142300000000062E-2</v>
      </c>
      <c r="L155" s="316">
        <f ca="1">'MOD-Berechnungen'!K199+'MOD-Berechnungen'!K200+'MOD-Berechnungen'!K202</f>
        <v>0.33660678499999952</v>
      </c>
      <c r="M155" s="316">
        <f ca="1">'MOD-Berechnungen'!L199+'MOD-Berechnungen'!L200+'MOD-Berechnungen'!L202</f>
        <v>3.0717774999999795E-2</v>
      </c>
      <c r="N155" s="316">
        <f ca="1">'MOD-Berechnungen'!M199+'MOD-Berechnungen'!M200+'MOD-Berechnungen'!M202</f>
        <v>9.1000000000000004E-3</v>
      </c>
      <c r="O155" s="316">
        <f ca="1">'MOD-Berechnungen'!N199+'MOD-Berechnungen'!N200+'MOD-Berechnungen'!N202</f>
        <v>2.5999999999999999E-2</v>
      </c>
      <c r="P155" s="316">
        <f ca="1">'MOD-Berechnungen'!O199+'MOD-Berechnungen'!O200+'MOD-Berechnungen'!O202</f>
        <v>2.3000000000000003E-2</v>
      </c>
      <c r="Q155" s="316">
        <f ca="1">'MOD-Berechnungen'!P199+'MOD-Berechnungen'!P200+'MOD-Berechnungen'!P202</f>
        <v>0.02</v>
      </c>
      <c r="R155" s="316">
        <f ca="1">'MOD-Berechnungen'!Q199+'MOD-Berechnungen'!Q200+'MOD-Berechnungen'!Q202</f>
        <v>-0.17765019999999992</v>
      </c>
      <c r="S155" s="316">
        <f ca="1">'MOD-Berechnungen'!R199+'MOD-Berechnungen'!R200+'MOD-Berechnungen'!R202</f>
        <v>-5.3037000000000001E-2</v>
      </c>
      <c r="T155" s="316">
        <f ca="1">'MOD-Berechnungen'!S199+'MOD-Berechnungen'!S200+'MOD-Berechnungen'!S202</f>
        <v>-6.2701000000000007E-2</v>
      </c>
      <c r="U155" s="316">
        <f ca="1">'MOD-Berechnungen'!T199+'MOD-Berechnungen'!T200+'MOD-Berechnungen'!T202</f>
        <v>-7.7915000000000012E-2</v>
      </c>
      <c r="V155" s="316">
        <f ca="1">'MOD-Berechnungen'!U199+'MOD-Berechnungen'!U200+'MOD-Berechnungen'!U202</f>
        <v>-6.661729999999999E-2</v>
      </c>
      <c r="W155" s="316">
        <f ca="1">'MOD-Berechnungen'!V199+'MOD-Berechnungen'!V200+'MOD-Berechnungen'!V202</f>
        <v>-1.3616999999999997E-2</v>
      </c>
      <c r="X155" s="316">
        <f ca="1">'MOD-Berechnungen'!W199+'MOD-Berechnungen'!W200+'MOD-Berechnungen'!W202</f>
        <v>-8.5360000000000019E-3</v>
      </c>
      <c r="Y155" s="316">
        <f ca="1">'MOD-Berechnungen'!X199+'MOD-Berechnungen'!X200+'MOD-Berechnungen'!X202</f>
        <v>-1.1515000000000004E-2</v>
      </c>
      <c r="Z155" s="316">
        <f ca="1">'MOD-Berechnungen'!Y199+'MOD-Berechnungen'!Y200+'MOD-Berechnungen'!Y202</f>
        <v>-5.7040000000000007E-3</v>
      </c>
      <c r="AA155" s="316">
        <f ca="1">'MOD-Berechnungen'!Z199+'MOD-Berechnungen'!Z200+'MOD-Berechnungen'!Z202</f>
        <v>-0.12453461999999983</v>
      </c>
      <c r="AB155" s="316">
        <f ca="1">'MOD-Berechnungen'!AA199+'MOD-Berechnungen'!AA200+'MOD-Berechnungen'!AA202</f>
        <v>-9.427019000000017E-2</v>
      </c>
      <c r="AC155" s="316">
        <f ca="1">'MOD-Berechnungen'!AB199+'MOD-Berechnungen'!AB200+'MOD-Berechnungen'!AB202</f>
        <v>-8.2644749999999795E-2</v>
      </c>
      <c r="AD155" s="316">
        <f ca="1">'MOD-Berechnungen'!AC199+'MOD-Berechnungen'!AC200+'MOD-Berechnungen'!AC202</f>
        <v>-6.0115350000000248E-2</v>
      </c>
      <c r="AE155" s="316">
        <f ca="1">'MOD-Berechnungen'!AD199+'MOD-Berechnungen'!AD200+'MOD-Berechnungen'!AD202</f>
        <v>-0.12035033999999992</v>
      </c>
      <c r="AF155" s="317">
        <f ca="1">'MOD-Berechnungen'!AE199+'MOD-Berechnungen'!AE200+'MOD-Berechnungen'!AE202</f>
        <v>-0.33660678499999952</v>
      </c>
    </row>
    <row r="156" spans="1:32" s="294" customFormat="1">
      <c r="A156" s="553">
        <v>156</v>
      </c>
      <c r="C156" s="10"/>
      <c r="D156" s="29"/>
      <c r="E156" s="29"/>
      <c r="F156" s="566" t="s">
        <v>11</v>
      </c>
      <c r="G156" s="325">
        <f ca="1">'MOD-Berechnungen'!F201</f>
        <v>0.54100000000000081</v>
      </c>
      <c r="H156" s="325">
        <f ca="1">'MOD-Berechnungen'!G201</f>
        <v>0.92300000000000015</v>
      </c>
      <c r="I156" s="325">
        <f ca="1">'MOD-Berechnungen'!H201</f>
        <v>0.23699999999999971</v>
      </c>
      <c r="J156" s="325">
        <f ca="1">'MOD-Berechnungen'!I201</f>
        <v>0.18199999999999966</v>
      </c>
      <c r="K156" s="325">
        <f ca="1">'MOD-Berechnungen'!J201</f>
        <v>0.62599919999999865</v>
      </c>
      <c r="L156" s="325">
        <f ca="1">'MOD-Berechnungen'!K201</f>
        <v>1.2571299999999432E-2</v>
      </c>
      <c r="M156" s="325">
        <f ca="1">'MOD-Berechnungen'!L201</f>
        <v>0.15215899999999888</v>
      </c>
      <c r="N156" s="325">
        <f ca="1">'MOD-Berechnungen'!M201</f>
        <v>0.221</v>
      </c>
      <c r="O156" s="325">
        <f ca="1">'MOD-Berechnungen'!N201</f>
        <v>0.33500000000000002</v>
      </c>
      <c r="P156" s="325">
        <f ca="1">'MOD-Berechnungen'!O201</f>
        <v>0.19500000000000001</v>
      </c>
      <c r="Q156" s="325">
        <f ca="1">'MOD-Berechnungen'!P201</f>
        <v>0.17599999999999999</v>
      </c>
      <c r="R156" s="325">
        <f ca="1">'MOD-Berechnungen'!Q201</f>
        <v>-0.28711535999999926</v>
      </c>
      <c r="S156" s="325">
        <f ca="1">'MOD-Berechnungen'!R201</f>
        <v>-0.15223380000000167</v>
      </c>
      <c r="T156" s="325">
        <f ca="1">'MOD-Berechnungen'!S201</f>
        <v>-0.10024915999999887</v>
      </c>
      <c r="U156" s="325">
        <f ca="1">'MOD-Berechnungen'!T201</f>
        <v>-0.18895835000000022</v>
      </c>
      <c r="V156" s="325">
        <f ca="1">'MOD-Berechnungen'!U201</f>
        <v>-0.5275069899999999</v>
      </c>
      <c r="W156" s="325">
        <f ca="1">'MOD-Berechnungen'!V201</f>
        <v>-0.49573850000000003</v>
      </c>
      <c r="X156" s="325">
        <f ca="1">'MOD-Berechnungen'!W201</f>
        <v>-0.64800203000000089</v>
      </c>
      <c r="Y156" s="325">
        <f ca="1">'MOD-Berechnungen'!X201</f>
        <v>-0.4404923999999994</v>
      </c>
      <c r="Z156" s="325">
        <f ca="1">'MOD-Berechnungen'!Y201</f>
        <v>-0.15727639999999993</v>
      </c>
      <c r="AA156" s="325">
        <f ca="1">'MOD-Berechnungen'!Z201</f>
        <v>-0.25520799999999938</v>
      </c>
      <c r="AB156" s="325">
        <f ca="1">'MOD-Berechnungen'!AA201</f>
        <v>-0.43709159999999975</v>
      </c>
      <c r="AC156" s="325">
        <f ca="1">'MOD-Berechnungen'!AB201</f>
        <v>-0.85617406000000029</v>
      </c>
      <c r="AD156" s="325">
        <f ca="1">'MOD-Berechnungen'!AC201</f>
        <v>-0.13386470000000006</v>
      </c>
      <c r="AE156" s="325">
        <f ca="1">'MOD-Berechnungen'!AD201</f>
        <v>-5.6353910000000063E-2</v>
      </c>
      <c r="AF156" s="326">
        <f ca="1">'MOD-Berechnungen'!AE201</f>
        <v>0.18742870000000059</v>
      </c>
    </row>
    <row r="157" spans="1:32" s="294" customFormat="1">
      <c r="A157" s="553">
        <v>157</v>
      </c>
      <c r="C157" s="10"/>
      <c r="D157" s="29"/>
      <c r="E157" s="29"/>
      <c r="F157" s="566" t="s">
        <v>339</v>
      </c>
      <c r="G157" s="325">
        <f ca="1">'MOD-Berechnungen'!F203</f>
        <v>1.379999999999999</v>
      </c>
      <c r="H157" s="325">
        <f ca="1">'MOD-Berechnungen'!G203</f>
        <v>1.8449999999999989</v>
      </c>
      <c r="I157" s="325">
        <f ca="1">'MOD-Berechnungen'!H203</f>
        <v>2.1389999999999993</v>
      </c>
      <c r="J157" s="325">
        <f ca="1">'MOD-Berechnungen'!I203</f>
        <v>2.7609999999999992</v>
      </c>
      <c r="K157" s="325">
        <f ca="1">'MOD-Berechnungen'!J203</f>
        <v>3.9650000000000034</v>
      </c>
      <c r="L157" s="325">
        <f ca="1">'MOD-Berechnungen'!K203</f>
        <v>3.536</v>
      </c>
      <c r="M157" s="325">
        <f ca="1">'MOD-Berechnungen'!L203</f>
        <v>4.3249999999999957</v>
      </c>
      <c r="N157" s="325">
        <f ca="1">'MOD-Berechnungen'!M203</f>
        <v>4.8310000000000013</v>
      </c>
      <c r="O157" s="325">
        <f ca="1">'MOD-Berechnungen'!N203</f>
        <v>2.9460000000000002</v>
      </c>
      <c r="P157" s="325">
        <f ca="1">'MOD-Berechnungen'!O203</f>
        <v>0.73799999999999866</v>
      </c>
      <c r="Q157" s="325">
        <f ca="1">'MOD-Berechnungen'!P203</f>
        <v>0.80000000000000426</v>
      </c>
      <c r="R157" s="325">
        <f ca="1">'MOD-Berechnungen'!Q203</f>
        <v>-0.30579311000000331</v>
      </c>
      <c r="S157" s="325">
        <f ca="1">'MOD-Berechnungen'!R203</f>
        <v>-0.5936737999999977</v>
      </c>
      <c r="T157" s="325">
        <f ca="1">'MOD-Berechnungen'!S203</f>
        <v>-0.55020309000000012</v>
      </c>
      <c r="U157" s="325">
        <f ca="1">'MOD-Berechnungen'!T203</f>
        <v>-0.21786799999999928</v>
      </c>
      <c r="V157" s="325">
        <f ca="1">'MOD-Berechnungen'!U203</f>
        <v>0.44622899999999888</v>
      </c>
      <c r="W157" s="325">
        <f ca="1">'MOD-Berechnungen'!V203</f>
        <v>0.68595649999999964</v>
      </c>
      <c r="X157" s="325">
        <f ca="1">'MOD-Berechnungen'!W203</f>
        <v>0.27016200000000268</v>
      </c>
      <c r="Y157" s="325">
        <f ca="1">'MOD-Berechnungen'!X203</f>
        <v>0.81375379999999709</v>
      </c>
      <c r="Z157" s="325">
        <f ca="1">'MOD-Berechnungen'!Y203</f>
        <v>1.7281359999999992</v>
      </c>
      <c r="AA157" s="325">
        <f ca="1">'MOD-Berechnungen'!Z203</f>
        <v>-0.19933991999999989</v>
      </c>
      <c r="AB157" s="325">
        <f ca="1">'MOD-Berechnungen'!AA203</f>
        <v>1.0733403500000005</v>
      </c>
      <c r="AC157" s="325">
        <f ca="1">'MOD-Berechnungen'!AB203</f>
        <v>0.62351773999999871</v>
      </c>
      <c r="AD157" s="325">
        <f ca="1">'MOD-Berechnungen'!AC203</f>
        <v>7.8875470000000725E-2</v>
      </c>
      <c r="AE157" s="325">
        <f ca="1">'MOD-Berechnungen'!AD203</f>
        <v>-0.53243178999999952</v>
      </c>
      <c r="AF157" s="326">
        <f ca="1">'MOD-Berechnungen'!AE203</f>
        <v>-1.036</v>
      </c>
    </row>
    <row r="158" spans="1:32" s="294" customFormat="1">
      <c r="A158" s="553">
        <v>158</v>
      </c>
      <c r="C158" s="10"/>
      <c r="D158" s="29"/>
      <c r="E158" s="29"/>
      <c r="F158" s="566" t="s">
        <v>340</v>
      </c>
      <c r="G158" s="325">
        <f ca="1">'MOD-Berechnungen'!F204</f>
        <v>4.4999999999999998E-2</v>
      </c>
      <c r="H158" s="325">
        <f ca="1">'MOD-Berechnungen'!G204</f>
        <v>0.108</v>
      </c>
      <c r="I158" s="325">
        <f ca="1">'MOD-Berechnungen'!H204</f>
        <v>9.2299999999999993E-2</v>
      </c>
      <c r="J158" s="325">
        <f ca="1">'MOD-Berechnungen'!I204</f>
        <v>0.24</v>
      </c>
      <c r="K158" s="325">
        <f ca="1">'MOD-Berechnungen'!J204</f>
        <v>0.47770000000000001</v>
      </c>
      <c r="L158" s="325">
        <f ca="1">'MOD-Berechnungen'!K204</f>
        <v>2.2849999999999997</v>
      </c>
      <c r="M158" s="325">
        <f ca="1">'MOD-Berechnungen'!L204</f>
        <v>0.81799999999999995</v>
      </c>
      <c r="N158" s="325">
        <f ca="1">'MOD-Berechnungen'!M204</f>
        <v>1.306</v>
      </c>
      <c r="O158" s="325">
        <f ca="1">'MOD-Berechnungen'!N204</f>
        <v>0.95</v>
      </c>
      <c r="P158" s="325">
        <f ca="1">'MOD-Berechnungen'!O204</f>
        <v>1.409</v>
      </c>
      <c r="Q158" s="325">
        <f ca="1">'MOD-Berechnungen'!P204</f>
        <v>0</v>
      </c>
      <c r="R158" s="325">
        <f ca="1">'MOD-Berechnungen'!Q204</f>
        <v>0</v>
      </c>
      <c r="S158" s="325">
        <f ca="1">'MOD-Berechnungen'!R204</f>
        <v>0.34200000000000003</v>
      </c>
      <c r="T158" s="325">
        <f ca="1">'MOD-Berechnungen'!S204</f>
        <v>0.97499999999999998</v>
      </c>
      <c r="U158" s="325">
        <f ca="1">'MOD-Berechnungen'!T204</f>
        <v>0.9</v>
      </c>
      <c r="V158" s="325">
        <f ca="1">'MOD-Berechnungen'!U204</f>
        <v>0.9</v>
      </c>
      <c r="W158" s="325">
        <f ca="1">'MOD-Berechnungen'!V204</f>
        <v>0.9</v>
      </c>
      <c r="X158" s="325">
        <f ca="1">'MOD-Berechnungen'!W204</f>
        <v>0.9</v>
      </c>
      <c r="Y158" s="325">
        <f ca="1">'MOD-Berechnungen'!X204</f>
        <v>0.9</v>
      </c>
      <c r="Z158" s="325">
        <f ca="1">'MOD-Berechnungen'!Y204</f>
        <v>0.9</v>
      </c>
      <c r="AA158" s="325">
        <f ca="1">'MOD-Berechnungen'!Z204</f>
        <v>0.86499999999999999</v>
      </c>
      <c r="AB158" s="325">
        <f ca="1">'MOD-Berechnungen'!AA204</f>
        <v>0.85499999999999998</v>
      </c>
      <c r="AC158" s="325">
        <f ca="1">'MOD-Berechnungen'!AB204</f>
        <v>0.79170000000000007</v>
      </c>
      <c r="AD158" s="325">
        <f ca="1">'MOD-Berechnungen'!AC204</f>
        <v>0.82000000000000006</v>
      </c>
      <c r="AE158" s="325">
        <f ca="1">'MOD-Berechnungen'!AD204</f>
        <v>0.66</v>
      </c>
      <c r="AF158" s="326">
        <f ca="1">'MOD-Berechnungen'!AE204</f>
        <v>-1.3849999999999998</v>
      </c>
    </row>
    <row r="159" spans="1:32" s="294" customFormat="1">
      <c r="A159" s="553">
        <v>159</v>
      </c>
      <c r="C159" s="10"/>
      <c r="D159" s="29"/>
      <c r="E159" s="29"/>
      <c r="F159" s="568" t="s">
        <v>530</v>
      </c>
      <c r="G159" s="302">
        <f ca="1">'MOD-Berechnungen'!F205</f>
        <v>7.3776770249999952</v>
      </c>
      <c r="H159" s="302">
        <f ca="1">'MOD-Berechnungen'!G205</f>
        <v>7.4841577890000011</v>
      </c>
      <c r="I159" s="302">
        <f ca="1">'MOD-Berechnungen'!H205</f>
        <v>7.6024052650000051</v>
      </c>
      <c r="J159" s="302">
        <f ca="1">'MOD-Berechnungen'!I205</f>
        <v>3.3022457810000034</v>
      </c>
      <c r="K159" s="302">
        <f ca="1">'MOD-Berechnungen'!J205</f>
        <v>0.79419116499999376</v>
      </c>
      <c r="L159" s="302">
        <f ca="1">'MOD-Berechnungen'!K205</f>
        <v>1.498</v>
      </c>
      <c r="M159" s="302">
        <f ca="1">'MOD-Berechnungen'!L205</f>
        <v>1.5249999999999999</v>
      </c>
      <c r="N159" s="302">
        <f ca="1">'MOD-Berechnungen'!M205</f>
        <v>2.2440000000000002</v>
      </c>
      <c r="O159" s="302">
        <f ca="1">'MOD-Berechnungen'!N205</f>
        <v>2.4039999999999999</v>
      </c>
      <c r="P159" s="302">
        <f ca="1">'MOD-Berechnungen'!O205</f>
        <v>2.6869999999999998</v>
      </c>
      <c r="Q159" s="302">
        <f ca="1">'MOD-Berechnungen'!P205</f>
        <v>3.9910000000000001</v>
      </c>
      <c r="R159" s="302">
        <f ca="1">'MOD-Berechnungen'!Q205</f>
        <v>5.3401375199999972</v>
      </c>
      <c r="S159" s="302">
        <f ca="1">'MOD-Berechnungen'!R205</f>
        <v>4.8293613100000004</v>
      </c>
      <c r="T159" s="302">
        <f ca="1">'MOD-Berechnungen'!S205</f>
        <v>3.0417784500000016</v>
      </c>
      <c r="U159" s="302">
        <f ca="1">'MOD-Berechnungen'!T205</f>
        <v>2.8795534499999973</v>
      </c>
      <c r="V159" s="302">
        <f ca="1">'MOD-Berechnungen'!U205</f>
        <v>2.4729706999999999</v>
      </c>
      <c r="W159" s="302">
        <f ca="1">'MOD-Berechnungen'!V205</f>
        <v>1.575397940000002</v>
      </c>
      <c r="X159" s="302">
        <f ca="1">'MOD-Berechnungen'!W205</f>
        <v>1.6554050499999988</v>
      </c>
      <c r="Y159" s="302">
        <f ca="1">'MOD-Berechnungen'!X205</f>
        <v>1.2462488739999955</v>
      </c>
      <c r="Z159" s="302">
        <f ca="1">'MOD-Berechnungen'!Y205</f>
        <v>0.52045689000000195</v>
      </c>
      <c r="AA159" s="302">
        <f ca="1">'MOD-Berechnungen'!Z205</f>
        <v>-1.9384598400000144</v>
      </c>
      <c r="AB159" s="302">
        <f ca="1">'MOD-Berechnungen'!AA205</f>
        <v>-5.0938763400000333</v>
      </c>
      <c r="AC159" s="302">
        <f ca="1">'MOD-Berechnungen'!AB205</f>
        <v>-5.5003900600000044</v>
      </c>
      <c r="AD159" s="302">
        <f ca="1">'MOD-Berechnungen'!AC205</f>
        <v>-4.3422938800000237</v>
      </c>
      <c r="AE159" s="302">
        <f ca="1">'MOD-Berechnungen'!AD205</f>
        <v>-0.6356207599999868</v>
      </c>
      <c r="AF159" s="55">
        <f ca="1">'MOD-Berechnungen'!AE205</f>
        <v>1.002</v>
      </c>
    </row>
    <row r="160" spans="1:32" s="294" customFormat="1">
      <c r="A160" s="553">
        <v>160</v>
      </c>
      <c r="C160" s="10"/>
      <c r="D160" s="29"/>
      <c r="E160" s="29"/>
      <c r="F160" s="36"/>
      <c r="G160" s="324"/>
      <c r="H160" s="324"/>
      <c r="I160" s="324"/>
      <c r="J160" s="324"/>
      <c r="K160" s="324"/>
      <c r="L160" s="324"/>
      <c r="M160" s="324"/>
      <c r="N160" s="324"/>
      <c r="O160" s="324"/>
      <c r="P160" s="324"/>
      <c r="Q160" s="324"/>
      <c r="R160" s="324"/>
      <c r="S160" s="324"/>
      <c r="T160" s="324"/>
      <c r="U160" s="324"/>
      <c r="V160" s="324"/>
      <c r="W160" s="324"/>
      <c r="X160" s="324"/>
      <c r="Y160" s="324"/>
      <c r="Z160" s="324"/>
      <c r="AA160" s="324"/>
      <c r="AB160" s="324"/>
      <c r="AC160" s="324"/>
      <c r="AD160" s="324"/>
      <c r="AE160" s="324"/>
      <c r="AF160" s="324"/>
    </row>
    <row r="161" spans="1:32" s="294" customFormat="1">
      <c r="A161" s="553">
        <v>161</v>
      </c>
      <c r="C161" s="10"/>
      <c r="D161" s="29"/>
      <c r="E161" s="29"/>
      <c r="F161" s="36"/>
      <c r="G161" s="324"/>
      <c r="H161" s="324"/>
      <c r="I161" s="324"/>
      <c r="J161" s="324"/>
      <c r="K161" s="324"/>
      <c r="L161" s="324"/>
      <c r="M161" s="324"/>
      <c r="N161" s="324"/>
      <c r="O161" s="324"/>
      <c r="P161" s="324"/>
      <c r="Q161" s="324"/>
      <c r="R161" s="324"/>
      <c r="S161" s="324"/>
      <c r="T161" s="324"/>
      <c r="U161" s="324"/>
      <c r="V161" s="324"/>
      <c r="W161" s="324"/>
      <c r="X161" s="324"/>
      <c r="Y161" s="324"/>
      <c r="Z161" s="324"/>
      <c r="AA161" s="324"/>
      <c r="AB161" s="324"/>
      <c r="AC161" s="324"/>
      <c r="AD161" s="324"/>
      <c r="AE161" s="324"/>
      <c r="AF161" s="324"/>
    </row>
    <row r="162" spans="1:32" s="294" customFormat="1">
      <c r="A162" s="553">
        <v>162</v>
      </c>
      <c r="C162" s="10"/>
      <c r="D162" s="29"/>
      <c r="E162" s="29"/>
      <c r="F162" s="36"/>
      <c r="G162" s="324"/>
      <c r="H162" s="324"/>
      <c r="I162" s="324"/>
      <c r="J162" s="324"/>
      <c r="K162" s="324"/>
      <c r="L162" s="324"/>
      <c r="M162" s="324"/>
      <c r="N162" s="324"/>
      <c r="O162" s="324"/>
      <c r="P162" s="324"/>
      <c r="Q162" s="324"/>
      <c r="R162" s="324"/>
      <c r="S162" s="324"/>
      <c r="T162" s="324"/>
      <c r="U162" s="324"/>
      <c r="V162" s="324"/>
      <c r="W162" s="324"/>
      <c r="X162" s="324"/>
      <c r="Y162" s="324"/>
      <c r="Z162" s="324"/>
      <c r="AA162" s="324"/>
      <c r="AB162" s="324"/>
      <c r="AC162" s="324"/>
      <c r="AD162" s="324"/>
      <c r="AE162" s="324"/>
      <c r="AF162" s="324"/>
    </row>
    <row r="163" spans="1:32" s="294" customFormat="1">
      <c r="A163" s="553">
        <v>163</v>
      </c>
      <c r="C163" s="10"/>
      <c r="D163" s="29"/>
      <c r="F163" s="192" t="s">
        <v>763</v>
      </c>
      <c r="G163" s="324"/>
      <c r="H163" s="324"/>
      <c r="I163" s="324"/>
      <c r="J163" s="324"/>
      <c r="K163" s="324"/>
      <c r="L163" s="324"/>
      <c r="M163" s="324"/>
      <c r="N163" s="324"/>
      <c r="O163" s="324"/>
      <c r="P163" s="324"/>
      <c r="Q163" s="324"/>
      <c r="R163" s="324"/>
      <c r="S163" s="324"/>
      <c r="T163" s="324"/>
      <c r="U163" s="324"/>
      <c r="V163" s="324"/>
      <c r="W163" s="324"/>
      <c r="X163" s="324"/>
      <c r="Y163" s="324"/>
      <c r="Z163" s="324"/>
      <c r="AA163" s="324"/>
      <c r="AB163" s="324"/>
      <c r="AC163" s="324"/>
      <c r="AD163" s="324"/>
      <c r="AE163" s="324"/>
      <c r="AF163" s="324"/>
    </row>
    <row r="164" spans="1:32" s="294" customFormat="1">
      <c r="A164" s="553">
        <v>164</v>
      </c>
      <c r="C164" s="10"/>
      <c r="D164" s="29"/>
      <c r="F164" s="619"/>
      <c r="G164" s="562">
        <v>2010</v>
      </c>
      <c r="H164" s="562">
        <v>2011</v>
      </c>
      <c r="I164" s="562">
        <v>2012</v>
      </c>
      <c r="J164" s="562">
        <v>2013</v>
      </c>
      <c r="K164" s="562">
        <v>2014</v>
      </c>
      <c r="L164" s="562">
        <v>2015</v>
      </c>
      <c r="M164" s="562">
        <v>2016</v>
      </c>
      <c r="N164" s="562">
        <v>2017</v>
      </c>
      <c r="O164" s="562">
        <v>2018</v>
      </c>
      <c r="P164" s="562">
        <v>2019</v>
      </c>
      <c r="Q164" s="562">
        <v>2020</v>
      </c>
      <c r="R164" s="562">
        <v>2021</v>
      </c>
      <c r="S164" s="562">
        <v>2022</v>
      </c>
      <c r="T164" s="562">
        <v>2023</v>
      </c>
      <c r="U164" s="562">
        <v>2024</v>
      </c>
      <c r="V164" s="562">
        <v>2025</v>
      </c>
      <c r="W164" s="562">
        <v>2026</v>
      </c>
      <c r="X164" s="562">
        <v>2027</v>
      </c>
      <c r="Y164" s="562">
        <v>2028</v>
      </c>
      <c r="Z164" s="562">
        <v>2029</v>
      </c>
      <c r="AA164" s="562">
        <v>2030</v>
      </c>
      <c r="AB164" s="562">
        <v>2031</v>
      </c>
      <c r="AC164" s="562">
        <v>2032</v>
      </c>
      <c r="AD164" s="562">
        <v>2033</v>
      </c>
      <c r="AE164" s="562">
        <v>2034</v>
      </c>
      <c r="AF164" s="563">
        <v>2035</v>
      </c>
    </row>
    <row r="165" spans="1:32" s="294" customFormat="1">
      <c r="A165" s="553">
        <v>165</v>
      </c>
      <c r="C165" s="10"/>
      <c r="D165" s="29"/>
      <c r="E165" s="29"/>
      <c r="F165" s="566" t="s">
        <v>759</v>
      </c>
      <c r="G165" s="316">
        <f ca="1">G167-G166</f>
        <v>3.2297500000311175E-4</v>
      </c>
      <c r="H165" s="316">
        <f t="shared" ref="H165:AF165" ca="1" si="38">H167-H166</f>
        <v>8.4221099999837179E-4</v>
      </c>
      <c r="I165" s="316">
        <f t="shared" ca="1" si="38"/>
        <v>1.5947349999976268E-3</v>
      </c>
      <c r="J165" s="316">
        <f t="shared" ca="1" si="38"/>
        <v>1.7542189999986135E-3</v>
      </c>
      <c r="K165" s="316">
        <f t="shared" ca="1" si="38"/>
        <v>1.6965770000041402E-3</v>
      </c>
      <c r="L165" s="316">
        <f t="shared" ca="1" si="38"/>
        <v>0</v>
      </c>
      <c r="M165" s="316">
        <f t="shared" ca="1" si="38"/>
        <v>0</v>
      </c>
      <c r="N165" s="316">
        <f t="shared" ca="1" si="38"/>
        <v>0</v>
      </c>
      <c r="O165" s="316">
        <f t="shared" ca="1" si="38"/>
        <v>0</v>
      </c>
      <c r="P165" s="316">
        <f t="shared" ca="1" si="38"/>
        <v>0</v>
      </c>
      <c r="Q165" s="316">
        <f t="shared" ca="1" si="38"/>
        <v>0</v>
      </c>
      <c r="R165" s="316">
        <f t="shared" ca="1" si="38"/>
        <v>7.3862480000002506E-2</v>
      </c>
      <c r="S165" s="316">
        <f t="shared" ca="1" si="38"/>
        <v>0.10863868999999937</v>
      </c>
      <c r="T165" s="316">
        <f t="shared" ca="1" si="38"/>
        <v>0.11022154999999856</v>
      </c>
      <c r="U165" s="316">
        <f t="shared" ca="1" si="38"/>
        <v>0.1424465500000025</v>
      </c>
      <c r="V165" s="316">
        <f t="shared" ca="1" si="38"/>
        <v>0.65602930000000015</v>
      </c>
      <c r="W165" s="316">
        <f t="shared" ca="1" si="38"/>
        <v>0.924602059999998</v>
      </c>
      <c r="X165" s="316">
        <f t="shared" ca="1" si="38"/>
        <v>0.84459495000000118</v>
      </c>
      <c r="Y165" s="316">
        <f t="shared" ca="1" si="38"/>
        <v>1.2537511260000045</v>
      </c>
      <c r="Z165" s="316">
        <f t="shared" ca="1" si="38"/>
        <v>1.9795431099999981</v>
      </c>
      <c r="AA165" s="316">
        <f t="shared" ca="1" si="38"/>
        <v>4.4384598400000144</v>
      </c>
      <c r="AB165" s="316">
        <f t="shared" ca="1" si="38"/>
        <v>7.5938763400000333</v>
      </c>
      <c r="AC165" s="316">
        <f t="shared" ca="1" si="38"/>
        <v>8.0003900600000044</v>
      </c>
      <c r="AD165" s="316">
        <f t="shared" ca="1" si="38"/>
        <v>6.8422938800000237</v>
      </c>
      <c r="AE165" s="316">
        <f t="shared" ca="1" si="38"/>
        <v>3.1356207599999868</v>
      </c>
      <c r="AF165" s="317">
        <f t="shared" ca="1" si="38"/>
        <v>1.498</v>
      </c>
    </row>
    <row r="166" spans="1:32" s="294" customFormat="1">
      <c r="A166" s="553">
        <v>166</v>
      </c>
      <c r="C166" s="10"/>
      <c r="D166" s="29"/>
      <c r="E166" s="29"/>
      <c r="F166" s="566" t="s">
        <v>760</v>
      </c>
      <c r="G166" s="325">
        <f ca="1">VLOOKUP(Resultats!$P$58,$F$155:$AF$159,G$154-$G$154+2,FALSE)</f>
        <v>7.3776770249999952</v>
      </c>
      <c r="H166" s="325">
        <f ca="1">VLOOKUP(Resultats!$P$58,$F$155:$AF$159,H$154-$G$154+2,FALSE)</f>
        <v>7.4841577890000011</v>
      </c>
      <c r="I166" s="325">
        <f ca="1">VLOOKUP(Resultats!$P$58,$F$155:$AF$159,I$154-$G$154+2,FALSE)</f>
        <v>7.6024052650000051</v>
      </c>
      <c r="J166" s="325">
        <f ca="1">VLOOKUP(Resultats!$P$58,$F$155:$AF$159,J$154-$G$154+2,FALSE)</f>
        <v>3.3022457810000034</v>
      </c>
      <c r="K166" s="325">
        <f ca="1">VLOOKUP(Resultats!$P$58,$F$155:$AF$159,K$154-$G$154+2,FALSE)</f>
        <v>0.79419116499999376</v>
      </c>
      <c r="L166" s="325">
        <f ca="1">VLOOKUP(Resultats!$P$58,$F$155:$AF$159,L$154-$G$154+2,FALSE)</f>
        <v>1.498</v>
      </c>
      <c r="M166" s="325">
        <f ca="1">VLOOKUP(Resultats!$P$58,$F$155:$AF$159,M$154-$G$154+2,FALSE)</f>
        <v>1.5249999999999999</v>
      </c>
      <c r="N166" s="325">
        <f ca="1">VLOOKUP(Resultats!$P$58,$F$155:$AF$159,N$154-$G$154+2,FALSE)</f>
        <v>2.2440000000000002</v>
      </c>
      <c r="O166" s="325">
        <f ca="1">VLOOKUP(Resultats!$P$58,$F$155:$AF$159,O$154-$G$154+2,FALSE)</f>
        <v>2.4039999999999999</v>
      </c>
      <c r="P166" s="325">
        <f ca="1">VLOOKUP(Resultats!$P$58,$F$155:$AF$159,P$154-$G$154+2,FALSE)</f>
        <v>2.6869999999999998</v>
      </c>
      <c r="Q166" s="325">
        <f ca="1">VLOOKUP(Resultats!$P$58,$F$155:$AF$159,Q$154-$G$154+2,FALSE)</f>
        <v>3.9910000000000001</v>
      </c>
      <c r="R166" s="325">
        <f ca="1">VLOOKUP(Resultats!$P$58,$F$155:$AF$159,R$154-$G$154+2,FALSE)</f>
        <v>5.3401375199999972</v>
      </c>
      <c r="S166" s="325">
        <f ca="1">VLOOKUP(Resultats!$P$58,$F$155:$AF$159,S$154-$G$154+2,FALSE)</f>
        <v>4.8293613100000004</v>
      </c>
      <c r="T166" s="325">
        <f ca="1">VLOOKUP(Resultats!$P$58,$F$155:$AF$159,T$154-$G$154+2,FALSE)</f>
        <v>3.0417784500000016</v>
      </c>
      <c r="U166" s="325">
        <f ca="1">VLOOKUP(Resultats!$P$58,$F$155:$AF$159,U$154-$G$154+2,FALSE)</f>
        <v>2.8795534499999973</v>
      </c>
      <c r="V166" s="325">
        <f ca="1">VLOOKUP(Resultats!$P$58,$F$155:$AF$159,V$154-$G$154+2,FALSE)</f>
        <v>2.4729706999999999</v>
      </c>
      <c r="W166" s="325">
        <f ca="1">VLOOKUP(Resultats!$P$58,$F$155:$AF$159,W$154-$G$154+2,FALSE)</f>
        <v>1.575397940000002</v>
      </c>
      <c r="X166" s="325">
        <f ca="1">VLOOKUP(Resultats!$P$58,$F$155:$AF$159,X$154-$G$154+2,FALSE)</f>
        <v>1.6554050499999988</v>
      </c>
      <c r="Y166" s="325">
        <f ca="1">VLOOKUP(Resultats!$P$58,$F$155:$AF$159,Y$154-$G$154+2,FALSE)</f>
        <v>1.2462488739999955</v>
      </c>
      <c r="Z166" s="325">
        <f ca="1">VLOOKUP(Resultats!$P$58,$F$155:$AF$159,Z$154-$G$154+2,FALSE)</f>
        <v>0.52045689000000195</v>
      </c>
      <c r="AA166" s="325">
        <f ca="1">VLOOKUP(Resultats!$P$58,$F$155:$AF$159,AA$154-$G$154+2,FALSE)</f>
        <v>-1.9384598400000144</v>
      </c>
      <c r="AB166" s="325">
        <f ca="1">VLOOKUP(Resultats!$P$58,$F$155:$AF$159,AB$154-$G$154+2,FALSE)</f>
        <v>-5.0938763400000333</v>
      </c>
      <c r="AC166" s="325">
        <f ca="1">VLOOKUP(Resultats!$P$58,$F$155:$AF$159,AC$154-$G$154+2,FALSE)</f>
        <v>-5.5003900600000044</v>
      </c>
      <c r="AD166" s="325">
        <f ca="1">VLOOKUP(Resultats!$P$58,$F$155:$AF$159,AD$154-$G$154+2,FALSE)</f>
        <v>-4.3422938800000237</v>
      </c>
      <c r="AE166" s="325">
        <f ca="1">VLOOKUP(Resultats!$P$58,$F$155:$AF$159,AE$154-$G$154+2,FALSE)</f>
        <v>-0.6356207599999868</v>
      </c>
      <c r="AF166" s="326">
        <f ca="1">VLOOKUP(Resultats!$P$58,$F$155:$AF$159,AF$154-$G$154+2,FALSE)</f>
        <v>1.002</v>
      </c>
    </row>
    <row r="167" spans="1:32" s="294" customFormat="1">
      <c r="A167" s="553">
        <v>167</v>
      </c>
      <c r="C167" s="10"/>
      <c r="D167" s="29"/>
      <c r="E167" s="29"/>
      <c r="F167" s="566" t="s">
        <v>761</v>
      </c>
      <c r="G167" s="325">
        <f>VLOOKUP(Resultats!$P$58,$F$147:$AF$151,G$146-$G$146+2,FALSE)</f>
        <v>7.3779999999999983</v>
      </c>
      <c r="H167" s="325">
        <f>VLOOKUP(Resultats!$P$58,$F$147:$AF$151,H$146-$G$146+2,FALSE)</f>
        <v>7.4849999999999994</v>
      </c>
      <c r="I167" s="325">
        <f>VLOOKUP(Resultats!$P$58,$F$147:$AF$151,I$146-$G$146+2,FALSE)</f>
        <v>7.6040000000000028</v>
      </c>
      <c r="J167" s="325">
        <f>VLOOKUP(Resultats!$P$58,$F$147:$AF$151,J$146-$G$146+2,FALSE)</f>
        <v>3.304000000000002</v>
      </c>
      <c r="K167" s="325">
        <f>VLOOKUP(Resultats!$P$58,$F$147:$AF$151,K$146-$G$146+2,FALSE)</f>
        <v>0.7958877419999979</v>
      </c>
      <c r="L167" s="325">
        <f>VLOOKUP(Resultats!$P$58,$F$147:$AF$151,L$146-$G$146+2,FALSE)</f>
        <v>1.498</v>
      </c>
      <c r="M167" s="325">
        <f>VLOOKUP(Resultats!$P$58,$F$147:$AF$151,M$146-$G$146+2,FALSE)</f>
        <v>1.5249999999999999</v>
      </c>
      <c r="N167" s="325">
        <f>VLOOKUP(Resultats!$P$58,$F$147:$AF$151,N$146-$G$146+2,FALSE)</f>
        <v>2.2440000000000002</v>
      </c>
      <c r="O167" s="325">
        <f>VLOOKUP(Resultats!$P$58,$F$147:$AF$151,O$146-$G$146+2,FALSE)</f>
        <v>2.4039999999999999</v>
      </c>
      <c r="P167" s="325">
        <f>VLOOKUP(Resultats!$P$58,$F$147:$AF$151,P$146-$G$146+2,FALSE)</f>
        <v>2.6869999999999998</v>
      </c>
      <c r="Q167" s="325">
        <f>VLOOKUP(Resultats!$P$58,$F$147:$AF$151,Q$146-$G$146+2,FALSE)</f>
        <v>3.9910000000000001</v>
      </c>
      <c r="R167" s="325">
        <f>VLOOKUP(Resultats!$P$58,$F$147:$AF$151,R$146-$G$146+2,FALSE)</f>
        <v>5.4139999999999997</v>
      </c>
      <c r="S167" s="325">
        <f>VLOOKUP(Resultats!$P$58,$F$147:$AF$151,S$146-$G$146+2,FALSE)</f>
        <v>4.9379999999999997</v>
      </c>
      <c r="T167" s="325">
        <f>VLOOKUP(Resultats!$P$58,$F$147:$AF$151,T$146-$G$146+2,FALSE)</f>
        <v>3.1520000000000001</v>
      </c>
      <c r="U167" s="325">
        <f>VLOOKUP(Resultats!$P$58,$F$147:$AF$151,U$146-$G$146+2,FALSE)</f>
        <v>3.0219999999999998</v>
      </c>
      <c r="V167" s="325">
        <f>VLOOKUP(Resultats!$P$58,$F$147:$AF$151,V$146-$G$146+2,FALSE)</f>
        <v>3.129</v>
      </c>
      <c r="W167" s="325">
        <f>VLOOKUP(Resultats!$P$58,$F$147:$AF$151,W$146-$G$146+2,FALSE)</f>
        <v>2.5</v>
      </c>
      <c r="X167" s="325">
        <f>VLOOKUP(Resultats!$P$58,$F$147:$AF$151,X$146-$G$146+2,FALSE)</f>
        <v>2.5</v>
      </c>
      <c r="Y167" s="325">
        <f>VLOOKUP(Resultats!$P$58,$F$147:$AF$151,Y$146-$G$146+2,FALSE)</f>
        <v>2.5</v>
      </c>
      <c r="Z167" s="325">
        <f>VLOOKUP(Resultats!$P$58,$F$147:$AF$151,Z$146-$G$146+2,FALSE)</f>
        <v>2.5</v>
      </c>
      <c r="AA167" s="325">
        <f>VLOOKUP(Resultats!$P$58,$F$147:$AF$151,AA$146-$G$146+2,FALSE)</f>
        <v>2.5</v>
      </c>
      <c r="AB167" s="325">
        <f>VLOOKUP(Resultats!$P$58,$F$147:$AF$151,AB$146-$G$146+2,FALSE)</f>
        <v>2.5</v>
      </c>
      <c r="AC167" s="325">
        <f>VLOOKUP(Resultats!$P$58,$F$147:$AF$151,AC$146-$G$146+2,FALSE)</f>
        <v>2.5</v>
      </c>
      <c r="AD167" s="325">
        <f>VLOOKUP(Resultats!$P$58,$F$147:$AF$151,AD$146-$G$146+2,FALSE)</f>
        <v>2.5</v>
      </c>
      <c r="AE167" s="325">
        <f>VLOOKUP(Resultats!$P$58,$F$147:$AF$151,AE$146-$G$146+2,FALSE)</f>
        <v>2.5</v>
      </c>
      <c r="AF167" s="326">
        <f>VLOOKUP(Resultats!$P$58,$F$147:$AF$151,AF$146-$G$146+2,FALSE)</f>
        <v>2.5</v>
      </c>
    </row>
    <row r="168" spans="1:32" s="294" customFormat="1" ht="26.4">
      <c r="A168" s="553">
        <v>168</v>
      </c>
      <c r="C168" s="10"/>
      <c r="D168" s="29"/>
      <c r="E168" s="29"/>
      <c r="F168" s="638" t="s">
        <v>762</v>
      </c>
      <c r="G168" s="302">
        <f ca="1">-G165</f>
        <v>-3.2297500000311175E-4</v>
      </c>
      <c r="H168" s="302">
        <f t="shared" ref="H168:AF168" ca="1" si="39">-H165</f>
        <v>-8.4221099999837179E-4</v>
      </c>
      <c r="I168" s="302">
        <f t="shared" ca="1" si="39"/>
        <v>-1.5947349999976268E-3</v>
      </c>
      <c r="J168" s="302">
        <f t="shared" ca="1" si="39"/>
        <v>-1.7542189999986135E-3</v>
      </c>
      <c r="K168" s="302">
        <f t="shared" ca="1" si="39"/>
        <v>-1.6965770000041402E-3</v>
      </c>
      <c r="L168" s="302">
        <f t="shared" ca="1" si="39"/>
        <v>0</v>
      </c>
      <c r="M168" s="302">
        <f t="shared" ca="1" si="39"/>
        <v>0</v>
      </c>
      <c r="N168" s="302">
        <f t="shared" ca="1" si="39"/>
        <v>0</v>
      </c>
      <c r="O168" s="302">
        <f t="shared" ca="1" si="39"/>
        <v>0</v>
      </c>
      <c r="P168" s="302">
        <f t="shared" ca="1" si="39"/>
        <v>0</v>
      </c>
      <c r="Q168" s="302">
        <f t="shared" ca="1" si="39"/>
        <v>0</v>
      </c>
      <c r="R168" s="302">
        <f t="shared" ca="1" si="39"/>
        <v>-7.3862480000002506E-2</v>
      </c>
      <c r="S168" s="302">
        <f t="shared" ca="1" si="39"/>
        <v>-0.10863868999999937</v>
      </c>
      <c r="T168" s="302">
        <f t="shared" ca="1" si="39"/>
        <v>-0.11022154999999856</v>
      </c>
      <c r="U168" s="302">
        <f t="shared" ca="1" si="39"/>
        <v>-0.1424465500000025</v>
      </c>
      <c r="V168" s="302">
        <f t="shared" ca="1" si="39"/>
        <v>-0.65602930000000015</v>
      </c>
      <c r="W168" s="302">
        <f t="shared" ca="1" si="39"/>
        <v>-0.924602059999998</v>
      </c>
      <c r="X168" s="302">
        <f t="shared" ca="1" si="39"/>
        <v>-0.84459495000000118</v>
      </c>
      <c r="Y168" s="302">
        <f t="shared" ca="1" si="39"/>
        <v>-1.2537511260000045</v>
      </c>
      <c r="Z168" s="302">
        <f t="shared" ca="1" si="39"/>
        <v>-1.9795431099999981</v>
      </c>
      <c r="AA168" s="302">
        <f t="shared" ca="1" si="39"/>
        <v>-4.4384598400000144</v>
      </c>
      <c r="AB168" s="302">
        <f t="shared" ca="1" si="39"/>
        <v>-7.5938763400000333</v>
      </c>
      <c r="AC168" s="302">
        <f t="shared" ca="1" si="39"/>
        <v>-8.0003900600000044</v>
      </c>
      <c r="AD168" s="302">
        <f t="shared" ca="1" si="39"/>
        <v>-6.8422938800000237</v>
      </c>
      <c r="AE168" s="302">
        <f t="shared" ca="1" si="39"/>
        <v>-3.1356207599999868</v>
      </c>
      <c r="AF168" s="55">
        <f t="shared" ca="1" si="39"/>
        <v>-1.498</v>
      </c>
    </row>
    <row r="169" spans="1:32" s="294" customFormat="1">
      <c r="A169" s="553">
        <v>169</v>
      </c>
      <c r="C169" s="10"/>
      <c r="D169" s="29"/>
      <c r="E169" s="29"/>
      <c r="F169" s="36"/>
      <c r="G169" s="324"/>
      <c r="H169" s="324"/>
      <c r="I169" s="324"/>
      <c r="J169" s="324"/>
      <c r="K169" s="324"/>
      <c r="L169" s="324"/>
      <c r="M169" s="324"/>
      <c r="N169" s="324"/>
      <c r="O169" s="324"/>
      <c r="P169" s="324"/>
      <c r="Q169" s="324"/>
      <c r="R169" s="324"/>
      <c r="S169" s="324"/>
      <c r="T169" s="324"/>
      <c r="U169" s="324"/>
      <c r="V169" s="324"/>
      <c r="W169" s="324"/>
      <c r="X169" s="324"/>
      <c r="Y169" s="324"/>
      <c r="Z169" s="324"/>
      <c r="AA169" s="324"/>
      <c r="AB169" s="324"/>
      <c r="AC169" s="324"/>
      <c r="AD169" s="324"/>
      <c r="AE169" s="324"/>
      <c r="AF169" s="324"/>
    </row>
    <row r="170" spans="1:32" s="294" customFormat="1">
      <c r="C170" s="10"/>
      <c r="D170" s="29"/>
      <c r="E170" s="29"/>
      <c r="F170" s="36"/>
      <c r="G170" s="324"/>
      <c r="H170" s="324"/>
      <c r="I170" s="324"/>
      <c r="J170" s="324"/>
      <c r="K170" s="324"/>
      <c r="L170" s="324"/>
      <c r="M170" s="324"/>
      <c r="N170" s="324"/>
      <c r="O170" s="324"/>
      <c r="P170" s="324"/>
      <c r="Q170" s="324"/>
      <c r="R170" s="324"/>
      <c r="S170" s="324"/>
      <c r="T170" s="324"/>
      <c r="U170" s="324"/>
      <c r="V170" s="324"/>
      <c r="W170" s="324"/>
      <c r="X170" s="324"/>
      <c r="Y170" s="324"/>
      <c r="Z170" s="324"/>
      <c r="AA170" s="324"/>
      <c r="AB170" s="324"/>
      <c r="AC170" s="324"/>
      <c r="AD170" s="324"/>
      <c r="AE170" s="324"/>
      <c r="AF170" s="324"/>
    </row>
    <row r="171" spans="1:32" s="294" customFormat="1">
      <c r="C171" s="10"/>
      <c r="D171" s="29"/>
      <c r="E171" s="29"/>
      <c r="F171" s="36"/>
      <c r="G171" s="324"/>
      <c r="H171" s="324"/>
      <c r="I171" s="324"/>
      <c r="J171" s="324"/>
      <c r="K171" s="324"/>
      <c r="L171" s="324"/>
      <c r="M171" s="324"/>
      <c r="N171" s="324"/>
      <c r="O171" s="324"/>
      <c r="P171" s="324"/>
      <c r="Q171" s="324"/>
      <c r="R171" s="324"/>
      <c r="S171" s="324"/>
      <c r="T171" s="324"/>
      <c r="U171" s="324"/>
      <c r="V171" s="324"/>
      <c r="W171" s="324"/>
      <c r="X171" s="324"/>
      <c r="Y171" s="324"/>
      <c r="Z171" s="324"/>
      <c r="AA171" s="324"/>
      <c r="AB171" s="324"/>
      <c r="AC171" s="324"/>
      <c r="AD171" s="324"/>
      <c r="AE171" s="324"/>
      <c r="AF171" s="324"/>
    </row>
    <row r="172" spans="1:32" s="294" customFormat="1">
      <c r="C172" s="10"/>
      <c r="D172" s="29"/>
      <c r="E172" s="29"/>
      <c r="F172" s="36"/>
      <c r="G172" s="324"/>
      <c r="H172" s="324"/>
      <c r="I172" s="324"/>
      <c r="J172" s="324"/>
      <c r="K172" s="324"/>
      <c r="L172" s="324"/>
      <c r="M172" s="324"/>
      <c r="N172" s="324"/>
      <c r="O172" s="324"/>
      <c r="P172" s="324"/>
      <c r="Q172" s="324"/>
      <c r="R172" s="324"/>
      <c r="S172" s="324"/>
      <c r="T172" s="324"/>
      <c r="U172" s="324"/>
      <c r="V172" s="324"/>
      <c r="W172" s="324"/>
      <c r="X172" s="324"/>
      <c r="Y172" s="324"/>
      <c r="Z172" s="324"/>
      <c r="AA172" s="324"/>
      <c r="AB172" s="324"/>
      <c r="AC172" s="324"/>
      <c r="AD172" s="324"/>
      <c r="AE172" s="324"/>
      <c r="AF172" s="324"/>
    </row>
    <row r="173" spans="1:32" s="294" customFormat="1">
      <c r="C173" s="10"/>
      <c r="D173" s="29"/>
      <c r="E173" s="29"/>
      <c r="F173" s="36"/>
      <c r="G173" s="324"/>
      <c r="H173" s="324"/>
      <c r="I173" s="324"/>
      <c r="J173" s="324"/>
      <c r="K173" s="324"/>
      <c r="L173" s="324"/>
      <c r="M173" s="324"/>
      <c r="N173" s="324"/>
      <c r="O173" s="324"/>
      <c r="P173" s="324"/>
      <c r="Q173" s="324"/>
      <c r="R173" s="324"/>
      <c r="S173" s="324"/>
      <c r="T173" s="324"/>
      <c r="U173" s="324"/>
      <c r="V173" s="324"/>
      <c r="W173" s="324"/>
      <c r="X173" s="324"/>
      <c r="Y173" s="324"/>
      <c r="Z173" s="324"/>
      <c r="AA173" s="324"/>
      <c r="AB173" s="324"/>
      <c r="AC173" s="324"/>
      <c r="AD173" s="324"/>
      <c r="AE173" s="324"/>
      <c r="AF173" s="324"/>
    </row>
    <row r="174" spans="1:32" s="294" customFormat="1">
      <c r="C174" s="10"/>
      <c r="D174" s="29"/>
      <c r="E174" s="29"/>
      <c r="F174" s="36"/>
      <c r="G174" s="324"/>
      <c r="H174" s="324"/>
      <c r="I174" s="324"/>
      <c r="J174" s="324"/>
      <c r="K174" s="324"/>
      <c r="L174" s="324"/>
      <c r="M174" s="324"/>
      <c r="N174" s="324"/>
      <c r="O174" s="324"/>
      <c r="P174" s="324"/>
      <c r="Q174" s="324"/>
      <c r="R174" s="324"/>
      <c r="S174" s="324"/>
      <c r="T174" s="324"/>
      <c r="U174" s="324"/>
      <c r="V174" s="324"/>
      <c r="W174" s="324"/>
      <c r="X174" s="324"/>
      <c r="Y174" s="324"/>
      <c r="Z174" s="324"/>
      <c r="AA174" s="324"/>
      <c r="AB174" s="324"/>
      <c r="AC174" s="324"/>
      <c r="AD174" s="324"/>
      <c r="AE174" s="324"/>
      <c r="AF174" s="324"/>
    </row>
    <row r="175" spans="1:32" s="294" customFormat="1">
      <c r="C175" s="10"/>
      <c r="D175" s="29"/>
      <c r="E175" s="29"/>
      <c r="F175" s="36"/>
      <c r="G175" s="324"/>
      <c r="H175" s="324"/>
      <c r="I175" s="324"/>
      <c r="J175" s="324"/>
      <c r="K175" s="324"/>
      <c r="L175" s="324"/>
      <c r="M175" s="324"/>
      <c r="N175" s="324"/>
      <c r="O175" s="324"/>
      <c r="P175" s="324"/>
      <c r="Q175" s="324"/>
      <c r="R175" s="324"/>
      <c r="S175" s="324"/>
      <c r="T175" s="324"/>
      <c r="U175" s="324"/>
      <c r="V175" s="324"/>
      <c r="W175" s="324"/>
      <c r="X175" s="324"/>
      <c r="Y175" s="324"/>
      <c r="Z175" s="324"/>
      <c r="AA175" s="324"/>
      <c r="AB175" s="324"/>
      <c r="AC175" s="324"/>
      <c r="AD175" s="324"/>
      <c r="AE175" s="324"/>
      <c r="AF175" s="324"/>
    </row>
    <row r="176" spans="1:32" s="294" customFormat="1">
      <c r="C176" s="10"/>
      <c r="D176" s="29"/>
      <c r="E176" s="29"/>
      <c r="F176" s="36"/>
      <c r="G176" s="324"/>
      <c r="H176" s="324"/>
      <c r="I176" s="324"/>
      <c r="J176" s="324"/>
      <c r="K176" s="324"/>
      <c r="L176" s="324"/>
      <c r="M176" s="324"/>
      <c r="N176" s="324"/>
      <c r="O176" s="324"/>
      <c r="P176" s="324"/>
      <c r="Q176" s="324"/>
      <c r="R176" s="324"/>
      <c r="S176" s="324"/>
      <c r="T176" s="324"/>
      <c r="U176" s="324"/>
      <c r="V176" s="324"/>
      <c r="W176" s="324"/>
      <c r="X176" s="324"/>
      <c r="Y176" s="324"/>
      <c r="Z176" s="324"/>
      <c r="AA176" s="324"/>
      <c r="AB176" s="324"/>
      <c r="AC176" s="324"/>
      <c r="AD176" s="324"/>
      <c r="AE176" s="324"/>
      <c r="AF176" s="324"/>
    </row>
    <row r="177" spans="3:32" s="294" customFormat="1">
      <c r="C177" s="10"/>
      <c r="D177" s="29"/>
      <c r="E177" s="29"/>
      <c r="F177" s="36"/>
      <c r="G177" s="324"/>
      <c r="H177" s="324"/>
      <c r="I177" s="324"/>
      <c r="J177" s="324"/>
      <c r="K177" s="324"/>
      <c r="L177" s="324"/>
      <c r="M177" s="324"/>
      <c r="N177" s="324"/>
      <c r="O177" s="324"/>
      <c r="P177" s="324"/>
      <c r="Q177" s="324"/>
      <c r="R177" s="324"/>
      <c r="S177" s="324"/>
      <c r="T177" s="324"/>
      <c r="U177" s="324"/>
      <c r="V177" s="324"/>
      <c r="W177" s="324"/>
      <c r="X177" s="324"/>
      <c r="Y177" s="324"/>
      <c r="Z177" s="324"/>
      <c r="AA177" s="324"/>
      <c r="AB177" s="324"/>
      <c r="AC177" s="324"/>
      <c r="AD177" s="324"/>
      <c r="AE177" s="324"/>
      <c r="AF177" s="324"/>
    </row>
    <row r="178" spans="3:32" s="294" customFormat="1">
      <c r="C178" s="10"/>
      <c r="D178" s="29"/>
      <c r="E178" s="29"/>
      <c r="F178" s="36"/>
      <c r="G178" s="324"/>
      <c r="H178" s="324"/>
      <c r="I178" s="324"/>
      <c r="J178" s="324"/>
      <c r="K178" s="324"/>
      <c r="L178" s="324"/>
      <c r="M178" s="324"/>
      <c r="N178" s="324"/>
      <c r="O178" s="324"/>
      <c r="P178" s="324"/>
      <c r="Q178" s="324"/>
      <c r="R178" s="324"/>
      <c r="S178" s="324"/>
      <c r="T178" s="324"/>
      <c r="U178" s="324"/>
      <c r="V178" s="324"/>
      <c r="W178" s="324"/>
      <c r="X178" s="324"/>
      <c r="Y178" s="324"/>
      <c r="Z178" s="324"/>
      <c r="AA178" s="324"/>
      <c r="AB178" s="324"/>
      <c r="AC178" s="324"/>
      <c r="AD178" s="324"/>
      <c r="AE178" s="324"/>
      <c r="AF178" s="324"/>
    </row>
    <row r="179" spans="3:32" s="294" customFormat="1">
      <c r="C179" s="10"/>
      <c r="D179" s="29"/>
      <c r="E179" s="29"/>
      <c r="F179" s="36"/>
      <c r="G179" s="324"/>
      <c r="H179" s="324"/>
      <c r="I179" s="324"/>
      <c r="J179" s="324"/>
      <c r="K179" s="324"/>
      <c r="L179" s="324"/>
      <c r="M179" s="324"/>
      <c r="N179" s="324"/>
      <c r="O179" s="324"/>
      <c r="P179" s="324"/>
      <c r="Q179" s="324"/>
      <c r="R179" s="324"/>
      <c r="S179" s="324"/>
      <c r="T179" s="324"/>
      <c r="U179" s="324"/>
      <c r="V179" s="324"/>
      <c r="W179" s="324"/>
      <c r="X179" s="324"/>
      <c r="Y179" s="324"/>
      <c r="Z179" s="324"/>
      <c r="AA179" s="324"/>
      <c r="AB179" s="324"/>
      <c r="AC179" s="324"/>
      <c r="AD179" s="324"/>
      <c r="AE179" s="324"/>
      <c r="AF179" s="324"/>
    </row>
    <row r="180" spans="3:32" s="294" customFormat="1">
      <c r="C180" s="10"/>
      <c r="D180" s="29"/>
      <c r="E180" s="29"/>
      <c r="F180" s="36"/>
      <c r="G180" s="324"/>
      <c r="H180" s="324"/>
      <c r="I180" s="324"/>
      <c r="J180" s="324"/>
      <c r="K180" s="324"/>
      <c r="L180" s="324"/>
      <c r="M180" s="324"/>
      <c r="N180" s="324"/>
      <c r="O180" s="324"/>
      <c r="P180" s="324"/>
      <c r="Q180" s="324"/>
      <c r="R180" s="324"/>
      <c r="S180" s="324"/>
      <c r="T180" s="324"/>
      <c r="U180" s="324"/>
      <c r="V180" s="324"/>
      <c r="W180" s="324"/>
      <c r="X180" s="324"/>
      <c r="Y180" s="324"/>
      <c r="Z180" s="324"/>
      <c r="AA180" s="324"/>
      <c r="AB180" s="324"/>
      <c r="AC180" s="324"/>
      <c r="AD180" s="324"/>
      <c r="AE180" s="324"/>
      <c r="AF180" s="324"/>
    </row>
    <row r="181" spans="3:32" s="294" customFormat="1">
      <c r="C181" s="10"/>
      <c r="D181" s="29"/>
      <c r="E181" s="29"/>
      <c r="F181" s="36"/>
      <c r="G181" s="324"/>
      <c r="H181" s="324"/>
      <c r="I181" s="324"/>
      <c r="J181" s="324"/>
      <c r="K181" s="324"/>
      <c r="L181" s="324"/>
      <c r="M181" s="324"/>
      <c r="N181" s="324"/>
      <c r="O181" s="324"/>
      <c r="P181" s="324"/>
      <c r="Q181" s="324"/>
      <c r="R181" s="324"/>
      <c r="S181" s="324"/>
      <c r="T181" s="324"/>
      <c r="U181" s="324"/>
      <c r="V181" s="324"/>
      <c r="W181" s="324"/>
      <c r="X181" s="324"/>
      <c r="Y181" s="324"/>
      <c r="Z181" s="324"/>
      <c r="AA181" s="324"/>
      <c r="AB181" s="324"/>
      <c r="AC181" s="324"/>
      <c r="AD181" s="324"/>
      <c r="AE181" s="324"/>
      <c r="AF181" s="324"/>
    </row>
    <row r="182" spans="3:32" s="294" customFormat="1">
      <c r="C182" s="10"/>
      <c r="D182" s="29"/>
      <c r="E182" s="29"/>
      <c r="F182" s="36"/>
      <c r="G182" s="324"/>
      <c r="H182" s="324"/>
      <c r="I182" s="324"/>
      <c r="J182" s="324"/>
      <c r="K182" s="324"/>
      <c r="L182" s="324"/>
      <c r="M182" s="324"/>
      <c r="N182" s="324"/>
      <c r="O182" s="324"/>
      <c r="P182" s="324"/>
      <c r="Q182" s="324"/>
      <c r="R182" s="324"/>
      <c r="S182" s="324"/>
      <c r="T182" s="324"/>
      <c r="U182" s="324"/>
      <c r="V182" s="324"/>
      <c r="W182" s="324"/>
      <c r="X182" s="324"/>
      <c r="Y182" s="324"/>
      <c r="Z182" s="324"/>
      <c r="AA182" s="324"/>
      <c r="AB182" s="324"/>
      <c r="AC182" s="324"/>
      <c r="AD182" s="324"/>
      <c r="AE182" s="324"/>
      <c r="AF182" s="324"/>
    </row>
    <row r="183" spans="3:32" s="294" customFormat="1">
      <c r="C183" s="10"/>
      <c r="D183" s="29"/>
      <c r="E183" s="29"/>
      <c r="F183" s="36"/>
      <c r="G183" s="324"/>
      <c r="H183" s="324"/>
      <c r="I183" s="324"/>
      <c r="J183" s="324"/>
      <c r="K183" s="324"/>
      <c r="L183" s="324"/>
      <c r="M183" s="324"/>
      <c r="N183" s="324"/>
      <c r="O183" s="324"/>
      <c r="P183" s="324"/>
      <c r="Q183" s="324"/>
      <c r="R183" s="324"/>
      <c r="S183" s="324"/>
      <c r="T183" s="324"/>
      <c r="U183" s="324"/>
      <c r="V183" s="324"/>
      <c r="W183" s="324"/>
      <c r="X183" s="324"/>
      <c r="Y183" s="324"/>
      <c r="Z183" s="324"/>
      <c r="AA183" s="324"/>
      <c r="AB183" s="324"/>
      <c r="AC183" s="324"/>
      <c r="AD183" s="324"/>
      <c r="AE183" s="324"/>
      <c r="AF183" s="324"/>
    </row>
    <row r="184" spans="3:32" s="294" customFormat="1">
      <c r="C184" s="10"/>
      <c r="D184" s="29"/>
      <c r="E184" s="29"/>
      <c r="F184" s="36"/>
      <c r="G184" s="324"/>
      <c r="H184" s="324"/>
      <c r="I184" s="324"/>
      <c r="J184" s="324"/>
      <c r="K184" s="324"/>
      <c r="L184" s="324"/>
      <c r="M184" s="324"/>
      <c r="N184" s="324"/>
      <c r="O184" s="324"/>
      <c r="P184" s="324"/>
      <c r="Q184" s="324"/>
      <c r="R184" s="324"/>
      <c r="S184" s="324"/>
      <c r="T184" s="324"/>
      <c r="U184" s="324"/>
      <c r="V184" s="324"/>
      <c r="W184" s="324"/>
      <c r="X184" s="324"/>
      <c r="Y184" s="324"/>
      <c r="Z184" s="324"/>
      <c r="AA184" s="324"/>
      <c r="AB184" s="324"/>
      <c r="AC184" s="324"/>
      <c r="AD184" s="324"/>
      <c r="AE184" s="324"/>
      <c r="AF184" s="324"/>
    </row>
    <row r="185" spans="3:32" s="294" customFormat="1">
      <c r="C185" s="10"/>
      <c r="D185" s="29"/>
      <c r="E185" s="29"/>
      <c r="F185" s="36"/>
      <c r="G185" s="324"/>
      <c r="H185" s="324"/>
      <c r="I185" s="324"/>
      <c r="J185" s="324"/>
      <c r="K185" s="324"/>
      <c r="L185" s="324"/>
      <c r="M185" s="324"/>
      <c r="N185" s="324"/>
      <c r="O185" s="324"/>
      <c r="P185" s="324"/>
      <c r="Q185" s="324"/>
      <c r="R185" s="324"/>
      <c r="S185" s="324"/>
      <c r="T185" s="324"/>
      <c r="U185" s="324"/>
      <c r="V185" s="324"/>
      <c r="W185" s="324"/>
      <c r="X185" s="324"/>
      <c r="Y185" s="324"/>
      <c r="Z185" s="324"/>
      <c r="AA185" s="324"/>
      <c r="AB185" s="324"/>
      <c r="AC185" s="324"/>
      <c r="AD185" s="324"/>
      <c r="AE185" s="324"/>
      <c r="AF185" s="324"/>
    </row>
    <row r="186" spans="3:32" s="294" customFormat="1">
      <c r="C186" s="10"/>
      <c r="D186" s="29"/>
      <c r="E186" s="29"/>
      <c r="F186" s="36"/>
      <c r="G186" s="324"/>
      <c r="H186" s="324"/>
      <c r="I186" s="324"/>
      <c r="J186" s="324"/>
      <c r="K186" s="324"/>
      <c r="L186" s="324"/>
      <c r="M186" s="324"/>
      <c r="N186" s="324"/>
      <c r="O186" s="324"/>
      <c r="P186" s="324"/>
      <c r="Q186" s="324"/>
      <c r="R186" s="324"/>
      <c r="S186" s="324"/>
      <c r="T186" s="324"/>
      <c r="U186" s="324"/>
      <c r="V186" s="324"/>
      <c r="W186" s="324"/>
      <c r="X186" s="324"/>
      <c r="Y186" s="324"/>
      <c r="Z186" s="324"/>
      <c r="AA186" s="324"/>
      <c r="AB186" s="324"/>
      <c r="AC186" s="324"/>
      <c r="AD186" s="324"/>
      <c r="AE186" s="324"/>
      <c r="AF186" s="324"/>
    </row>
    <row r="187" spans="3:32" s="294" customFormat="1">
      <c r="C187" s="10"/>
      <c r="D187" s="29"/>
      <c r="E187" s="29"/>
      <c r="F187" s="36"/>
      <c r="G187" s="324"/>
      <c r="H187" s="324"/>
      <c r="I187" s="324"/>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c r="AF187" s="324"/>
    </row>
    <row r="188" spans="3:32" s="294" customFormat="1">
      <c r="C188" s="10"/>
      <c r="D188" s="29"/>
      <c r="E188" s="29"/>
      <c r="F188" s="36"/>
      <c r="G188" s="324"/>
      <c r="H188" s="324"/>
      <c r="I188" s="324"/>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c r="AF188" s="324"/>
    </row>
    <row r="189" spans="3:32" s="294" customFormat="1">
      <c r="C189" s="10"/>
      <c r="D189" s="29"/>
      <c r="E189" s="29"/>
      <c r="F189" s="36"/>
      <c r="G189" s="324"/>
      <c r="H189" s="324"/>
      <c r="I189" s="324"/>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c r="AF189" s="324"/>
    </row>
    <row r="190" spans="3:32" s="294" customFormat="1">
      <c r="C190" s="10"/>
      <c r="D190" s="29"/>
      <c r="E190" s="29"/>
      <c r="F190" s="36"/>
      <c r="G190" s="324"/>
      <c r="H190" s="324"/>
      <c r="I190" s="324"/>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c r="AF190" s="324"/>
    </row>
    <row r="191" spans="3:32" s="294" customFormat="1">
      <c r="C191" s="10"/>
      <c r="D191" s="29"/>
      <c r="E191" s="29"/>
      <c r="F191" s="36"/>
      <c r="G191" s="324"/>
      <c r="H191" s="324"/>
      <c r="I191" s="324"/>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c r="AF191" s="324"/>
    </row>
    <row r="192" spans="3:32" s="294" customFormat="1">
      <c r="C192" s="10"/>
      <c r="D192" s="29"/>
      <c r="E192" s="29"/>
      <c r="F192" s="36"/>
      <c r="G192" s="324"/>
      <c r="H192" s="324"/>
      <c r="I192" s="324"/>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c r="AF192" s="324"/>
    </row>
    <row r="193" spans="3:32" s="294" customFormat="1">
      <c r="C193" s="10"/>
      <c r="D193" s="29"/>
      <c r="E193" s="29"/>
      <c r="F193" s="36"/>
      <c r="G193" s="324"/>
      <c r="H193" s="324"/>
      <c r="I193" s="324"/>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c r="AF193" s="324"/>
    </row>
    <row r="194" spans="3:32" s="294" customFormat="1">
      <c r="C194" s="10"/>
      <c r="D194" s="29"/>
      <c r="E194" s="29"/>
      <c r="F194" s="36"/>
      <c r="G194" s="324"/>
      <c r="H194" s="324"/>
      <c r="I194" s="324"/>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c r="AF194" s="324"/>
    </row>
    <row r="195" spans="3:32" s="294" customFormat="1">
      <c r="C195" s="10"/>
      <c r="D195" s="29"/>
      <c r="E195" s="29"/>
      <c r="F195" s="36"/>
      <c r="G195" s="324"/>
      <c r="H195" s="324"/>
      <c r="I195" s="324"/>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c r="AF195" s="324"/>
    </row>
    <row r="196" spans="3:32" s="294" customFormat="1">
      <c r="C196" s="10"/>
      <c r="D196" s="29"/>
      <c r="E196" s="29"/>
      <c r="F196" s="36"/>
      <c r="G196" s="324"/>
      <c r="H196" s="324"/>
      <c r="I196" s="324"/>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c r="AF196" s="324"/>
    </row>
    <row r="197" spans="3:32" s="294" customFormat="1">
      <c r="C197" s="10"/>
      <c r="D197" s="29"/>
      <c r="E197" s="29"/>
      <c r="F197" s="36"/>
      <c r="G197" s="324"/>
      <c r="H197" s="324"/>
      <c r="I197" s="324"/>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c r="AF197" s="324"/>
    </row>
    <row r="198" spans="3:32" s="294" customFormat="1">
      <c r="C198" s="10"/>
      <c r="D198" s="29"/>
      <c r="E198" s="29"/>
      <c r="F198" s="36"/>
      <c r="G198" s="324"/>
      <c r="H198" s="324"/>
      <c r="I198" s="324"/>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c r="AF198" s="324"/>
    </row>
    <row r="199" spans="3:32" s="294" customFormat="1">
      <c r="C199" s="10"/>
      <c r="D199" s="29"/>
      <c r="E199" s="29"/>
      <c r="F199" s="36"/>
      <c r="G199" s="324"/>
      <c r="H199" s="324"/>
      <c r="I199" s="324"/>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c r="AF199" s="324"/>
    </row>
    <row r="200" spans="3:32" s="294" customFormat="1">
      <c r="C200" s="10"/>
      <c r="D200" s="29"/>
      <c r="E200" s="29"/>
      <c r="F200" s="36"/>
      <c r="G200" s="324"/>
      <c r="H200" s="324"/>
      <c r="I200" s="324"/>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c r="AF200" s="324"/>
    </row>
    <row r="201" spans="3:32" s="294" customFormat="1">
      <c r="C201" s="10"/>
      <c r="D201" s="29"/>
      <c r="E201" s="29"/>
      <c r="F201" s="36"/>
      <c r="G201" s="324"/>
      <c r="H201" s="324"/>
      <c r="I201" s="324"/>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c r="AF201" s="324"/>
    </row>
    <row r="202" spans="3:32" s="294" customFormat="1">
      <c r="C202" s="10"/>
      <c r="D202" s="29"/>
      <c r="E202" s="29"/>
      <c r="F202" s="36"/>
      <c r="G202" s="324"/>
      <c r="H202" s="324"/>
      <c r="I202" s="324"/>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c r="AF202" s="324"/>
    </row>
    <row r="203" spans="3:32" s="294" customFormat="1">
      <c r="C203" s="10"/>
      <c r="D203" s="29"/>
      <c r="E203" s="29"/>
      <c r="F203" s="36"/>
      <c r="G203" s="324"/>
      <c r="H203" s="324"/>
      <c r="I203" s="324"/>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c r="AF203" s="324"/>
    </row>
    <row r="204" spans="3:32" s="294" customFormat="1">
      <c r="C204" s="10"/>
      <c r="D204" s="29"/>
      <c r="E204" s="29"/>
      <c r="F204" s="36"/>
      <c r="G204" s="324"/>
      <c r="H204" s="324"/>
      <c r="I204" s="324"/>
      <c r="J204" s="324"/>
      <c r="K204" s="324"/>
      <c r="L204" s="324"/>
      <c r="M204" s="324"/>
      <c r="N204" s="324"/>
      <c r="O204" s="324"/>
      <c r="P204" s="324"/>
      <c r="Q204" s="324"/>
      <c r="R204" s="324"/>
      <c r="S204" s="324"/>
      <c r="T204" s="324"/>
      <c r="U204" s="324"/>
      <c r="V204" s="324"/>
      <c r="W204" s="324"/>
      <c r="X204" s="324"/>
      <c r="Y204" s="324"/>
      <c r="Z204" s="324"/>
      <c r="AA204" s="324"/>
      <c r="AB204" s="324"/>
      <c r="AC204" s="324"/>
      <c r="AD204" s="324"/>
      <c r="AE204" s="324"/>
      <c r="AF204" s="324"/>
    </row>
    <row r="205" spans="3:32" s="294" customFormat="1">
      <c r="C205" s="10"/>
      <c r="D205" s="29"/>
      <c r="E205" s="29"/>
      <c r="F205" s="36"/>
      <c r="G205" s="324"/>
      <c r="H205" s="324"/>
      <c r="I205" s="324"/>
      <c r="J205" s="324"/>
      <c r="K205" s="324"/>
      <c r="L205" s="324"/>
      <c r="M205" s="324"/>
      <c r="N205" s="324"/>
      <c r="O205" s="324"/>
      <c r="P205" s="324"/>
      <c r="Q205" s="324"/>
      <c r="R205" s="324"/>
      <c r="S205" s="324"/>
      <c r="T205" s="324"/>
      <c r="U205" s="324"/>
      <c r="V205" s="324"/>
      <c r="W205" s="324"/>
      <c r="X205" s="324"/>
      <c r="Y205" s="324"/>
      <c r="Z205" s="324"/>
      <c r="AA205" s="324"/>
      <c r="AB205" s="324"/>
      <c r="AC205" s="324"/>
      <c r="AD205" s="324"/>
      <c r="AE205" s="324"/>
      <c r="AF205" s="324"/>
    </row>
    <row r="206" spans="3:32" s="294" customFormat="1">
      <c r="C206" s="10"/>
      <c r="D206" s="29"/>
      <c r="E206" s="29"/>
      <c r="F206" s="36"/>
      <c r="G206" s="324"/>
      <c r="H206" s="324"/>
      <c r="I206" s="324"/>
      <c r="J206" s="324"/>
      <c r="K206" s="324"/>
      <c r="L206" s="324"/>
      <c r="M206" s="324"/>
      <c r="N206" s="324"/>
      <c r="O206" s="324"/>
      <c r="P206" s="324"/>
      <c r="Q206" s="324"/>
      <c r="R206" s="324"/>
      <c r="S206" s="324"/>
      <c r="T206" s="324"/>
      <c r="U206" s="324"/>
      <c r="V206" s="324"/>
      <c r="W206" s="324"/>
      <c r="X206" s="324"/>
      <c r="Y206" s="324"/>
      <c r="Z206" s="324"/>
      <c r="AA206" s="324"/>
      <c r="AB206" s="324"/>
      <c r="AC206" s="324"/>
      <c r="AD206" s="324"/>
      <c r="AE206" s="324"/>
      <c r="AF206" s="324"/>
    </row>
    <row r="207" spans="3:32" s="294" customFormat="1">
      <c r="C207" s="10"/>
      <c r="D207" s="29"/>
      <c r="E207" s="29"/>
      <c r="F207" s="36"/>
      <c r="G207" s="324"/>
      <c r="H207" s="324"/>
      <c r="I207" s="324"/>
      <c r="J207" s="324"/>
      <c r="K207" s="324"/>
      <c r="L207" s="324"/>
      <c r="M207" s="324"/>
      <c r="N207" s="324"/>
      <c r="O207" s="324"/>
      <c r="P207" s="324"/>
      <c r="Q207" s="324"/>
      <c r="R207" s="324"/>
      <c r="S207" s="324"/>
      <c r="T207" s="324"/>
      <c r="U207" s="324"/>
      <c r="V207" s="324"/>
      <c r="W207" s="324"/>
      <c r="X207" s="324"/>
      <c r="Y207" s="324"/>
      <c r="Z207" s="324"/>
      <c r="AA207" s="324"/>
      <c r="AB207" s="324"/>
      <c r="AC207" s="324"/>
      <c r="AD207" s="324"/>
      <c r="AE207" s="324"/>
      <c r="AF207" s="324"/>
    </row>
    <row r="208" spans="3:32" s="294" customFormat="1">
      <c r="C208" s="10"/>
      <c r="D208" s="29"/>
      <c r="E208" s="29"/>
      <c r="F208" s="36"/>
      <c r="G208" s="324"/>
      <c r="H208" s="324"/>
      <c r="I208" s="324"/>
      <c r="J208" s="324"/>
      <c r="K208" s="324"/>
      <c r="L208" s="324"/>
      <c r="M208" s="324"/>
      <c r="N208" s="324"/>
      <c r="O208" s="324"/>
      <c r="P208" s="324"/>
      <c r="Q208" s="324"/>
      <c r="R208" s="324"/>
      <c r="S208" s="324"/>
      <c r="T208" s="324"/>
      <c r="U208" s="324"/>
      <c r="V208" s="324"/>
      <c r="W208" s="324"/>
      <c r="X208" s="324"/>
      <c r="Y208" s="324"/>
      <c r="Z208" s="324"/>
      <c r="AA208" s="324"/>
      <c r="AB208" s="324"/>
      <c r="AC208" s="324"/>
      <c r="AD208" s="324"/>
      <c r="AE208" s="324"/>
      <c r="AF208" s="324"/>
    </row>
    <row r="209" spans="3:32" s="294" customFormat="1">
      <c r="C209" s="10"/>
      <c r="D209" s="29"/>
      <c r="E209" s="29"/>
      <c r="F209" s="36"/>
      <c r="G209" s="324"/>
      <c r="H209" s="324"/>
      <c r="I209" s="324"/>
      <c r="J209" s="324"/>
      <c r="K209" s="324"/>
      <c r="L209" s="324"/>
      <c r="M209" s="324"/>
      <c r="N209" s="324"/>
      <c r="O209" s="324"/>
      <c r="P209" s="324"/>
      <c r="Q209" s="324"/>
      <c r="R209" s="324"/>
      <c r="S209" s="324"/>
      <c r="T209" s="324"/>
      <c r="U209" s="324"/>
      <c r="V209" s="324"/>
      <c r="W209" s="324"/>
      <c r="X209" s="324"/>
      <c r="Y209" s="324"/>
      <c r="Z209" s="324"/>
      <c r="AA209" s="324"/>
      <c r="AB209" s="324"/>
      <c r="AC209" s="324"/>
      <c r="AD209" s="324"/>
      <c r="AE209" s="324"/>
      <c r="AF209" s="324"/>
    </row>
    <row r="210" spans="3:32" s="294" customFormat="1">
      <c r="C210" s="10"/>
      <c r="D210" s="29"/>
      <c r="E210" s="29"/>
      <c r="F210" s="36"/>
      <c r="G210" s="324"/>
      <c r="H210" s="324"/>
      <c r="I210" s="324"/>
      <c r="J210" s="324"/>
      <c r="K210" s="324"/>
      <c r="L210" s="324"/>
      <c r="M210" s="324"/>
      <c r="N210" s="324"/>
      <c r="O210" s="324"/>
      <c r="P210" s="324"/>
      <c r="Q210" s="324"/>
      <c r="R210" s="324"/>
      <c r="S210" s="324"/>
      <c r="T210" s="324"/>
      <c r="U210" s="324"/>
      <c r="V210" s="324"/>
      <c r="W210" s="324"/>
      <c r="X210" s="324"/>
      <c r="Y210" s="324"/>
      <c r="Z210" s="324"/>
      <c r="AA210" s="324"/>
      <c r="AB210" s="324"/>
      <c r="AC210" s="324"/>
      <c r="AD210" s="324"/>
      <c r="AE210" s="324"/>
      <c r="AF210" s="324"/>
    </row>
    <row r="211" spans="3:32" s="294" customFormat="1">
      <c r="C211" s="10"/>
      <c r="D211" s="29"/>
      <c r="E211" s="29"/>
      <c r="F211" s="36"/>
      <c r="G211" s="324"/>
      <c r="H211" s="324"/>
      <c r="I211" s="324"/>
      <c r="J211" s="324"/>
      <c r="K211" s="324"/>
      <c r="L211" s="324"/>
      <c r="M211" s="324"/>
      <c r="N211" s="324"/>
      <c r="O211" s="324"/>
      <c r="P211" s="324"/>
      <c r="Q211" s="324"/>
      <c r="R211" s="324"/>
      <c r="S211" s="324"/>
      <c r="T211" s="324"/>
      <c r="U211" s="324"/>
      <c r="V211" s="324"/>
      <c r="W211" s="324"/>
      <c r="X211" s="324"/>
      <c r="Y211" s="324"/>
      <c r="Z211" s="324"/>
      <c r="AA211" s="324"/>
      <c r="AB211" s="324"/>
      <c r="AC211" s="324"/>
      <c r="AD211" s="324"/>
      <c r="AE211" s="324"/>
      <c r="AF211" s="324"/>
    </row>
    <row r="212" spans="3:32" s="294" customFormat="1">
      <c r="C212" s="10"/>
      <c r="D212" s="29"/>
      <c r="E212" s="29"/>
      <c r="F212" s="36"/>
      <c r="G212" s="324"/>
      <c r="H212" s="324"/>
      <c r="I212" s="324"/>
      <c r="J212" s="324"/>
      <c r="K212" s="324"/>
      <c r="L212" s="324"/>
      <c r="M212" s="324"/>
      <c r="N212" s="324"/>
      <c r="O212" s="324"/>
      <c r="P212" s="324"/>
      <c r="Q212" s="324"/>
      <c r="R212" s="324"/>
      <c r="S212" s="324"/>
      <c r="T212" s="324"/>
      <c r="U212" s="324"/>
      <c r="V212" s="324"/>
      <c r="W212" s="324"/>
      <c r="X212" s="324"/>
      <c r="Y212" s="324"/>
      <c r="Z212" s="324"/>
      <c r="AA212" s="324"/>
      <c r="AB212" s="324"/>
      <c r="AC212" s="324"/>
      <c r="AD212" s="324"/>
      <c r="AE212" s="324"/>
      <c r="AF212" s="324"/>
    </row>
    <row r="213" spans="3:32" s="294" customFormat="1">
      <c r="C213" s="10"/>
      <c r="D213" s="29"/>
      <c r="E213" s="29"/>
      <c r="F213" s="36"/>
      <c r="G213" s="324"/>
      <c r="H213" s="324"/>
      <c r="I213" s="324"/>
      <c r="J213" s="324"/>
      <c r="K213" s="324"/>
      <c r="L213" s="324"/>
      <c r="M213" s="324"/>
      <c r="N213" s="324"/>
      <c r="O213" s="324"/>
      <c r="P213" s="324"/>
      <c r="Q213" s="324"/>
      <c r="R213" s="324"/>
      <c r="S213" s="324"/>
      <c r="T213" s="324"/>
      <c r="U213" s="324"/>
      <c r="V213" s="324"/>
      <c r="W213" s="324"/>
      <c r="X213" s="324"/>
      <c r="Y213" s="324"/>
      <c r="Z213" s="324"/>
      <c r="AA213" s="324"/>
      <c r="AB213" s="324"/>
      <c r="AC213" s="324"/>
      <c r="AD213" s="324"/>
      <c r="AE213" s="324"/>
      <c r="AF213" s="324"/>
    </row>
    <row r="214" spans="3:32" s="294" customFormat="1">
      <c r="C214" s="10"/>
      <c r="D214" s="29"/>
      <c r="E214" s="29"/>
      <c r="F214" s="36"/>
      <c r="G214" s="324"/>
      <c r="H214" s="324"/>
      <c r="I214" s="324"/>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c r="AF214" s="324"/>
    </row>
    <row r="215" spans="3:32" s="294" customFormat="1">
      <c r="C215" s="10"/>
      <c r="D215" s="29"/>
      <c r="E215" s="29"/>
      <c r="F215" s="36"/>
      <c r="G215" s="324"/>
      <c r="H215" s="324"/>
      <c r="I215" s="324"/>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c r="AF215" s="324"/>
    </row>
    <row r="216" spans="3:32" s="294" customFormat="1">
      <c r="C216" s="10"/>
      <c r="D216" s="29"/>
      <c r="E216" s="29"/>
      <c r="F216" s="36"/>
      <c r="G216" s="324"/>
      <c r="H216" s="324"/>
      <c r="I216" s="324"/>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c r="AF216" s="324"/>
    </row>
    <row r="217" spans="3:32" s="294" customFormat="1">
      <c r="C217" s="10"/>
      <c r="D217" s="29"/>
      <c r="E217" s="29"/>
      <c r="F217" s="36"/>
      <c r="G217" s="324"/>
      <c r="H217" s="324"/>
      <c r="I217" s="324"/>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c r="AF217" s="324"/>
    </row>
    <row r="218" spans="3:32" s="294" customFormat="1">
      <c r="C218" s="10"/>
      <c r="D218" s="29"/>
      <c r="E218" s="29"/>
      <c r="F218" s="36"/>
      <c r="G218" s="324"/>
      <c r="H218" s="324"/>
      <c r="I218" s="324"/>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c r="AF218" s="324"/>
    </row>
    <row r="219" spans="3:32" s="294" customFormat="1">
      <c r="C219" s="10"/>
      <c r="D219" s="29"/>
      <c r="E219" s="29"/>
      <c r="F219" s="36"/>
      <c r="G219" s="324"/>
      <c r="H219" s="324"/>
      <c r="I219" s="324"/>
      <c r="J219" s="324"/>
      <c r="K219" s="324"/>
      <c r="L219" s="324"/>
      <c r="M219" s="324"/>
      <c r="N219" s="324"/>
      <c r="O219" s="324"/>
      <c r="P219" s="324"/>
      <c r="Q219" s="324"/>
      <c r="R219" s="324"/>
      <c r="S219" s="324"/>
      <c r="T219" s="324"/>
      <c r="U219" s="324"/>
      <c r="V219" s="324"/>
      <c r="W219" s="324"/>
      <c r="X219" s="324"/>
      <c r="Y219" s="324"/>
      <c r="Z219" s="324"/>
      <c r="AA219" s="324"/>
      <c r="AB219" s="324"/>
      <c r="AC219" s="324"/>
      <c r="AD219" s="324"/>
      <c r="AE219" s="324"/>
      <c r="AF219" s="324"/>
    </row>
    <row r="220" spans="3:32" s="294" customFormat="1">
      <c r="C220" s="10"/>
      <c r="D220" s="29"/>
      <c r="E220" s="29"/>
      <c r="F220" s="36"/>
      <c r="G220" s="324"/>
      <c r="H220" s="324"/>
      <c r="I220" s="324"/>
      <c r="J220" s="324"/>
      <c r="K220" s="324"/>
      <c r="L220" s="324"/>
      <c r="M220" s="324"/>
      <c r="N220" s="324"/>
      <c r="O220" s="324"/>
      <c r="P220" s="324"/>
      <c r="Q220" s="324"/>
      <c r="R220" s="324"/>
      <c r="S220" s="324"/>
      <c r="T220" s="324"/>
      <c r="U220" s="324"/>
      <c r="V220" s="324"/>
      <c r="W220" s="324"/>
      <c r="X220" s="324"/>
      <c r="Y220" s="324"/>
      <c r="Z220" s="324"/>
      <c r="AA220" s="324"/>
      <c r="AB220" s="324"/>
      <c r="AC220" s="324"/>
      <c r="AD220" s="324"/>
      <c r="AE220" s="324"/>
      <c r="AF220" s="324"/>
    </row>
    <row r="221" spans="3:32" s="294" customFormat="1">
      <c r="C221" s="10"/>
      <c r="D221" s="29"/>
      <c r="E221" s="29"/>
      <c r="F221" s="36"/>
      <c r="G221" s="324"/>
      <c r="H221" s="324"/>
      <c r="I221" s="324"/>
      <c r="J221" s="324"/>
      <c r="K221" s="324"/>
      <c r="L221" s="324"/>
      <c r="M221" s="324"/>
      <c r="N221" s="324"/>
      <c r="O221" s="324"/>
      <c r="P221" s="324"/>
      <c r="Q221" s="324"/>
      <c r="R221" s="324"/>
      <c r="S221" s="324"/>
      <c r="T221" s="324"/>
      <c r="U221" s="324"/>
      <c r="V221" s="324"/>
      <c r="W221" s="324"/>
      <c r="X221" s="324"/>
      <c r="Y221" s="324"/>
      <c r="Z221" s="324"/>
      <c r="AA221" s="324"/>
      <c r="AB221" s="324"/>
      <c r="AC221" s="324"/>
      <c r="AD221" s="324"/>
      <c r="AE221" s="324"/>
      <c r="AF221" s="324"/>
    </row>
    <row r="222" spans="3:32" s="294" customFormat="1">
      <c r="C222" s="10"/>
      <c r="D222" s="29"/>
      <c r="E222" s="29"/>
      <c r="F222" s="36"/>
      <c r="G222" s="324"/>
      <c r="H222" s="324"/>
      <c r="I222" s="324"/>
      <c r="J222" s="324"/>
      <c r="K222" s="324"/>
      <c r="L222" s="324"/>
      <c r="M222" s="324"/>
      <c r="N222" s="324"/>
      <c r="O222" s="324"/>
      <c r="P222" s="324"/>
      <c r="Q222" s="324"/>
      <c r="R222" s="324"/>
      <c r="S222" s="324"/>
      <c r="T222" s="324"/>
      <c r="U222" s="324"/>
      <c r="V222" s="324"/>
      <c r="W222" s="324"/>
      <c r="X222" s="324"/>
      <c r="Y222" s="324"/>
      <c r="Z222" s="324"/>
      <c r="AA222" s="324"/>
      <c r="AB222" s="324"/>
      <c r="AC222" s="324"/>
      <c r="AD222" s="324"/>
      <c r="AE222" s="324"/>
      <c r="AF222" s="324"/>
    </row>
    <row r="223" spans="3:32" s="294" customFormat="1">
      <c r="C223" s="10"/>
      <c r="D223" s="29"/>
      <c r="E223" s="29"/>
      <c r="F223" s="36"/>
      <c r="G223" s="324"/>
      <c r="H223" s="324"/>
      <c r="I223" s="324"/>
      <c r="J223" s="324"/>
      <c r="K223" s="324"/>
      <c r="L223" s="324"/>
      <c r="M223" s="324"/>
      <c r="N223" s="324"/>
      <c r="O223" s="324"/>
      <c r="P223" s="324"/>
      <c r="Q223" s="324"/>
      <c r="R223" s="324"/>
      <c r="S223" s="324"/>
      <c r="T223" s="324"/>
      <c r="U223" s="324"/>
      <c r="V223" s="324"/>
      <c r="W223" s="324"/>
      <c r="X223" s="324"/>
      <c r="Y223" s="324"/>
      <c r="Z223" s="324"/>
      <c r="AA223" s="324"/>
      <c r="AB223" s="324"/>
      <c r="AC223" s="324"/>
      <c r="AD223" s="324"/>
      <c r="AE223" s="324"/>
      <c r="AF223" s="324"/>
    </row>
    <row r="224" spans="3:32" s="294" customFormat="1">
      <c r="C224" s="10"/>
      <c r="D224" s="29"/>
      <c r="E224" s="29"/>
      <c r="F224" s="36"/>
      <c r="G224" s="324"/>
      <c r="H224" s="324"/>
      <c r="I224" s="324"/>
      <c r="J224" s="324"/>
      <c r="K224" s="324"/>
      <c r="L224" s="324"/>
      <c r="M224" s="324"/>
      <c r="N224" s="324"/>
      <c r="O224" s="324"/>
      <c r="P224" s="324"/>
      <c r="Q224" s="324"/>
      <c r="R224" s="324"/>
      <c r="S224" s="324"/>
      <c r="T224" s="324"/>
      <c r="U224" s="324"/>
      <c r="V224" s="324"/>
      <c r="W224" s="324"/>
      <c r="X224" s="324"/>
      <c r="Y224" s="324"/>
      <c r="Z224" s="324"/>
      <c r="AA224" s="324"/>
      <c r="AB224" s="324"/>
      <c r="AC224" s="324"/>
      <c r="AD224" s="324"/>
      <c r="AE224" s="324"/>
      <c r="AF224" s="324"/>
    </row>
    <row r="225" spans="3:32" s="294" customFormat="1">
      <c r="C225" s="10"/>
      <c r="D225" s="29"/>
      <c r="E225" s="29"/>
      <c r="F225" s="36"/>
      <c r="G225" s="324"/>
      <c r="H225" s="324"/>
      <c r="I225" s="324"/>
      <c r="J225" s="324"/>
      <c r="K225" s="324"/>
      <c r="L225" s="324"/>
      <c r="M225" s="324"/>
      <c r="N225" s="324"/>
      <c r="O225" s="324"/>
      <c r="P225" s="324"/>
      <c r="Q225" s="324"/>
      <c r="R225" s="324"/>
      <c r="S225" s="324"/>
      <c r="T225" s="324"/>
      <c r="U225" s="324"/>
      <c r="V225" s="324"/>
      <c r="W225" s="324"/>
      <c r="X225" s="324"/>
      <c r="Y225" s="324"/>
      <c r="Z225" s="324"/>
      <c r="AA225" s="324"/>
      <c r="AB225" s="324"/>
      <c r="AC225" s="324"/>
      <c r="AD225" s="324"/>
      <c r="AE225" s="324"/>
      <c r="AF225" s="324"/>
    </row>
    <row r="226" spans="3:32" s="294" customFormat="1">
      <c r="C226" s="10"/>
      <c r="D226" s="29"/>
      <c r="E226" s="29"/>
      <c r="F226" s="36"/>
      <c r="G226" s="324"/>
      <c r="H226" s="324"/>
      <c r="I226" s="324"/>
      <c r="J226" s="324"/>
      <c r="K226" s="324"/>
      <c r="L226" s="324"/>
      <c r="M226" s="324"/>
      <c r="N226" s="324"/>
      <c r="O226" s="324"/>
      <c r="P226" s="324"/>
      <c r="Q226" s="324"/>
      <c r="R226" s="324"/>
      <c r="S226" s="324"/>
      <c r="T226" s="324"/>
      <c r="U226" s="324"/>
      <c r="V226" s="324"/>
      <c r="W226" s="324"/>
      <c r="X226" s="324"/>
      <c r="Y226" s="324"/>
      <c r="Z226" s="324"/>
      <c r="AA226" s="324"/>
      <c r="AB226" s="324"/>
      <c r="AC226" s="324"/>
      <c r="AD226" s="324"/>
      <c r="AE226" s="324"/>
      <c r="AF226" s="324"/>
    </row>
    <row r="227" spans="3:32" s="294" customFormat="1">
      <c r="C227" s="10"/>
      <c r="D227" s="29"/>
      <c r="E227" s="29"/>
      <c r="F227" s="36"/>
      <c r="G227" s="324"/>
      <c r="H227" s="324"/>
      <c r="I227" s="324"/>
      <c r="J227" s="324"/>
      <c r="K227" s="324"/>
      <c r="L227" s="324"/>
      <c r="M227" s="324"/>
      <c r="N227" s="324"/>
      <c r="O227" s="324"/>
      <c r="P227" s="324"/>
      <c r="Q227" s="324"/>
      <c r="R227" s="324"/>
      <c r="S227" s="324"/>
      <c r="T227" s="324"/>
      <c r="U227" s="324"/>
      <c r="V227" s="324"/>
      <c r="W227" s="324"/>
      <c r="X227" s="324"/>
      <c r="Y227" s="324"/>
      <c r="Z227" s="324"/>
      <c r="AA227" s="324"/>
      <c r="AB227" s="324"/>
      <c r="AC227" s="324"/>
      <c r="AD227" s="324"/>
      <c r="AE227" s="324"/>
      <c r="AF227" s="324"/>
    </row>
    <row r="228" spans="3:32" s="294" customFormat="1">
      <c r="C228" s="10"/>
      <c r="D228" s="29"/>
      <c r="E228" s="29"/>
      <c r="F228" s="36"/>
      <c r="G228" s="324"/>
      <c r="H228" s="324"/>
      <c r="I228" s="324"/>
      <c r="J228" s="324"/>
      <c r="K228" s="324"/>
      <c r="L228" s="324"/>
      <c r="M228" s="324"/>
      <c r="N228" s="324"/>
      <c r="O228" s="324"/>
      <c r="P228" s="324"/>
      <c r="Q228" s="324"/>
      <c r="R228" s="324"/>
      <c r="S228" s="324"/>
      <c r="T228" s="324"/>
      <c r="U228" s="324"/>
      <c r="V228" s="324"/>
      <c r="W228" s="324"/>
      <c r="X228" s="324"/>
      <c r="Y228" s="324"/>
      <c r="Z228" s="324"/>
      <c r="AA228" s="324"/>
      <c r="AB228" s="324"/>
      <c r="AC228" s="324"/>
      <c r="AD228" s="324"/>
      <c r="AE228" s="324"/>
      <c r="AF228" s="324"/>
    </row>
    <row r="229" spans="3:32" s="294" customFormat="1">
      <c r="C229" s="10"/>
      <c r="D229" s="29"/>
      <c r="E229" s="29"/>
      <c r="F229" s="36"/>
      <c r="G229" s="324"/>
      <c r="H229" s="324"/>
      <c r="I229" s="324"/>
      <c r="J229" s="324"/>
      <c r="K229" s="324"/>
      <c r="L229" s="324"/>
      <c r="M229" s="324"/>
      <c r="N229" s="324"/>
      <c r="O229" s="324"/>
      <c r="P229" s="324"/>
      <c r="Q229" s="324"/>
      <c r="R229" s="324"/>
      <c r="S229" s="324"/>
      <c r="T229" s="324"/>
      <c r="U229" s="324"/>
      <c r="V229" s="324"/>
      <c r="W229" s="324"/>
      <c r="X229" s="324"/>
      <c r="Y229" s="324"/>
      <c r="Z229" s="324"/>
      <c r="AA229" s="324"/>
      <c r="AB229" s="324"/>
      <c r="AC229" s="324"/>
      <c r="AD229" s="324"/>
      <c r="AE229" s="324"/>
      <c r="AF229" s="324"/>
    </row>
    <row r="230" spans="3:32" s="294" customFormat="1">
      <c r="C230" s="10"/>
      <c r="D230" s="29"/>
      <c r="E230" s="29"/>
      <c r="F230" s="36"/>
      <c r="G230" s="324"/>
      <c r="H230" s="324"/>
      <c r="I230" s="324"/>
      <c r="J230" s="324"/>
      <c r="K230" s="324"/>
      <c r="L230" s="324"/>
      <c r="M230" s="324"/>
      <c r="N230" s="324"/>
      <c r="O230" s="324"/>
      <c r="P230" s="324"/>
      <c r="Q230" s="324"/>
      <c r="R230" s="324"/>
      <c r="S230" s="324"/>
      <c r="T230" s="324"/>
      <c r="U230" s="324"/>
      <c r="V230" s="324"/>
      <c r="W230" s="324"/>
      <c r="X230" s="324"/>
      <c r="Y230" s="324"/>
      <c r="Z230" s="324"/>
      <c r="AA230" s="324"/>
      <c r="AB230" s="324"/>
      <c r="AC230" s="324"/>
      <c r="AD230" s="324"/>
      <c r="AE230" s="324"/>
      <c r="AF230" s="324"/>
    </row>
    <row r="231" spans="3:32" s="294" customFormat="1">
      <c r="C231" s="10"/>
      <c r="D231" s="29"/>
      <c r="E231" s="29"/>
      <c r="F231" s="36"/>
      <c r="G231" s="324"/>
      <c r="H231" s="324"/>
      <c r="I231" s="324"/>
      <c r="J231" s="324"/>
      <c r="K231" s="324"/>
      <c r="L231" s="324"/>
      <c r="M231" s="324"/>
      <c r="N231" s="324"/>
      <c r="O231" s="324"/>
      <c r="P231" s="324"/>
      <c r="Q231" s="324"/>
      <c r="R231" s="324"/>
      <c r="S231" s="324"/>
      <c r="T231" s="324"/>
      <c r="U231" s="324"/>
      <c r="V231" s="324"/>
      <c r="W231" s="324"/>
      <c r="X231" s="324"/>
      <c r="Y231" s="324"/>
      <c r="Z231" s="324"/>
      <c r="AA231" s="324"/>
      <c r="AB231" s="324"/>
      <c r="AC231" s="324"/>
      <c r="AD231" s="324"/>
      <c r="AE231" s="324"/>
      <c r="AF231" s="324"/>
    </row>
    <row r="232" spans="3:32" s="294" customFormat="1">
      <c r="C232" s="10"/>
      <c r="D232" s="29"/>
      <c r="E232" s="29"/>
      <c r="F232" s="36"/>
      <c r="G232" s="324"/>
      <c r="H232" s="324"/>
      <c r="I232" s="324"/>
      <c r="J232" s="324"/>
      <c r="K232" s="324"/>
      <c r="L232" s="324"/>
      <c r="M232" s="324"/>
      <c r="N232" s="324"/>
      <c r="O232" s="324"/>
      <c r="P232" s="324"/>
      <c r="Q232" s="324"/>
      <c r="R232" s="324"/>
      <c r="S232" s="324"/>
      <c r="T232" s="324"/>
      <c r="U232" s="324"/>
      <c r="V232" s="324"/>
      <c r="W232" s="324"/>
      <c r="X232" s="324"/>
      <c r="Y232" s="324"/>
      <c r="Z232" s="324"/>
      <c r="AA232" s="324"/>
      <c r="AB232" s="324"/>
      <c r="AC232" s="324"/>
      <c r="AD232" s="324"/>
      <c r="AE232" s="324"/>
      <c r="AF232" s="324"/>
    </row>
    <row r="233" spans="3:32" s="294" customFormat="1">
      <c r="C233" s="10"/>
      <c r="D233" s="29"/>
      <c r="E233" s="29"/>
      <c r="F233" s="36"/>
      <c r="G233" s="324"/>
      <c r="H233" s="324"/>
      <c r="I233" s="324"/>
      <c r="J233" s="324"/>
      <c r="K233" s="324"/>
      <c r="L233" s="324"/>
      <c r="M233" s="324"/>
      <c r="N233" s="324"/>
      <c r="O233" s="324"/>
      <c r="P233" s="324"/>
      <c r="Q233" s="324"/>
      <c r="R233" s="324"/>
      <c r="S233" s="324"/>
      <c r="T233" s="324"/>
      <c r="U233" s="324"/>
      <c r="V233" s="324"/>
      <c r="W233" s="324"/>
      <c r="X233" s="324"/>
      <c r="Y233" s="324"/>
      <c r="Z233" s="324"/>
      <c r="AA233" s="324"/>
      <c r="AB233" s="324"/>
      <c r="AC233" s="324"/>
      <c r="AD233" s="324"/>
      <c r="AE233" s="324"/>
      <c r="AF233" s="324"/>
    </row>
    <row r="234" spans="3:32" s="294" customFormat="1">
      <c r="C234" s="10"/>
      <c r="D234" s="29"/>
      <c r="E234" s="29"/>
      <c r="F234" s="36"/>
      <c r="G234" s="324"/>
      <c r="H234" s="324"/>
      <c r="I234" s="324"/>
      <c r="J234" s="324"/>
      <c r="K234" s="324"/>
      <c r="L234" s="324"/>
      <c r="M234" s="324"/>
      <c r="N234" s="324"/>
      <c r="O234" s="324"/>
      <c r="P234" s="324"/>
      <c r="Q234" s="324"/>
      <c r="R234" s="324"/>
      <c r="S234" s="324"/>
      <c r="T234" s="324"/>
      <c r="U234" s="324"/>
      <c r="V234" s="324"/>
      <c r="W234" s="324"/>
      <c r="X234" s="324"/>
      <c r="Y234" s="324"/>
      <c r="Z234" s="324"/>
      <c r="AA234" s="324"/>
      <c r="AB234" s="324"/>
      <c r="AC234" s="324"/>
      <c r="AD234" s="324"/>
      <c r="AE234" s="324"/>
      <c r="AF234" s="324"/>
    </row>
    <row r="235" spans="3:32" s="294" customFormat="1">
      <c r="C235" s="10"/>
      <c r="D235" s="29"/>
      <c r="E235" s="29"/>
      <c r="F235" s="36"/>
      <c r="G235" s="324"/>
      <c r="H235" s="324"/>
      <c r="I235" s="324"/>
      <c r="J235" s="324"/>
      <c r="K235" s="324"/>
      <c r="L235" s="324"/>
      <c r="M235" s="324"/>
      <c r="N235" s="324"/>
      <c r="O235" s="324"/>
      <c r="P235" s="324"/>
      <c r="Q235" s="324"/>
      <c r="R235" s="324"/>
      <c r="S235" s="324"/>
      <c r="T235" s="324"/>
      <c r="U235" s="324"/>
      <c r="V235" s="324"/>
      <c r="W235" s="324"/>
      <c r="X235" s="324"/>
      <c r="Y235" s="324"/>
      <c r="Z235" s="324"/>
      <c r="AA235" s="324"/>
      <c r="AB235" s="324"/>
      <c r="AC235" s="324"/>
      <c r="AD235" s="324"/>
      <c r="AE235" s="324"/>
      <c r="AF235" s="324"/>
    </row>
    <row r="236" spans="3:32" s="294" customFormat="1">
      <c r="C236" s="10"/>
      <c r="D236" s="29"/>
      <c r="E236" s="29"/>
      <c r="F236" s="36"/>
      <c r="G236" s="324"/>
      <c r="H236" s="324"/>
      <c r="I236" s="324"/>
      <c r="J236" s="324"/>
      <c r="K236" s="324"/>
      <c r="L236" s="324"/>
      <c r="M236" s="324"/>
      <c r="N236" s="324"/>
      <c r="O236" s="324"/>
      <c r="P236" s="324"/>
      <c r="Q236" s="324"/>
      <c r="R236" s="324"/>
      <c r="S236" s="324"/>
      <c r="T236" s="324"/>
      <c r="U236" s="324"/>
      <c r="V236" s="324"/>
      <c r="W236" s="324"/>
      <c r="X236" s="324"/>
      <c r="Y236" s="324"/>
      <c r="Z236" s="324"/>
      <c r="AA236" s="324"/>
      <c r="AB236" s="324"/>
      <c r="AC236" s="324"/>
      <c r="AD236" s="324"/>
      <c r="AE236" s="324"/>
      <c r="AF236" s="324"/>
    </row>
    <row r="237" spans="3:32" s="294" customFormat="1">
      <c r="C237" s="10"/>
      <c r="D237" s="29"/>
      <c r="E237" s="29"/>
      <c r="F237" s="36"/>
      <c r="G237" s="324"/>
      <c r="H237" s="324"/>
      <c r="I237" s="324"/>
      <c r="J237" s="324"/>
      <c r="K237" s="324"/>
      <c r="L237" s="324"/>
      <c r="M237" s="324"/>
      <c r="N237" s="324"/>
      <c r="O237" s="324"/>
      <c r="P237" s="324"/>
      <c r="Q237" s="324"/>
      <c r="R237" s="324"/>
      <c r="S237" s="324"/>
      <c r="T237" s="324"/>
      <c r="U237" s="324"/>
      <c r="V237" s="324"/>
      <c r="W237" s="324"/>
      <c r="X237" s="324"/>
      <c r="Y237" s="324"/>
      <c r="Z237" s="324"/>
      <c r="AA237" s="324"/>
      <c r="AB237" s="324"/>
      <c r="AC237" s="324"/>
      <c r="AD237" s="324"/>
      <c r="AE237" s="324"/>
      <c r="AF237" s="324"/>
    </row>
    <row r="238" spans="3:32" s="294" customFormat="1">
      <c r="C238" s="10"/>
      <c r="D238" s="29"/>
      <c r="E238" s="29"/>
      <c r="F238" s="36"/>
      <c r="G238" s="324"/>
      <c r="H238" s="324"/>
      <c r="I238" s="324"/>
      <c r="J238" s="324"/>
      <c r="K238" s="324"/>
      <c r="L238" s="324"/>
      <c r="M238" s="324"/>
      <c r="N238" s="324"/>
      <c r="O238" s="324"/>
      <c r="P238" s="324"/>
      <c r="Q238" s="324"/>
      <c r="R238" s="324"/>
      <c r="S238" s="324"/>
      <c r="T238" s="324"/>
      <c r="U238" s="324"/>
      <c r="V238" s="324"/>
      <c r="W238" s="324"/>
      <c r="X238" s="324"/>
      <c r="Y238" s="324"/>
      <c r="Z238" s="324"/>
      <c r="AA238" s="324"/>
      <c r="AB238" s="324"/>
      <c r="AC238" s="324"/>
      <c r="AD238" s="324"/>
      <c r="AE238" s="324"/>
      <c r="AF238" s="324"/>
    </row>
    <row r="239" spans="3:32" s="294" customFormat="1">
      <c r="C239" s="10"/>
      <c r="D239" s="29"/>
      <c r="E239" s="29"/>
      <c r="F239" s="36"/>
      <c r="G239" s="324"/>
      <c r="H239" s="324"/>
      <c r="I239" s="324"/>
      <c r="J239" s="324"/>
      <c r="K239" s="324"/>
      <c r="L239" s="324"/>
      <c r="M239" s="324"/>
      <c r="N239" s="324"/>
      <c r="O239" s="324"/>
      <c r="P239" s="324"/>
      <c r="Q239" s="324"/>
      <c r="R239" s="324"/>
      <c r="S239" s="324"/>
      <c r="T239" s="324"/>
      <c r="U239" s="324"/>
      <c r="V239" s="324"/>
      <c r="W239" s="324"/>
      <c r="X239" s="324"/>
      <c r="Y239" s="324"/>
      <c r="Z239" s="324"/>
      <c r="AA239" s="324"/>
      <c r="AB239" s="324"/>
      <c r="AC239" s="324"/>
      <c r="AD239" s="324"/>
      <c r="AE239" s="324"/>
      <c r="AF239" s="324"/>
    </row>
    <row r="240" spans="3:32" s="294" customFormat="1">
      <c r="C240" s="10"/>
      <c r="D240" s="29"/>
      <c r="E240" s="29"/>
      <c r="F240" s="36"/>
      <c r="G240" s="324"/>
      <c r="H240" s="324"/>
      <c r="I240" s="324"/>
      <c r="J240" s="324"/>
      <c r="K240" s="324"/>
      <c r="L240" s="324"/>
      <c r="M240" s="324"/>
      <c r="N240" s="324"/>
      <c r="O240" s="324"/>
      <c r="P240" s="324"/>
      <c r="Q240" s="324"/>
      <c r="R240" s="324"/>
      <c r="S240" s="324"/>
      <c r="T240" s="324"/>
      <c r="U240" s="324"/>
      <c r="V240" s="324"/>
      <c r="W240" s="324"/>
      <c r="X240" s="324"/>
      <c r="Y240" s="324"/>
      <c r="Z240" s="324"/>
      <c r="AA240" s="324"/>
      <c r="AB240" s="324"/>
      <c r="AC240" s="324"/>
      <c r="AD240" s="324"/>
      <c r="AE240" s="324"/>
      <c r="AF240" s="324"/>
    </row>
    <row r="241" spans="3:32" s="294" customFormat="1">
      <c r="C241" s="10"/>
      <c r="D241" s="29"/>
      <c r="E241" s="29"/>
      <c r="F241" s="36"/>
      <c r="G241" s="324"/>
      <c r="H241" s="324"/>
      <c r="I241" s="324"/>
      <c r="J241" s="324"/>
      <c r="K241" s="324"/>
      <c r="L241" s="324"/>
      <c r="M241" s="324"/>
      <c r="N241" s="324"/>
      <c r="O241" s="324"/>
      <c r="P241" s="324"/>
      <c r="Q241" s="324"/>
      <c r="R241" s="324"/>
      <c r="S241" s="324"/>
      <c r="T241" s="324"/>
      <c r="U241" s="324"/>
      <c r="V241" s="324"/>
      <c r="W241" s="324"/>
      <c r="X241" s="324"/>
      <c r="Y241" s="324"/>
      <c r="Z241" s="324"/>
      <c r="AA241" s="324"/>
      <c r="AB241" s="324"/>
      <c r="AC241" s="324"/>
      <c r="AD241" s="324"/>
      <c r="AE241" s="324"/>
      <c r="AF241" s="324"/>
    </row>
    <row r="242" spans="3:32" s="294" customFormat="1">
      <c r="C242" s="10"/>
      <c r="D242" s="29"/>
      <c r="E242" s="29"/>
      <c r="F242" s="36"/>
      <c r="G242" s="324"/>
      <c r="H242" s="324"/>
      <c r="I242" s="324"/>
      <c r="J242" s="324"/>
      <c r="K242" s="324"/>
      <c r="L242" s="324"/>
      <c r="M242" s="324"/>
      <c r="N242" s="324"/>
      <c r="O242" s="324"/>
      <c r="P242" s="324"/>
      <c r="Q242" s="324"/>
      <c r="R242" s="324"/>
      <c r="S242" s="324"/>
      <c r="T242" s="324"/>
      <c r="U242" s="324"/>
      <c r="V242" s="324"/>
      <c r="W242" s="324"/>
      <c r="X242" s="324"/>
      <c r="Y242" s="324"/>
      <c r="Z242" s="324"/>
      <c r="AA242" s="324"/>
      <c r="AB242" s="324"/>
      <c r="AC242" s="324"/>
      <c r="AD242" s="324"/>
      <c r="AE242" s="324"/>
      <c r="AF242" s="324"/>
    </row>
    <row r="243" spans="3:32" s="294" customFormat="1">
      <c r="C243" s="10"/>
      <c r="D243" s="29"/>
      <c r="E243" s="29"/>
      <c r="F243" s="36"/>
      <c r="G243" s="324"/>
      <c r="H243" s="324"/>
      <c r="I243" s="324"/>
      <c r="J243" s="324"/>
      <c r="K243" s="324"/>
      <c r="L243" s="324"/>
      <c r="M243" s="324"/>
      <c r="N243" s="324"/>
      <c r="O243" s="324"/>
      <c r="P243" s="324"/>
      <c r="Q243" s="324"/>
      <c r="R243" s="324"/>
      <c r="S243" s="324"/>
      <c r="T243" s="324"/>
      <c r="U243" s="324"/>
      <c r="V243" s="324"/>
      <c r="W243" s="324"/>
      <c r="X243" s="324"/>
      <c r="Y243" s="324"/>
      <c r="Z243" s="324"/>
      <c r="AA243" s="324"/>
      <c r="AB243" s="324"/>
      <c r="AC243" s="324"/>
      <c r="AD243" s="324"/>
      <c r="AE243" s="324"/>
      <c r="AF243" s="324"/>
    </row>
    <row r="244" spans="3:32" s="294" customFormat="1">
      <c r="C244" s="10"/>
      <c r="D244" s="29"/>
      <c r="E244" s="29"/>
      <c r="F244" s="36"/>
      <c r="G244" s="324"/>
      <c r="H244" s="324"/>
      <c r="I244" s="324"/>
      <c r="J244" s="324"/>
      <c r="K244" s="324"/>
      <c r="L244" s="324"/>
      <c r="M244" s="324"/>
      <c r="N244" s="324"/>
      <c r="O244" s="324"/>
      <c r="P244" s="324"/>
      <c r="Q244" s="324"/>
      <c r="R244" s="324"/>
      <c r="S244" s="324"/>
      <c r="T244" s="324"/>
      <c r="U244" s="324"/>
      <c r="V244" s="324"/>
      <c r="W244" s="324"/>
      <c r="X244" s="324"/>
      <c r="Y244" s="324"/>
      <c r="Z244" s="324"/>
      <c r="AA244" s="324"/>
      <c r="AB244" s="324"/>
      <c r="AC244" s="324"/>
      <c r="AD244" s="324"/>
      <c r="AE244" s="324"/>
      <c r="AF244" s="324"/>
    </row>
    <row r="245" spans="3:32" s="294" customFormat="1">
      <c r="C245" s="10"/>
      <c r="D245" s="29"/>
      <c r="E245" s="29"/>
      <c r="F245" s="36"/>
      <c r="G245" s="324"/>
      <c r="H245" s="324"/>
      <c r="I245" s="324"/>
      <c r="J245" s="324"/>
      <c r="K245" s="324"/>
      <c r="L245" s="324"/>
      <c r="M245" s="324"/>
      <c r="N245" s="324"/>
      <c r="O245" s="324"/>
      <c r="P245" s="324"/>
      <c r="Q245" s="324"/>
      <c r="R245" s="324"/>
      <c r="S245" s="324"/>
      <c r="T245" s="324"/>
      <c r="U245" s="324"/>
      <c r="V245" s="324"/>
      <c r="W245" s="324"/>
      <c r="X245" s="324"/>
      <c r="Y245" s="324"/>
      <c r="Z245" s="324"/>
      <c r="AA245" s="324"/>
      <c r="AB245" s="324"/>
      <c r="AC245" s="324"/>
      <c r="AD245" s="324"/>
      <c r="AE245" s="324"/>
      <c r="AF245" s="324"/>
    </row>
    <row r="246" spans="3:32" s="294" customFormat="1">
      <c r="C246" s="10"/>
      <c r="D246" s="29"/>
      <c r="E246" s="29"/>
      <c r="F246" s="36"/>
      <c r="G246" s="324"/>
      <c r="H246" s="324"/>
      <c r="I246" s="324"/>
      <c r="J246" s="324"/>
      <c r="K246" s="324"/>
      <c r="L246" s="324"/>
      <c r="M246" s="324"/>
      <c r="N246" s="324"/>
      <c r="O246" s="324"/>
      <c r="P246" s="324"/>
      <c r="Q246" s="324"/>
      <c r="R246" s="324"/>
      <c r="S246" s="324"/>
      <c r="T246" s="324"/>
      <c r="U246" s="324"/>
      <c r="V246" s="324"/>
      <c r="W246" s="324"/>
      <c r="X246" s="324"/>
      <c r="Y246" s="324"/>
      <c r="Z246" s="324"/>
      <c r="AA246" s="324"/>
      <c r="AB246" s="324"/>
      <c r="AC246" s="324"/>
      <c r="AD246" s="324"/>
      <c r="AE246" s="324"/>
      <c r="AF246" s="324"/>
    </row>
    <row r="247" spans="3:32" s="294" customFormat="1">
      <c r="C247" s="10"/>
      <c r="D247" s="29"/>
      <c r="E247" s="29"/>
      <c r="F247" s="36"/>
      <c r="G247" s="324"/>
      <c r="H247" s="324"/>
      <c r="I247" s="324"/>
      <c r="J247" s="324"/>
      <c r="K247" s="324"/>
      <c r="L247" s="324"/>
      <c r="M247" s="324"/>
      <c r="N247" s="324"/>
      <c r="O247" s="324"/>
      <c r="P247" s="324"/>
      <c r="Q247" s="324"/>
      <c r="R247" s="324"/>
      <c r="S247" s="324"/>
      <c r="T247" s="324"/>
      <c r="U247" s="324"/>
      <c r="V247" s="324"/>
      <c r="W247" s="324"/>
      <c r="X247" s="324"/>
      <c r="Y247" s="324"/>
      <c r="Z247" s="324"/>
      <c r="AA247" s="324"/>
      <c r="AB247" s="324"/>
      <c r="AC247" s="324"/>
      <c r="AD247" s="324"/>
      <c r="AE247" s="324"/>
      <c r="AF247" s="324"/>
    </row>
    <row r="248" spans="3:32" s="294" customFormat="1">
      <c r="C248" s="10"/>
      <c r="D248" s="29"/>
      <c r="E248" s="29"/>
      <c r="F248" s="36"/>
      <c r="G248" s="324"/>
      <c r="H248" s="324"/>
      <c r="I248" s="324"/>
      <c r="J248" s="324"/>
      <c r="K248" s="324"/>
      <c r="L248" s="324"/>
      <c r="M248" s="324"/>
      <c r="N248" s="324"/>
      <c r="O248" s="324"/>
      <c r="P248" s="324"/>
      <c r="Q248" s="324"/>
      <c r="R248" s="324"/>
      <c r="S248" s="324"/>
      <c r="T248" s="324"/>
      <c r="U248" s="324"/>
      <c r="V248" s="324"/>
      <c r="W248" s="324"/>
      <c r="X248" s="324"/>
      <c r="Y248" s="324"/>
      <c r="Z248" s="324"/>
      <c r="AA248" s="324"/>
      <c r="AB248" s="324"/>
      <c r="AC248" s="324"/>
      <c r="AD248" s="324"/>
      <c r="AE248" s="324"/>
      <c r="AF248" s="324"/>
    </row>
    <row r="249" spans="3:32" s="294" customFormat="1">
      <c r="C249" s="10"/>
      <c r="D249" s="29"/>
      <c r="E249" s="29"/>
      <c r="F249" s="36"/>
      <c r="G249" s="324"/>
      <c r="H249" s="324"/>
      <c r="I249" s="324"/>
      <c r="J249" s="324"/>
      <c r="K249" s="324"/>
      <c r="L249" s="324"/>
      <c r="M249" s="324"/>
      <c r="N249" s="324"/>
      <c r="O249" s="324"/>
      <c r="P249" s="324"/>
      <c r="Q249" s="324"/>
      <c r="R249" s="324"/>
      <c r="S249" s="324"/>
      <c r="T249" s="324"/>
      <c r="U249" s="324"/>
      <c r="V249" s="324"/>
      <c r="W249" s="324"/>
      <c r="X249" s="324"/>
      <c r="Y249" s="324"/>
      <c r="Z249" s="324"/>
      <c r="AA249" s="324"/>
      <c r="AB249" s="324"/>
      <c r="AC249" s="324"/>
      <c r="AD249" s="324"/>
      <c r="AE249" s="324"/>
      <c r="AF249" s="324"/>
    </row>
    <row r="250" spans="3:32" s="294" customFormat="1">
      <c r="C250" s="10"/>
      <c r="D250" s="29"/>
      <c r="E250" s="29"/>
      <c r="F250" s="36"/>
      <c r="G250" s="324"/>
      <c r="H250" s="324"/>
      <c r="I250" s="324"/>
      <c r="J250" s="324"/>
      <c r="K250" s="324"/>
      <c r="L250" s="324"/>
      <c r="M250" s="324"/>
      <c r="N250" s="324"/>
      <c r="O250" s="324"/>
      <c r="P250" s="324"/>
      <c r="Q250" s="324"/>
      <c r="R250" s="324"/>
      <c r="S250" s="324"/>
      <c r="T250" s="324"/>
      <c r="U250" s="324"/>
      <c r="V250" s="324"/>
      <c r="W250" s="324"/>
      <c r="X250" s="324"/>
      <c r="Y250" s="324"/>
      <c r="Z250" s="324"/>
      <c r="AA250" s="324"/>
      <c r="AB250" s="324"/>
      <c r="AC250" s="324"/>
      <c r="AD250" s="324"/>
      <c r="AE250" s="324"/>
      <c r="AF250" s="324"/>
    </row>
    <row r="251" spans="3:32" s="294" customFormat="1">
      <c r="C251" s="10"/>
      <c r="D251" s="29"/>
      <c r="E251" s="29"/>
      <c r="F251" s="36"/>
      <c r="G251" s="324"/>
      <c r="H251" s="324"/>
      <c r="I251" s="324"/>
      <c r="J251" s="324"/>
      <c r="K251" s="324"/>
      <c r="L251" s="324"/>
      <c r="M251" s="324"/>
      <c r="N251" s="324"/>
      <c r="O251" s="324"/>
      <c r="P251" s="324"/>
      <c r="Q251" s="324"/>
      <c r="R251" s="324"/>
      <c r="S251" s="324"/>
      <c r="T251" s="324"/>
      <c r="U251" s="324"/>
      <c r="V251" s="324"/>
      <c r="W251" s="324"/>
      <c r="X251" s="324"/>
      <c r="Y251" s="324"/>
      <c r="Z251" s="324"/>
      <c r="AA251" s="324"/>
      <c r="AB251" s="324"/>
      <c r="AC251" s="324"/>
      <c r="AD251" s="324"/>
      <c r="AE251" s="324"/>
      <c r="AF251" s="324"/>
    </row>
    <row r="252" spans="3:32" s="294" customFormat="1">
      <c r="C252" s="10"/>
      <c r="D252" s="29"/>
      <c r="E252" s="29"/>
      <c r="F252" s="36"/>
      <c r="G252" s="324"/>
      <c r="H252" s="324"/>
      <c r="I252" s="324"/>
      <c r="J252" s="324"/>
      <c r="K252" s="324"/>
      <c r="L252" s="324"/>
      <c r="M252" s="324"/>
      <c r="N252" s="324"/>
      <c r="O252" s="324"/>
      <c r="P252" s="324"/>
      <c r="Q252" s="324"/>
      <c r="R252" s="324"/>
      <c r="S252" s="324"/>
      <c r="T252" s="324"/>
      <c r="U252" s="324"/>
      <c r="V252" s="324"/>
      <c r="W252" s="324"/>
      <c r="X252" s="324"/>
      <c r="Y252" s="324"/>
      <c r="Z252" s="324"/>
      <c r="AA252" s="324"/>
      <c r="AB252" s="324"/>
      <c r="AC252" s="324"/>
      <c r="AD252" s="324"/>
      <c r="AE252" s="324"/>
      <c r="AF252" s="324"/>
    </row>
    <row r="253" spans="3:32" s="294" customFormat="1">
      <c r="C253" s="10"/>
      <c r="D253" s="29"/>
      <c r="E253" s="29"/>
      <c r="F253" s="36"/>
      <c r="G253" s="324"/>
      <c r="H253" s="324"/>
      <c r="I253" s="324"/>
      <c r="J253" s="324"/>
      <c r="K253" s="324"/>
      <c r="L253" s="324"/>
      <c r="M253" s="324"/>
      <c r="N253" s="324"/>
      <c r="O253" s="324"/>
      <c r="P253" s="324"/>
      <c r="Q253" s="324"/>
      <c r="R253" s="324"/>
      <c r="S253" s="324"/>
      <c r="T253" s="324"/>
      <c r="U253" s="324"/>
      <c r="V253" s="324"/>
      <c r="W253" s="324"/>
      <c r="X253" s="324"/>
      <c r="Y253" s="324"/>
      <c r="Z253" s="324"/>
      <c r="AA253" s="324"/>
      <c r="AB253" s="324"/>
      <c r="AC253" s="324"/>
      <c r="AD253" s="324"/>
      <c r="AE253" s="324"/>
      <c r="AF253" s="324"/>
    </row>
    <row r="254" spans="3:32" s="294" customFormat="1">
      <c r="C254" s="10"/>
      <c r="D254" s="29"/>
      <c r="E254" s="29"/>
      <c r="F254" s="36"/>
      <c r="G254" s="324"/>
      <c r="H254" s="324"/>
      <c r="I254" s="324"/>
      <c r="J254" s="324"/>
      <c r="K254" s="324"/>
      <c r="L254" s="324"/>
      <c r="M254" s="324"/>
      <c r="N254" s="324"/>
      <c r="O254" s="324"/>
      <c r="P254" s="324"/>
      <c r="Q254" s="324"/>
      <c r="R254" s="324"/>
      <c r="S254" s="324"/>
      <c r="T254" s="324"/>
      <c r="U254" s="324"/>
      <c r="V254" s="324"/>
      <c r="W254" s="324"/>
      <c r="X254" s="324"/>
      <c r="Y254" s="324"/>
      <c r="Z254" s="324"/>
      <c r="AA254" s="324"/>
      <c r="AB254" s="324"/>
      <c r="AC254" s="324"/>
      <c r="AD254" s="324"/>
      <c r="AE254" s="324"/>
      <c r="AF254" s="324"/>
    </row>
    <row r="255" spans="3:32" s="294" customFormat="1">
      <c r="C255" s="10"/>
      <c r="D255" s="29"/>
      <c r="E255" s="29"/>
      <c r="F255" s="36"/>
      <c r="G255" s="324"/>
      <c r="H255" s="324"/>
      <c r="I255" s="324"/>
      <c r="J255" s="324"/>
      <c r="K255" s="324"/>
      <c r="L255" s="324"/>
      <c r="M255" s="324"/>
      <c r="N255" s="324"/>
      <c r="O255" s="324"/>
      <c r="P255" s="324"/>
      <c r="Q255" s="324"/>
      <c r="R255" s="324"/>
      <c r="S255" s="324"/>
      <c r="T255" s="324"/>
      <c r="U255" s="324"/>
      <c r="V255" s="324"/>
      <c r="W255" s="324"/>
      <c r="X255" s="324"/>
      <c r="Y255" s="324"/>
      <c r="Z255" s="324"/>
      <c r="AA255" s="324"/>
      <c r="AB255" s="324"/>
      <c r="AC255" s="324"/>
      <c r="AD255" s="324"/>
      <c r="AE255" s="324"/>
      <c r="AF255" s="324"/>
    </row>
    <row r="256" spans="3:32" s="294" customFormat="1">
      <c r="C256" s="10"/>
      <c r="D256" s="29"/>
      <c r="E256" s="29"/>
      <c r="F256" s="36"/>
      <c r="G256" s="324"/>
      <c r="H256" s="324"/>
      <c r="I256" s="324"/>
      <c r="J256" s="324"/>
      <c r="K256" s="324"/>
      <c r="L256" s="324"/>
      <c r="M256" s="324"/>
      <c r="N256" s="324"/>
      <c r="O256" s="324"/>
      <c r="P256" s="324"/>
      <c r="Q256" s="324"/>
      <c r="R256" s="324"/>
      <c r="S256" s="324"/>
      <c r="T256" s="324"/>
      <c r="U256" s="324"/>
      <c r="V256" s="324"/>
      <c r="W256" s="324"/>
      <c r="X256" s="324"/>
      <c r="Y256" s="324"/>
      <c r="Z256" s="324"/>
      <c r="AA256" s="324"/>
      <c r="AB256" s="324"/>
      <c r="AC256" s="324"/>
      <c r="AD256" s="324"/>
      <c r="AE256" s="324"/>
      <c r="AF256" s="324"/>
    </row>
    <row r="257" spans="3:32" s="294" customFormat="1">
      <c r="C257" s="10"/>
      <c r="D257" s="29"/>
      <c r="E257" s="29"/>
      <c r="F257" s="36"/>
      <c r="G257" s="324"/>
      <c r="H257" s="324"/>
      <c r="I257" s="324"/>
      <c r="J257" s="324"/>
      <c r="K257" s="324"/>
      <c r="L257" s="324"/>
      <c r="M257" s="324"/>
      <c r="N257" s="324"/>
      <c r="O257" s="324"/>
      <c r="P257" s="324"/>
      <c r="Q257" s="324"/>
      <c r="R257" s="324"/>
      <c r="S257" s="324"/>
      <c r="T257" s="324"/>
      <c r="U257" s="324"/>
      <c r="V257" s="324"/>
      <c r="W257" s="324"/>
      <c r="X257" s="324"/>
      <c r="Y257" s="324"/>
      <c r="Z257" s="324"/>
      <c r="AA257" s="324"/>
      <c r="AB257" s="324"/>
      <c r="AC257" s="324"/>
      <c r="AD257" s="324"/>
      <c r="AE257" s="324"/>
      <c r="AF257" s="324"/>
    </row>
    <row r="258" spans="3:32" s="294" customFormat="1">
      <c r="C258" s="10"/>
      <c r="D258" s="29"/>
      <c r="E258" s="29"/>
      <c r="F258" s="36"/>
      <c r="G258" s="324"/>
      <c r="H258" s="324"/>
      <c r="I258" s="324"/>
      <c r="J258" s="324"/>
      <c r="K258" s="324"/>
      <c r="L258" s="324"/>
      <c r="M258" s="324"/>
      <c r="N258" s="324"/>
      <c r="O258" s="324"/>
      <c r="P258" s="324"/>
      <c r="Q258" s="324"/>
      <c r="R258" s="324"/>
      <c r="S258" s="324"/>
      <c r="T258" s="324"/>
      <c r="U258" s="324"/>
      <c r="V258" s="324"/>
      <c r="W258" s="324"/>
      <c r="X258" s="324"/>
      <c r="Y258" s="324"/>
      <c r="Z258" s="324"/>
      <c r="AA258" s="324"/>
      <c r="AB258" s="324"/>
      <c r="AC258" s="324"/>
      <c r="AD258" s="324"/>
      <c r="AE258" s="324"/>
      <c r="AF258" s="324"/>
    </row>
    <row r="259" spans="3:32" s="294" customFormat="1">
      <c r="C259" s="10"/>
      <c r="D259" s="29"/>
      <c r="E259" s="29"/>
      <c r="F259" s="36"/>
      <c r="G259" s="324"/>
      <c r="H259" s="324"/>
      <c r="I259" s="324"/>
      <c r="J259" s="324"/>
      <c r="K259" s="324"/>
      <c r="L259" s="324"/>
      <c r="M259" s="324"/>
      <c r="N259" s="324"/>
      <c r="O259" s="324"/>
      <c r="P259" s="324"/>
      <c r="Q259" s="324"/>
      <c r="R259" s="324"/>
      <c r="S259" s="324"/>
      <c r="T259" s="324"/>
      <c r="U259" s="324"/>
      <c r="V259" s="324"/>
      <c r="W259" s="324"/>
      <c r="X259" s="324"/>
      <c r="Y259" s="324"/>
      <c r="Z259" s="324"/>
      <c r="AA259" s="324"/>
      <c r="AB259" s="324"/>
      <c r="AC259" s="324"/>
      <c r="AD259" s="324"/>
      <c r="AE259" s="324"/>
      <c r="AF259" s="324"/>
    </row>
    <row r="260" spans="3:32" s="294" customFormat="1">
      <c r="C260" s="10"/>
      <c r="D260" s="29"/>
      <c r="E260" s="29"/>
      <c r="F260" s="36"/>
      <c r="G260" s="324"/>
      <c r="H260" s="324"/>
      <c r="I260" s="324"/>
      <c r="J260" s="324"/>
      <c r="K260" s="324"/>
      <c r="L260" s="324"/>
      <c r="M260" s="324"/>
      <c r="N260" s="324"/>
      <c r="O260" s="324"/>
      <c r="P260" s="324"/>
      <c r="Q260" s="324"/>
      <c r="R260" s="324"/>
      <c r="S260" s="324"/>
      <c r="T260" s="324"/>
      <c r="U260" s="324"/>
      <c r="V260" s="324"/>
      <c r="W260" s="324"/>
      <c r="X260" s="324"/>
      <c r="Y260" s="324"/>
      <c r="Z260" s="324"/>
      <c r="AA260" s="324"/>
      <c r="AB260" s="324"/>
      <c r="AC260" s="324"/>
      <c r="AD260" s="324"/>
      <c r="AE260" s="324"/>
      <c r="AF260" s="324"/>
    </row>
    <row r="261" spans="3:32" s="294" customFormat="1">
      <c r="C261" s="10"/>
      <c r="D261" s="29"/>
      <c r="E261" s="29"/>
      <c r="F261" s="36"/>
      <c r="G261" s="324"/>
      <c r="H261" s="324"/>
      <c r="I261" s="324"/>
      <c r="J261" s="324"/>
      <c r="K261" s="324"/>
      <c r="L261" s="324"/>
      <c r="M261" s="324"/>
      <c r="N261" s="324"/>
      <c r="O261" s="324"/>
      <c r="P261" s="324"/>
      <c r="Q261" s="324"/>
      <c r="R261" s="324"/>
      <c r="S261" s="324"/>
      <c r="T261" s="324"/>
      <c r="U261" s="324"/>
      <c r="V261" s="324"/>
      <c r="W261" s="324"/>
      <c r="X261" s="324"/>
      <c r="Y261" s="324"/>
      <c r="Z261" s="324"/>
      <c r="AA261" s="324"/>
      <c r="AB261" s="324"/>
      <c r="AC261" s="324"/>
      <c r="AD261" s="324"/>
      <c r="AE261" s="324"/>
      <c r="AF261" s="324"/>
    </row>
    <row r="262" spans="3:32" s="294" customFormat="1">
      <c r="C262" s="10"/>
      <c r="D262" s="29"/>
      <c r="E262" s="29"/>
      <c r="F262" s="36"/>
      <c r="G262" s="324"/>
      <c r="H262" s="324"/>
      <c r="I262" s="324"/>
      <c r="J262" s="324"/>
      <c r="K262" s="324"/>
      <c r="L262" s="324"/>
      <c r="M262" s="324"/>
      <c r="N262" s="324"/>
      <c r="O262" s="324"/>
      <c r="P262" s="324"/>
      <c r="Q262" s="324"/>
      <c r="R262" s="324"/>
      <c r="S262" s="324"/>
      <c r="T262" s="324"/>
      <c r="U262" s="324"/>
      <c r="V262" s="324"/>
      <c r="W262" s="324"/>
      <c r="X262" s="324"/>
      <c r="Y262" s="324"/>
      <c r="Z262" s="324"/>
      <c r="AA262" s="324"/>
      <c r="AB262" s="324"/>
      <c r="AC262" s="324"/>
      <c r="AD262" s="324"/>
      <c r="AE262" s="324"/>
      <c r="AF262" s="324"/>
    </row>
    <row r="263" spans="3:32" s="294" customFormat="1">
      <c r="C263" s="10"/>
      <c r="D263" s="29"/>
      <c r="E263" s="29"/>
      <c r="F263" s="36"/>
      <c r="G263" s="324"/>
      <c r="H263" s="324"/>
      <c r="I263" s="324"/>
      <c r="J263" s="324"/>
      <c r="K263" s="324"/>
      <c r="L263" s="324"/>
      <c r="M263" s="324"/>
      <c r="N263" s="324"/>
      <c r="O263" s="324"/>
      <c r="P263" s="324"/>
      <c r="Q263" s="324"/>
      <c r="R263" s="324"/>
      <c r="S263" s="324"/>
      <c r="T263" s="324"/>
      <c r="U263" s="324"/>
      <c r="V263" s="324"/>
      <c r="W263" s="324"/>
      <c r="X263" s="324"/>
      <c r="Y263" s="324"/>
      <c r="Z263" s="324"/>
      <c r="AA263" s="324"/>
      <c r="AB263" s="324"/>
      <c r="AC263" s="324"/>
      <c r="AD263" s="324"/>
      <c r="AE263" s="324"/>
      <c r="AF263" s="324"/>
    </row>
    <row r="264" spans="3:32" s="294" customFormat="1">
      <c r="C264" s="10"/>
      <c r="D264" s="29"/>
      <c r="E264" s="29"/>
      <c r="F264" s="36"/>
      <c r="G264" s="324"/>
      <c r="H264" s="324"/>
      <c r="I264" s="324"/>
      <c r="J264" s="324"/>
      <c r="K264" s="324"/>
      <c r="L264" s="324"/>
      <c r="M264" s="324"/>
      <c r="N264" s="324"/>
      <c r="O264" s="324"/>
      <c r="P264" s="324"/>
      <c r="Q264" s="324"/>
      <c r="R264" s="324"/>
      <c r="S264" s="324"/>
      <c r="T264" s="324"/>
      <c r="U264" s="324"/>
      <c r="V264" s="324"/>
      <c r="W264" s="324"/>
      <c r="X264" s="324"/>
      <c r="Y264" s="324"/>
      <c r="Z264" s="324"/>
      <c r="AA264" s="324"/>
      <c r="AB264" s="324"/>
      <c r="AC264" s="324"/>
      <c r="AD264" s="324"/>
      <c r="AE264" s="324"/>
      <c r="AF264" s="324"/>
    </row>
    <row r="265" spans="3:32" s="294" customFormat="1">
      <c r="C265" s="10"/>
      <c r="D265" s="29"/>
      <c r="E265" s="29"/>
      <c r="F265" s="36"/>
      <c r="G265" s="324"/>
      <c r="H265" s="324"/>
      <c r="I265" s="324"/>
      <c r="J265" s="324"/>
      <c r="K265" s="324"/>
      <c r="L265" s="324"/>
      <c r="M265" s="324"/>
      <c r="N265" s="324"/>
      <c r="O265" s="324"/>
      <c r="P265" s="324"/>
      <c r="Q265" s="324"/>
      <c r="R265" s="324"/>
      <c r="S265" s="324"/>
      <c r="T265" s="324"/>
      <c r="U265" s="324"/>
      <c r="V265" s="324"/>
      <c r="W265" s="324"/>
      <c r="X265" s="324"/>
      <c r="Y265" s="324"/>
      <c r="Z265" s="324"/>
      <c r="AA265" s="324"/>
      <c r="AB265" s="324"/>
      <c r="AC265" s="324"/>
      <c r="AD265" s="324"/>
      <c r="AE265" s="324"/>
      <c r="AF265" s="324"/>
    </row>
    <row r="266" spans="3:32" s="294" customFormat="1">
      <c r="C266" s="10"/>
      <c r="D266" s="29"/>
      <c r="E266" s="29"/>
      <c r="F266" s="36"/>
      <c r="G266" s="324"/>
      <c r="H266" s="324"/>
      <c r="I266" s="324"/>
      <c r="J266" s="324"/>
      <c r="K266" s="324"/>
      <c r="L266" s="324"/>
      <c r="M266" s="324"/>
      <c r="N266" s="324"/>
      <c r="O266" s="324"/>
      <c r="P266" s="324"/>
      <c r="Q266" s="324"/>
      <c r="R266" s="324"/>
      <c r="S266" s="324"/>
      <c r="T266" s="324"/>
      <c r="U266" s="324"/>
      <c r="V266" s="324"/>
      <c r="W266" s="324"/>
      <c r="X266" s="324"/>
      <c r="Y266" s="324"/>
      <c r="Z266" s="324"/>
      <c r="AA266" s="324"/>
      <c r="AB266" s="324"/>
      <c r="AC266" s="324"/>
      <c r="AD266" s="324"/>
      <c r="AE266" s="324"/>
      <c r="AF266" s="324"/>
    </row>
    <row r="267" spans="3:32" s="294" customFormat="1">
      <c r="C267" s="10"/>
      <c r="D267" s="29"/>
      <c r="E267" s="29"/>
      <c r="F267" s="36"/>
      <c r="G267" s="324"/>
      <c r="H267" s="324"/>
      <c r="I267" s="324"/>
      <c r="J267" s="324"/>
      <c r="K267" s="324"/>
      <c r="L267" s="324"/>
      <c r="M267" s="324"/>
      <c r="N267" s="324"/>
      <c r="O267" s="324"/>
      <c r="P267" s="324"/>
      <c r="Q267" s="324"/>
      <c r="R267" s="324"/>
      <c r="S267" s="324"/>
      <c r="T267" s="324"/>
      <c r="U267" s="324"/>
      <c r="V267" s="324"/>
      <c r="W267" s="324"/>
      <c r="X267" s="324"/>
      <c r="Y267" s="324"/>
      <c r="Z267" s="324"/>
      <c r="AA267" s="324"/>
      <c r="AB267" s="324"/>
      <c r="AC267" s="324"/>
      <c r="AD267" s="324"/>
      <c r="AE267" s="324"/>
      <c r="AF267" s="324"/>
    </row>
    <row r="268" spans="3:32" s="294" customFormat="1">
      <c r="C268" s="10"/>
      <c r="D268" s="29"/>
      <c r="E268" s="29"/>
      <c r="F268" s="36"/>
      <c r="G268" s="324"/>
      <c r="H268" s="324"/>
      <c r="I268" s="324"/>
      <c r="J268" s="324"/>
      <c r="K268" s="324"/>
      <c r="L268" s="324"/>
      <c r="M268" s="324"/>
      <c r="N268" s="324"/>
      <c r="O268" s="324"/>
      <c r="P268" s="324"/>
      <c r="Q268" s="324"/>
      <c r="R268" s="324"/>
      <c r="S268" s="324"/>
      <c r="T268" s="324"/>
      <c r="U268" s="324"/>
      <c r="V268" s="324"/>
      <c r="W268" s="324"/>
      <c r="X268" s="324"/>
      <c r="Y268" s="324"/>
      <c r="Z268" s="324"/>
      <c r="AA268" s="324"/>
      <c r="AB268" s="324"/>
      <c r="AC268" s="324"/>
      <c r="AD268" s="324"/>
      <c r="AE268" s="324"/>
      <c r="AF268" s="324"/>
    </row>
    <row r="269" spans="3:32" s="294" customFormat="1">
      <c r="C269" s="10"/>
      <c r="D269" s="29"/>
      <c r="E269" s="29"/>
      <c r="F269" s="36"/>
      <c r="G269" s="324"/>
      <c r="H269" s="324"/>
      <c r="I269" s="324"/>
      <c r="J269" s="324"/>
      <c r="K269" s="324"/>
      <c r="L269" s="324"/>
      <c r="M269" s="324"/>
      <c r="N269" s="324"/>
      <c r="O269" s="324"/>
      <c r="P269" s="324"/>
      <c r="Q269" s="324"/>
      <c r="R269" s="324"/>
      <c r="S269" s="324"/>
      <c r="T269" s="324"/>
      <c r="U269" s="324"/>
      <c r="V269" s="324"/>
      <c r="W269" s="324"/>
      <c r="X269" s="324"/>
      <c r="Y269" s="324"/>
      <c r="Z269" s="324"/>
      <c r="AA269" s="324"/>
      <c r="AB269" s="324"/>
      <c r="AC269" s="324"/>
      <c r="AD269" s="324"/>
      <c r="AE269" s="324"/>
      <c r="AF269" s="324"/>
    </row>
    <row r="270" spans="3:32" s="294" customFormat="1">
      <c r="C270" s="10"/>
      <c r="D270" s="29"/>
      <c r="E270" s="29"/>
      <c r="F270" s="36"/>
      <c r="G270" s="324"/>
      <c r="H270" s="324"/>
      <c r="I270" s="324"/>
      <c r="J270" s="324"/>
      <c r="K270" s="324"/>
      <c r="L270" s="324"/>
      <c r="M270" s="324"/>
      <c r="N270" s="324"/>
      <c r="O270" s="324"/>
      <c r="P270" s="324"/>
      <c r="Q270" s="324"/>
      <c r="R270" s="324"/>
      <c r="S270" s="324"/>
      <c r="T270" s="324"/>
      <c r="U270" s="324"/>
      <c r="V270" s="324"/>
      <c r="W270" s="324"/>
      <c r="X270" s="324"/>
      <c r="Y270" s="324"/>
      <c r="Z270" s="324"/>
      <c r="AA270" s="324"/>
      <c r="AB270" s="324"/>
      <c r="AC270" s="324"/>
      <c r="AD270" s="324"/>
      <c r="AE270" s="324"/>
      <c r="AF270" s="324"/>
    </row>
    <row r="271" spans="3:32" s="294" customFormat="1">
      <c r="C271" s="10"/>
      <c r="D271" s="29"/>
      <c r="E271" s="29"/>
      <c r="F271" s="36"/>
      <c r="G271" s="324"/>
      <c r="H271" s="324"/>
      <c r="I271" s="324"/>
      <c r="J271" s="324"/>
      <c r="K271" s="324"/>
      <c r="L271" s="324"/>
      <c r="M271" s="324"/>
      <c r="N271" s="324"/>
      <c r="O271" s="324"/>
      <c r="P271" s="324"/>
      <c r="Q271" s="324"/>
      <c r="R271" s="324"/>
      <c r="S271" s="324"/>
      <c r="T271" s="324"/>
      <c r="U271" s="324"/>
      <c r="V271" s="324"/>
      <c r="W271" s="324"/>
      <c r="X271" s="324"/>
      <c r="Y271" s="324"/>
      <c r="Z271" s="324"/>
      <c r="AA271" s="324"/>
      <c r="AB271" s="324"/>
      <c r="AC271" s="324"/>
      <c r="AD271" s="324"/>
      <c r="AE271" s="324"/>
      <c r="AF271" s="324"/>
    </row>
    <row r="272" spans="3:32" s="294" customFormat="1">
      <c r="C272" s="10"/>
      <c r="D272" s="29"/>
      <c r="E272" s="29"/>
      <c r="F272" s="36"/>
      <c r="G272" s="324"/>
      <c r="H272" s="324"/>
      <c r="I272" s="324"/>
      <c r="J272" s="324"/>
      <c r="K272" s="324"/>
      <c r="L272" s="324"/>
      <c r="M272" s="324"/>
      <c r="N272" s="324"/>
      <c r="O272" s="324"/>
      <c r="P272" s="324"/>
      <c r="Q272" s="324"/>
      <c r="R272" s="324"/>
      <c r="S272" s="324"/>
      <c r="T272" s="324"/>
      <c r="U272" s="324"/>
      <c r="V272" s="324"/>
      <c r="W272" s="324"/>
      <c r="X272" s="324"/>
      <c r="Y272" s="324"/>
      <c r="Z272" s="324"/>
      <c r="AA272" s="324"/>
      <c r="AB272" s="324"/>
      <c r="AC272" s="324"/>
      <c r="AD272" s="324"/>
      <c r="AE272" s="324"/>
      <c r="AF272" s="324"/>
    </row>
    <row r="273" spans="3:32" s="294" customFormat="1">
      <c r="C273" s="10"/>
      <c r="D273" s="29"/>
      <c r="E273" s="29"/>
      <c r="F273" s="36"/>
      <c r="G273" s="324"/>
      <c r="H273" s="324"/>
      <c r="I273" s="324"/>
      <c r="J273" s="324"/>
      <c r="K273" s="324"/>
      <c r="L273" s="324"/>
      <c r="M273" s="324"/>
      <c r="N273" s="324"/>
      <c r="O273" s="324"/>
      <c r="P273" s="324"/>
      <c r="Q273" s="324"/>
      <c r="R273" s="324"/>
      <c r="S273" s="324"/>
      <c r="T273" s="324"/>
      <c r="U273" s="324"/>
      <c r="V273" s="324"/>
      <c r="W273" s="324"/>
      <c r="X273" s="324"/>
      <c r="Y273" s="324"/>
      <c r="Z273" s="324"/>
      <c r="AA273" s="324"/>
      <c r="AB273" s="324"/>
      <c r="AC273" s="324"/>
      <c r="AD273" s="324"/>
      <c r="AE273" s="324"/>
      <c r="AF273" s="324"/>
    </row>
    <row r="274" spans="3:32" s="294" customFormat="1">
      <c r="C274" s="10"/>
      <c r="D274" s="29"/>
      <c r="E274" s="29"/>
      <c r="F274" s="36"/>
      <c r="G274" s="324"/>
      <c r="H274" s="324"/>
      <c r="I274" s="324"/>
      <c r="J274" s="324"/>
      <c r="K274" s="324"/>
      <c r="L274" s="324"/>
      <c r="M274" s="324"/>
      <c r="N274" s="324"/>
      <c r="O274" s="324"/>
      <c r="P274" s="324"/>
      <c r="Q274" s="324"/>
      <c r="R274" s="324"/>
      <c r="S274" s="324"/>
      <c r="T274" s="324"/>
      <c r="U274" s="324"/>
      <c r="V274" s="324"/>
      <c r="W274" s="324"/>
      <c r="X274" s="324"/>
      <c r="Y274" s="324"/>
      <c r="Z274" s="324"/>
      <c r="AA274" s="324"/>
      <c r="AB274" s="324"/>
      <c r="AC274" s="324"/>
      <c r="AD274" s="324"/>
      <c r="AE274" s="324"/>
      <c r="AF274" s="324"/>
    </row>
    <row r="275" spans="3:32" s="294" customFormat="1">
      <c r="C275" s="10"/>
      <c r="D275" s="29"/>
      <c r="E275" s="29"/>
      <c r="F275" s="36"/>
      <c r="G275" s="324"/>
      <c r="H275" s="324"/>
      <c r="I275" s="324"/>
      <c r="J275" s="324"/>
      <c r="K275" s="324"/>
      <c r="L275" s="324"/>
      <c r="M275" s="324"/>
      <c r="N275" s="324"/>
      <c r="O275" s="324"/>
      <c r="P275" s="324"/>
      <c r="Q275" s="324"/>
      <c r="R275" s="324"/>
      <c r="S275" s="324"/>
      <c r="T275" s="324"/>
      <c r="U275" s="324"/>
      <c r="V275" s="324"/>
      <c r="W275" s="324"/>
      <c r="X275" s="324"/>
      <c r="Y275" s="324"/>
      <c r="Z275" s="324"/>
      <c r="AA275" s="324"/>
      <c r="AB275" s="324"/>
      <c r="AC275" s="324"/>
      <c r="AD275" s="324"/>
      <c r="AE275" s="324"/>
      <c r="AF275" s="324"/>
    </row>
    <row r="276" spans="3:32" s="294" customFormat="1">
      <c r="C276" s="10"/>
      <c r="D276" s="29"/>
      <c r="E276" s="29"/>
      <c r="F276" s="36"/>
      <c r="G276" s="324"/>
      <c r="H276" s="324"/>
      <c r="I276" s="324"/>
      <c r="J276" s="324"/>
      <c r="K276" s="324"/>
      <c r="L276" s="324"/>
      <c r="M276" s="324"/>
      <c r="N276" s="324"/>
      <c r="O276" s="324"/>
      <c r="P276" s="324"/>
      <c r="Q276" s="324"/>
      <c r="R276" s="324"/>
      <c r="S276" s="324"/>
      <c r="T276" s="324"/>
      <c r="U276" s="324"/>
      <c r="V276" s="324"/>
      <c r="W276" s="324"/>
      <c r="X276" s="324"/>
      <c r="Y276" s="324"/>
      <c r="Z276" s="324"/>
      <c r="AA276" s="324"/>
      <c r="AB276" s="324"/>
      <c r="AC276" s="324"/>
      <c r="AD276" s="324"/>
      <c r="AE276" s="324"/>
      <c r="AF276" s="324"/>
    </row>
    <row r="277" spans="3:32" s="294" customFormat="1">
      <c r="C277" s="10"/>
      <c r="D277" s="29"/>
      <c r="E277" s="29"/>
      <c r="F277" s="36"/>
      <c r="G277" s="324"/>
      <c r="H277" s="324"/>
      <c r="I277" s="324"/>
      <c r="J277" s="324"/>
      <c r="K277" s="324"/>
      <c r="L277" s="324"/>
      <c r="M277" s="324"/>
      <c r="N277" s="324"/>
      <c r="O277" s="324"/>
      <c r="P277" s="324"/>
      <c r="Q277" s="324"/>
      <c r="R277" s="324"/>
      <c r="S277" s="324"/>
      <c r="T277" s="324"/>
      <c r="U277" s="324"/>
      <c r="V277" s="324"/>
      <c r="W277" s="324"/>
      <c r="X277" s="324"/>
      <c r="Y277" s="324"/>
      <c r="Z277" s="324"/>
      <c r="AA277" s="324"/>
      <c r="AB277" s="324"/>
      <c r="AC277" s="324"/>
      <c r="AD277" s="324"/>
      <c r="AE277" s="324"/>
      <c r="AF277" s="324"/>
    </row>
    <row r="278" spans="3:32" s="294" customFormat="1">
      <c r="C278" s="10"/>
      <c r="D278" s="29"/>
      <c r="E278" s="29"/>
      <c r="F278" s="36"/>
      <c r="G278" s="324"/>
      <c r="H278" s="324"/>
      <c r="I278" s="324"/>
      <c r="J278" s="324"/>
      <c r="K278" s="324"/>
      <c r="L278" s="324"/>
      <c r="M278" s="324"/>
      <c r="N278" s="324"/>
      <c r="O278" s="324"/>
      <c r="P278" s="324"/>
      <c r="Q278" s="324"/>
      <c r="R278" s="324"/>
      <c r="S278" s="324"/>
      <c r="T278" s="324"/>
      <c r="U278" s="324"/>
      <c r="V278" s="324"/>
      <c r="W278" s="324"/>
      <c r="X278" s="324"/>
      <c r="Y278" s="324"/>
      <c r="Z278" s="324"/>
      <c r="AA278" s="324"/>
      <c r="AB278" s="324"/>
      <c r="AC278" s="324"/>
      <c r="AD278" s="324"/>
      <c r="AE278" s="324"/>
      <c r="AF278" s="324"/>
    </row>
    <row r="279" spans="3:32" s="294" customFormat="1">
      <c r="C279" s="10"/>
      <c r="D279" s="29"/>
      <c r="E279" s="29"/>
      <c r="F279" s="36"/>
      <c r="G279" s="324"/>
      <c r="H279" s="324"/>
      <c r="I279" s="324"/>
      <c r="J279" s="324"/>
      <c r="K279" s="324"/>
      <c r="L279" s="324"/>
      <c r="M279" s="324"/>
      <c r="N279" s="324"/>
      <c r="O279" s="324"/>
      <c r="P279" s="324"/>
      <c r="Q279" s="324"/>
      <c r="R279" s="324"/>
      <c r="S279" s="324"/>
      <c r="T279" s="324"/>
      <c r="U279" s="324"/>
      <c r="V279" s="324"/>
      <c r="W279" s="324"/>
      <c r="X279" s="324"/>
      <c r="Y279" s="324"/>
      <c r="Z279" s="324"/>
      <c r="AA279" s="324"/>
      <c r="AB279" s="324"/>
      <c r="AC279" s="324"/>
      <c r="AD279" s="324"/>
      <c r="AE279" s="324"/>
      <c r="AF279" s="324"/>
    </row>
    <row r="280" spans="3:32" s="294" customFormat="1">
      <c r="C280" s="10"/>
      <c r="D280" s="29"/>
      <c r="E280" s="29"/>
      <c r="F280" s="36"/>
      <c r="G280" s="324"/>
      <c r="H280" s="324"/>
      <c r="I280" s="324"/>
      <c r="J280" s="324"/>
      <c r="K280" s="324"/>
      <c r="L280" s="324"/>
      <c r="M280" s="324"/>
      <c r="N280" s="324"/>
      <c r="O280" s="324"/>
      <c r="P280" s="324"/>
      <c r="Q280" s="324"/>
      <c r="R280" s="324"/>
      <c r="S280" s="324"/>
      <c r="T280" s="324"/>
      <c r="U280" s="324"/>
      <c r="V280" s="324"/>
      <c r="W280" s="324"/>
      <c r="X280" s="324"/>
      <c r="Y280" s="324"/>
      <c r="Z280" s="324"/>
      <c r="AA280" s="324"/>
      <c r="AB280" s="324"/>
      <c r="AC280" s="324"/>
      <c r="AD280" s="324"/>
      <c r="AE280" s="324"/>
      <c r="AF280" s="324"/>
    </row>
    <row r="281" spans="3:32" s="294" customFormat="1">
      <c r="C281" s="10"/>
      <c r="D281" s="29"/>
      <c r="E281" s="29"/>
      <c r="F281" s="36"/>
      <c r="G281" s="324"/>
      <c r="H281" s="324"/>
      <c r="I281" s="324"/>
      <c r="J281" s="324"/>
      <c r="K281" s="324"/>
      <c r="L281" s="324"/>
      <c r="M281" s="324"/>
      <c r="N281" s="324"/>
      <c r="O281" s="324"/>
      <c r="P281" s="324"/>
      <c r="Q281" s="324"/>
      <c r="R281" s="324"/>
      <c r="S281" s="324"/>
      <c r="T281" s="324"/>
      <c r="U281" s="324"/>
      <c r="V281" s="324"/>
      <c r="W281" s="324"/>
      <c r="X281" s="324"/>
      <c r="Y281" s="324"/>
      <c r="Z281" s="324"/>
      <c r="AA281" s="324"/>
      <c r="AB281" s="324"/>
      <c r="AC281" s="324"/>
      <c r="AD281" s="324"/>
      <c r="AE281" s="324"/>
      <c r="AF281" s="324"/>
    </row>
    <row r="282" spans="3:32" s="294" customFormat="1">
      <c r="C282" s="10"/>
      <c r="D282" s="29"/>
      <c r="E282" s="29"/>
      <c r="F282" s="36"/>
      <c r="G282" s="324"/>
      <c r="H282" s="324"/>
      <c r="I282" s="324"/>
      <c r="J282" s="324"/>
      <c r="K282" s="324"/>
      <c r="L282" s="324"/>
      <c r="M282" s="324"/>
      <c r="N282" s="324"/>
      <c r="O282" s="324"/>
      <c r="P282" s="324"/>
      <c r="Q282" s="324"/>
      <c r="R282" s="324"/>
      <c r="S282" s="324"/>
      <c r="T282" s="324"/>
      <c r="U282" s="324"/>
      <c r="V282" s="324"/>
      <c r="W282" s="324"/>
      <c r="X282" s="324"/>
      <c r="Y282" s="324"/>
      <c r="Z282" s="324"/>
      <c r="AA282" s="324"/>
      <c r="AB282" s="324"/>
      <c r="AC282" s="324"/>
      <c r="AD282" s="324"/>
      <c r="AE282" s="324"/>
      <c r="AF282" s="324"/>
    </row>
    <row r="283" spans="3:32" s="294" customFormat="1">
      <c r="C283" s="10"/>
      <c r="D283" s="29"/>
      <c r="E283" s="29"/>
      <c r="F283" s="36"/>
      <c r="G283" s="324"/>
      <c r="H283" s="324"/>
      <c r="I283" s="324"/>
      <c r="J283" s="324"/>
      <c r="K283" s="324"/>
      <c r="L283" s="324"/>
      <c r="M283" s="324"/>
      <c r="N283" s="324"/>
      <c r="O283" s="324"/>
      <c r="P283" s="324"/>
      <c r="Q283" s="324"/>
      <c r="R283" s="324"/>
      <c r="S283" s="324"/>
      <c r="T283" s="324"/>
      <c r="U283" s="324"/>
      <c r="V283" s="324"/>
      <c r="W283" s="324"/>
      <c r="X283" s="324"/>
      <c r="Y283" s="324"/>
      <c r="Z283" s="324"/>
      <c r="AA283" s="324"/>
      <c r="AB283" s="324"/>
      <c r="AC283" s="324"/>
      <c r="AD283" s="324"/>
      <c r="AE283" s="324"/>
      <c r="AF283" s="324"/>
    </row>
    <row r="284" spans="3:32" s="294" customFormat="1">
      <c r="C284" s="10"/>
      <c r="D284" s="29"/>
      <c r="E284" s="29"/>
      <c r="F284" s="36"/>
      <c r="G284" s="324"/>
      <c r="H284" s="324"/>
      <c r="I284" s="324"/>
      <c r="J284" s="324"/>
      <c r="K284" s="324"/>
      <c r="L284" s="324"/>
      <c r="M284" s="324"/>
      <c r="N284" s="324"/>
      <c r="O284" s="324"/>
      <c r="P284" s="324"/>
      <c r="Q284" s="324"/>
      <c r="R284" s="324"/>
      <c r="S284" s="324"/>
      <c r="T284" s="324"/>
      <c r="U284" s="324"/>
      <c r="V284" s="324"/>
      <c r="W284" s="324"/>
      <c r="X284" s="324"/>
      <c r="Y284" s="324"/>
      <c r="Z284" s="324"/>
      <c r="AA284" s="324"/>
      <c r="AB284" s="324"/>
      <c r="AC284" s="324"/>
      <c r="AD284" s="324"/>
      <c r="AE284" s="324"/>
      <c r="AF284" s="324"/>
    </row>
    <row r="285" spans="3:32" s="294" customFormat="1">
      <c r="C285" s="10"/>
      <c r="D285" s="29"/>
      <c r="E285" s="29"/>
      <c r="F285" s="36"/>
      <c r="G285" s="324"/>
      <c r="H285" s="324"/>
      <c r="I285" s="324"/>
      <c r="J285" s="324"/>
      <c r="K285" s="324"/>
      <c r="L285" s="324"/>
      <c r="M285" s="324"/>
      <c r="N285" s="324"/>
      <c r="O285" s="324"/>
      <c r="P285" s="324"/>
      <c r="Q285" s="324"/>
      <c r="R285" s="324"/>
      <c r="S285" s="324"/>
      <c r="T285" s="324"/>
      <c r="U285" s="324"/>
      <c r="V285" s="324"/>
      <c r="W285" s="324"/>
      <c r="X285" s="324"/>
      <c r="Y285" s="324"/>
      <c r="Z285" s="324"/>
      <c r="AA285" s="324"/>
      <c r="AB285" s="324"/>
      <c r="AC285" s="324"/>
      <c r="AD285" s="324"/>
      <c r="AE285" s="324"/>
      <c r="AF285" s="324"/>
    </row>
    <row r="286" spans="3:32" s="294" customFormat="1">
      <c r="C286" s="10"/>
      <c r="D286" s="29"/>
      <c r="E286" s="29"/>
      <c r="F286" s="36"/>
      <c r="G286" s="324"/>
      <c r="H286" s="324"/>
      <c r="I286" s="324"/>
      <c r="J286" s="324"/>
      <c r="K286" s="324"/>
      <c r="L286" s="324"/>
      <c r="M286" s="324"/>
      <c r="N286" s="324"/>
      <c r="O286" s="324"/>
      <c r="P286" s="324"/>
      <c r="Q286" s="324"/>
      <c r="R286" s="324"/>
      <c r="S286" s="324"/>
      <c r="T286" s="324"/>
      <c r="U286" s="324"/>
      <c r="V286" s="324"/>
      <c r="W286" s="324"/>
      <c r="X286" s="324"/>
      <c r="Y286" s="324"/>
      <c r="Z286" s="324"/>
      <c r="AA286" s="324"/>
      <c r="AB286" s="324"/>
      <c r="AC286" s="324"/>
      <c r="AD286" s="324"/>
      <c r="AE286" s="324"/>
      <c r="AF286" s="324"/>
    </row>
    <row r="287" spans="3:32" s="294" customFormat="1">
      <c r="C287" s="10"/>
      <c r="D287" s="29"/>
      <c r="E287" s="29"/>
      <c r="F287" s="36"/>
      <c r="G287" s="324"/>
      <c r="H287" s="324"/>
      <c r="I287" s="324"/>
      <c r="J287" s="324"/>
      <c r="K287" s="324"/>
      <c r="L287" s="324"/>
      <c r="M287" s="324"/>
      <c r="N287" s="324"/>
      <c r="O287" s="324"/>
      <c r="P287" s="324"/>
      <c r="Q287" s="324"/>
      <c r="R287" s="324"/>
      <c r="S287" s="324"/>
      <c r="T287" s="324"/>
      <c r="U287" s="324"/>
      <c r="V287" s="324"/>
      <c r="W287" s="324"/>
      <c r="X287" s="324"/>
      <c r="Y287" s="324"/>
      <c r="Z287" s="324"/>
      <c r="AA287" s="324"/>
      <c r="AB287" s="324"/>
      <c r="AC287" s="324"/>
      <c r="AD287" s="324"/>
      <c r="AE287" s="324"/>
      <c r="AF287" s="324"/>
    </row>
    <row r="288" spans="3:32" s="294" customFormat="1">
      <c r="C288" s="10"/>
      <c r="D288" s="29"/>
      <c r="E288" s="29"/>
      <c r="F288" s="36"/>
      <c r="G288" s="324"/>
      <c r="H288" s="324"/>
      <c r="I288" s="324"/>
      <c r="J288" s="324"/>
      <c r="K288" s="324"/>
      <c r="L288" s="324"/>
      <c r="M288" s="324"/>
      <c r="N288" s="324"/>
      <c r="O288" s="324"/>
      <c r="P288" s="324"/>
      <c r="Q288" s="324"/>
      <c r="R288" s="324"/>
      <c r="S288" s="324"/>
      <c r="T288" s="324"/>
      <c r="U288" s="324"/>
      <c r="V288" s="324"/>
      <c r="W288" s="324"/>
      <c r="X288" s="324"/>
      <c r="Y288" s="324"/>
      <c r="Z288" s="324"/>
      <c r="AA288" s="324"/>
      <c r="AB288" s="324"/>
      <c r="AC288" s="324"/>
      <c r="AD288" s="324"/>
      <c r="AE288" s="324"/>
      <c r="AF288" s="324"/>
    </row>
    <row r="289" spans="3:32" s="294" customFormat="1">
      <c r="C289" s="10"/>
      <c r="D289" s="29"/>
      <c r="E289" s="29"/>
      <c r="F289" s="36"/>
      <c r="G289" s="324"/>
      <c r="H289" s="324"/>
      <c r="I289" s="324"/>
      <c r="J289" s="324"/>
      <c r="K289" s="324"/>
      <c r="L289" s="324"/>
      <c r="M289" s="324"/>
      <c r="N289" s="324"/>
      <c r="O289" s="324"/>
      <c r="P289" s="324"/>
      <c r="Q289" s="324"/>
      <c r="R289" s="324"/>
      <c r="S289" s="324"/>
      <c r="T289" s="324"/>
      <c r="U289" s="324"/>
      <c r="V289" s="324"/>
      <c r="W289" s="324"/>
      <c r="X289" s="324"/>
      <c r="Y289" s="324"/>
      <c r="Z289" s="324"/>
      <c r="AA289" s="324"/>
      <c r="AB289" s="324"/>
      <c r="AC289" s="324"/>
      <c r="AD289" s="324"/>
      <c r="AE289" s="324"/>
      <c r="AF289" s="324"/>
    </row>
    <row r="290" spans="3:32" s="294" customFormat="1">
      <c r="C290" s="10"/>
      <c r="D290" s="29"/>
      <c r="E290" s="29"/>
      <c r="F290" s="36"/>
      <c r="G290" s="324"/>
      <c r="H290" s="324"/>
      <c r="I290" s="324"/>
      <c r="J290" s="324"/>
      <c r="K290" s="324"/>
      <c r="L290" s="324"/>
      <c r="M290" s="324"/>
      <c r="N290" s="324"/>
      <c r="O290" s="324"/>
      <c r="P290" s="324"/>
      <c r="Q290" s="324"/>
      <c r="R290" s="324"/>
      <c r="S290" s="324"/>
      <c r="T290" s="324"/>
      <c r="U290" s="324"/>
      <c r="V290" s="324"/>
      <c r="W290" s="324"/>
      <c r="X290" s="324"/>
      <c r="Y290" s="324"/>
      <c r="Z290" s="324"/>
      <c r="AA290" s="324"/>
      <c r="AB290" s="324"/>
      <c r="AC290" s="324"/>
      <c r="AD290" s="324"/>
      <c r="AE290" s="324"/>
      <c r="AF290" s="324"/>
    </row>
    <row r="291" spans="3:32" s="294" customFormat="1">
      <c r="C291" s="10"/>
      <c r="D291" s="29"/>
      <c r="E291" s="29"/>
      <c r="F291" s="36"/>
      <c r="G291" s="324"/>
      <c r="H291" s="324"/>
      <c r="I291" s="324"/>
      <c r="J291" s="324"/>
      <c r="K291" s="324"/>
      <c r="L291" s="324"/>
      <c r="M291" s="324"/>
      <c r="N291" s="324"/>
      <c r="O291" s="324"/>
      <c r="P291" s="324"/>
      <c r="Q291" s="324"/>
      <c r="R291" s="324"/>
      <c r="S291" s="324"/>
      <c r="T291" s="324"/>
      <c r="U291" s="324"/>
      <c r="V291" s="324"/>
      <c r="W291" s="324"/>
      <c r="X291" s="324"/>
      <c r="Y291" s="324"/>
      <c r="Z291" s="324"/>
      <c r="AA291" s="324"/>
      <c r="AB291" s="324"/>
      <c r="AC291" s="324"/>
      <c r="AD291" s="324"/>
      <c r="AE291" s="324"/>
      <c r="AF291" s="324"/>
    </row>
    <row r="292" spans="3:32" s="294" customFormat="1">
      <c r="C292" s="10"/>
      <c r="D292" s="29"/>
      <c r="E292" s="29"/>
      <c r="F292" s="36"/>
      <c r="G292" s="324"/>
      <c r="H292" s="324"/>
      <c r="I292" s="324"/>
      <c r="J292" s="324"/>
      <c r="K292" s="324"/>
      <c r="L292" s="324"/>
      <c r="M292" s="324"/>
      <c r="N292" s="324"/>
      <c r="O292" s="324"/>
      <c r="P292" s="324"/>
      <c r="Q292" s="324"/>
      <c r="R292" s="324"/>
      <c r="S292" s="324"/>
      <c r="T292" s="324"/>
      <c r="U292" s="324"/>
      <c r="V292" s="324"/>
      <c r="W292" s="324"/>
      <c r="X292" s="324"/>
      <c r="Y292" s="324"/>
      <c r="Z292" s="324"/>
      <c r="AA292" s="324"/>
      <c r="AB292" s="324"/>
      <c r="AC292" s="324"/>
      <c r="AD292" s="324"/>
      <c r="AE292" s="324"/>
      <c r="AF292" s="324"/>
    </row>
    <row r="293" spans="3:32" s="294" customFormat="1">
      <c r="C293" s="10"/>
      <c r="D293" s="29"/>
      <c r="E293" s="29"/>
      <c r="F293" s="36"/>
      <c r="G293" s="324"/>
      <c r="H293" s="324"/>
      <c r="I293" s="324"/>
      <c r="J293" s="324"/>
      <c r="K293" s="324"/>
      <c r="L293" s="324"/>
      <c r="M293" s="324"/>
      <c r="N293" s="324"/>
      <c r="O293" s="324"/>
      <c r="P293" s="324"/>
      <c r="Q293" s="324"/>
      <c r="R293" s="324"/>
      <c r="S293" s="324"/>
      <c r="T293" s="324"/>
      <c r="U293" s="324"/>
      <c r="V293" s="324"/>
      <c r="W293" s="324"/>
      <c r="X293" s="324"/>
      <c r="Y293" s="324"/>
      <c r="Z293" s="324"/>
      <c r="AA293" s="324"/>
      <c r="AB293" s="324"/>
      <c r="AC293" s="324"/>
      <c r="AD293" s="324"/>
      <c r="AE293" s="324"/>
      <c r="AF293" s="324"/>
    </row>
    <row r="294" spans="3:32" s="294" customFormat="1">
      <c r="C294" s="10"/>
      <c r="D294" s="29"/>
      <c r="E294" s="29"/>
      <c r="F294" s="36"/>
      <c r="G294" s="324"/>
      <c r="H294" s="324"/>
      <c r="I294" s="324"/>
      <c r="J294" s="324"/>
      <c r="K294" s="324"/>
      <c r="L294" s="324"/>
      <c r="M294" s="324"/>
      <c r="N294" s="324"/>
      <c r="O294" s="324"/>
      <c r="P294" s="324"/>
      <c r="Q294" s="324"/>
      <c r="R294" s="324"/>
      <c r="S294" s="324"/>
      <c r="T294" s="324"/>
      <c r="U294" s="324"/>
      <c r="V294" s="324"/>
      <c r="W294" s="324"/>
      <c r="X294" s="324"/>
      <c r="Y294" s="324"/>
      <c r="Z294" s="324"/>
      <c r="AA294" s="324"/>
      <c r="AB294" s="324"/>
      <c r="AC294" s="324"/>
      <c r="AD294" s="324"/>
      <c r="AE294" s="324"/>
      <c r="AF294" s="324"/>
    </row>
    <row r="295" spans="3:32" s="294" customFormat="1">
      <c r="C295" s="10"/>
      <c r="D295" s="29"/>
      <c r="E295" s="29"/>
      <c r="F295" s="36"/>
      <c r="G295" s="324"/>
      <c r="H295" s="324"/>
      <c r="I295" s="324"/>
      <c r="J295" s="324"/>
      <c r="K295" s="324"/>
      <c r="L295" s="324"/>
      <c r="M295" s="324"/>
      <c r="N295" s="324"/>
      <c r="O295" s="324"/>
      <c r="P295" s="324"/>
      <c r="Q295" s="324"/>
      <c r="R295" s="324"/>
      <c r="S295" s="324"/>
      <c r="T295" s="324"/>
      <c r="U295" s="324"/>
      <c r="V295" s="324"/>
      <c r="W295" s="324"/>
      <c r="X295" s="324"/>
      <c r="Y295" s="324"/>
      <c r="Z295" s="324"/>
      <c r="AA295" s="324"/>
      <c r="AB295" s="324"/>
      <c r="AC295" s="324"/>
      <c r="AD295" s="324"/>
      <c r="AE295" s="324"/>
      <c r="AF295" s="324"/>
    </row>
    <row r="296" spans="3:32" s="294" customFormat="1">
      <c r="C296" s="10"/>
      <c r="D296" s="29"/>
      <c r="E296" s="29"/>
      <c r="F296" s="36"/>
      <c r="G296" s="324"/>
      <c r="H296" s="324"/>
      <c r="I296" s="324"/>
      <c r="J296" s="324"/>
      <c r="K296" s="324"/>
      <c r="L296" s="324"/>
      <c r="M296" s="324"/>
      <c r="N296" s="324"/>
      <c r="O296" s="324"/>
      <c r="P296" s="324"/>
      <c r="Q296" s="324"/>
      <c r="R296" s="324"/>
      <c r="S296" s="324"/>
      <c r="T296" s="324"/>
      <c r="U296" s="324"/>
      <c r="V296" s="324"/>
      <c r="W296" s="324"/>
      <c r="X296" s="324"/>
      <c r="Y296" s="324"/>
      <c r="Z296" s="324"/>
      <c r="AA296" s="324"/>
      <c r="AB296" s="324"/>
      <c r="AC296" s="324"/>
      <c r="AD296" s="324"/>
      <c r="AE296" s="324"/>
      <c r="AF296" s="324"/>
    </row>
    <row r="297" spans="3:32" s="294" customFormat="1">
      <c r="C297" s="10"/>
      <c r="D297" s="29"/>
      <c r="E297" s="29"/>
      <c r="F297" s="36"/>
      <c r="G297" s="324"/>
      <c r="H297" s="324"/>
      <c r="I297" s="324"/>
      <c r="J297" s="324"/>
      <c r="K297" s="324"/>
      <c r="L297" s="324"/>
      <c r="M297" s="324"/>
      <c r="N297" s="324"/>
      <c r="O297" s="324"/>
      <c r="P297" s="324"/>
      <c r="Q297" s="324"/>
      <c r="R297" s="324"/>
      <c r="S297" s="324"/>
      <c r="T297" s="324"/>
      <c r="U297" s="324"/>
      <c r="V297" s="324"/>
      <c r="W297" s="324"/>
      <c r="X297" s="324"/>
      <c r="Y297" s="324"/>
      <c r="Z297" s="324"/>
      <c r="AA297" s="324"/>
      <c r="AB297" s="324"/>
      <c r="AC297" s="324"/>
      <c r="AD297" s="324"/>
      <c r="AE297" s="324"/>
      <c r="AF297" s="324"/>
    </row>
    <row r="298" spans="3:32" s="294" customFormat="1">
      <c r="C298" s="10"/>
      <c r="D298" s="29"/>
      <c r="E298" s="29"/>
      <c r="F298" s="36"/>
      <c r="G298" s="324"/>
      <c r="H298" s="324"/>
      <c r="I298" s="324"/>
      <c r="J298" s="324"/>
      <c r="K298" s="324"/>
      <c r="L298" s="324"/>
      <c r="M298" s="324"/>
      <c r="N298" s="324"/>
      <c r="O298" s="324"/>
      <c r="P298" s="324"/>
      <c r="Q298" s="324"/>
      <c r="R298" s="324"/>
      <c r="S298" s="324"/>
      <c r="T298" s="324"/>
      <c r="U298" s="324"/>
      <c r="V298" s="324"/>
      <c r="W298" s="324"/>
      <c r="X298" s="324"/>
      <c r="Y298" s="324"/>
      <c r="Z298" s="324"/>
      <c r="AA298" s="324"/>
      <c r="AB298" s="324"/>
      <c r="AC298" s="324"/>
      <c r="AD298" s="324"/>
      <c r="AE298" s="324"/>
      <c r="AF298" s="324"/>
    </row>
    <row r="299" spans="3:32" s="294" customFormat="1">
      <c r="C299" s="10"/>
      <c r="D299" s="29"/>
      <c r="E299" s="29"/>
      <c r="F299" s="36"/>
      <c r="G299" s="324"/>
      <c r="H299" s="324"/>
      <c r="I299" s="324"/>
      <c r="J299" s="324"/>
      <c r="K299" s="324"/>
      <c r="L299" s="324"/>
      <c r="M299" s="324"/>
      <c r="N299" s="324"/>
      <c r="O299" s="324"/>
      <c r="P299" s="324"/>
      <c r="Q299" s="324"/>
      <c r="R299" s="324"/>
      <c r="S299" s="324"/>
      <c r="T299" s="324"/>
      <c r="U299" s="324"/>
      <c r="V299" s="324"/>
      <c r="W299" s="324"/>
      <c r="X299" s="324"/>
      <c r="Y299" s="324"/>
      <c r="Z299" s="324"/>
      <c r="AA299" s="324"/>
      <c r="AB299" s="324"/>
      <c r="AC299" s="324"/>
      <c r="AD299" s="324"/>
      <c r="AE299" s="324"/>
      <c r="AF299" s="324"/>
    </row>
    <row r="300" spans="3:32" s="294" customFormat="1">
      <c r="C300" s="10"/>
      <c r="D300" s="29"/>
      <c r="E300" s="29"/>
      <c r="F300" s="36"/>
      <c r="G300" s="324"/>
      <c r="H300" s="324"/>
      <c r="I300" s="324"/>
      <c r="J300" s="324"/>
      <c r="K300" s="324"/>
      <c r="L300" s="324"/>
      <c r="M300" s="324"/>
      <c r="N300" s="324"/>
      <c r="O300" s="324"/>
      <c r="P300" s="324"/>
      <c r="Q300" s="324"/>
      <c r="R300" s="324"/>
      <c r="S300" s="324"/>
      <c r="T300" s="324"/>
      <c r="U300" s="324"/>
      <c r="V300" s="324"/>
      <c r="W300" s="324"/>
      <c r="X300" s="324"/>
      <c r="Y300" s="324"/>
      <c r="Z300" s="324"/>
      <c r="AA300" s="324"/>
      <c r="AB300" s="324"/>
      <c r="AC300" s="324"/>
      <c r="AD300" s="324"/>
      <c r="AE300" s="324"/>
      <c r="AF300" s="324"/>
    </row>
    <row r="301" spans="3:32" s="294" customFormat="1">
      <c r="C301" s="10"/>
      <c r="D301" s="29"/>
      <c r="E301" s="29"/>
      <c r="F301" s="36"/>
      <c r="G301" s="324"/>
      <c r="H301" s="324"/>
      <c r="I301" s="324"/>
      <c r="J301" s="324"/>
      <c r="K301" s="324"/>
      <c r="L301" s="324"/>
      <c r="M301" s="324"/>
      <c r="N301" s="324"/>
      <c r="O301" s="324"/>
      <c r="P301" s="324"/>
      <c r="Q301" s="324"/>
      <c r="R301" s="324"/>
      <c r="S301" s="324"/>
      <c r="T301" s="324"/>
      <c r="U301" s="324"/>
      <c r="V301" s="324"/>
      <c r="W301" s="324"/>
      <c r="X301" s="324"/>
      <c r="Y301" s="324"/>
      <c r="Z301" s="324"/>
      <c r="AA301" s="324"/>
      <c r="AB301" s="324"/>
      <c r="AC301" s="324"/>
      <c r="AD301" s="324"/>
      <c r="AE301" s="324"/>
      <c r="AF301" s="324"/>
    </row>
    <row r="302" spans="3:32" s="294" customFormat="1">
      <c r="C302" s="10"/>
      <c r="D302" s="29"/>
      <c r="E302" s="29"/>
      <c r="F302" s="36"/>
      <c r="G302" s="324"/>
      <c r="H302" s="324"/>
      <c r="I302" s="324"/>
      <c r="J302" s="324"/>
      <c r="K302" s="324"/>
      <c r="L302" s="324"/>
      <c r="M302" s="324"/>
      <c r="N302" s="324"/>
      <c r="O302" s="324"/>
      <c r="P302" s="324"/>
      <c r="Q302" s="324"/>
      <c r="R302" s="324"/>
      <c r="S302" s="324"/>
      <c r="T302" s="324"/>
      <c r="U302" s="324"/>
      <c r="V302" s="324"/>
      <c r="W302" s="324"/>
      <c r="X302" s="324"/>
      <c r="Y302" s="324"/>
      <c r="Z302" s="324"/>
      <c r="AA302" s="324"/>
      <c r="AB302" s="324"/>
      <c r="AC302" s="324"/>
      <c r="AD302" s="324"/>
      <c r="AE302" s="324"/>
      <c r="AF302" s="324"/>
    </row>
    <row r="303" spans="3:32" s="294" customFormat="1">
      <c r="C303" s="10"/>
      <c r="D303" s="29"/>
      <c r="E303" s="29"/>
      <c r="F303" s="36"/>
      <c r="G303" s="324"/>
      <c r="H303" s="324"/>
      <c r="I303" s="324"/>
      <c r="J303" s="324"/>
      <c r="K303" s="324"/>
      <c r="L303" s="324"/>
      <c r="M303" s="324"/>
      <c r="N303" s="324"/>
      <c r="O303" s="324"/>
      <c r="P303" s="324"/>
      <c r="Q303" s="324"/>
      <c r="R303" s="324"/>
      <c r="S303" s="324"/>
      <c r="T303" s="324"/>
      <c r="U303" s="324"/>
      <c r="V303" s="324"/>
      <c r="W303" s="324"/>
      <c r="X303" s="324"/>
      <c r="Y303" s="324"/>
      <c r="Z303" s="324"/>
      <c r="AA303" s="324"/>
      <c r="AB303" s="324"/>
      <c r="AC303" s="324"/>
      <c r="AD303" s="324"/>
      <c r="AE303" s="324"/>
      <c r="AF303" s="324"/>
    </row>
    <row r="304" spans="3:32" s="294" customFormat="1">
      <c r="C304" s="10"/>
      <c r="D304" s="29"/>
      <c r="E304" s="29"/>
      <c r="F304" s="36"/>
      <c r="G304" s="324"/>
      <c r="H304" s="324"/>
      <c r="I304" s="324"/>
      <c r="J304" s="324"/>
      <c r="K304" s="324"/>
      <c r="L304" s="324"/>
      <c r="M304" s="324"/>
      <c r="N304" s="324"/>
      <c r="O304" s="324"/>
      <c r="P304" s="324"/>
      <c r="Q304" s="324"/>
      <c r="R304" s="324"/>
      <c r="S304" s="324"/>
      <c r="T304" s="324"/>
      <c r="U304" s="324"/>
      <c r="V304" s="324"/>
      <c r="W304" s="324"/>
      <c r="X304" s="324"/>
      <c r="Y304" s="324"/>
      <c r="Z304" s="324"/>
      <c r="AA304" s="324"/>
      <c r="AB304" s="324"/>
      <c r="AC304" s="324"/>
      <c r="AD304" s="324"/>
      <c r="AE304" s="324"/>
      <c r="AF304" s="324"/>
    </row>
    <row r="305" spans="3:32" s="294" customFormat="1">
      <c r="C305" s="10"/>
      <c r="D305" s="29"/>
      <c r="E305" s="29"/>
      <c r="F305" s="36"/>
      <c r="G305" s="324"/>
      <c r="H305" s="324"/>
      <c r="I305" s="324"/>
      <c r="J305" s="324"/>
      <c r="K305" s="324"/>
      <c r="L305" s="324"/>
      <c r="M305" s="324"/>
      <c r="N305" s="324"/>
      <c r="O305" s="324"/>
      <c r="P305" s="324"/>
      <c r="Q305" s="324"/>
      <c r="R305" s="324"/>
      <c r="S305" s="324"/>
      <c r="T305" s="324"/>
      <c r="U305" s="324"/>
      <c r="V305" s="324"/>
      <c r="W305" s="324"/>
      <c r="X305" s="324"/>
      <c r="Y305" s="324"/>
      <c r="Z305" s="324"/>
      <c r="AA305" s="324"/>
      <c r="AB305" s="324"/>
      <c r="AC305" s="324"/>
      <c r="AD305" s="324"/>
      <c r="AE305" s="324"/>
      <c r="AF305" s="324"/>
    </row>
    <row r="306" spans="3:32" s="294" customFormat="1">
      <c r="C306" s="10"/>
      <c r="D306" s="29"/>
      <c r="E306" s="29"/>
      <c r="F306" s="36"/>
      <c r="G306" s="324"/>
      <c r="H306" s="324"/>
      <c r="I306" s="324"/>
      <c r="J306" s="324"/>
      <c r="K306" s="324"/>
      <c r="L306" s="324"/>
      <c r="M306" s="324"/>
      <c r="N306" s="324"/>
      <c r="O306" s="324"/>
      <c r="P306" s="324"/>
      <c r="Q306" s="324"/>
      <c r="R306" s="324"/>
      <c r="S306" s="324"/>
      <c r="T306" s="324"/>
      <c r="U306" s="324"/>
      <c r="V306" s="324"/>
      <c r="W306" s="324"/>
      <c r="X306" s="324"/>
      <c r="Y306" s="324"/>
      <c r="Z306" s="324"/>
      <c r="AA306" s="324"/>
      <c r="AB306" s="324"/>
      <c r="AC306" s="324"/>
      <c r="AD306" s="324"/>
      <c r="AE306" s="324"/>
      <c r="AF306" s="324"/>
    </row>
    <row r="307" spans="3:32" s="294" customFormat="1">
      <c r="C307" s="10"/>
      <c r="D307" s="29"/>
      <c r="E307" s="29"/>
      <c r="F307" s="36"/>
      <c r="G307" s="324"/>
      <c r="H307" s="324"/>
      <c r="I307" s="324"/>
      <c r="J307" s="324"/>
      <c r="K307" s="324"/>
      <c r="L307" s="324"/>
      <c r="M307" s="324"/>
      <c r="N307" s="324"/>
      <c r="O307" s="324"/>
      <c r="P307" s="324"/>
      <c r="Q307" s="324"/>
      <c r="R307" s="324"/>
      <c r="S307" s="324"/>
      <c r="T307" s="324"/>
      <c r="U307" s="324"/>
      <c r="V307" s="324"/>
      <c r="W307" s="324"/>
      <c r="X307" s="324"/>
      <c r="Y307" s="324"/>
      <c r="Z307" s="324"/>
      <c r="AA307" s="324"/>
      <c r="AB307" s="324"/>
      <c r="AC307" s="324"/>
      <c r="AD307" s="324"/>
      <c r="AE307" s="324"/>
      <c r="AF307" s="324"/>
    </row>
    <row r="308" spans="3:32" s="294" customFormat="1">
      <c r="C308" s="10"/>
      <c r="D308" s="29"/>
      <c r="E308" s="29"/>
      <c r="F308" s="36"/>
      <c r="G308" s="324"/>
      <c r="H308" s="324"/>
      <c r="I308" s="324"/>
      <c r="J308" s="324"/>
      <c r="K308" s="324"/>
      <c r="L308" s="324"/>
      <c r="M308" s="324"/>
      <c r="N308" s="324"/>
      <c r="O308" s="324"/>
      <c r="P308" s="324"/>
      <c r="Q308" s="324"/>
      <c r="R308" s="324"/>
      <c r="S308" s="324"/>
      <c r="T308" s="324"/>
      <c r="U308" s="324"/>
      <c r="V308" s="324"/>
      <c r="W308" s="324"/>
      <c r="X308" s="324"/>
      <c r="Y308" s="324"/>
      <c r="Z308" s="324"/>
      <c r="AA308" s="324"/>
      <c r="AB308" s="324"/>
      <c r="AC308" s="324"/>
      <c r="AD308" s="324"/>
      <c r="AE308" s="324"/>
      <c r="AF308" s="324"/>
    </row>
    <row r="309" spans="3:32" s="294" customFormat="1">
      <c r="C309" s="10"/>
      <c r="D309" s="29"/>
      <c r="E309" s="29"/>
      <c r="F309" s="36"/>
      <c r="G309" s="324"/>
      <c r="H309" s="324"/>
      <c r="I309" s="324"/>
      <c r="J309" s="324"/>
      <c r="K309" s="324"/>
      <c r="L309" s="324"/>
      <c r="M309" s="324"/>
      <c r="N309" s="324"/>
      <c r="O309" s="324"/>
      <c r="P309" s="324"/>
      <c r="Q309" s="324"/>
      <c r="R309" s="324"/>
      <c r="S309" s="324"/>
      <c r="T309" s="324"/>
      <c r="U309" s="324"/>
      <c r="V309" s="324"/>
      <c r="W309" s="324"/>
      <c r="X309" s="324"/>
      <c r="Y309" s="324"/>
      <c r="Z309" s="324"/>
      <c r="AA309" s="324"/>
      <c r="AB309" s="324"/>
      <c r="AC309" s="324"/>
      <c r="AD309" s="324"/>
      <c r="AE309" s="324"/>
      <c r="AF309" s="324"/>
    </row>
    <row r="310" spans="3:32" s="294" customFormat="1">
      <c r="C310" s="10"/>
      <c r="D310" s="29"/>
      <c r="E310" s="29"/>
      <c r="F310" s="36"/>
      <c r="G310" s="324"/>
      <c r="H310" s="324"/>
      <c r="I310" s="324"/>
      <c r="J310" s="324"/>
      <c r="K310" s="324"/>
      <c r="L310" s="324"/>
      <c r="M310" s="324"/>
      <c r="N310" s="324"/>
      <c r="O310" s="324"/>
      <c r="P310" s="324"/>
      <c r="Q310" s="324"/>
      <c r="R310" s="324"/>
      <c r="S310" s="324"/>
      <c r="T310" s="324"/>
      <c r="U310" s="324"/>
      <c r="V310" s="324"/>
      <c r="W310" s="324"/>
      <c r="X310" s="324"/>
      <c r="Y310" s="324"/>
      <c r="Z310" s="324"/>
      <c r="AA310" s="324"/>
      <c r="AB310" s="324"/>
      <c r="AC310" s="324"/>
      <c r="AD310" s="324"/>
      <c r="AE310" s="324"/>
      <c r="AF310" s="324"/>
    </row>
    <row r="311" spans="3:32" s="294" customFormat="1">
      <c r="C311" s="10"/>
      <c r="D311" s="29"/>
      <c r="E311" s="29"/>
      <c r="F311" s="36"/>
      <c r="G311" s="324"/>
      <c r="H311" s="324"/>
      <c r="I311" s="324"/>
      <c r="J311" s="324"/>
      <c r="K311" s="324"/>
      <c r="L311" s="324"/>
      <c r="M311" s="324"/>
      <c r="N311" s="324"/>
      <c r="O311" s="324"/>
      <c r="P311" s="324"/>
      <c r="Q311" s="324"/>
      <c r="R311" s="324"/>
      <c r="S311" s="324"/>
      <c r="T311" s="324"/>
      <c r="U311" s="324"/>
      <c r="V311" s="324"/>
      <c r="W311" s="324"/>
      <c r="X311" s="324"/>
      <c r="Y311" s="324"/>
      <c r="Z311" s="324"/>
      <c r="AA311" s="324"/>
      <c r="AB311" s="324"/>
      <c r="AC311" s="324"/>
      <c r="AD311" s="324"/>
      <c r="AE311" s="324"/>
      <c r="AF311" s="324"/>
    </row>
    <row r="312" spans="3:32" s="294" customFormat="1">
      <c r="C312" s="10"/>
      <c r="D312" s="29"/>
      <c r="E312" s="29"/>
      <c r="F312" s="36"/>
      <c r="G312" s="324"/>
      <c r="H312" s="324"/>
      <c r="I312" s="324"/>
      <c r="J312" s="324"/>
      <c r="K312" s="324"/>
      <c r="L312" s="324"/>
      <c r="M312" s="324"/>
      <c r="N312" s="324"/>
      <c r="O312" s="324"/>
      <c r="P312" s="324"/>
      <c r="Q312" s="324"/>
      <c r="R312" s="324"/>
      <c r="S312" s="324"/>
      <c r="T312" s="324"/>
      <c r="U312" s="324"/>
      <c r="V312" s="324"/>
      <c r="W312" s="324"/>
      <c r="X312" s="324"/>
      <c r="Y312" s="324"/>
      <c r="Z312" s="324"/>
      <c r="AA312" s="324"/>
      <c r="AB312" s="324"/>
      <c r="AC312" s="324"/>
      <c r="AD312" s="324"/>
      <c r="AE312" s="324"/>
      <c r="AF312" s="324"/>
    </row>
    <row r="313" spans="3:32" s="294" customFormat="1">
      <c r="C313" s="10"/>
      <c r="D313" s="29"/>
      <c r="E313" s="29"/>
      <c r="F313" s="36"/>
      <c r="G313" s="324"/>
      <c r="H313" s="324"/>
      <c r="I313" s="324"/>
      <c r="J313" s="324"/>
      <c r="K313" s="324"/>
      <c r="L313" s="324"/>
      <c r="M313" s="324"/>
      <c r="N313" s="324"/>
      <c r="O313" s="324"/>
      <c r="P313" s="324"/>
      <c r="Q313" s="324"/>
      <c r="R313" s="324"/>
      <c r="S313" s="324"/>
      <c r="T313" s="324"/>
      <c r="U313" s="324"/>
      <c r="V313" s="324"/>
      <c r="W313" s="324"/>
      <c r="X313" s="324"/>
      <c r="Y313" s="324"/>
      <c r="Z313" s="324"/>
      <c r="AA313" s="324"/>
      <c r="AB313" s="324"/>
      <c r="AC313" s="324"/>
      <c r="AD313" s="324"/>
      <c r="AE313" s="324"/>
      <c r="AF313" s="324"/>
    </row>
    <row r="314" spans="3:32" s="294" customFormat="1">
      <c r="C314" s="10"/>
      <c r="D314" s="29"/>
      <c r="E314" s="29"/>
      <c r="F314" s="36"/>
      <c r="G314" s="324"/>
      <c r="H314" s="324"/>
      <c r="I314" s="324"/>
      <c r="J314" s="324"/>
      <c r="K314" s="324"/>
      <c r="L314" s="324"/>
      <c r="M314" s="324"/>
      <c r="N314" s="324"/>
      <c r="O314" s="324"/>
      <c r="P314" s="324"/>
      <c r="Q314" s="324"/>
      <c r="R314" s="324"/>
      <c r="S314" s="324"/>
      <c r="T314" s="324"/>
      <c r="U314" s="324"/>
      <c r="V314" s="324"/>
      <c r="W314" s="324"/>
      <c r="X314" s="324"/>
      <c r="Y314" s="324"/>
      <c r="Z314" s="324"/>
      <c r="AA314" s="324"/>
      <c r="AB314" s="324"/>
      <c r="AC314" s="324"/>
      <c r="AD314" s="324"/>
      <c r="AE314" s="324"/>
      <c r="AF314" s="324"/>
    </row>
    <row r="315" spans="3:32" s="294" customFormat="1">
      <c r="C315" s="10"/>
      <c r="D315" s="29"/>
      <c r="E315" s="29"/>
      <c r="F315" s="36"/>
      <c r="G315" s="324"/>
      <c r="H315" s="324"/>
      <c r="I315" s="324"/>
      <c r="J315" s="324"/>
      <c r="K315" s="324"/>
      <c r="L315" s="324"/>
      <c r="M315" s="324"/>
      <c r="N315" s="324"/>
      <c r="O315" s="324"/>
      <c r="P315" s="324"/>
      <c r="Q315" s="324"/>
      <c r="R315" s="324"/>
      <c r="S315" s="324"/>
      <c r="T315" s="324"/>
      <c r="U315" s="324"/>
      <c r="V315" s="324"/>
      <c r="W315" s="324"/>
      <c r="X315" s="324"/>
      <c r="Y315" s="324"/>
      <c r="Z315" s="324"/>
      <c r="AA315" s="324"/>
      <c r="AB315" s="324"/>
      <c r="AC315" s="324"/>
      <c r="AD315" s="324"/>
      <c r="AE315" s="324"/>
      <c r="AF315" s="324"/>
    </row>
    <row r="316" spans="3:32" s="294" customFormat="1">
      <c r="C316" s="10"/>
      <c r="D316" s="29"/>
      <c r="E316" s="29"/>
      <c r="F316" s="36"/>
      <c r="G316" s="324"/>
      <c r="H316" s="324"/>
      <c r="I316" s="324"/>
      <c r="J316" s="324"/>
      <c r="K316" s="324"/>
      <c r="L316" s="324"/>
      <c r="M316" s="324"/>
      <c r="N316" s="324"/>
      <c r="O316" s="324"/>
      <c r="P316" s="324"/>
      <c r="Q316" s="324"/>
      <c r="R316" s="324"/>
      <c r="S316" s="324"/>
      <c r="T316" s="324"/>
      <c r="U316" s="324"/>
      <c r="V316" s="324"/>
      <c r="W316" s="324"/>
      <c r="X316" s="324"/>
      <c r="Y316" s="324"/>
      <c r="Z316" s="324"/>
      <c r="AA316" s="324"/>
      <c r="AB316" s="324"/>
      <c r="AC316" s="324"/>
      <c r="AD316" s="324"/>
      <c r="AE316" s="324"/>
      <c r="AF316" s="324"/>
    </row>
    <row r="317" spans="3:32" s="294" customFormat="1">
      <c r="C317" s="10"/>
      <c r="D317" s="29"/>
      <c r="E317" s="29"/>
      <c r="F317" s="36"/>
      <c r="G317" s="324"/>
      <c r="H317" s="324"/>
      <c r="I317" s="324"/>
      <c r="J317" s="324"/>
      <c r="K317" s="324"/>
      <c r="L317" s="324"/>
      <c r="M317" s="324"/>
      <c r="N317" s="324"/>
      <c r="O317" s="324"/>
      <c r="P317" s="324"/>
      <c r="Q317" s="324"/>
      <c r="R317" s="324"/>
      <c r="S317" s="324"/>
      <c r="T317" s="324"/>
      <c r="U317" s="324"/>
      <c r="V317" s="324"/>
      <c r="W317" s="324"/>
      <c r="X317" s="324"/>
      <c r="Y317" s="324"/>
      <c r="Z317" s="324"/>
      <c r="AA317" s="324"/>
      <c r="AB317" s="324"/>
      <c r="AC317" s="324"/>
      <c r="AD317" s="324"/>
      <c r="AE317" s="324"/>
      <c r="AF317" s="324"/>
    </row>
    <row r="318" spans="3:32" s="294" customFormat="1">
      <c r="C318" s="10"/>
      <c r="D318" s="29"/>
      <c r="E318" s="29"/>
      <c r="F318" s="36"/>
      <c r="G318" s="324"/>
      <c r="H318" s="324"/>
      <c r="I318" s="324"/>
      <c r="J318" s="324"/>
      <c r="K318" s="324"/>
      <c r="L318" s="324"/>
      <c r="M318" s="324"/>
      <c r="N318" s="324"/>
      <c r="O318" s="324"/>
      <c r="P318" s="324"/>
      <c r="Q318" s="324"/>
      <c r="R318" s="324"/>
      <c r="S318" s="324"/>
      <c r="T318" s="324"/>
      <c r="U318" s="324"/>
      <c r="V318" s="324"/>
      <c r="W318" s="324"/>
      <c r="X318" s="324"/>
      <c r="Y318" s="324"/>
      <c r="Z318" s="324"/>
      <c r="AA318" s="324"/>
      <c r="AB318" s="324"/>
      <c r="AC318" s="324"/>
      <c r="AD318" s="324"/>
      <c r="AE318" s="324"/>
      <c r="AF318" s="324"/>
    </row>
    <row r="319" spans="3:32" s="294" customFormat="1">
      <c r="C319" s="10"/>
      <c r="D319" s="29"/>
      <c r="E319" s="29"/>
      <c r="F319" s="36"/>
      <c r="G319" s="324"/>
      <c r="H319" s="324"/>
      <c r="I319" s="324"/>
      <c r="J319" s="324"/>
      <c r="K319" s="324"/>
      <c r="L319" s="324"/>
      <c r="M319" s="324"/>
      <c r="N319" s="324"/>
      <c r="O319" s="324"/>
      <c r="P319" s="324"/>
      <c r="Q319" s="324"/>
      <c r="R319" s="324"/>
      <c r="S319" s="324"/>
      <c r="T319" s="324"/>
      <c r="U319" s="324"/>
      <c r="V319" s="324"/>
      <c r="W319" s="324"/>
      <c r="X319" s="324"/>
      <c r="Y319" s="324"/>
      <c r="Z319" s="324"/>
      <c r="AA319" s="324"/>
      <c r="AB319" s="324"/>
      <c r="AC319" s="324"/>
      <c r="AD319" s="324"/>
      <c r="AE319" s="324"/>
      <c r="AF319" s="324"/>
    </row>
    <row r="320" spans="3:32" s="294" customFormat="1">
      <c r="C320" s="10"/>
      <c r="D320" s="29"/>
      <c r="E320" s="29"/>
      <c r="F320" s="36"/>
      <c r="G320" s="324"/>
      <c r="H320" s="324"/>
      <c r="I320" s="324"/>
      <c r="J320" s="324"/>
      <c r="K320" s="324"/>
      <c r="L320" s="324"/>
      <c r="M320" s="324"/>
      <c r="N320" s="324"/>
      <c r="O320" s="324"/>
      <c r="P320" s="324"/>
      <c r="Q320" s="324"/>
      <c r="R320" s="324"/>
      <c r="S320" s="324"/>
      <c r="T320" s="324"/>
      <c r="U320" s="324"/>
      <c r="V320" s="324"/>
      <c r="W320" s="324"/>
      <c r="X320" s="324"/>
      <c r="Y320" s="324"/>
      <c r="Z320" s="324"/>
      <c r="AA320" s="324"/>
      <c r="AB320" s="324"/>
      <c r="AC320" s="324"/>
      <c r="AD320" s="324"/>
      <c r="AE320" s="324"/>
      <c r="AF320" s="324"/>
    </row>
    <row r="321" spans="3:32" s="294" customFormat="1">
      <c r="C321" s="10"/>
      <c r="D321" s="29"/>
      <c r="E321" s="29"/>
      <c r="F321" s="36"/>
      <c r="G321" s="324"/>
      <c r="H321" s="324"/>
      <c r="I321" s="324"/>
      <c r="J321" s="324"/>
      <c r="K321" s="324"/>
      <c r="L321" s="324"/>
      <c r="M321" s="324"/>
      <c r="N321" s="324"/>
      <c r="O321" s="324"/>
      <c r="P321" s="324"/>
      <c r="Q321" s="324"/>
      <c r="R321" s="324"/>
      <c r="S321" s="324"/>
      <c r="T321" s="324"/>
      <c r="U321" s="324"/>
      <c r="V321" s="324"/>
      <c r="W321" s="324"/>
      <c r="X321" s="324"/>
      <c r="Y321" s="324"/>
      <c r="Z321" s="324"/>
      <c r="AA321" s="324"/>
      <c r="AB321" s="324"/>
      <c r="AC321" s="324"/>
      <c r="AD321" s="324"/>
      <c r="AE321" s="324"/>
      <c r="AF321" s="324"/>
    </row>
    <row r="322" spans="3:32" s="294" customFormat="1">
      <c r="C322" s="10"/>
      <c r="D322" s="29"/>
      <c r="E322" s="29"/>
      <c r="F322" s="36"/>
      <c r="G322" s="324"/>
      <c r="H322" s="324"/>
      <c r="I322" s="324"/>
      <c r="J322" s="324"/>
      <c r="K322" s="324"/>
      <c r="L322" s="324"/>
      <c r="M322" s="324"/>
      <c r="N322" s="324"/>
      <c r="O322" s="324"/>
      <c r="P322" s="324"/>
      <c r="Q322" s="324"/>
      <c r="R322" s="324"/>
      <c r="S322" s="324"/>
      <c r="T322" s="324"/>
      <c r="U322" s="324"/>
      <c r="V322" s="324"/>
      <c r="W322" s="324"/>
      <c r="X322" s="324"/>
      <c r="Y322" s="324"/>
      <c r="Z322" s="324"/>
      <c r="AA322" s="324"/>
      <c r="AB322" s="324"/>
      <c r="AC322" s="324"/>
      <c r="AD322" s="324"/>
      <c r="AE322" s="324"/>
      <c r="AF322" s="324"/>
    </row>
    <row r="323" spans="3:32" s="294" customFormat="1">
      <c r="C323" s="10"/>
      <c r="D323" s="29"/>
      <c r="E323" s="29"/>
      <c r="F323" s="36"/>
      <c r="G323" s="324"/>
      <c r="H323" s="324"/>
      <c r="I323" s="324"/>
      <c r="J323" s="324"/>
      <c r="K323" s="324"/>
      <c r="L323" s="324"/>
      <c r="M323" s="324"/>
      <c r="N323" s="324"/>
      <c r="O323" s="324"/>
      <c r="P323" s="324"/>
      <c r="Q323" s="324"/>
      <c r="R323" s="324"/>
      <c r="S323" s="324"/>
      <c r="T323" s="324"/>
      <c r="U323" s="324"/>
      <c r="V323" s="324"/>
      <c r="W323" s="324"/>
      <c r="X323" s="324"/>
      <c r="Y323" s="324"/>
      <c r="Z323" s="324"/>
      <c r="AA323" s="324"/>
      <c r="AB323" s="324"/>
      <c r="AC323" s="324"/>
      <c r="AD323" s="324"/>
      <c r="AE323" s="324"/>
      <c r="AF323" s="324"/>
    </row>
    <row r="324" spans="3:32" s="294" customFormat="1">
      <c r="C324" s="10"/>
      <c r="D324" s="29"/>
      <c r="E324" s="29"/>
      <c r="F324" s="36"/>
      <c r="G324" s="324"/>
      <c r="H324" s="324"/>
      <c r="I324" s="324"/>
      <c r="J324" s="324"/>
      <c r="K324" s="324"/>
      <c r="L324" s="324"/>
      <c r="M324" s="324"/>
      <c r="N324" s="324"/>
      <c r="O324" s="324"/>
      <c r="P324" s="324"/>
      <c r="Q324" s="324"/>
      <c r="R324" s="324"/>
      <c r="S324" s="324"/>
      <c r="T324" s="324"/>
      <c r="U324" s="324"/>
      <c r="V324" s="324"/>
      <c r="W324" s="324"/>
      <c r="X324" s="324"/>
      <c r="Y324" s="324"/>
      <c r="Z324" s="324"/>
      <c r="AA324" s="324"/>
      <c r="AB324" s="324"/>
      <c r="AC324" s="324"/>
      <c r="AD324" s="324"/>
      <c r="AE324" s="324"/>
      <c r="AF324" s="324"/>
    </row>
    <row r="325" spans="3:32" s="294" customFormat="1">
      <c r="C325" s="10"/>
      <c r="D325" s="29"/>
      <c r="E325" s="29"/>
      <c r="F325" s="36"/>
      <c r="G325" s="324"/>
      <c r="H325" s="324"/>
      <c r="I325" s="324"/>
      <c r="J325" s="324"/>
      <c r="K325" s="324"/>
      <c r="L325" s="324"/>
      <c r="M325" s="324"/>
      <c r="N325" s="324"/>
      <c r="O325" s="324"/>
      <c r="P325" s="324"/>
      <c r="Q325" s="324"/>
      <c r="R325" s="324"/>
      <c r="S325" s="324"/>
      <c r="T325" s="324"/>
      <c r="U325" s="324"/>
      <c r="V325" s="324"/>
      <c r="W325" s="324"/>
      <c r="X325" s="324"/>
      <c r="Y325" s="324"/>
      <c r="Z325" s="324"/>
      <c r="AA325" s="324"/>
      <c r="AB325" s="324"/>
      <c r="AC325" s="324"/>
      <c r="AD325" s="324"/>
      <c r="AE325" s="324"/>
      <c r="AF325" s="324"/>
    </row>
    <row r="326" spans="3:32" s="294" customFormat="1">
      <c r="C326" s="10"/>
      <c r="D326" s="29"/>
      <c r="E326" s="29"/>
      <c r="F326" s="36"/>
      <c r="G326" s="324"/>
      <c r="H326" s="324"/>
      <c r="I326" s="324"/>
      <c r="J326" s="324"/>
      <c r="K326" s="324"/>
      <c r="L326" s="324"/>
      <c r="M326" s="324"/>
      <c r="N326" s="324"/>
      <c r="O326" s="324"/>
      <c r="P326" s="324"/>
      <c r="Q326" s="324"/>
      <c r="R326" s="324"/>
      <c r="S326" s="324"/>
      <c r="T326" s="324"/>
      <c r="U326" s="324"/>
      <c r="V326" s="324"/>
      <c r="W326" s="324"/>
      <c r="X326" s="324"/>
      <c r="Y326" s="324"/>
      <c r="Z326" s="324"/>
      <c r="AA326" s="324"/>
      <c r="AB326" s="324"/>
      <c r="AC326" s="324"/>
      <c r="AD326" s="324"/>
      <c r="AE326" s="324"/>
      <c r="AF326" s="324"/>
    </row>
    <row r="327" spans="3:32" s="294" customFormat="1">
      <c r="C327" s="10"/>
      <c r="D327" s="29"/>
      <c r="E327" s="29"/>
      <c r="F327" s="36"/>
      <c r="G327" s="324"/>
      <c r="H327" s="324"/>
      <c r="I327" s="324"/>
      <c r="J327" s="324"/>
      <c r="K327" s="324"/>
      <c r="L327" s="324"/>
      <c r="M327" s="324"/>
      <c r="N327" s="324"/>
      <c r="O327" s="324"/>
      <c r="P327" s="324"/>
      <c r="Q327" s="324"/>
      <c r="R327" s="324"/>
      <c r="S327" s="324"/>
      <c r="T327" s="324"/>
      <c r="U327" s="324"/>
      <c r="V327" s="324"/>
      <c r="W327" s="324"/>
      <c r="X327" s="324"/>
      <c r="Y327" s="324"/>
      <c r="Z327" s="324"/>
      <c r="AA327" s="324"/>
      <c r="AB327" s="324"/>
      <c r="AC327" s="324"/>
      <c r="AD327" s="324"/>
      <c r="AE327" s="324"/>
      <c r="AF327" s="324"/>
    </row>
    <row r="328" spans="3:32" s="294" customFormat="1">
      <c r="C328" s="10"/>
      <c r="D328" s="29"/>
      <c r="E328" s="29"/>
      <c r="F328" s="36"/>
      <c r="G328" s="324"/>
      <c r="H328" s="324"/>
      <c r="I328" s="324"/>
      <c r="J328" s="324"/>
      <c r="K328" s="324"/>
      <c r="L328" s="324"/>
      <c r="M328" s="324"/>
      <c r="N328" s="324"/>
      <c r="O328" s="324"/>
      <c r="P328" s="324"/>
      <c r="Q328" s="324"/>
      <c r="R328" s="324"/>
      <c r="S328" s="324"/>
      <c r="T328" s="324"/>
      <c r="U328" s="324"/>
      <c r="V328" s="324"/>
      <c r="W328" s="324"/>
      <c r="X328" s="324"/>
      <c r="Y328" s="324"/>
      <c r="Z328" s="324"/>
      <c r="AA328" s="324"/>
      <c r="AB328" s="324"/>
      <c r="AC328" s="324"/>
      <c r="AD328" s="324"/>
      <c r="AE328" s="324"/>
      <c r="AF328" s="324"/>
    </row>
    <row r="329" spans="3:32" s="294" customFormat="1">
      <c r="C329" s="10"/>
      <c r="D329" s="29"/>
      <c r="E329" s="29"/>
      <c r="F329" s="36"/>
      <c r="G329" s="324"/>
      <c r="H329" s="324"/>
      <c r="I329" s="324"/>
      <c r="J329" s="324"/>
      <c r="K329" s="324"/>
      <c r="L329" s="324"/>
      <c r="M329" s="324"/>
      <c r="N329" s="324"/>
      <c r="O329" s="324"/>
      <c r="P329" s="324"/>
      <c r="Q329" s="324"/>
      <c r="R329" s="324"/>
      <c r="S329" s="324"/>
      <c r="T329" s="324"/>
      <c r="U329" s="324"/>
      <c r="V329" s="324"/>
      <c r="W329" s="324"/>
      <c r="X329" s="324"/>
      <c r="Y329" s="324"/>
      <c r="Z329" s="324"/>
      <c r="AA329" s="324"/>
      <c r="AB329" s="324"/>
      <c r="AC329" s="324"/>
      <c r="AD329" s="324"/>
      <c r="AE329" s="324"/>
      <c r="AF329" s="324"/>
    </row>
    <row r="330" spans="3:32" s="294" customFormat="1">
      <c r="C330" s="10"/>
      <c r="D330" s="29"/>
      <c r="E330" s="29"/>
      <c r="F330" s="36"/>
      <c r="G330" s="324"/>
      <c r="H330" s="324"/>
      <c r="I330" s="324"/>
      <c r="J330" s="324"/>
      <c r="K330" s="324"/>
      <c r="L330" s="324"/>
      <c r="M330" s="324"/>
      <c r="N330" s="324"/>
      <c r="O330" s="324"/>
      <c r="P330" s="324"/>
      <c r="Q330" s="324"/>
      <c r="R330" s="324"/>
      <c r="S330" s="324"/>
      <c r="T330" s="324"/>
      <c r="U330" s="324"/>
      <c r="V330" s="324"/>
      <c r="W330" s="324"/>
      <c r="X330" s="324"/>
      <c r="Y330" s="324"/>
      <c r="Z330" s="324"/>
      <c r="AA330" s="324"/>
      <c r="AB330" s="324"/>
      <c r="AC330" s="324"/>
      <c r="AD330" s="324"/>
      <c r="AE330" s="324"/>
      <c r="AF330" s="324"/>
    </row>
    <row r="331" spans="3:32" s="294" customFormat="1">
      <c r="C331" s="10"/>
      <c r="D331" s="29"/>
      <c r="E331" s="29"/>
      <c r="F331" s="36"/>
      <c r="G331" s="324"/>
      <c r="H331" s="324"/>
      <c r="I331" s="324"/>
      <c r="J331" s="324"/>
      <c r="K331" s="324"/>
      <c r="L331" s="324"/>
      <c r="M331" s="324"/>
      <c r="N331" s="324"/>
      <c r="O331" s="324"/>
      <c r="P331" s="324"/>
      <c r="Q331" s="324"/>
      <c r="R331" s="324"/>
      <c r="S331" s="324"/>
      <c r="T331" s="324"/>
      <c r="U331" s="324"/>
      <c r="V331" s="324"/>
      <c r="W331" s="324"/>
      <c r="X331" s="324"/>
      <c r="Y331" s="324"/>
      <c r="Z331" s="324"/>
      <c r="AA331" s="324"/>
      <c r="AB331" s="324"/>
      <c r="AC331" s="324"/>
      <c r="AD331" s="324"/>
      <c r="AE331" s="324"/>
      <c r="AF331" s="324"/>
    </row>
    <row r="332" spans="3:32" s="294" customFormat="1">
      <c r="C332" s="10"/>
      <c r="D332" s="29"/>
      <c r="E332" s="29"/>
      <c r="F332" s="36"/>
      <c r="G332" s="324"/>
      <c r="H332" s="324"/>
      <c r="I332" s="324"/>
      <c r="J332" s="324"/>
      <c r="K332" s="324"/>
      <c r="L332" s="324"/>
      <c r="M332" s="324"/>
      <c r="N332" s="324"/>
      <c r="O332" s="324"/>
      <c r="P332" s="324"/>
      <c r="Q332" s="324"/>
      <c r="R332" s="324"/>
      <c r="S332" s="324"/>
      <c r="T332" s="324"/>
      <c r="U332" s="324"/>
      <c r="V332" s="324"/>
      <c r="W332" s="324"/>
      <c r="X332" s="324"/>
      <c r="Y332" s="324"/>
      <c r="Z332" s="324"/>
      <c r="AA332" s="324"/>
      <c r="AB332" s="324"/>
      <c r="AC332" s="324"/>
      <c r="AD332" s="324"/>
      <c r="AE332" s="324"/>
      <c r="AF332" s="324"/>
    </row>
    <row r="333" spans="3:32" s="294" customFormat="1">
      <c r="C333" s="10"/>
      <c r="D333" s="29"/>
      <c r="E333" s="29"/>
      <c r="F333" s="36"/>
      <c r="G333" s="324"/>
      <c r="H333" s="324"/>
      <c r="I333" s="324"/>
      <c r="J333" s="324"/>
      <c r="K333" s="324"/>
      <c r="L333" s="324"/>
      <c r="M333" s="324"/>
      <c r="N333" s="324"/>
      <c r="O333" s="324"/>
      <c r="P333" s="324"/>
      <c r="Q333" s="324"/>
      <c r="R333" s="324"/>
      <c r="S333" s="324"/>
      <c r="T333" s="324"/>
      <c r="U333" s="324"/>
      <c r="V333" s="324"/>
      <c r="W333" s="324"/>
      <c r="X333" s="324"/>
      <c r="Y333" s="324"/>
      <c r="Z333" s="324"/>
      <c r="AA333" s="324"/>
      <c r="AB333" s="324"/>
      <c r="AC333" s="324"/>
      <c r="AD333" s="324"/>
      <c r="AE333" s="324"/>
      <c r="AF333" s="324"/>
    </row>
    <row r="334" spans="3:32" s="294" customFormat="1">
      <c r="C334" s="10"/>
      <c r="D334" s="29"/>
      <c r="E334" s="29"/>
      <c r="F334" s="36"/>
      <c r="G334" s="324"/>
      <c r="H334" s="324"/>
      <c r="I334" s="324"/>
      <c r="J334" s="324"/>
      <c r="K334" s="324"/>
      <c r="L334" s="324"/>
      <c r="M334" s="324"/>
      <c r="N334" s="324"/>
      <c r="O334" s="324"/>
      <c r="P334" s="324"/>
      <c r="Q334" s="324"/>
      <c r="R334" s="324"/>
      <c r="S334" s="324"/>
      <c r="T334" s="324"/>
      <c r="U334" s="324"/>
      <c r="V334" s="324"/>
      <c r="W334" s="324"/>
      <c r="X334" s="324"/>
      <c r="Y334" s="324"/>
      <c r="Z334" s="324"/>
      <c r="AA334" s="324"/>
      <c r="AB334" s="324"/>
      <c r="AC334" s="324"/>
      <c r="AD334" s="324"/>
      <c r="AE334" s="324"/>
      <c r="AF334" s="324"/>
    </row>
    <row r="335" spans="3:32" s="294" customFormat="1">
      <c r="C335" s="10"/>
      <c r="D335" s="29"/>
      <c r="E335" s="29"/>
      <c r="F335" s="36"/>
      <c r="G335" s="324"/>
      <c r="H335" s="324"/>
      <c r="I335" s="324"/>
      <c r="J335" s="324"/>
      <c r="K335" s="324"/>
      <c r="L335" s="324"/>
      <c r="M335" s="324"/>
      <c r="N335" s="324"/>
      <c r="O335" s="324"/>
      <c r="P335" s="324"/>
      <c r="Q335" s="324"/>
      <c r="R335" s="324"/>
      <c r="S335" s="324"/>
      <c r="T335" s="324"/>
      <c r="U335" s="324"/>
      <c r="V335" s="324"/>
      <c r="W335" s="324"/>
      <c r="X335" s="324"/>
      <c r="Y335" s="324"/>
      <c r="Z335" s="324"/>
      <c r="AA335" s="324"/>
      <c r="AB335" s="324"/>
      <c r="AC335" s="324"/>
      <c r="AD335" s="324"/>
      <c r="AE335" s="324"/>
      <c r="AF335" s="324"/>
    </row>
    <row r="336" spans="3:32" s="294" customFormat="1">
      <c r="C336" s="10"/>
      <c r="D336" s="29"/>
      <c r="E336" s="29"/>
      <c r="F336" s="36"/>
      <c r="G336" s="324"/>
      <c r="H336" s="324"/>
      <c r="I336" s="324"/>
      <c r="J336" s="324"/>
      <c r="K336" s="324"/>
      <c r="L336" s="324"/>
      <c r="M336" s="324"/>
      <c r="N336" s="324"/>
      <c r="O336" s="324"/>
      <c r="P336" s="324"/>
      <c r="Q336" s="324"/>
      <c r="R336" s="324"/>
      <c r="S336" s="324"/>
      <c r="T336" s="324"/>
      <c r="U336" s="324"/>
      <c r="V336" s="324"/>
      <c r="W336" s="324"/>
      <c r="X336" s="324"/>
      <c r="Y336" s="324"/>
      <c r="Z336" s="324"/>
      <c r="AA336" s="324"/>
      <c r="AB336" s="324"/>
      <c r="AC336" s="324"/>
      <c r="AD336" s="324"/>
      <c r="AE336" s="324"/>
      <c r="AF336" s="324"/>
    </row>
    <row r="337" spans="3:32" s="294" customFormat="1">
      <c r="C337" s="10"/>
      <c r="D337" s="29"/>
      <c r="E337" s="29"/>
      <c r="F337" s="36"/>
      <c r="G337" s="324"/>
      <c r="H337" s="324"/>
      <c r="I337" s="324"/>
      <c r="J337" s="324"/>
      <c r="K337" s="324"/>
      <c r="L337" s="324"/>
      <c r="M337" s="324"/>
      <c r="N337" s="324"/>
      <c r="O337" s="324"/>
      <c r="P337" s="324"/>
      <c r="Q337" s="324"/>
      <c r="R337" s="324"/>
      <c r="S337" s="324"/>
      <c r="T337" s="324"/>
      <c r="U337" s="324"/>
      <c r="V337" s="324"/>
      <c r="W337" s="324"/>
      <c r="X337" s="324"/>
      <c r="Y337" s="324"/>
      <c r="Z337" s="324"/>
      <c r="AA337" s="324"/>
      <c r="AB337" s="324"/>
      <c r="AC337" s="324"/>
      <c r="AD337" s="324"/>
      <c r="AE337" s="324"/>
      <c r="AF337" s="324"/>
    </row>
    <row r="338" spans="3:32" s="294" customFormat="1">
      <c r="C338" s="10"/>
      <c r="D338" s="29"/>
      <c r="E338" s="29"/>
      <c r="F338" s="36"/>
      <c r="G338" s="324"/>
      <c r="H338" s="324"/>
      <c r="I338" s="324"/>
      <c r="J338" s="324"/>
      <c r="K338" s="324"/>
      <c r="L338" s="324"/>
      <c r="M338" s="324"/>
      <c r="N338" s="324"/>
      <c r="O338" s="324"/>
      <c r="P338" s="324"/>
      <c r="Q338" s="324"/>
      <c r="R338" s="324"/>
      <c r="S338" s="324"/>
      <c r="T338" s="324"/>
      <c r="U338" s="324"/>
      <c r="V338" s="324"/>
      <c r="W338" s="324"/>
      <c r="X338" s="324"/>
      <c r="Y338" s="324"/>
      <c r="Z338" s="324"/>
      <c r="AA338" s="324"/>
      <c r="AB338" s="324"/>
      <c r="AC338" s="324"/>
      <c r="AD338" s="324"/>
      <c r="AE338" s="324"/>
      <c r="AF338" s="324"/>
    </row>
    <row r="339" spans="3:32" s="294" customFormat="1">
      <c r="C339" s="10"/>
      <c r="D339" s="29"/>
      <c r="E339" s="29"/>
      <c r="F339" s="36"/>
      <c r="G339" s="324"/>
      <c r="H339" s="324"/>
      <c r="I339" s="324"/>
      <c r="J339" s="324"/>
      <c r="K339" s="324"/>
      <c r="L339" s="324"/>
      <c r="M339" s="324"/>
      <c r="N339" s="324"/>
      <c r="O339" s="324"/>
      <c r="P339" s="324"/>
      <c r="Q339" s="324"/>
      <c r="R339" s="324"/>
      <c r="S339" s="324"/>
      <c r="T339" s="324"/>
      <c r="U339" s="324"/>
      <c r="V339" s="324"/>
      <c r="W339" s="324"/>
      <c r="X339" s="324"/>
      <c r="Y339" s="324"/>
      <c r="Z339" s="324"/>
      <c r="AA339" s="324"/>
      <c r="AB339" s="324"/>
      <c r="AC339" s="324"/>
      <c r="AD339" s="324"/>
      <c r="AE339" s="324"/>
      <c r="AF339" s="324"/>
    </row>
    <row r="340" spans="3:32" s="294" customFormat="1">
      <c r="C340" s="10"/>
      <c r="D340" s="29"/>
      <c r="E340" s="29"/>
      <c r="F340" s="36"/>
      <c r="G340" s="324"/>
      <c r="H340" s="324"/>
      <c r="I340" s="324"/>
      <c r="J340" s="324"/>
      <c r="K340" s="324"/>
      <c r="L340" s="324"/>
      <c r="M340" s="324"/>
      <c r="N340" s="324"/>
      <c r="O340" s="324"/>
      <c r="P340" s="324"/>
      <c r="Q340" s="324"/>
      <c r="R340" s="324"/>
      <c r="S340" s="324"/>
      <c r="T340" s="324"/>
      <c r="U340" s="324"/>
      <c r="V340" s="324"/>
      <c r="W340" s="324"/>
      <c r="X340" s="324"/>
      <c r="Y340" s="324"/>
      <c r="Z340" s="324"/>
      <c r="AA340" s="324"/>
      <c r="AB340" s="324"/>
      <c r="AC340" s="324"/>
      <c r="AD340" s="324"/>
      <c r="AE340" s="324"/>
      <c r="AF340" s="324"/>
    </row>
    <row r="341" spans="3:32" s="294" customFormat="1">
      <c r="C341" s="10"/>
      <c r="D341" s="29"/>
      <c r="E341" s="29"/>
      <c r="F341" s="36"/>
      <c r="G341" s="324"/>
      <c r="H341" s="324"/>
      <c r="I341" s="324"/>
      <c r="J341" s="324"/>
      <c r="K341" s="324"/>
      <c r="L341" s="324"/>
      <c r="M341" s="324"/>
      <c r="N341" s="324"/>
      <c r="O341" s="324"/>
      <c r="P341" s="324"/>
      <c r="Q341" s="324"/>
      <c r="R341" s="324"/>
      <c r="S341" s="324"/>
      <c r="T341" s="324"/>
      <c r="U341" s="324"/>
      <c r="V341" s="324"/>
      <c r="W341" s="324"/>
      <c r="X341" s="324"/>
      <c r="Y341" s="324"/>
      <c r="Z341" s="324"/>
      <c r="AA341" s="324"/>
      <c r="AB341" s="324"/>
      <c r="AC341" s="324"/>
      <c r="AD341" s="324"/>
      <c r="AE341" s="324"/>
      <c r="AF341" s="324"/>
    </row>
    <row r="342" spans="3:32" s="294" customFormat="1">
      <c r="C342" s="10"/>
      <c r="D342" s="29"/>
      <c r="E342" s="29"/>
      <c r="F342" s="36"/>
      <c r="G342" s="324"/>
      <c r="H342" s="324"/>
      <c r="I342" s="324"/>
      <c r="J342" s="324"/>
      <c r="K342" s="324"/>
      <c r="L342" s="324"/>
      <c r="M342" s="324"/>
      <c r="N342" s="324"/>
      <c r="O342" s="324"/>
      <c r="P342" s="324"/>
      <c r="Q342" s="324"/>
      <c r="R342" s="324"/>
      <c r="S342" s="324"/>
      <c r="T342" s="324"/>
      <c r="U342" s="324"/>
      <c r="V342" s="324"/>
      <c r="W342" s="324"/>
      <c r="X342" s="324"/>
      <c r="Y342" s="324"/>
      <c r="Z342" s="324"/>
      <c r="AA342" s="324"/>
      <c r="AB342" s="324"/>
      <c r="AC342" s="324"/>
      <c r="AD342" s="324"/>
      <c r="AE342" s="324"/>
      <c r="AF342" s="324"/>
    </row>
    <row r="343" spans="3:32" s="294" customFormat="1">
      <c r="C343" s="10"/>
      <c r="D343" s="29"/>
      <c r="E343" s="29"/>
      <c r="F343" s="36"/>
      <c r="G343" s="324"/>
      <c r="H343" s="324"/>
      <c r="I343" s="324"/>
      <c r="J343" s="324"/>
      <c r="K343" s="324"/>
      <c r="L343" s="324"/>
      <c r="M343" s="324"/>
      <c r="N343" s="324"/>
      <c r="O343" s="324"/>
      <c r="P343" s="324"/>
      <c r="Q343" s="324"/>
      <c r="R343" s="324"/>
      <c r="S343" s="324"/>
      <c r="T343" s="324"/>
      <c r="U343" s="324"/>
      <c r="V343" s="324"/>
      <c r="W343" s="324"/>
      <c r="X343" s="324"/>
      <c r="Y343" s="324"/>
      <c r="Z343" s="324"/>
      <c r="AA343" s="324"/>
      <c r="AB343" s="324"/>
      <c r="AC343" s="324"/>
      <c r="AD343" s="324"/>
      <c r="AE343" s="324"/>
      <c r="AF343" s="324"/>
    </row>
    <row r="344" spans="3:32" s="294" customFormat="1">
      <c r="C344" s="10"/>
      <c r="D344" s="29"/>
      <c r="E344" s="29"/>
      <c r="F344" s="36"/>
      <c r="G344" s="324"/>
      <c r="H344" s="324"/>
      <c r="I344" s="324"/>
      <c r="J344" s="324"/>
      <c r="K344" s="324"/>
      <c r="L344" s="324"/>
      <c r="M344" s="324"/>
      <c r="N344" s="324"/>
      <c r="O344" s="324"/>
      <c r="P344" s="324"/>
      <c r="Q344" s="324"/>
      <c r="R344" s="324"/>
      <c r="S344" s="324"/>
      <c r="T344" s="324"/>
      <c r="U344" s="324"/>
      <c r="V344" s="324"/>
      <c r="W344" s="324"/>
      <c r="X344" s="324"/>
      <c r="Y344" s="324"/>
      <c r="Z344" s="324"/>
      <c r="AA344" s="324"/>
      <c r="AB344" s="324"/>
      <c r="AC344" s="324"/>
      <c r="AD344" s="324"/>
      <c r="AE344" s="324"/>
      <c r="AF344" s="324"/>
    </row>
    <row r="345" spans="3:32" s="294" customFormat="1">
      <c r="C345" s="10"/>
      <c r="D345" s="29"/>
      <c r="E345" s="29"/>
      <c r="F345" s="36"/>
      <c r="G345" s="324"/>
      <c r="H345" s="324"/>
      <c r="I345" s="324"/>
      <c r="J345" s="324"/>
      <c r="K345" s="324"/>
      <c r="L345" s="324"/>
      <c r="M345" s="324"/>
      <c r="N345" s="324"/>
      <c r="O345" s="324"/>
      <c r="P345" s="324"/>
      <c r="Q345" s="324"/>
      <c r="R345" s="324"/>
      <c r="S345" s="324"/>
      <c r="T345" s="324"/>
      <c r="U345" s="324"/>
      <c r="V345" s="324"/>
      <c r="W345" s="324"/>
      <c r="X345" s="324"/>
      <c r="Y345" s="324"/>
      <c r="Z345" s="324"/>
      <c r="AA345" s="324"/>
      <c r="AB345" s="324"/>
      <c r="AC345" s="324"/>
      <c r="AD345" s="324"/>
      <c r="AE345" s="324"/>
      <c r="AF345" s="324"/>
    </row>
    <row r="346" spans="3:32" s="294" customFormat="1">
      <c r="C346" s="10"/>
      <c r="D346" s="29"/>
      <c r="E346" s="29"/>
      <c r="F346" s="36"/>
      <c r="G346" s="324"/>
      <c r="H346" s="324"/>
      <c r="I346" s="324"/>
      <c r="J346" s="324"/>
      <c r="K346" s="324"/>
      <c r="L346" s="324"/>
      <c r="M346" s="324"/>
      <c r="N346" s="324"/>
      <c r="O346" s="324"/>
      <c r="P346" s="324"/>
      <c r="Q346" s="324"/>
      <c r="R346" s="324"/>
      <c r="S346" s="324"/>
      <c r="T346" s="324"/>
      <c r="U346" s="324"/>
      <c r="V346" s="324"/>
      <c r="W346" s="324"/>
      <c r="X346" s="324"/>
      <c r="Y346" s="324"/>
      <c r="Z346" s="324"/>
      <c r="AA346" s="324"/>
      <c r="AB346" s="324"/>
      <c r="AC346" s="324"/>
      <c r="AD346" s="324"/>
      <c r="AE346" s="324"/>
      <c r="AF346" s="324"/>
    </row>
    <row r="347" spans="3:32" s="294" customFormat="1">
      <c r="C347" s="10"/>
      <c r="D347" s="29"/>
      <c r="E347" s="29"/>
      <c r="F347" s="36"/>
      <c r="G347" s="324"/>
      <c r="H347" s="324"/>
      <c r="I347" s="324"/>
      <c r="J347" s="324"/>
      <c r="K347" s="324"/>
      <c r="L347" s="324"/>
      <c r="M347" s="324"/>
      <c r="N347" s="324"/>
      <c r="O347" s="324"/>
      <c r="P347" s="324"/>
      <c r="Q347" s="324"/>
      <c r="R347" s="324"/>
      <c r="S347" s="324"/>
      <c r="T347" s="324"/>
      <c r="U347" s="324"/>
      <c r="V347" s="324"/>
      <c r="W347" s="324"/>
      <c r="X347" s="324"/>
      <c r="Y347" s="324"/>
      <c r="Z347" s="324"/>
      <c r="AA347" s="324"/>
      <c r="AB347" s="324"/>
      <c r="AC347" s="324"/>
      <c r="AD347" s="324"/>
      <c r="AE347" s="324"/>
      <c r="AF347" s="324"/>
    </row>
    <row r="348" spans="3:32" s="294" customFormat="1">
      <c r="C348" s="10"/>
      <c r="D348" s="29"/>
      <c r="E348" s="29"/>
      <c r="F348" s="36"/>
      <c r="G348" s="324"/>
      <c r="H348" s="324"/>
      <c r="I348" s="324"/>
      <c r="J348" s="324"/>
      <c r="K348" s="324"/>
      <c r="L348" s="324"/>
      <c r="M348" s="324"/>
      <c r="N348" s="324"/>
      <c r="O348" s="324"/>
      <c r="P348" s="324"/>
      <c r="Q348" s="324"/>
      <c r="R348" s="324"/>
      <c r="S348" s="324"/>
      <c r="T348" s="324"/>
      <c r="U348" s="324"/>
      <c r="V348" s="324"/>
      <c r="W348" s="324"/>
      <c r="X348" s="324"/>
      <c r="Y348" s="324"/>
      <c r="Z348" s="324"/>
      <c r="AA348" s="324"/>
      <c r="AB348" s="324"/>
      <c r="AC348" s="324"/>
      <c r="AD348" s="324"/>
      <c r="AE348" s="324"/>
      <c r="AF348" s="324"/>
    </row>
    <row r="349" spans="3:32" s="294" customFormat="1">
      <c r="C349" s="10"/>
      <c r="D349" s="29"/>
      <c r="E349" s="29"/>
      <c r="F349" s="36"/>
      <c r="G349" s="324"/>
      <c r="H349" s="324"/>
      <c r="I349" s="324"/>
      <c r="J349" s="324"/>
      <c r="K349" s="324"/>
      <c r="L349" s="324"/>
      <c r="M349" s="324"/>
      <c r="N349" s="324"/>
      <c r="O349" s="324"/>
      <c r="P349" s="324"/>
      <c r="Q349" s="324"/>
      <c r="R349" s="324"/>
      <c r="S349" s="324"/>
      <c r="T349" s="324"/>
      <c r="U349" s="324"/>
      <c r="V349" s="324"/>
      <c r="W349" s="324"/>
      <c r="X349" s="324"/>
      <c r="Y349" s="324"/>
      <c r="Z349" s="324"/>
      <c r="AA349" s="324"/>
      <c r="AB349" s="324"/>
      <c r="AC349" s="324"/>
      <c r="AD349" s="324"/>
      <c r="AE349" s="324"/>
      <c r="AF349" s="324"/>
    </row>
    <row r="350" spans="3:32" s="294" customFormat="1">
      <c r="C350" s="10"/>
      <c r="D350" s="29"/>
      <c r="E350" s="29"/>
      <c r="F350" s="36"/>
      <c r="G350" s="324"/>
      <c r="H350" s="324"/>
      <c r="I350" s="324"/>
      <c r="J350" s="324"/>
      <c r="K350" s="324"/>
      <c r="L350" s="324"/>
      <c r="M350" s="324"/>
      <c r="N350" s="324"/>
      <c r="O350" s="324"/>
      <c r="P350" s="324"/>
      <c r="Q350" s="324"/>
      <c r="R350" s="324"/>
      <c r="S350" s="324"/>
      <c r="T350" s="324"/>
      <c r="U350" s="324"/>
      <c r="V350" s="324"/>
      <c r="W350" s="324"/>
      <c r="X350" s="324"/>
      <c r="Y350" s="324"/>
      <c r="Z350" s="324"/>
      <c r="AA350" s="324"/>
      <c r="AB350" s="324"/>
      <c r="AC350" s="324"/>
      <c r="AD350" s="324"/>
      <c r="AE350" s="324"/>
      <c r="AF350" s="324"/>
    </row>
    <row r="351" spans="3:32" s="294" customFormat="1">
      <c r="C351" s="10"/>
      <c r="D351" s="29"/>
      <c r="E351" s="29"/>
      <c r="F351" s="36"/>
      <c r="G351" s="324"/>
      <c r="H351" s="324"/>
      <c r="I351" s="324"/>
      <c r="J351" s="324"/>
      <c r="K351" s="324"/>
      <c r="L351" s="324"/>
      <c r="M351" s="324"/>
      <c r="N351" s="324"/>
      <c r="O351" s="324"/>
      <c r="P351" s="324"/>
      <c r="Q351" s="324"/>
      <c r="R351" s="324"/>
      <c r="S351" s="324"/>
      <c r="T351" s="324"/>
      <c r="U351" s="324"/>
      <c r="V351" s="324"/>
      <c r="W351" s="324"/>
      <c r="X351" s="324"/>
      <c r="Y351" s="324"/>
      <c r="Z351" s="324"/>
      <c r="AA351" s="324"/>
      <c r="AB351" s="324"/>
      <c r="AC351" s="324"/>
      <c r="AD351" s="324"/>
      <c r="AE351" s="324"/>
      <c r="AF351" s="324"/>
    </row>
    <row r="352" spans="3:32" s="294" customFormat="1">
      <c r="C352" s="10"/>
      <c r="D352" s="29"/>
      <c r="E352" s="29"/>
      <c r="F352" s="36"/>
      <c r="G352" s="324"/>
      <c r="H352" s="324"/>
      <c r="I352" s="324"/>
      <c r="J352" s="324"/>
      <c r="K352" s="324"/>
      <c r="L352" s="324"/>
      <c r="M352" s="324"/>
      <c r="N352" s="324"/>
      <c r="O352" s="324"/>
      <c r="P352" s="324"/>
      <c r="Q352" s="324"/>
      <c r="R352" s="324"/>
      <c r="S352" s="324"/>
      <c r="T352" s="324"/>
      <c r="U352" s="324"/>
      <c r="V352" s="324"/>
      <c r="W352" s="324"/>
      <c r="X352" s="324"/>
      <c r="Y352" s="324"/>
      <c r="Z352" s="324"/>
      <c r="AA352" s="324"/>
      <c r="AB352" s="324"/>
      <c r="AC352" s="324"/>
      <c r="AD352" s="324"/>
      <c r="AE352" s="324"/>
      <c r="AF352" s="324"/>
    </row>
    <row r="353" spans="3:32" s="294" customFormat="1">
      <c r="C353" s="10"/>
      <c r="D353" s="29"/>
      <c r="E353" s="29"/>
      <c r="F353" s="36"/>
      <c r="G353" s="324"/>
      <c r="H353" s="324"/>
      <c r="I353" s="324"/>
      <c r="J353" s="324"/>
      <c r="K353" s="324"/>
      <c r="L353" s="324"/>
      <c r="M353" s="324"/>
      <c r="N353" s="324"/>
      <c r="O353" s="324"/>
      <c r="P353" s="324"/>
      <c r="Q353" s="324"/>
      <c r="R353" s="324"/>
      <c r="S353" s="324"/>
      <c r="T353" s="324"/>
      <c r="U353" s="324"/>
      <c r="V353" s="324"/>
      <c r="W353" s="324"/>
      <c r="X353" s="324"/>
      <c r="Y353" s="324"/>
      <c r="Z353" s="324"/>
      <c r="AA353" s="324"/>
      <c r="AB353" s="324"/>
      <c r="AC353" s="324"/>
      <c r="AD353" s="324"/>
      <c r="AE353" s="324"/>
      <c r="AF353" s="324"/>
    </row>
    <row r="354" spans="3:32" s="294" customFormat="1">
      <c r="C354" s="10"/>
      <c r="D354" s="29"/>
      <c r="E354" s="29"/>
      <c r="F354" s="36"/>
      <c r="G354" s="324"/>
      <c r="H354" s="324"/>
      <c r="I354" s="324"/>
      <c r="J354" s="324"/>
      <c r="K354" s="324"/>
      <c r="L354" s="324"/>
      <c r="M354" s="324"/>
      <c r="N354" s="324"/>
      <c r="O354" s="324"/>
      <c r="P354" s="324"/>
      <c r="Q354" s="324"/>
      <c r="R354" s="324"/>
      <c r="S354" s="324"/>
      <c r="T354" s="324"/>
      <c r="U354" s="324"/>
      <c r="V354" s="324"/>
      <c r="W354" s="324"/>
      <c r="X354" s="324"/>
      <c r="Y354" s="324"/>
      <c r="Z354" s="324"/>
      <c r="AA354" s="324"/>
      <c r="AB354" s="324"/>
      <c r="AC354" s="324"/>
      <c r="AD354" s="324"/>
      <c r="AE354" s="324"/>
      <c r="AF354" s="324"/>
    </row>
    <row r="355" spans="3:32" s="294" customFormat="1">
      <c r="C355" s="10"/>
      <c r="D355" s="29"/>
      <c r="E355" s="29"/>
      <c r="F355" s="36"/>
      <c r="G355" s="324"/>
      <c r="H355" s="324"/>
      <c r="I355" s="324"/>
      <c r="J355" s="324"/>
      <c r="K355" s="324"/>
      <c r="L355" s="324"/>
      <c r="M355" s="324"/>
      <c r="N355" s="324"/>
      <c r="O355" s="324"/>
      <c r="P355" s="324"/>
      <c r="Q355" s="324"/>
      <c r="R355" s="324"/>
      <c r="S355" s="324"/>
      <c r="T355" s="324"/>
      <c r="U355" s="324"/>
      <c r="V355" s="324"/>
      <c r="W355" s="324"/>
      <c r="X355" s="324"/>
      <c r="Y355" s="324"/>
      <c r="Z355" s="324"/>
      <c r="AA355" s="324"/>
      <c r="AB355" s="324"/>
      <c r="AC355" s="324"/>
      <c r="AD355" s="324"/>
      <c r="AE355" s="324"/>
      <c r="AF355" s="324"/>
    </row>
    <row r="356" spans="3:32" s="294" customFormat="1">
      <c r="C356" s="10"/>
      <c r="D356" s="29"/>
      <c r="E356" s="29"/>
      <c r="F356" s="36"/>
      <c r="G356" s="324"/>
      <c r="H356" s="324"/>
      <c r="I356" s="324"/>
      <c r="J356" s="324"/>
      <c r="K356" s="324"/>
      <c r="L356" s="324"/>
      <c r="M356" s="324"/>
      <c r="N356" s="324"/>
      <c r="O356" s="324"/>
      <c r="P356" s="324"/>
      <c r="Q356" s="324"/>
      <c r="R356" s="324"/>
      <c r="S356" s="324"/>
      <c r="T356" s="324"/>
      <c r="U356" s="324"/>
      <c r="V356" s="324"/>
      <c r="W356" s="324"/>
      <c r="X356" s="324"/>
      <c r="Y356" s="324"/>
      <c r="Z356" s="324"/>
      <c r="AA356" s="324"/>
      <c r="AB356" s="324"/>
      <c r="AC356" s="324"/>
      <c r="AD356" s="324"/>
      <c r="AE356" s="324"/>
      <c r="AF356" s="324"/>
    </row>
    <row r="357" spans="3:32" s="294" customFormat="1">
      <c r="C357" s="10"/>
      <c r="D357" s="29"/>
      <c r="E357" s="29"/>
      <c r="F357" s="36"/>
      <c r="G357" s="324"/>
      <c r="H357" s="324"/>
      <c r="I357" s="324"/>
      <c r="J357" s="324"/>
      <c r="K357" s="324"/>
      <c r="L357" s="324"/>
      <c r="M357" s="324"/>
      <c r="N357" s="324"/>
      <c r="O357" s="324"/>
      <c r="P357" s="324"/>
      <c r="Q357" s="324"/>
      <c r="R357" s="324"/>
      <c r="S357" s="324"/>
      <c r="T357" s="324"/>
      <c r="U357" s="324"/>
      <c r="V357" s="324"/>
      <c r="W357" s="324"/>
      <c r="X357" s="324"/>
      <c r="Y357" s="324"/>
      <c r="Z357" s="324"/>
      <c r="AA357" s="324"/>
      <c r="AB357" s="324"/>
      <c r="AC357" s="324"/>
      <c r="AD357" s="324"/>
      <c r="AE357" s="324"/>
      <c r="AF357" s="324"/>
    </row>
    <row r="358" spans="3:32" s="294" customFormat="1">
      <c r="C358" s="10"/>
      <c r="D358" s="29"/>
      <c r="E358" s="29"/>
      <c r="F358" s="36"/>
      <c r="G358" s="324"/>
      <c r="H358" s="324"/>
      <c r="I358" s="324"/>
      <c r="J358" s="324"/>
      <c r="K358" s="324"/>
      <c r="L358" s="324"/>
      <c r="M358" s="324"/>
      <c r="N358" s="324"/>
      <c r="O358" s="324"/>
      <c r="P358" s="324"/>
      <c r="Q358" s="324"/>
      <c r="R358" s="324"/>
      <c r="S358" s="324"/>
      <c r="T358" s="324"/>
      <c r="U358" s="324"/>
      <c r="V358" s="324"/>
      <c r="W358" s="324"/>
      <c r="X358" s="324"/>
      <c r="Y358" s="324"/>
      <c r="Z358" s="324"/>
      <c r="AA358" s="324"/>
      <c r="AB358" s="324"/>
      <c r="AC358" s="324"/>
      <c r="AD358" s="324"/>
      <c r="AE358" s="324"/>
      <c r="AF358" s="324"/>
    </row>
    <row r="359" spans="3:32" s="294" customFormat="1">
      <c r="C359" s="10"/>
      <c r="D359" s="29"/>
      <c r="E359" s="29"/>
      <c r="F359" s="36"/>
      <c r="G359" s="324"/>
      <c r="H359" s="324"/>
      <c r="I359" s="324"/>
      <c r="J359" s="324"/>
      <c r="K359" s="324"/>
      <c r="L359" s="324"/>
      <c r="M359" s="324"/>
      <c r="N359" s="324"/>
      <c r="O359" s="324"/>
      <c r="P359" s="324"/>
      <c r="Q359" s="324"/>
      <c r="R359" s="324"/>
      <c r="S359" s="324"/>
      <c r="T359" s="324"/>
      <c r="U359" s="324"/>
      <c r="V359" s="324"/>
      <c r="W359" s="324"/>
      <c r="X359" s="324"/>
      <c r="Y359" s="324"/>
      <c r="Z359" s="324"/>
      <c r="AA359" s="324"/>
      <c r="AB359" s="324"/>
      <c r="AC359" s="324"/>
      <c r="AD359" s="324"/>
      <c r="AE359" s="324"/>
      <c r="AF359" s="324"/>
    </row>
    <row r="360" spans="3:32" s="294" customFormat="1">
      <c r="C360" s="10"/>
      <c r="D360" s="29"/>
      <c r="E360" s="29"/>
      <c r="F360" s="36"/>
      <c r="G360" s="324"/>
      <c r="H360" s="324"/>
      <c r="I360" s="324"/>
      <c r="J360" s="324"/>
      <c r="K360" s="324"/>
      <c r="L360" s="324"/>
      <c r="M360" s="324"/>
      <c r="N360" s="324"/>
      <c r="O360" s="324"/>
      <c r="P360" s="324"/>
      <c r="Q360" s="324"/>
      <c r="R360" s="324"/>
      <c r="S360" s="324"/>
      <c r="T360" s="324"/>
      <c r="U360" s="324"/>
      <c r="V360" s="324"/>
      <c r="W360" s="324"/>
      <c r="X360" s="324"/>
      <c r="Y360" s="324"/>
      <c r="Z360" s="324"/>
      <c r="AA360" s="324"/>
      <c r="AB360" s="324"/>
      <c r="AC360" s="324"/>
      <c r="AD360" s="324"/>
      <c r="AE360" s="324"/>
      <c r="AF360" s="324"/>
    </row>
    <row r="361" spans="3:32" s="294" customFormat="1">
      <c r="C361" s="10"/>
      <c r="D361" s="29"/>
      <c r="E361" s="29"/>
      <c r="F361" s="36"/>
      <c r="G361" s="324"/>
      <c r="H361" s="324"/>
      <c r="I361" s="324"/>
      <c r="J361" s="324"/>
      <c r="K361" s="324"/>
      <c r="L361" s="324"/>
      <c r="M361" s="324"/>
      <c r="N361" s="324"/>
      <c r="O361" s="324"/>
      <c r="P361" s="324"/>
      <c r="Q361" s="324"/>
      <c r="R361" s="324"/>
      <c r="S361" s="324"/>
      <c r="T361" s="324"/>
      <c r="U361" s="324"/>
      <c r="V361" s="324"/>
      <c r="W361" s="324"/>
      <c r="X361" s="324"/>
      <c r="Y361" s="324"/>
      <c r="Z361" s="324"/>
      <c r="AA361" s="324"/>
      <c r="AB361" s="324"/>
      <c r="AC361" s="324"/>
      <c r="AD361" s="324"/>
      <c r="AE361" s="324"/>
      <c r="AF361" s="324"/>
    </row>
    <row r="362" spans="3:32" s="294" customFormat="1">
      <c r="C362" s="10"/>
      <c r="D362" s="29"/>
      <c r="E362" s="29"/>
      <c r="F362" s="36"/>
      <c r="G362" s="324"/>
      <c r="H362" s="324"/>
      <c r="I362" s="324"/>
      <c r="J362" s="324"/>
      <c r="K362" s="324"/>
      <c r="L362" s="324"/>
      <c r="M362" s="324"/>
      <c r="N362" s="324"/>
      <c r="O362" s="324"/>
      <c r="P362" s="324"/>
      <c r="Q362" s="324"/>
      <c r="R362" s="324"/>
      <c r="S362" s="324"/>
      <c r="T362" s="324"/>
      <c r="U362" s="324"/>
      <c r="V362" s="324"/>
      <c r="W362" s="324"/>
      <c r="X362" s="324"/>
      <c r="Y362" s="324"/>
      <c r="Z362" s="324"/>
      <c r="AA362" s="324"/>
      <c r="AB362" s="324"/>
      <c r="AC362" s="324"/>
      <c r="AD362" s="324"/>
      <c r="AE362" s="324"/>
      <c r="AF362" s="324"/>
    </row>
    <row r="363" spans="3:32" s="294" customFormat="1">
      <c r="C363" s="10"/>
      <c r="D363" s="29"/>
      <c r="E363" s="29"/>
      <c r="F363" s="36"/>
      <c r="G363" s="324"/>
      <c r="H363" s="324"/>
      <c r="I363" s="324"/>
      <c r="J363" s="324"/>
      <c r="K363" s="324"/>
      <c r="L363" s="324"/>
      <c r="M363" s="324"/>
      <c r="N363" s="324"/>
      <c r="O363" s="324"/>
      <c r="P363" s="324"/>
      <c r="Q363" s="324"/>
      <c r="R363" s="324"/>
      <c r="S363" s="324"/>
      <c r="T363" s="324"/>
      <c r="U363" s="324"/>
      <c r="V363" s="324"/>
      <c r="W363" s="324"/>
      <c r="X363" s="324"/>
      <c r="Y363" s="324"/>
      <c r="Z363" s="324"/>
      <c r="AA363" s="324"/>
      <c r="AB363" s="324"/>
      <c r="AC363" s="324"/>
      <c r="AD363" s="324"/>
      <c r="AE363" s="324"/>
      <c r="AF363" s="324"/>
    </row>
    <row r="364" spans="3:32" s="294" customFormat="1">
      <c r="C364" s="10"/>
      <c r="D364" s="29"/>
      <c r="E364" s="29"/>
      <c r="F364" s="36"/>
      <c r="G364" s="324"/>
      <c r="H364" s="324"/>
      <c r="I364" s="324"/>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c r="AF364" s="324"/>
    </row>
    <row r="365" spans="3:32" s="294" customFormat="1">
      <c r="C365" s="10"/>
      <c r="D365" s="29"/>
      <c r="E365" s="29"/>
      <c r="F365" s="36"/>
      <c r="G365" s="324"/>
      <c r="H365" s="324"/>
      <c r="I365" s="324"/>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c r="AF365" s="324"/>
    </row>
    <row r="366" spans="3:32" s="294" customFormat="1">
      <c r="C366" s="10"/>
      <c r="D366" s="29"/>
      <c r="E366" s="29"/>
      <c r="F366" s="36"/>
      <c r="G366" s="324"/>
      <c r="H366" s="324"/>
      <c r="I366" s="324"/>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c r="AF366" s="324"/>
    </row>
    <row r="367" spans="3:32" s="294" customFormat="1">
      <c r="C367" s="10"/>
      <c r="D367" s="29"/>
      <c r="E367" s="29"/>
      <c r="F367" s="36"/>
      <c r="G367" s="324"/>
      <c r="H367" s="324"/>
      <c r="I367" s="324"/>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c r="AF367" s="324"/>
    </row>
    <row r="368" spans="3:32" s="294" customFormat="1">
      <c r="C368" s="10"/>
      <c r="D368" s="29"/>
      <c r="E368" s="29"/>
      <c r="F368" s="36"/>
      <c r="G368" s="324"/>
      <c r="H368" s="324"/>
      <c r="I368" s="324"/>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c r="AF368" s="324"/>
    </row>
    <row r="369" spans="3:32" s="294" customFormat="1">
      <c r="C369" s="10"/>
      <c r="D369" s="29"/>
      <c r="E369" s="29"/>
      <c r="F369" s="36"/>
      <c r="G369" s="324"/>
      <c r="H369" s="324"/>
      <c r="I369" s="324"/>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c r="AF369" s="324"/>
    </row>
    <row r="370" spans="3:32" s="294" customFormat="1">
      <c r="C370" s="10"/>
      <c r="D370" s="29"/>
      <c r="E370" s="29"/>
      <c r="F370" s="36"/>
      <c r="G370" s="324"/>
      <c r="H370" s="324"/>
      <c r="I370" s="324"/>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c r="AF370" s="324"/>
    </row>
    <row r="371" spans="3:32" s="294" customFormat="1">
      <c r="C371" s="10"/>
      <c r="D371" s="29"/>
      <c r="E371" s="29"/>
      <c r="F371" s="36"/>
      <c r="G371" s="324"/>
      <c r="H371" s="324"/>
      <c r="I371" s="324"/>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c r="AF371" s="324"/>
    </row>
    <row r="372" spans="3:32" s="294" customFormat="1">
      <c r="C372" s="10"/>
      <c r="D372" s="29"/>
      <c r="E372" s="29"/>
      <c r="F372" s="36"/>
      <c r="G372" s="324"/>
      <c r="H372" s="324"/>
      <c r="I372" s="324"/>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c r="AF372" s="324"/>
    </row>
    <row r="373" spans="3:32" s="294" customFormat="1">
      <c r="C373" s="10"/>
      <c r="D373" s="29"/>
      <c r="E373" s="29"/>
      <c r="F373" s="36"/>
      <c r="G373" s="324"/>
      <c r="H373" s="324"/>
      <c r="I373" s="324"/>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c r="AF373" s="324"/>
    </row>
    <row r="374" spans="3:32" s="294" customFormat="1">
      <c r="C374" s="10"/>
      <c r="D374" s="29"/>
      <c r="E374" s="29"/>
      <c r="F374" s="36"/>
      <c r="G374" s="324"/>
      <c r="H374" s="324"/>
      <c r="I374" s="324"/>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c r="AF374" s="324"/>
    </row>
    <row r="375" spans="3:32" s="294" customFormat="1">
      <c r="C375" s="10"/>
      <c r="D375" s="29"/>
      <c r="E375" s="29"/>
      <c r="F375" s="36"/>
      <c r="G375" s="324"/>
      <c r="H375" s="324"/>
      <c r="I375" s="324"/>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c r="AF375" s="324"/>
    </row>
    <row r="376" spans="3:32" s="294" customFormat="1">
      <c r="C376" s="10"/>
      <c r="D376" s="29"/>
      <c r="E376" s="29"/>
      <c r="F376" s="36"/>
      <c r="G376" s="324"/>
      <c r="H376" s="324"/>
      <c r="I376" s="324"/>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c r="AF376" s="324"/>
    </row>
    <row r="377" spans="3:32" s="294" customFormat="1">
      <c r="C377" s="10"/>
      <c r="D377" s="29"/>
      <c r="E377" s="29"/>
      <c r="F377" s="36"/>
      <c r="G377" s="324"/>
      <c r="H377" s="324"/>
      <c r="I377" s="324"/>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c r="AF377" s="324"/>
    </row>
    <row r="378" spans="3:32" s="294" customFormat="1">
      <c r="C378" s="10"/>
      <c r="D378" s="29"/>
      <c r="E378" s="29"/>
      <c r="F378" s="36"/>
      <c r="G378" s="324"/>
      <c r="H378" s="324"/>
      <c r="I378" s="324"/>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c r="AF378" s="324"/>
    </row>
    <row r="379" spans="3:32" s="294" customFormat="1">
      <c r="C379" s="10"/>
      <c r="D379" s="29"/>
      <c r="E379" s="29"/>
      <c r="F379" s="36"/>
      <c r="G379" s="324"/>
      <c r="H379" s="324"/>
      <c r="I379" s="324"/>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c r="AF379" s="324"/>
    </row>
    <row r="380" spans="3:32" s="294" customFormat="1">
      <c r="C380" s="10"/>
      <c r="D380" s="29"/>
      <c r="E380" s="29"/>
      <c r="F380" s="36"/>
      <c r="G380" s="324"/>
      <c r="H380" s="324"/>
      <c r="I380" s="324"/>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c r="AF380" s="324"/>
    </row>
    <row r="381" spans="3:32" s="294" customFormat="1">
      <c r="C381" s="10"/>
      <c r="D381" s="29"/>
      <c r="E381" s="29"/>
      <c r="F381" s="36"/>
      <c r="G381" s="324"/>
      <c r="H381" s="324"/>
      <c r="I381" s="324"/>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c r="AF381" s="324"/>
    </row>
    <row r="382" spans="3:32" s="294" customFormat="1">
      <c r="C382" s="10"/>
      <c r="D382" s="29"/>
      <c r="E382" s="29"/>
      <c r="F382" s="36"/>
      <c r="G382" s="324"/>
      <c r="H382" s="324"/>
      <c r="I382" s="324"/>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c r="AF382" s="324"/>
    </row>
    <row r="383" spans="3:32" s="294" customFormat="1">
      <c r="C383" s="10"/>
      <c r="D383" s="29"/>
      <c r="E383" s="29"/>
      <c r="F383" s="36"/>
      <c r="G383" s="324"/>
      <c r="H383" s="324"/>
      <c r="I383" s="324"/>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c r="AF383" s="324"/>
    </row>
    <row r="384" spans="3:32" s="294" customFormat="1">
      <c r="C384" s="10"/>
      <c r="D384" s="29"/>
      <c r="E384" s="29"/>
      <c r="F384" s="36"/>
      <c r="G384" s="324"/>
      <c r="H384" s="324"/>
      <c r="I384" s="324"/>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c r="AF384" s="324"/>
    </row>
    <row r="385" spans="3:32" s="294" customFormat="1">
      <c r="C385" s="10"/>
      <c r="D385" s="29"/>
      <c r="E385" s="29"/>
      <c r="F385" s="36"/>
      <c r="G385" s="324"/>
      <c r="H385" s="324"/>
      <c r="I385" s="324"/>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c r="AF385" s="324"/>
    </row>
    <row r="386" spans="3:32" s="294" customFormat="1">
      <c r="C386" s="10"/>
      <c r="D386" s="29"/>
      <c r="E386" s="29"/>
      <c r="F386" s="36"/>
      <c r="G386" s="324"/>
      <c r="H386" s="324"/>
      <c r="I386" s="324"/>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c r="AF386" s="324"/>
    </row>
    <row r="387" spans="3:32" s="294" customFormat="1">
      <c r="C387" s="10"/>
      <c r="D387" s="29"/>
      <c r="E387" s="29"/>
      <c r="F387" s="36"/>
      <c r="G387" s="324"/>
      <c r="H387" s="324"/>
      <c r="I387" s="324"/>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c r="AF387" s="324"/>
    </row>
    <row r="388" spans="3:32" s="294" customFormat="1">
      <c r="C388" s="10"/>
      <c r="D388" s="29"/>
      <c r="E388" s="29"/>
      <c r="F388" s="36"/>
      <c r="G388" s="324"/>
      <c r="H388" s="324"/>
      <c r="I388" s="324"/>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c r="AF388" s="324"/>
    </row>
    <row r="389" spans="3:32" s="294" customFormat="1">
      <c r="C389" s="10"/>
      <c r="D389" s="29"/>
      <c r="E389" s="29"/>
      <c r="F389" s="36"/>
      <c r="G389" s="324"/>
      <c r="H389" s="324"/>
      <c r="I389" s="324"/>
      <c r="J389" s="324"/>
      <c r="K389" s="324"/>
      <c r="L389" s="324"/>
      <c r="M389" s="324"/>
      <c r="N389" s="324"/>
      <c r="O389" s="324"/>
      <c r="P389" s="324"/>
      <c r="Q389" s="324"/>
      <c r="R389" s="324"/>
      <c r="S389" s="324"/>
      <c r="T389" s="324"/>
      <c r="U389" s="324"/>
      <c r="V389" s="324"/>
      <c r="W389" s="324"/>
      <c r="X389" s="324"/>
      <c r="Y389" s="324"/>
      <c r="Z389" s="324"/>
      <c r="AA389" s="324"/>
      <c r="AB389" s="324"/>
      <c r="AC389" s="324"/>
      <c r="AD389" s="324"/>
      <c r="AE389" s="324"/>
      <c r="AF389" s="324"/>
    </row>
    <row r="390" spans="3:32" s="294" customFormat="1">
      <c r="C390" s="10"/>
      <c r="D390" s="29"/>
      <c r="E390" s="29"/>
      <c r="F390" s="36"/>
      <c r="G390" s="324"/>
      <c r="H390" s="324"/>
      <c r="I390" s="324"/>
      <c r="J390" s="324"/>
      <c r="K390" s="324"/>
      <c r="L390" s="324"/>
      <c r="M390" s="324"/>
      <c r="N390" s="324"/>
      <c r="O390" s="324"/>
      <c r="P390" s="324"/>
      <c r="Q390" s="324"/>
      <c r="R390" s="324"/>
      <c r="S390" s="324"/>
      <c r="T390" s="324"/>
      <c r="U390" s="324"/>
      <c r="V390" s="324"/>
      <c r="W390" s="324"/>
      <c r="X390" s="324"/>
      <c r="Y390" s="324"/>
      <c r="Z390" s="324"/>
      <c r="AA390" s="324"/>
      <c r="AB390" s="324"/>
      <c r="AC390" s="324"/>
      <c r="AD390" s="324"/>
      <c r="AE390" s="324"/>
      <c r="AF390" s="324"/>
    </row>
    <row r="391" spans="3:32" s="294" customFormat="1">
      <c r="C391" s="10"/>
      <c r="D391" s="29"/>
      <c r="E391" s="29"/>
      <c r="F391" s="36"/>
      <c r="G391" s="324"/>
      <c r="H391" s="324"/>
      <c r="I391" s="324"/>
      <c r="J391" s="324"/>
      <c r="K391" s="324"/>
      <c r="L391" s="324"/>
      <c r="M391" s="324"/>
      <c r="N391" s="324"/>
      <c r="O391" s="324"/>
      <c r="P391" s="324"/>
      <c r="Q391" s="324"/>
      <c r="R391" s="324"/>
      <c r="S391" s="324"/>
      <c r="T391" s="324"/>
      <c r="U391" s="324"/>
      <c r="V391" s="324"/>
      <c r="W391" s="324"/>
      <c r="X391" s="324"/>
      <c r="Y391" s="324"/>
      <c r="Z391" s="324"/>
      <c r="AA391" s="324"/>
      <c r="AB391" s="324"/>
      <c r="AC391" s="324"/>
      <c r="AD391" s="324"/>
      <c r="AE391" s="324"/>
      <c r="AF391" s="324"/>
    </row>
    <row r="392" spans="3:32" s="294" customFormat="1">
      <c r="C392" s="10"/>
      <c r="D392" s="29"/>
      <c r="E392" s="29"/>
      <c r="F392" s="36"/>
      <c r="G392" s="324"/>
      <c r="H392" s="324"/>
      <c r="I392" s="324"/>
      <c r="J392" s="324"/>
      <c r="K392" s="324"/>
      <c r="L392" s="324"/>
      <c r="M392" s="324"/>
      <c r="N392" s="324"/>
      <c r="O392" s="324"/>
      <c r="P392" s="324"/>
      <c r="Q392" s="324"/>
      <c r="R392" s="324"/>
      <c r="S392" s="324"/>
      <c r="T392" s="324"/>
      <c r="U392" s="324"/>
      <c r="V392" s="324"/>
      <c r="W392" s="324"/>
      <c r="X392" s="324"/>
      <c r="Y392" s="324"/>
      <c r="Z392" s="324"/>
      <c r="AA392" s="324"/>
      <c r="AB392" s="324"/>
      <c r="AC392" s="324"/>
      <c r="AD392" s="324"/>
      <c r="AE392" s="324"/>
      <c r="AF392" s="324"/>
    </row>
    <row r="393" spans="3:32" s="294" customFormat="1">
      <c r="C393" s="10"/>
      <c r="D393" s="29"/>
      <c r="E393" s="29"/>
      <c r="F393" s="36"/>
      <c r="G393" s="324"/>
      <c r="H393" s="324"/>
      <c r="I393" s="324"/>
      <c r="J393" s="324"/>
      <c r="K393" s="324"/>
      <c r="L393" s="324"/>
      <c r="M393" s="324"/>
      <c r="N393" s="324"/>
      <c r="O393" s="324"/>
      <c r="P393" s="324"/>
      <c r="Q393" s="324"/>
      <c r="R393" s="324"/>
      <c r="S393" s="324"/>
      <c r="T393" s="324"/>
      <c r="U393" s="324"/>
      <c r="V393" s="324"/>
      <c r="W393" s="324"/>
      <c r="X393" s="324"/>
      <c r="Y393" s="324"/>
      <c r="Z393" s="324"/>
      <c r="AA393" s="324"/>
      <c r="AB393" s="324"/>
      <c r="AC393" s="324"/>
      <c r="AD393" s="324"/>
      <c r="AE393" s="324"/>
      <c r="AF393" s="324"/>
    </row>
    <row r="394" spans="3:32" s="294" customFormat="1">
      <c r="C394" s="10"/>
      <c r="D394" s="29"/>
      <c r="E394" s="29"/>
      <c r="F394" s="36"/>
      <c r="G394" s="324"/>
      <c r="H394" s="324"/>
      <c r="I394" s="324"/>
      <c r="J394" s="324"/>
      <c r="K394" s="324"/>
      <c r="L394" s="324"/>
      <c r="M394" s="324"/>
      <c r="N394" s="324"/>
      <c r="O394" s="324"/>
      <c r="P394" s="324"/>
      <c r="Q394" s="324"/>
      <c r="R394" s="324"/>
      <c r="S394" s="324"/>
      <c r="T394" s="324"/>
      <c r="U394" s="324"/>
      <c r="V394" s="324"/>
      <c r="W394" s="324"/>
      <c r="X394" s="324"/>
      <c r="Y394" s="324"/>
      <c r="Z394" s="324"/>
      <c r="AA394" s="324"/>
      <c r="AB394" s="324"/>
      <c r="AC394" s="324"/>
      <c r="AD394" s="324"/>
      <c r="AE394" s="324"/>
      <c r="AF394" s="324"/>
    </row>
    <row r="395" spans="3:32" s="294" customFormat="1">
      <c r="C395" s="10"/>
      <c r="D395" s="29"/>
      <c r="E395" s="29"/>
      <c r="F395" s="36"/>
      <c r="G395" s="324"/>
      <c r="H395" s="324"/>
      <c r="I395" s="324"/>
      <c r="J395" s="324"/>
      <c r="K395" s="324"/>
      <c r="L395" s="324"/>
      <c r="M395" s="324"/>
      <c r="N395" s="324"/>
      <c r="O395" s="324"/>
      <c r="P395" s="324"/>
      <c r="Q395" s="324"/>
      <c r="R395" s="324"/>
      <c r="S395" s="324"/>
      <c r="T395" s="324"/>
      <c r="U395" s="324"/>
      <c r="V395" s="324"/>
      <c r="W395" s="324"/>
      <c r="X395" s="324"/>
      <c r="Y395" s="324"/>
      <c r="Z395" s="324"/>
      <c r="AA395" s="324"/>
      <c r="AB395" s="324"/>
      <c r="AC395" s="324"/>
      <c r="AD395" s="324"/>
      <c r="AE395" s="324"/>
      <c r="AF395" s="324"/>
    </row>
    <row r="396" spans="3:32" s="294" customFormat="1">
      <c r="C396" s="10"/>
      <c r="D396" s="29"/>
      <c r="E396" s="29"/>
      <c r="F396" s="36"/>
      <c r="G396" s="324"/>
      <c r="H396" s="324"/>
      <c r="I396" s="324"/>
      <c r="J396" s="324"/>
      <c r="K396" s="324"/>
      <c r="L396" s="324"/>
      <c r="M396" s="324"/>
      <c r="N396" s="324"/>
      <c r="O396" s="324"/>
      <c r="P396" s="324"/>
      <c r="Q396" s="324"/>
      <c r="R396" s="324"/>
      <c r="S396" s="324"/>
      <c r="T396" s="324"/>
      <c r="U396" s="324"/>
      <c r="V396" s="324"/>
      <c r="W396" s="324"/>
      <c r="X396" s="324"/>
      <c r="Y396" s="324"/>
      <c r="Z396" s="324"/>
      <c r="AA396" s="324"/>
      <c r="AB396" s="324"/>
      <c r="AC396" s="324"/>
      <c r="AD396" s="324"/>
      <c r="AE396" s="324"/>
      <c r="AF396" s="324"/>
    </row>
    <row r="397" spans="3:32" s="294" customFormat="1">
      <c r="C397" s="10"/>
      <c r="D397" s="29"/>
      <c r="E397" s="29"/>
      <c r="F397" s="36"/>
      <c r="G397" s="324"/>
      <c r="H397" s="324"/>
      <c r="I397" s="324"/>
      <c r="J397" s="324"/>
      <c r="K397" s="324"/>
      <c r="L397" s="324"/>
      <c r="M397" s="324"/>
      <c r="N397" s="324"/>
      <c r="O397" s="324"/>
      <c r="P397" s="324"/>
      <c r="Q397" s="324"/>
      <c r="R397" s="324"/>
      <c r="S397" s="324"/>
      <c r="T397" s="324"/>
      <c r="U397" s="324"/>
      <c r="V397" s="324"/>
      <c r="W397" s="324"/>
      <c r="X397" s="324"/>
      <c r="Y397" s="324"/>
      <c r="Z397" s="324"/>
      <c r="AA397" s="324"/>
      <c r="AB397" s="324"/>
      <c r="AC397" s="324"/>
      <c r="AD397" s="324"/>
      <c r="AE397" s="324"/>
      <c r="AF397" s="324"/>
    </row>
    <row r="398" spans="3:32" s="294" customFormat="1">
      <c r="C398" s="10"/>
      <c r="D398" s="29"/>
      <c r="E398" s="29"/>
      <c r="F398" s="36"/>
      <c r="G398" s="324"/>
      <c r="H398" s="324"/>
      <c r="I398" s="324"/>
      <c r="J398" s="324"/>
      <c r="K398" s="324"/>
      <c r="L398" s="324"/>
      <c r="M398" s="324"/>
      <c r="N398" s="324"/>
      <c r="O398" s="324"/>
      <c r="P398" s="324"/>
      <c r="Q398" s="324"/>
      <c r="R398" s="324"/>
      <c r="S398" s="324"/>
      <c r="T398" s="324"/>
      <c r="U398" s="324"/>
      <c r="V398" s="324"/>
      <c r="W398" s="324"/>
      <c r="X398" s="324"/>
      <c r="Y398" s="324"/>
      <c r="Z398" s="324"/>
      <c r="AA398" s="324"/>
      <c r="AB398" s="324"/>
      <c r="AC398" s="324"/>
      <c r="AD398" s="324"/>
      <c r="AE398" s="324"/>
      <c r="AF398" s="324"/>
    </row>
    <row r="399" spans="3:32" s="294" customFormat="1">
      <c r="C399" s="10"/>
      <c r="D399" s="29"/>
      <c r="E399" s="29"/>
      <c r="F399" s="36"/>
      <c r="G399" s="324"/>
      <c r="H399" s="324"/>
      <c r="I399" s="324"/>
      <c r="J399" s="324"/>
      <c r="K399" s="324"/>
      <c r="L399" s="324"/>
      <c r="M399" s="324"/>
      <c r="N399" s="324"/>
      <c r="O399" s="324"/>
      <c r="P399" s="324"/>
      <c r="Q399" s="324"/>
      <c r="R399" s="324"/>
      <c r="S399" s="324"/>
      <c r="T399" s="324"/>
      <c r="U399" s="324"/>
      <c r="V399" s="324"/>
      <c r="W399" s="324"/>
      <c r="X399" s="324"/>
      <c r="Y399" s="324"/>
      <c r="Z399" s="324"/>
      <c r="AA399" s="324"/>
      <c r="AB399" s="324"/>
      <c r="AC399" s="324"/>
      <c r="AD399" s="324"/>
      <c r="AE399" s="324"/>
      <c r="AF399" s="324"/>
    </row>
    <row r="400" spans="3:32" s="294" customFormat="1">
      <c r="C400" s="10"/>
      <c r="D400" s="29"/>
      <c r="E400" s="29"/>
      <c r="F400" s="36"/>
      <c r="G400" s="324"/>
      <c r="H400" s="324"/>
      <c r="I400" s="324"/>
      <c r="J400" s="324"/>
      <c r="K400" s="324"/>
      <c r="L400" s="324"/>
      <c r="M400" s="324"/>
      <c r="N400" s="324"/>
      <c r="O400" s="324"/>
      <c r="P400" s="324"/>
      <c r="Q400" s="324"/>
      <c r="R400" s="324"/>
      <c r="S400" s="324"/>
      <c r="T400" s="324"/>
      <c r="U400" s="324"/>
      <c r="V400" s="324"/>
      <c r="W400" s="324"/>
      <c r="X400" s="324"/>
      <c r="Y400" s="324"/>
      <c r="Z400" s="324"/>
      <c r="AA400" s="324"/>
      <c r="AB400" s="324"/>
      <c r="AC400" s="324"/>
      <c r="AD400" s="324"/>
      <c r="AE400" s="324"/>
      <c r="AF400" s="324"/>
    </row>
    <row r="401" spans="3:32" s="294" customFormat="1">
      <c r="C401" s="10"/>
      <c r="D401" s="29"/>
      <c r="E401" s="29"/>
      <c r="F401" s="36"/>
      <c r="G401" s="324"/>
      <c r="H401" s="324"/>
      <c r="I401" s="324"/>
      <c r="J401" s="324"/>
      <c r="K401" s="324"/>
      <c r="L401" s="324"/>
      <c r="M401" s="324"/>
      <c r="N401" s="324"/>
      <c r="O401" s="324"/>
      <c r="P401" s="324"/>
      <c r="Q401" s="324"/>
      <c r="R401" s="324"/>
      <c r="S401" s="324"/>
      <c r="T401" s="324"/>
      <c r="U401" s="324"/>
      <c r="V401" s="324"/>
      <c r="W401" s="324"/>
      <c r="X401" s="324"/>
      <c r="Y401" s="324"/>
      <c r="Z401" s="324"/>
      <c r="AA401" s="324"/>
      <c r="AB401" s="324"/>
      <c r="AC401" s="324"/>
      <c r="AD401" s="324"/>
      <c r="AE401" s="324"/>
      <c r="AF401" s="324"/>
    </row>
    <row r="402" spans="3:32" s="294" customFormat="1">
      <c r="C402" s="10"/>
      <c r="D402" s="29"/>
      <c r="E402" s="29"/>
      <c r="F402" s="36"/>
      <c r="G402" s="324"/>
      <c r="H402" s="324"/>
      <c r="I402" s="324"/>
      <c r="J402" s="324"/>
      <c r="K402" s="324"/>
      <c r="L402" s="324"/>
      <c r="M402" s="324"/>
      <c r="N402" s="324"/>
      <c r="O402" s="324"/>
      <c r="P402" s="324"/>
      <c r="Q402" s="324"/>
      <c r="R402" s="324"/>
      <c r="S402" s="324"/>
      <c r="T402" s="324"/>
      <c r="U402" s="324"/>
      <c r="V402" s="324"/>
      <c r="W402" s="324"/>
      <c r="X402" s="324"/>
      <c r="Y402" s="324"/>
      <c r="Z402" s="324"/>
      <c r="AA402" s="324"/>
      <c r="AB402" s="324"/>
      <c r="AC402" s="324"/>
      <c r="AD402" s="324"/>
      <c r="AE402" s="324"/>
      <c r="AF402" s="324"/>
    </row>
    <row r="403" spans="3:32" s="294" customFormat="1">
      <c r="C403" s="10"/>
      <c r="D403" s="29"/>
      <c r="E403" s="29"/>
      <c r="F403" s="36"/>
      <c r="G403" s="324"/>
      <c r="H403" s="324"/>
      <c r="I403" s="324"/>
      <c r="J403" s="324"/>
      <c r="K403" s="324"/>
      <c r="L403" s="324"/>
      <c r="M403" s="324"/>
      <c r="N403" s="324"/>
      <c r="O403" s="324"/>
      <c r="P403" s="324"/>
      <c r="Q403" s="324"/>
      <c r="R403" s="324"/>
      <c r="S403" s="324"/>
      <c r="T403" s="324"/>
      <c r="U403" s="324"/>
      <c r="V403" s="324"/>
      <c r="W403" s="324"/>
      <c r="X403" s="324"/>
      <c r="Y403" s="324"/>
      <c r="Z403" s="324"/>
      <c r="AA403" s="324"/>
      <c r="AB403" s="324"/>
      <c r="AC403" s="324"/>
      <c r="AD403" s="324"/>
      <c r="AE403" s="324"/>
      <c r="AF403" s="324"/>
    </row>
    <row r="404" spans="3:32" s="294" customFormat="1">
      <c r="C404" s="10"/>
      <c r="D404" s="29"/>
      <c r="E404" s="29"/>
      <c r="F404" s="36"/>
      <c r="G404" s="324"/>
      <c r="H404" s="324"/>
      <c r="I404" s="324"/>
      <c r="J404" s="324"/>
      <c r="K404" s="324"/>
      <c r="L404" s="324"/>
      <c r="M404" s="324"/>
      <c r="N404" s="324"/>
      <c r="O404" s="324"/>
      <c r="P404" s="324"/>
      <c r="Q404" s="324"/>
      <c r="R404" s="324"/>
      <c r="S404" s="324"/>
      <c r="T404" s="324"/>
      <c r="U404" s="324"/>
      <c r="V404" s="324"/>
      <c r="W404" s="324"/>
      <c r="X404" s="324"/>
      <c r="Y404" s="324"/>
      <c r="Z404" s="324"/>
      <c r="AA404" s="324"/>
      <c r="AB404" s="324"/>
      <c r="AC404" s="324"/>
      <c r="AD404" s="324"/>
      <c r="AE404" s="324"/>
      <c r="AF404" s="324"/>
    </row>
    <row r="405" spans="3:32" s="294" customFormat="1">
      <c r="C405" s="10"/>
      <c r="D405" s="29"/>
      <c r="E405" s="29"/>
      <c r="F405" s="36"/>
      <c r="G405" s="324"/>
      <c r="H405" s="324"/>
      <c r="I405" s="324"/>
      <c r="J405" s="324"/>
      <c r="K405" s="324"/>
      <c r="L405" s="324"/>
      <c r="M405" s="324"/>
      <c r="N405" s="324"/>
      <c r="O405" s="324"/>
      <c r="P405" s="324"/>
      <c r="Q405" s="324"/>
      <c r="R405" s="324"/>
      <c r="S405" s="324"/>
      <c r="T405" s="324"/>
      <c r="U405" s="324"/>
      <c r="V405" s="324"/>
      <c r="W405" s="324"/>
      <c r="X405" s="324"/>
      <c r="Y405" s="324"/>
      <c r="Z405" s="324"/>
      <c r="AA405" s="324"/>
      <c r="AB405" s="324"/>
      <c r="AC405" s="324"/>
      <c r="AD405" s="324"/>
      <c r="AE405" s="324"/>
      <c r="AF405" s="324"/>
    </row>
    <row r="406" spans="3:32" s="294" customFormat="1">
      <c r="C406" s="10"/>
      <c r="D406" s="29"/>
      <c r="E406" s="29"/>
      <c r="F406" s="36"/>
      <c r="G406" s="324"/>
      <c r="H406" s="324"/>
      <c r="I406" s="324"/>
      <c r="J406" s="324"/>
      <c r="K406" s="324"/>
      <c r="L406" s="324"/>
      <c r="M406" s="324"/>
      <c r="N406" s="324"/>
      <c r="O406" s="324"/>
      <c r="P406" s="324"/>
      <c r="Q406" s="324"/>
      <c r="R406" s="324"/>
      <c r="S406" s="324"/>
      <c r="T406" s="324"/>
      <c r="U406" s="324"/>
      <c r="V406" s="324"/>
      <c r="W406" s="324"/>
      <c r="X406" s="324"/>
      <c r="Y406" s="324"/>
      <c r="Z406" s="324"/>
      <c r="AA406" s="324"/>
      <c r="AB406" s="324"/>
      <c r="AC406" s="324"/>
      <c r="AD406" s="324"/>
      <c r="AE406" s="324"/>
      <c r="AF406" s="324"/>
    </row>
    <row r="407" spans="3:32" s="294" customFormat="1">
      <c r="C407" s="10"/>
      <c r="D407" s="29"/>
      <c r="E407" s="29"/>
      <c r="F407" s="36"/>
      <c r="G407" s="324"/>
      <c r="H407" s="324"/>
      <c r="I407" s="324"/>
      <c r="J407" s="324"/>
      <c r="K407" s="324"/>
      <c r="L407" s="324"/>
      <c r="M407" s="324"/>
      <c r="N407" s="324"/>
      <c r="O407" s="324"/>
      <c r="P407" s="324"/>
      <c r="Q407" s="324"/>
      <c r="R407" s="324"/>
      <c r="S407" s="324"/>
      <c r="T407" s="324"/>
      <c r="U407" s="324"/>
      <c r="V407" s="324"/>
      <c r="W407" s="324"/>
      <c r="X407" s="324"/>
      <c r="Y407" s="324"/>
      <c r="Z407" s="324"/>
      <c r="AA407" s="324"/>
      <c r="AB407" s="324"/>
      <c r="AC407" s="324"/>
      <c r="AD407" s="324"/>
      <c r="AE407" s="324"/>
      <c r="AF407" s="324"/>
    </row>
    <row r="408" spans="3:32" s="294" customFormat="1">
      <c r="C408" s="10"/>
      <c r="D408" s="29"/>
      <c r="E408" s="29"/>
      <c r="F408" s="36"/>
      <c r="G408" s="324"/>
      <c r="H408" s="324"/>
      <c r="I408" s="324"/>
      <c r="J408" s="324"/>
      <c r="K408" s="324"/>
      <c r="L408" s="324"/>
      <c r="M408" s="324"/>
      <c r="N408" s="324"/>
      <c r="O408" s="324"/>
      <c r="P408" s="324"/>
      <c r="Q408" s="324"/>
      <c r="R408" s="324"/>
      <c r="S408" s="324"/>
      <c r="T408" s="324"/>
      <c r="U408" s="324"/>
      <c r="V408" s="324"/>
      <c r="W408" s="324"/>
      <c r="X408" s="324"/>
      <c r="Y408" s="324"/>
      <c r="Z408" s="324"/>
      <c r="AA408" s="324"/>
      <c r="AB408" s="324"/>
      <c r="AC408" s="324"/>
      <c r="AD408" s="324"/>
      <c r="AE408" s="324"/>
      <c r="AF408" s="324"/>
    </row>
    <row r="409" spans="3:32" s="294" customFormat="1">
      <c r="C409" s="10"/>
      <c r="D409" s="29"/>
      <c r="E409" s="29"/>
      <c r="F409" s="36"/>
      <c r="G409" s="324"/>
      <c r="H409" s="324"/>
      <c r="I409" s="324"/>
      <c r="J409" s="324"/>
      <c r="K409" s="324"/>
      <c r="L409" s="324"/>
      <c r="M409" s="324"/>
      <c r="N409" s="324"/>
      <c r="O409" s="324"/>
      <c r="P409" s="324"/>
      <c r="Q409" s="324"/>
      <c r="R409" s="324"/>
      <c r="S409" s="324"/>
      <c r="T409" s="324"/>
      <c r="U409" s="324"/>
      <c r="V409" s="324"/>
      <c r="W409" s="324"/>
      <c r="X409" s="324"/>
      <c r="Y409" s="324"/>
      <c r="Z409" s="324"/>
      <c r="AA409" s="324"/>
      <c r="AB409" s="324"/>
      <c r="AC409" s="324"/>
      <c r="AD409" s="324"/>
      <c r="AE409" s="324"/>
      <c r="AF409" s="324"/>
    </row>
    <row r="410" spans="3:32" s="294" customFormat="1">
      <c r="C410" s="10"/>
      <c r="D410" s="29"/>
      <c r="E410" s="29"/>
      <c r="F410" s="36"/>
      <c r="G410" s="324"/>
      <c r="H410" s="324"/>
      <c r="I410" s="324"/>
      <c r="J410" s="324"/>
      <c r="K410" s="324"/>
      <c r="L410" s="324"/>
      <c r="M410" s="324"/>
      <c r="N410" s="324"/>
      <c r="O410" s="324"/>
      <c r="P410" s="324"/>
      <c r="Q410" s="324"/>
      <c r="R410" s="324"/>
      <c r="S410" s="324"/>
      <c r="T410" s="324"/>
      <c r="U410" s="324"/>
      <c r="V410" s="324"/>
      <c r="W410" s="324"/>
      <c r="X410" s="324"/>
      <c r="Y410" s="324"/>
      <c r="Z410" s="324"/>
      <c r="AA410" s="324"/>
      <c r="AB410" s="324"/>
      <c r="AC410" s="324"/>
      <c r="AD410" s="324"/>
      <c r="AE410" s="324"/>
      <c r="AF410" s="324"/>
    </row>
    <row r="411" spans="3:32" s="294" customFormat="1">
      <c r="C411" s="10"/>
      <c r="D411" s="29"/>
      <c r="E411" s="29"/>
      <c r="F411" s="36"/>
      <c r="G411" s="324"/>
      <c r="H411" s="324"/>
      <c r="I411" s="324"/>
      <c r="J411" s="324"/>
      <c r="K411" s="324"/>
      <c r="L411" s="324"/>
      <c r="M411" s="324"/>
      <c r="N411" s="324"/>
      <c r="O411" s="324"/>
      <c r="P411" s="324"/>
      <c r="Q411" s="324"/>
      <c r="R411" s="324"/>
      <c r="S411" s="324"/>
      <c r="T411" s="324"/>
      <c r="U411" s="324"/>
      <c r="V411" s="324"/>
      <c r="W411" s="324"/>
      <c r="X411" s="324"/>
      <c r="Y411" s="324"/>
      <c r="Z411" s="324"/>
      <c r="AA411" s="324"/>
      <c r="AB411" s="324"/>
      <c r="AC411" s="324"/>
      <c r="AD411" s="324"/>
      <c r="AE411" s="324"/>
      <c r="AF411" s="324"/>
    </row>
    <row r="412" spans="3:32" s="294" customFormat="1">
      <c r="C412" s="10"/>
      <c r="D412" s="29"/>
      <c r="E412" s="29"/>
      <c r="F412" s="36"/>
      <c r="G412" s="324"/>
      <c r="H412" s="324"/>
      <c r="I412" s="324"/>
      <c r="J412" s="324"/>
      <c r="K412" s="324"/>
      <c r="L412" s="324"/>
      <c r="M412" s="324"/>
      <c r="N412" s="324"/>
      <c r="O412" s="324"/>
      <c r="P412" s="324"/>
      <c r="Q412" s="324"/>
      <c r="R412" s="324"/>
      <c r="S412" s="324"/>
      <c r="T412" s="324"/>
      <c r="U412" s="324"/>
      <c r="V412" s="324"/>
      <c r="W412" s="324"/>
      <c r="X412" s="324"/>
      <c r="Y412" s="324"/>
      <c r="Z412" s="324"/>
      <c r="AA412" s="324"/>
      <c r="AB412" s="324"/>
      <c r="AC412" s="324"/>
      <c r="AD412" s="324"/>
      <c r="AE412" s="324"/>
      <c r="AF412" s="324"/>
    </row>
    <row r="413" spans="3:32" s="294" customFormat="1">
      <c r="C413" s="10"/>
      <c r="D413" s="29"/>
      <c r="E413" s="29"/>
      <c r="F413" s="36"/>
      <c r="G413" s="324"/>
      <c r="H413" s="324"/>
      <c r="I413" s="324"/>
      <c r="J413" s="324"/>
      <c r="K413" s="324"/>
      <c r="L413" s="324"/>
      <c r="M413" s="324"/>
      <c r="N413" s="324"/>
      <c r="O413" s="324"/>
      <c r="P413" s="324"/>
      <c r="Q413" s="324"/>
      <c r="R413" s="324"/>
      <c r="S413" s="324"/>
      <c r="T413" s="324"/>
      <c r="U413" s="324"/>
      <c r="V413" s="324"/>
      <c r="W413" s="324"/>
      <c r="X413" s="324"/>
      <c r="Y413" s="324"/>
      <c r="Z413" s="324"/>
      <c r="AA413" s="324"/>
      <c r="AB413" s="324"/>
      <c r="AC413" s="324"/>
      <c r="AD413" s="324"/>
      <c r="AE413" s="324"/>
      <c r="AF413" s="324"/>
    </row>
    <row r="414" spans="3:32" s="294" customFormat="1">
      <c r="C414" s="10"/>
      <c r="D414" s="29"/>
      <c r="E414" s="29"/>
      <c r="F414" s="36"/>
      <c r="G414" s="324"/>
      <c r="H414" s="324"/>
      <c r="I414" s="324"/>
      <c r="J414" s="324"/>
      <c r="K414" s="324"/>
      <c r="L414" s="324"/>
      <c r="M414" s="324"/>
      <c r="N414" s="324"/>
      <c r="O414" s="324"/>
      <c r="P414" s="324"/>
      <c r="Q414" s="324"/>
      <c r="R414" s="324"/>
      <c r="S414" s="324"/>
      <c r="T414" s="324"/>
      <c r="U414" s="324"/>
      <c r="V414" s="324"/>
      <c r="W414" s="324"/>
      <c r="X414" s="324"/>
      <c r="Y414" s="324"/>
      <c r="Z414" s="324"/>
      <c r="AA414" s="324"/>
      <c r="AB414" s="324"/>
      <c r="AC414" s="324"/>
      <c r="AD414" s="324"/>
      <c r="AE414" s="324"/>
      <c r="AF414" s="324"/>
    </row>
    <row r="415" spans="3:32" s="294" customFormat="1">
      <c r="C415" s="10"/>
      <c r="D415" s="29"/>
      <c r="E415" s="29"/>
      <c r="F415" s="36"/>
      <c r="G415" s="324"/>
      <c r="H415" s="324"/>
      <c r="I415" s="324"/>
      <c r="J415" s="324"/>
      <c r="K415" s="324"/>
      <c r="L415" s="324"/>
      <c r="M415" s="324"/>
      <c r="N415" s="324"/>
      <c r="O415" s="324"/>
      <c r="P415" s="324"/>
      <c r="Q415" s="324"/>
      <c r="R415" s="324"/>
      <c r="S415" s="324"/>
      <c r="T415" s="324"/>
      <c r="U415" s="324"/>
      <c r="V415" s="324"/>
      <c r="W415" s="324"/>
      <c r="X415" s="324"/>
      <c r="Y415" s="324"/>
      <c r="Z415" s="324"/>
      <c r="AA415" s="324"/>
      <c r="AB415" s="324"/>
      <c r="AC415" s="324"/>
      <c r="AD415" s="324"/>
      <c r="AE415" s="324"/>
      <c r="AF415" s="324"/>
    </row>
    <row r="416" spans="3:32" s="294" customFormat="1">
      <c r="C416" s="10"/>
      <c r="D416" s="29"/>
      <c r="E416" s="29"/>
      <c r="F416" s="36"/>
      <c r="G416" s="324"/>
      <c r="H416" s="324"/>
      <c r="I416" s="324"/>
      <c r="J416" s="324"/>
      <c r="K416" s="324"/>
      <c r="L416" s="324"/>
      <c r="M416" s="324"/>
      <c r="N416" s="324"/>
      <c r="O416" s="324"/>
      <c r="P416" s="324"/>
      <c r="Q416" s="324"/>
      <c r="R416" s="324"/>
      <c r="S416" s="324"/>
      <c r="T416" s="324"/>
      <c r="U416" s="324"/>
      <c r="V416" s="324"/>
      <c r="W416" s="324"/>
      <c r="X416" s="324"/>
      <c r="Y416" s="324"/>
      <c r="Z416" s="324"/>
      <c r="AA416" s="324"/>
      <c r="AB416" s="324"/>
      <c r="AC416" s="324"/>
      <c r="AD416" s="324"/>
      <c r="AE416" s="324"/>
      <c r="AF416" s="324"/>
    </row>
    <row r="417" spans="3:32" s="294" customFormat="1">
      <c r="C417" s="10"/>
      <c r="D417" s="29"/>
      <c r="E417" s="29"/>
      <c r="F417" s="36"/>
      <c r="G417" s="324"/>
      <c r="H417" s="324"/>
      <c r="I417" s="324"/>
      <c r="J417" s="324"/>
      <c r="K417" s="324"/>
      <c r="L417" s="324"/>
      <c r="M417" s="324"/>
      <c r="N417" s="324"/>
      <c r="O417" s="324"/>
      <c r="P417" s="324"/>
      <c r="Q417" s="324"/>
      <c r="R417" s="324"/>
      <c r="S417" s="324"/>
      <c r="T417" s="324"/>
      <c r="U417" s="324"/>
      <c r="V417" s="324"/>
      <c r="W417" s="324"/>
      <c r="X417" s="324"/>
      <c r="Y417" s="324"/>
      <c r="Z417" s="324"/>
      <c r="AA417" s="324"/>
      <c r="AB417" s="324"/>
      <c r="AC417" s="324"/>
      <c r="AD417" s="324"/>
      <c r="AE417" s="324"/>
      <c r="AF417" s="324"/>
    </row>
    <row r="418" spans="3:32" s="294" customFormat="1">
      <c r="C418" s="10"/>
      <c r="D418" s="29"/>
      <c r="E418" s="29"/>
      <c r="F418" s="36"/>
      <c r="G418" s="324"/>
      <c r="H418" s="324"/>
      <c r="I418" s="324"/>
      <c r="J418" s="324"/>
      <c r="K418" s="324"/>
      <c r="L418" s="324"/>
      <c r="M418" s="324"/>
      <c r="N418" s="324"/>
      <c r="O418" s="324"/>
      <c r="P418" s="324"/>
      <c r="Q418" s="324"/>
      <c r="R418" s="324"/>
      <c r="S418" s="324"/>
      <c r="T418" s="324"/>
      <c r="U418" s="324"/>
      <c r="V418" s="324"/>
      <c r="W418" s="324"/>
      <c r="X418" s="324"/>
      <c r="Y418" s="324"/>
      <c r="Z418" s="324"/>
      <c r="AA418" s="324"/>
      <c r="AB418" s="324"/>
      <c r="AC418" s="324"/>
      <c r="AD418" s="324"/>
      <c r="AE418" s="324"/>
      <c r="AF418" s="324"/>
    </row>
    <row r="419" spans="3:32" s="294" customFormat="1">
      <c r="C419" s="10"/>
      <c r="D419" s="29"/>
      <c r="E419" s="29"/>
      <c r="F419" s="36"/>
      <c r="G419" s="324"/>
      <c r="H419" s="324"/>
      <c r="I419" s="324"/>
      <c r="J419" s="324"/>
      <c r="K419" s="324"/>
      <c r="L419" s="324"/>
      <c r="M419" s="324"/>
      <c r="N419" s="324"/>
      <c r="O419" s="324"/>
      <c r="P419" s="324"/>
      <c r="Q419" s="324"/>
      <c r="R419" s="324"/>
      <c r="S419" s="324"/>
      <c r="T419" s="324"/>
      <c r="U419" s="324"/>
      <c r="V419" s="324"/>
      <c r="W419" s="324"/>
      <c r="X419" s="324"/>
      <c r="Y419" s="324"/>
      <c r="Z419" s="324"/>
      <c r="AA419" s="324"/>
      <c r="AB419" s="324"/>
      <c r="AC419" s="324"/>
      <c r="AD419" s="324"/>
      <c r="AE419" s="324"/>
      <c r="AF419" s="324"/>
    </row>
    <row r="420" spans="3:32" s="294" customFormat="1">
      <c r="C420" s="10"/>
      <c r="D420" s="29"/>
      <c r="E420" s="29"/>
      <c r="F420" s="36"/>
      <c r="G420" s="324"/>
      <c r="H420" s="324"/>
      <c r="I420" s="324"/>
      <c r="J420" s="324"/>
      <c r="K420" s="324"/>
      <c r="L420" s="324"/>
      <c r="M420" s="324"/>
      <c r="N420" s="324"/>
      <c r="O420" s="324"/>
      <c r="P420" s="324"/>
      <c r="Q420" s="324"/>
      <c r="R420" s="324"/>
      <c r="S420" s="324"/>
      <c r="T420" s="324"/>
      <c r="U420" s="324"/>
      <c r="V420" s="324"/>
      <c r="W420" s="324"/>
      <c r="X420" s="324"/>
      <c r="Y420" s="324"/>
      <c r="Z420" s="324"/>
      <c r="AA420" s="324"/>
      <c r="AB420" s="324"/>
      <c r="AC420" s="324"/>
      <c r="AD420" s="324"/>
      <c r="AE420" s="324"/>
      <c r="AF420" s="324"/>
    </row>
    <row r="421" spans="3:32" s="294" customFormat="1">
      <c r="C421" s="10"/>
      <c r="D421" s="29"/>
      <c r="E421" s="29"/>
      <c r="F421" s="36"/>
      <c r="G421" s="324"/>
      <c r="H421" s="324"/>
      <c r="I421" s="324"/>
      <c r="J421" s="324"/>
      <c r="K421" s="324"/>
      <c r="L421" s="324"/>
      <c r="M421" s="324"/>
      <c r="N421" s="324"/>
      <c r="O421" s="324"/>
      <c r="P421" s="324"/>
      <c r="Q421" s="324"/>
      <c r="R421" s="324"/>
      <c r="S421" s="324"/>
      <c r="T421" s="324"/>
      <c r="U421" s="324"/>
      <c r="V421" s="324"/>
      <c r="W421" s="324"/>
      <c r="X421" s="324"/>
      <c r="Y421" s="324"/>
      <c r="Z421" s="324"/>
      <c r="AA421" s="324"/>
      <c r="AB421" s="324"/>
      <c r="AC421" s="324"/>
      <c r="AD421" s="324"/>
      <c r="AE421" s="324"/>
      <c r="AF421" s="324"/>
    </row>
    <row r="422" spans="3:32" s="294" customFormat="1">
      <c r="C422" s="10"/>
      <c r="D422" s="29"/>
      <c r="E422" s="29"/>
      <c r="F422" s="36"/>
      <c r="G422" s="324"/>
      <c r="H422" s="324"/>
      <c r="I422" s="324"/>
      <c r="J422" s="324"/>
      <c r="K422" s="324"/>
      <c r="L422" s="324"/>
      <c r="M422" s="324"/>
      <c r="N422" s="324"/>
      <c r="O422" s="324"/>
      <c r="P422" s="324"/>
      <c r="Q422" s="324"/>
      <c r="R422" s="324"/>
      <c r="S422" s="324"/>
      <c r="T422" s="324"/>
      <c r="U422" s="324"/>
      <c r="V422" s="324"/>
      <c r="W422" s="324"/>
      <c r="X422" s="324"/>
      <c r="Y422" s="324"/>
      <c r="Z422" s="324"/>
      <c r="AA422" s="324"/>
      <c r="AB422" s="324"/>
      <c r="AC422" s="324"/>
      <c r="AD422" s="324"/>
      <c r="AE422" s="324"/>
      <c r="AF422" s="324"/>
    </row>
    <row r="423" spans="3:32" s="294" customFormat="1">
      <c r="C423" s="10"/>
      <c r="D423" s="29"/>
      <c r="E423" s="29"/>
      <c r="F423" s="36"/>
      <c r="G423" s="324"/>
      <c r="H423" s="324"/>
      <c r="I423" s="324"/>
      <c r="J423" s="324"/>
      <c r="K423" s="324"/>
      <c r="L423" s="324"/>
      <c r="M423" s="324"/>
      <c r="N423" s="324"/>
      <c r="O423" s="324"/>
      <c r="P423" s="324"/>
      <c r="Q423" s="324"/>
      <c r="R423" s="324"/>
      <c r="S423" s="324"/>
      <c r="T423" s="324"/>
      <c r="U423" s="324"/>
      <c r="V423" s="324"/>
      <c r="W423" s="324"/>
      <c r="X423" s="324"/>
      <c r="Y423" s="324"/>
      <c r="Z423" s="324"/>
      <c r="AA423" s="324"/>
      <c r="AB423" s="324"/>
      <c r="AC423" s="324"/>
      <c r="AD423" s="324"/>
      <c r="AE423" s="324"/>
      <c r="AF423" s="324"/>
    </row>
    <row r="424" spans="3:32" s="294" customFormat="1">
      <c r="C424" s="10"/>
      <c r="D424" s="29"/>
      <c r="E424" s="29"/>
      <c r="F424" s="36"/>
      <c r="G424" s="324"/>
      <c r="H424" s="324"/>
      <c r="I424" s="324"/>
      <c r="J424" s="324"/>
      <c r="K424" s="324"/>
      <c r="L424" s="324"/>
      <c r="M424" s="324"/>
      <c r="N424" s="324"/>
      <c r="O424" s="324"/>
      <c r="P424" s="324"/>
      <c r="Q424" s="324"/>
      <c r="R424" s="324"/>
      <c r="S424" s="324"/>
      <c r="T424" s="324"/>
      <c r="U424" s="324"/>
      <c r="V424" s="324"/>
      <c r="W424" s="324"/>
      <c r="X424" s="324"/>
      <c r="Y424" s="324"/>
      <c r="Z424" s="324"/>
      <c r="AA424" s="324"/>
      <c r="AB424" s="324"/>
      <c r="AC424" s="324"/>
      <c r="AD424" s="324"/>
      <c r="AE424" s="324"/>
      <c r="AF424" s="324"/>
    </row>
    <row r="425" spans="3:32" s="294" customFormat="1">
      <c r="C425" s="10"/>
      <c r="D425" s="29"/>
      <c r="E425" s="29"/>
      <c r="F425" s="36"/>
      <c r="G425" s="324"/>
      <c r="H425" s="324"/>
      <c r="I425" s="324"/>
      <c r="J425" s="324"/>
      <c r="K425" s="324"/>
      <c r="L425" s="324"/>
      <c r="M425" s="324"/>
      <c r="N425" s="324"/>
      <c r="O425" s="324"/>
      <c r="P425" s="324"/>
      <c r="Q425" s="324"/>
      <c r="R425" s="324"/>
      <c r="S425" s="324"/>
      <c r="T425" s="324"/>
      <c r="U425" s="324"/>
      <c r="V425" s="324"/>
      <c r="W425" s="324"/>
      <c r="X425" s="324"/>
      <c r="Y425" s="324"/>
      <c r="Z425" s="324"/>
      <c r="AA425" s="324"/>
      <c r="AB425" s="324"/>
      <c r="AC425" s="324"/>
      <c r="AD425" s="324"/>
      <c r="AE425" s="324"/>
      <c r="AF425" s="324"/>
    </row>
    <row r="426" spans="3:32" s="294" customFormat="1">
      <c r="C426" s="10"/>
      <c r="D426" s="29"/>
      <c r="E426" s="29"/>
      <c r="F426" s="36"/>
      <c r="G426" s="324"/>
      <c r="H426" s="324"/>
      <c r="I426" s="324"/>
      <c r="J426" s="324"/>
      <c r="K426" s="324"/>
      <c r="L426" s="324"/>
      <c r="M426" s="324"/>
      <c r="N426" s="324"/>
      <c r="O426" s="324"/>
      <c r="P426" s="324"/>
      <c r="Q426" s="324"/>
      <c r="R426" s="324"/>
      <c r="S426" s="324"/>
      <c r="T426" s="324"/>
      <c r="U426" s="324"/>
      <c r="V426" s="324"/>
      <c r="W426" s="324"/>
      <c r="X426" s="324"/>
      <c r="Y426" s="324"/>
      <c r="Z426" s="324"/>
      <c r="AA426" s="324"/>
      <c r="AB426" s="324"/>
      <c r="AC426" s="324"/>
      <c r="AD426" s="324"/>
      <c r="AE426" s="324"/>
      <c r="AF426" s="324"/>
    </row>
    <row r="427" spans="3:32" s="294" customFormat="1">
      <c r="C427" s="10"/>
      <c r="D427" s="29"/>
      <c r="E427" s="29"/>
      <c r="F427" s="36"/>
      <c r="G427" s="324"/>
      <c r="H427" s="324"/>
      <c r="I427" s="324"/>
      <c r="J427" s="324"/>
      <c r="K427" s="324"/>
      <c r="L427" s="324"/>
      <c r="M427" s="324"/>
      <c r="N427" s="324"/>
      <c r="O427" s="324"/>
      <c r="P427" s="324"/>
      <c r="Q427" s="324"/>
      <c r="R427" s="324"/>
      <c r="S427" s="324"/>
      <c r="T427" s="324"/>
      <c r="U427" s="324"/>
      <c r="V427" s="324"/>
      <c r="W427" s="324"/>
      <c r="X427" s="324"/>
      <c r="Y427" s="324"/>
      <c r="Z427" s="324"/>
      <c r="AA427" s="324"/>
      <c r="AB427" s="324"/>
      <c r="AC427" s="324"/>
      <c r="AD427" s="324"/>
      <c r="AE427" s="324"/>
      <c r="AF427" s="324"/>
    </row>
    <row r="428" spans="3:32" s="294" customFormat="1">
      <c r="C428" s="10"/>
      <c r="D428" s="29"/>
      <c r="E428" s="29"/>
      <c r="F428" s="36"/>
      <c r="G428" s="324"/>
      <c r="H428" s="324"/>
      <c r="I428" s="324"/>
      <c r="J428" s="324"/>
      <c r="K428" s="324"/>
      <c r="L428" s="324"/>
      <c r="M428" s="324"/>
      <c r="N428" s="324"/>
      <c r="O428" s="324"/>
      <c r="P428" s="324"/>
      <c r="Q428" s="324"/>
      <c r="R428" s="324"/>
      <c r="S428" s="324"/>
      <c r="T428" s="324"/>
      <c r="U428" s="324"/>
      <c r="V428" s="324"/>
      <c r="W428" s="324"/>
      <c r="X428" s="324"/>
      <c r="Y428" s="324"/>
      <c r="Z428" s="324"/>
      <c r="AA428" s="324"/>
      <c r="AB428" s="324"/>
      <c r="AC428" s="324"/>
      <c r="AD428" s="324"/>
      <c r="AE428" s="324"/>
      <c r="AF428" s="324"/>
    </row>
    <row r="429" spans="3:32" s="294" customFormat="1">
      <c r="C429" s="10"/>
      <c r="D429" s="29"/>
      <c r="E429" s="29"/>
      <c r="F429" s="36"/>
      <c r="G429" s="324"/>
      <c r="H429" s="324"/>
      <c r="I429" s="324"/>
      <c r="J429" s="324"/>
      <c r="K429" s="324"/>
      <c r="L429" s="324"/>
      <c r="M429" s="324"/>
      <c r="N429" s="324"/>
      <c r="O429" s="324"/>
      <c r="P429" s="324"/>
      <c r="Q429" s="324"/>
      <c r="R429" s="324"/>
      <c r="S429" s="324"/>
      <c r="T429" s="324"/>
      <c r="U429" s="324"/>
      <c r="V429" s="324"/>
      <c r="W429" s="324"/>
      <c r="X429" s="324"/>
      <c r="Y429" s="324"/>
      <c r="Z429" s="324"/>
      <c r="AA429" s="324"/>
      <c r="AB429" s="324"/>
      <c r="AC429" s="324"/>
      <c r="AD429" s="324"/>
      <c r="AE429" s="324"/>
      <c r="AF429" s="324"/>
    </row>
    <row r="430" spans="3:32" s="294" customFormat="1">
      <c r="C430" s="10"/>
      <c r="D430" s="29"/>
      <c r="E430" s="29"/>
      <c r="F430" s="36"/>
      <c r="G430" s="324"/>
      <c r="H430" s="324"/>
      <c r="I430" s="324"/>
      <c r="J430" s="324"/>
      <c r="K430" s="324"/>
      <c r="L430" s="324"/>
      <c r="M430" s="324"/>
      <c r="N430" s="324"/>
      <c r="O430" s="324"/>
      <c r="P430" s="324"/>
      <c r="Q430" s="324"/>
      <c r="R430" s="324"/>
      <c r="S430" s="324"/>
      <c r="T430" s="324"/>
      <c r="U430" s="324"/>
      <c r="V430" s="324"/>
      <c r="W430" s="324"/>
      <c r="X430" s="324"/>
      <c r="Y430" s="324"/>
      <c r="Z430" s="324"/>
      <c r="AA430" s="324"/>
      <c r="AB430" s="324"/>
      <c r="AC430" s="324"/>
      <c r="AD430" s="324"/>
      <c r="AE430" s="324"/>
      <c r="AF430" s="324"/>
    </row>
    <row r="431" spans="3:32" s="294" customFormat="1">
      <c r="C431" s="10"/>
      <c r="D431" s="29"/>
      <c r="E431" s="29"/>
      <c r="F431" s="36"/>
      <c r="G431" s="324"/>
      <c r="H431" s="324"/>
      <c r="I431" s="324"/>
      <c r="J431" s="324"/>
      <c r="K431" s="324"/>
      <c r="L431" s="324"/>
      <c r="M431" s="324"/>
      <c r="N431" s="324"/>
      <c r="O431" s="324"/>
      <c r="P431" s="324"/>
      <c r="Q431" s="324"/>
      <c r="R431" s="324"/>
      <c r="S431" s="324"/>
      <c r="T431" s="324"/>
      <c r="U431" s="324"/>
      <c r="V431" s="324"/>
      <c r="W431" s="324"/>
      <c r="X431" s="324"/>
      <c r="Y431" s="324"/>
      <c r="Z431" s="324"/>
      <c r="AA431" s="324"/>
      <c r="AB431" s="324"/>
      <c r="AC431" s="324"/>
      <c r="AD431" s="324"/>
      <c r="AE431" s="324"/>
      <c r="AF431" s="324"/>
    </row>
    <row r="432" spans="3:32" s="294" customFormat="1">
      <c r="C432" s="10"/>
      <c r="D432" s="29"/>
      <c r="E432" s="29"/>
      <c r="F432" s="36"/>
      <c r="G432" s="324"/>
      <c r="H432" s="324"/>
      <c r="I432" s="324"/>
      <c r="J432" s="324"/>
      <c r="K432" s="324"/>
      <c r="L432" s="324"/>
      <c r="M432" s="324"/>
      <c r="N432" s="324"/>
      <c r="O432" s="324"/>
      <c r="P432" s="324"/>
      <c r="Q432" s="324"/>
      <c r="R432" s="324"/>
      <c r="S432" s="324"/>
      <c r="T432" s="324"/>
      <c r="U432" s="324"/>
      <c r="V432" s="324"/>
      <c r="W432" s="324"/>
      <c r="X432" s="324"/>
      <c r="Y432" s="324"/>
      <c r="Z432" s="324"/>
      <c r="AA432" s="324"/>
      <c r="AB432" s="324"/>
      <c r="AC432" s="324"/>
      <c r="AD432" s="324"/>
      <c r="AE432" s="324"/>
      <c r="AF432" s="324"/>
    </row>
    <row r="433" spans="3:32" s="294" customFormat="1">
      <c r="C433" s="10"/>
      <c r="D433" s="29"/>
      <c r="E433" s="29"/>
      <c r="F433" s="36"/>
      <c r="G433" s="324"/>
      <c r="H433" s="324"/>
      <c r="I433" s="324"/>
      <c r="J433" s="324"/>
      <c r="K433" s="324"/>
      <c r="L433" s="324"/>
      <c r="M433" s="324"/>
      <c r="N433" s="324"/>
      <c r="O433" s="324"/>
      <c r="P433" s="324"/>
      <c r="Q433" s="324"/>
      <c r="R433" s="324"/>
      <c r="S433" s="324"/>
      <c r="T433" s="324"/>
      <c r="U433" s="324"/>
      <c r="V433" s="324"/>
      <c r="W433" s="324"/>
      <c r="X433" s="324"/>
      <c r="Y433" s="324"/>
      <c r="Z433" s="324"/>
      <c r="AA433" s="324"/>
      <c r="AB433" s="324"/>
      <c r="AC433" s="324"/>
      <c r="AD433" s="324"/>
      <c r="AE433" s="324"/>
      <c r="AF433" s="324"/>
    </row>
    <row r="434" spans="3:32" s="294" customFormat="1">
      <c r="C434" s="10"/>
      <c r="D434" s="29"/>
      <c r="E434" s="29"/>
      <c r="F434" s="36"/>
      <c r="G434" s="324"/>
      <c r="H434" s="324"/>
      <c r="I434" s="324"/>
      <c r="J434" s="324"/>
      <c r="K434" s="324"/>
      <c r="L434" s="324"/>
      <c r="M434" s="324"/>
      <c r="N434" s="324"/>
      <c r="O434" s="324"/>
      <c r="P434" s="324"/>
      <c r="Q434" s="324"/>
      <c r="R434" s="324"/>
      <c r="S434" s="324"/>
      <c r="T434" s="324"/>
      <c r="U434" s="324"/>
      <c r="V434" s="324"/>
      <c r="W434" s="324"/>
      <c r="X434" s="324"/>
      <c r="Y434" s="324"/>
      <c r="Z434" s="324"/>
      <c r="AA434" s="324"/>
      <c r="AB434" s="324"/>
      <c r="AC434" s="324"/>
      <c r="AD434" s="324"/>
      <c r="AE434" s="324"/>
      <c r="AF434" s="324"/>
    </row>
    <row r="435" spans="3:32" s="294" customFormat="1">
      <c r="C435" s="10"/>
      <c r="D435" s="29"/>
      <c r="E435" s="29"/>
      <c r="F435" s="36"/>
      <c r="G435" s="324"/>
      <c r="H435" s="324"/>
      <c r="I435" s="324"/>
      <c r="J435" s="324"/>
      <c r="K435" s="324"/>
      <c r="L435" s="324"/>
      <c r="M435" s="324"/>
      <c r="N435" s="324"/>
      <c r="O435" s="324"/>
      <c r="P435" s="324"/>
      <c r="Q435" s="324"/>
      <c r="R435" s="324"/>
      <c r="S435" s="324"/>
      <c r="T435" s="324"/>
      <c r="U435" s="324"/>
      <c r="V435" s="324"/>
      <c r="W435" s="324"/>
      <c r="X435" s="324"/>
      <c r="Y435" s="324"/>
      <c r="Z435" s="324"/>
      <c r="AA435" s="324"/>
      <c r="AB435" s="324"/>
      <c r="AC435" s="324"/>
      <c r="AD435" s="324"/>
      <c r="AE435" s="324"/>
      <c r="AF435" s="324"/>
    </row>
    <row r="436" spans="3:32" s="294" customFormat="1">
      <c r="C436" s="10"/>
      <c r="D436" s="29"/>
      <c r="E436" s="29"/>
      <c r="F436" s="36"/>
      <c r="G436" s="324"/>
      <c r="H436" s="324"/>
      <c r="I436" s="324"/>
      <c r="J436" s="324"/>
      <c r="K436" s="324"/>
      <c r="L436" s="324"/>
      <c r="M436" s="324"/>
      <c r="N436" s="324"/>
      <c r="O436" s="324"/>
      <c r="P436" s="324"/>
      <c r="Q436" s="324"/>
      <c r="R436" s="324"/>
      <c r="S436" s="324"/>
      <c r="T436" s="324"/>
      <c r="U436" s="324"/>
      <c r="V436" s="324"/>
      <c r="W436" s="324"/>
      <c r="X436" s="324"/>
      <c r="Y436" s="324"/>
      <c r="Z436" s="324"/>
      <c r="AA436" s="324"/>
      <c r="AB436" s="324"/>
      <c r="AC436" s="324"/>
      <c r="AD436" s="324"/>
      <c r="AE436" s="324"/>
      <c r="AF436" s="324"/>
    </row>
    <row r="437" spans="3:32" s="294" customFormat="1">
      <c r="C437" s="10"/>
      <c r="D437" s="29"/>
      <c r="E437" s="29"/>
      <c r="F437" s="36"/>
      <c r="G437" s="324"/>
      <c r="H437" s="324"/>
      <c r="I437" s="324"/>
      <c r="J437" s="324"/>
      <c r="K437" s="324"/>
      <c r="L437" s="324"/>
      <c r="M437" s="324"/>
      <c r="N437" s="324"/>
      <c r="O437" s="324"/>
      <c r="P437" s="324"/>
      <c r="Q437" s="324"/>
      <c r="R437" s="324"/>
      <c r="S437" s="324"/>
      <c r="T437" s="324"/>
      <c r="U437" s="324"/>
      <c r="V437" s="324"/>
      <c r="W437" s="324"/>
      <c r="X437" s="324"/>
      <c r="Y437" s="324"/>
      <c r="Z437" s="324"/>
      <c r="AA437" s="324"/>
      <c r="AB437" s="324"/>
      <c r="AC437" s="324"/>
      <c r="AD437" s="324"/>
      <c r="AE437" s="324"/>
      <c r="AF437" s="324"/>
    </row>
    <row r="438" spans="3:32" s="294" customFormat="1">
      <c r="C438" s="10"/>
      <c r="D438" s="29"/>
      <c r="E438" s="29"/>
      <c r="F438" s="36"/>
      <c r="G438" s="324"/>
      <c r="H438" s="324"/>
      <c r="I438" s="324"/>
      <c r="J438" s="324"/>
      <c r="K438" s="324"/>
      <c r="L438" s="324"/>
      <c r="M438" s="324"/>
      <c r="N438" s="324"/>
      <c r="O438" s="324"/>
      <c r="P438" s="324"/>
      <c r="Q438" s="324"/>
      <c r="R438" s="324"/>
      <c r="S438" s="324"/>
      <c r="T438" s="324"/>
      <c r="U438" s="324"/>
      <c r="V438" s="324"/>
      <c r="W438" s="324"/>
      <c r="X438" s="324"/>
      <c r="Y438" s="324"/>
      <c r="Z438" s="324"/>
      <c r="AA438" s="324"/>
      <c r="AB438" s="324"/>
      <c r="AC438" s="324"/>
      <c r="AD438" s="324"/>
      <c r="AE438" s="324"/>
      <c r="AF438" s="324"/>
    </row>
    <row r="439" spans="3:32" s="294" customFormat="1">
      <c r="C439" s="10"/>
      <c r="D439" s="29"/>
      <c r="E439" s="29"/>
      <c r="F439" s="36"/>
      <c r="G439" s="324"/>
      <c r="H439" s="324"/>
      <c r="I439" s="324"/>
      <c r="J439" s="324"/>
      <c r="K439" s="324"/>
      <c r="L439" s="324"/>
      <c r="M439" s="324"/>
      <c r="N439" s="324"/>
      <c r="O439" s="324"/>
      <c r="P439" s="324"/>
      <c r="Q439" s="324"/>
      <c r="R439" s="324"/>
      <c r="S439" s="324"/>
      <c r="T439" s="324"/>
      <c r="U439" s="324"/>
      <c r="V439" s="324"/>
      <c r="W439" s="324"/>
      <c r="X439" s="324"/>
      <c r="Y439" s="324"/>
      <c r="Z439" s="324"/>
      <c r="AA439" s="324"/>
      <c r="AB439" s="324"/>
      <c r="AC439" s="324"/>
      <c r="AD439" s="324"/>
      <c r="AE439" s="324"/>
      <c r="AF439" s="324"/>
    </row>
    <row r="440" spans="3:32" s="294" customFormat="1">
      <c r="C440" s="10"/>
      <c r="D440" s="29"/>
      <c r="E440" s="29"/>
      <c r="F440" s="36"/>
      <c r="G440" s="324"/>
      <c r="H440" s="324"/>
      <c r="I440" s="324"/>
      <c r="J440" s="324"/>
      <c r="K440" s="324"/>
      <c r="L440" s="324"/>
      <c r="M440" s="324"/>
      <c r="N440" s="324"/>
      <c r="O440" s="324"/>
      <c r="P440" s="324"/>
      <c r="Q440" s="324"/>
      <c r="R440" s="324"/>
      <c r="S440" s="324"/>
      <c r="T440" s="324"/>
      <c r="U440" s="324"/>
      <c r="V440" s="324"/>
      <c r="W440" s="324"/>
      <c r="X440" s="324"/>
      <c r="Y440" s="324"/>
      <c r="Z440" s="324"/>
      <c r="AA440" s="324"/>
      <c r="AB440" s="324"/>
      <c r="AC440" s="324"/>
      <c r="AD440" s="324"/>
      <c r="AE440" s="324"/>
      <c r="AF440" s="324"/>
    </row>
    <row r="441" spans="3:32" s="294" customFormat="1">
      <c r="C441" s="10"/>
      <c r="D441" s="29"/>
      <c r="E441" s="29"/>
      <c r="F441" s="36"/>
      <c r="G441" s="324"/>
      <c r="H441" s="324"/>
      <c r="I441" s="324"/>
      <c r="J441" s="324"/>
      <c r="K441" s="324"/>
      <c r="L441" s="324"/>
      <c r="M441" s="324"/>
      <c r="N441" s="324"/>
      <c r="O441" s="324"/>
      <c r="P441" s="324"/>
      <c r="Q441" s="324"/>
      <c r="R441" s="324"/>
      <c r="S441" s="324"/>
      <c r="T441" s="324"/>
      <c r="U441" s="324"/>
      <c r="V441" s="324"/>
      <c r="W441" s="324"/>
      <c r="X441" s="324"/>
      <c r="Y441" s="324"/>
      <c r="Z441" s="324"/>
      <c r="AA441" s="324"/>
      <c r="AB441" s="324"/>
      <c r="AC441" s="324"/>
      <c r="AD441" s="324"/>
      <c r="AE441" s="324"/>
      <c r="AF441" s="324"/>
    </row>
    <row r="442" spans="3:32" s="294" customFormat="1">
      <c r="C442" s="10"/>
      <c r="D442" s="29"/>
      <c r="E442" s="29"/>
      <c r="F442" s="36"/>
      <c r="G442" s="324"/>
      <c r="H442" s="324"/>
      <c r="I442" s="324"/>
      <c r="J442" s="324"/>
      <c r="K442" s="324"/>
      <c r="L442" s="324"/>
      <c r="M442" s="324"/>
      <c r="N442" s="324"/>
      <c r="O442" s="324"/>
      <c r="P442" s="324"/>
      <c r="Q442" s="324"/>
      <c r="R442" s="324"/>
      <c r="S442" s="324"/>
      <c r="T442" s="324"/>
      <c r="U442" s="324"/>
      <c r="V442" s="324"/>
      <c r="W442" s="324"/>
      <c r="X442" s="324"/>
      <c r="Y442" s="324"/>
      <c r="Z442" s="324"/>
      <c r="AA442" s="324"/>
      <c r="AB442" s="324"/>
      <c r="AC442" s="324"/>
      <c r="AD442" s="324"/>
      <c r="AE442" s="324"/>
      <c r="AF442" s="324"/>
    </row>
    <row r="443" spans="3:32" s="294" customFormat="1">
      <c r="C443" s="10"/>
      <c r="D443" s="29"/>
      <c r="E443" s="29"/>
      <c r="F443" s="36"/>
      <c r="G443" s="324"/>
      <c r="H443" s="324"/>
      <c r="I443" s="324"/>
      <c r="J443" s="324"/>
      <c r="K443" s="324"/>
      <c r="L443" s="324"/>
      <c r="M443" s="324"/>
      <c r="N443" s="324"/>
      <c r="O443" s="324"/>
      <c r="P443" s="324"/>
      <c r="Q443" s="324"/>
      <c r="R443" s="324"/>
      <c r="S443" s="324"/>
      <c r="T443" s="324"/>
      <c r="U443" s="324"/>
      <c r="V443" s="324"/>
      <c r="W443" s="324"/>
      <c r="X443" s="324"/>
      <c r="Y443" s="324"/>
      <c r="Z443" s="324"/>
      <c r="AA443" s="324"/>
      <c r="AB443" s="324"/>
      <c r="AC443" s="324"/>
      <c r="AD443" s="324"/>
      <c r="AE443" s="324"/>
      <c r="AF443" s="324"/>
    </row>
    <row r="444" spans="3:32" s="294" customFormat="1">
      <c r="C444" s="10"/>
      <c r="D444" s="29"/>
      <c r="E444" s="29"/>
      <c r="F444" s="36"/>
      <c r="G444" s="324"/>
      <c r="H444" s="324"/>
      <c r="I444" s="324"/>
      <c r="J444" s="324"/>
      <c r="K444" s="324"/>
      <c r="L444" s="324"/>
      <c r="M444" s="324"/>
      <c r="N444" s="324"/>
      <c r="O444" s="324"/>
      <c r="P444" s="324"/>
      <c r="Q444" s="324"/>
      <c r="R444" s="324"/>
      <c r="S444" s="324"/>
      <c r="T444" s="324"/>
      <c r="U444" s="324"/>
      <c r="V444" s="324"/>
      <c r="W444" s="324"/>
      <c r="X444" s="324"/>
      <c r="Y444" s="324"/>
      <c r="Z444" s="324"/>
      <c r="AA444" s="324"/>
      <c r="AB444" s="324"/>
      <c r="AC444" s="324"/>
      <c r="AD444" s="324"/>
      <c r="AE444" s="324"/>
      <c r="AF444" s="324"/>
    </row>
    <row r="445" spans="3:32" s="294" customFormat="1">
      <c r="C445" s="10"/>
      <c r="D445" s="29"/>
      <c r="E445" s="29"/>
      <c r="F445" s="36"/>
      <c r="G445" s="324"/>
      <c r="H445" s="324"/>
      <c r="I445" s="324"/>
      <c r="J445" s="324"/>
      <c r="K445" s="324"/>
      <c r="L445" s="324"/>
      <c r="M445" s="324"/>
      <c r="N445" s="324"/>
      <c r="O445" s="324"/>
      <c r="P445" s="324"/>
      <c r="Q445" s="324"/>
      <c r="R445" s="324"/>
      <c r="S445" s="324"/>
      <c r="T445" s="324"/>
      <c r="U445" s="324"/>
      <c r="V445" s="324"/>
      <c r="W445" s="324"/>
      <c r="X445" s="324"/>
      <c r="Y445" s="324"/>
      <c r="Z445" s="324"/>
      <c r="AA445" s="324"/>
      <c r="AB445" s="324"/>
      <c r="AC445" s="324"/>
      <c r="AD445" s="324"/>
      <c r="AE445" s="324"/>
      <c r="AF445" s="324"/>
    </row>
    <row r="446" spans="3:32" s="294" customFormat="1">
      <c r="C446" s="10"/>
      <c r="D446" s="29"/>
      <c r="E446" s="29"/>
      <c r="F446" s="36"/>
      <c r="G446" s="324"/>
      <c r="H446" s="324"/>
      <c r="I446" s="324"/>
      <c r="J446" s="324"/>
      <c r="K446" s="324"/>
      <c r="L446" s="324"/>
      <c r="M446" s="324"/>
      <c r="N446" s="324"/>
      <c r="O446" s="324"/>
      <c r="P446" s="324"/>
      <c r="Q446" s="324"/>
      <c r="R446" s="324"/>
      <c r="S446" s="324"/>
      <c r="T446" s="324"/>
      <c r="U446" s="324"/>
      <c r="V446" s="324"/>
      <c r="W446" s="324"/>
      <c r="X446" s="324"/>
      <c r="Y446" s="324"/>
      <c r="Z446" s="324"/>
      <c r="AA446" s="324"/>
      <c r="AB446" s="324"/>
      <c r="AC446" s="324"/>
      <c r="AD446" s="324"/>
      <c r="AE446" s="324"/>
      <c r="AF446" s="324"/>
    </row>
    <row r="447" spans="3:32" s="294" customFormat="1">
      <c r="C447" s="10"/>
      <c r="D447" s="29"/>
      <c r="E447" s="29"/>
      <c r="F447" s="36"/>
      <c r="G447" s="324"/>
      <c r="H447" s="324"/>
      <c r="I447" s="324"/>
      <c r="J447" s="324"/>
      <c r="K447" s="324"/>
      <c r="L447" s="324"/>
      <c r="M447" s="324"/>
      <c r="N447" s="324"/>
      <c r="O447" s="324"/>
      <c r="P447" s="324"/>
      <c r="Q447" s="324"/>
      <c r="R447" s="324"/>
      <c r="S447" s="324"/>
      <c r="T447" s="324"/>
      <c r="U447" s="324"/>
      <c r="V447" s="324"/>
      <c r="W447" s="324"/>
      <c r="X447" s="324"/>
      <c r="Y447" s="324"/>
      <c r="Z447" s="324"/>
      <c r="AA447" s="324"/>
      <c r="AB447" s="324"/>
      <c r="AC447" s="324"/>
      <c r="AD447" s="324"/>
      <c r="AE447" s="324"/>
      <c r="AF447" s="324"/>
    </row>
    <row r="448" spans="3:32" s="294" customFormat="1">
      <c r="C448" s="10"/>
      <c r="D448" s="29"/>
      <c r="E448" s="29"/>
      <c r="F448" s="36"/>
      <c r="G448" s="324"/>
      <c r="H448" s="324"/>
      <c r="I448" s="324"/>
      <c r="J448" s="324"/>
      <c r="K448" s="324"/>
      <c r="L448" s="324"/>
      <c r="M448" s="324"/>
      <c r="N448" s="324"/>
      <c r="O448" s="324"/>
      <c r="P448" s="324"/>
      <c r="Q448" s="324"/>
      <c r="R448" s="324"/>
      <c r="S448" s="324"/>
      <c r="T448" s="324"/>
      <c r="U448" s="324"/>
      <c r="V448" s="324"/>
      <c r="W448" s="324"/>
      <c r="X448" s="324"/>
      <c r="Y448" s="324"/>
      <c r="Z448" s="324"/>
      <c r="AA448" s="324"/>
      <c r="AB448" s="324"/>
      <c r="AC448" s="324"/>
      <c r="AD448" s="324"/>
      <c r="AE448" s="324"/>
      <c r="AF448" s="324"/>
    </row>
    <row r="449" spans="3:32" s="294" customFormat="1">
      <c r="C449" s="10"/>
      <c r="D449" s="29"/>
      <c r="E449" s="29"/>
      <c r="F449" s="36"/>
      <c r="G449" s="324"/>
      <c r="H449" s="324"/>
      <c r="I449" s="324"/>
      <c r="J449" s="324"/>
      <c r="K449" s="324"/>
      <c r="L449" s="324"/>
      <c r="M449" s="324"/>
      <c r="N449" s="324"/>
      <c r="O449" s="324"/>
      <c r="P449" s="324"/>
      <c r="Q449" s="324"/>
      <c r="R449" s="324"/>
      <c r="S449" s="324"/>
      <c r="T449" s="324"/>
      <c r="U449" s="324"/>
      <c r="V449" s="324"/>
      <c r="W449" s="324"/>
      <c r="X449" s="324"/>
      <c r="Y449" s="324"/>
      <c r="Z449" s="324"/>
      <c r="AA449" s="324"/>
      <c r="AB449" s="324"/>
      <c r="AC449" s="324"/>
      <c r="AD449" s="324"/>
      <c r="AE449" s="324"/>
      <c r="AF449" s="324"/>
    </row>
    <row r="450" spans="3:32" s="294" customFormat="1">
      <c r="C450" s="10"/>
      <c r="D450" s="29"/>
      <c r="E450" s="29"/>
      <c r="F450" s="36"/>
      <c r="G450" s="324"/>
      <c r="H450" s="324"/>
      <c r="I450" s="324"/>
      <c r="J450" s="324"/>
      <c r="K450" s="324"/>
      <c r="L450" s="324"/>
      <c r="M450" s="324"/>
      <c r="N450" s="324"/>
      <c r="O450" s="324"/>
      <c r="P450" s="324"/>
      <c r="Q450" s="324"/>
      <c r="R450" s="324"/>
      <c r="S450" s="324"/>
      <c r="T450" s="324"/>
      <c r="U450" s="324"/>
      <c r="V450" s="324"/>
      <c r="W450" s="324"/>
      <c r="X450" s="324"/>
      <c r="Y450" s="324"/>
      <c r="Z450" s="324"/>
      <c r="AA450" s="324"/>
      <c r="AB450" s="324"/>
      <c r="AC450" s="324"/>
      <c r="AD450" s="324"/>
      <c r="AE450" s="324"/>
      <c r="AF450" s="324"/>
    </row>
    <row r="451" spans="3:32" s="294" customFormat="1">
      <c r="C451" s="10"/>
      <c r="D451" s="29"/>
      <c r="E451" s="29"/>
      <c r="F451" s="36"/>
      <c r="G451" s="324"/>
      <c r="H451" s="324"/>
      <c r="I451" s="324"/>
      <c r="J451" s="324"/>
      <c r="K451" s="324"/>
      <c r="L451" s="324"/>
      <c r="M451" s="324"/>
      <c r="N451" s="324"/>
      <c r="O451" s="324"/>
      <c r="P451" s="324"/>
      <c r="Q451" s="324"/>
      <c r="R451" s="324"/>
      <c r="S451" s="324"/>
      <c r="T451" s="324"/>
      <c r="U451" s="324"/>
      <c r="V451" s="324"/>
      <c r="W451" s="324"/>
      <c r="X451" s="324"/>
      <c r="Y451" s="324"/>
      <c r="Z451" s="324"/>
      <c r="AA451" s="324"/>
      <c r="AB451" s="324"/>
      <c r="AC451" s="324"/>
      <c r="AD451" s="324"/>
      <c r="AE451" s="324"/>
      <c r="AF451" s="324"/>
    </row>
    <row r="452" spans="3:32" s="294" customFormat="1">
      <c r="C452" s="10"/>
      <c r="D452" s="29"/>
      <c r="E452" s="29"/>
      <c r="F452" s="36"/>
      <c r="G452" s="324"/>
      <c r="H452" s="324"/>
      <c r="I452" s="324"/>
      <c r="J452" s="324"/>
      <c r="K452" s="324"/>
      <c r="L452" s="324"/>
      <c r="M452" s="324"/>
      <c r="N452" s="324"/>
      <c r="O452" s="324"/>
      <c r="P452" s="324"/>
      <c r="Q452" s="324"/>
      <c r="R452" s="324"/>
      <c r="S452" s="324"/>
      <c r="T452" s="324"/>
      <c r="U452" s="324"/>
      <c r="V452" s="324"/>
      <c r="W452" s="324"/>
      <c r="X452" s="324"/>
      <c r="Y452" s="324"/>
      <c r="Z452" s="324"/>
      <c r="AA452" s="324"/>
      <c r="AB452" s="324"/>
      <c r="AC452" s="324"/>
      <c r="AD452" s="324"/>
      <c r="AE452" s="324"/>
      <c r="AF452" s="324"/>
    </row>
    <row r="453" spans="3:32" s="294" customFormat="1">
      <c r="C453" s="10"/>
      <c r="D453" s="29"/>
      <c r="E453" s="29"/>
      <c r="F453" s="36"/>
      <c r="G453" s="324"/>
      <c r="H453" s="324"/>
      <c r="I453" s="324"/>
      <c r="J453" s="324"/>
      <c r="K453" s="324"/>
      <c r="L453" s="324"/>
      <c r="M453" s="324"/>
      <c r="N453" s="324"/>
      <c r="O453" s="324"/>
      <c r="P453" s="324"/>
      <c r="Q453" s="324"/>
      <c r="R453" s="324"/>
      <c r="S453" s="324"/>
      <c r="T453" s="324"/>
      <c r="U453" s="324"/>
      <c r="V453" s="324"/>
      <c r="W453" s="324"/>
      <c r="X453" s="324"/>
      <c r="Y453" s="324"/>
      <c r="Z453" s="324"/>
      <c r="AA453" s="324"/>
      <c r="AB453" s="324"/>
      <c r="AC453" s="324"/>
      <c r="AD453" s="324"/>
      <c r="AE453" s="324"/>
      <c r="AF453" s="324"/>
    </row>
    <row r="454" spans="3:32" s="294" customFormat="1">
      <c r="C454" s="10"/>
      <c r="D454" s="29"/>
      <c r="E454" s="29"/>
      <c r="F454" s="36"/>
      <c r="G454" s="324"/>
      <c r="H454" s="324"/>
      <c r="I454" s="324"/>
      <c r="J454" s="324"/>
      <c r="K454" s="324"/>
      <c r="L454" s="324"/>
      <c r="M454" s="324"/>
      <c r="N454" s="324"/>
      <c r="O454" s="324"/>
      <c r="P454" s="324"/>
      <c r="Q454" s="324"/>
      <c r="R454" s="324"/>
      <c r="S454" s="324"/>
      <c r="T454" s="324"/>
      <c r="U454" s="324"/>
      <c r="V454" s="324"/>
      <c r="W454" s="324"/>
      <c r="X454" s="324"/>
      <c r="Y454" s="324"/>
      <c r="Z454" s="324"/>
      <c r="AA454" s="324"/>
      <c r="AB454" s="324"/>
      <c r="AC454" s="324"/>
      <c r="AD454" s="324"/>
      <c r="AE454" s="324"/>
      <c r="AF454" s="324"/>
    </row>
    <row r="455" spans="3:32" s="294" customFormat="1">
      <c r="C455" s="10"/>
      <c r="D455" s="29"/>
      <c r="E455" s="29"/>
      <c r="F455" s="36"/>
      <c r="G455" s="324"/>
      <c r="H455" s="324"/>
      <c r="I455" s="324"/>
      <c r="J455" s="324"/>
      <c r="K455" s="324"/>
      <c r="L455" s="324"/>
      <c r="M455" s="324"/>
      <c r="N455" s="324"/>
      <c r="O455" s="324"/>
      <c r="P455" s="324"/>
      <c r="Q455" s="324"/>
      <c r="R455" s="324"/>
      <c r="S455" s="324"/>
      <c r="T455" s="324"/>
      <c r="U455" s="324"/>
      <c r="V455" s="324"/>
      <c r="W455" s="324"/>
      <c r="X455" s="324"/>
      <c r="Y455" s="324"/>
      <c r="Z455" s="324"/>
      <c r="AA455" s="324"/>
      <c r="AB455" s="324"/>
      <c r="AC455" s="324"/>
      <c r="AD455" s="324"/>
      <c r="AE455" s="324"/>
      <c r="AF455" s="324"/>
    </row>
    <row r="456" spans="3:32" s="294" customFormat="1">
      <c r="C456" s="10"/>
      <c r="D456" s="29"/>
      <c r="E456" s="29"/>
      <c r="F456" s="36"/>
      <c r="G456" s="324"/>
      <c r="H456" s="324"/>
      <c r="I456" s="324"/>
      <c r="J456" s="324"/>
      <c r="K456" s="324"/>
      <c r="L456" s="324"/>
      <c r="M456" s="324"/>
      <c r="N456" s="324"/>
      <c r="O456" s="324"/>
      <c r="P456" s="324"/>
      <c r="Q456" s="324"/>
      <c r="R456" s="324"/>
      <c r="S456" s="324"/>
      <c r="T456" s="324"/>
      <c r="U456" s="324"/>
      <c r="V456" s="324"/>
      <c r="W456" s="324"/>
      <c r="X456" s="324"/>
      <c r="Y456" s="324"/>
      <c r="Z456" s="324"/>
      <c r="AA456" s="324"/>
      <c r="AB456" s="324"/>
      <c r="AC456" s="324"/>
      <c r="AD456" s="324"/>
      <c r="AE456" s="324"/>
      <c r="AF456" s="324"/>
    </row>
    <row r="457" spans="3:32" s="294" customFormat="1">
      <c r="C457" s="10"/>
      <c r="D457" s="29"/>
      <c r="E457" s="29"/>
      <c r="F457" s="36"/>
      <c r="G457" s="324"/>
      <c r="H457" s="324"/>
      <c r="I457" s="324"/>
      <c r="J457" s="324"/>
      <c r="K457" s="324"/>
      <c r="L457" s="324"/>
      <c r="M457" s="324"/>
      <c r="N457" s="324"/>
      <c r="O457" s="324"/>
      <c r="P457" s="324"/>
      <c r="Q457" s="324"/>
      <c r="R457" s="324"/>
      <c r="S457" s="324"/>
      <c r="T457" s="324"/>
      <c r="U457" s="324"/>
      <c r="V457" s="324"/>
      <c r="W457" s="324"/>
      <c r="X457" s="324"/>
      <c r="Y457" s="324"/>
      <c r="Z457" s="324"/>
      <c r="AA457" s="324"/>
      <c r="AB457" s="324"/>
      <c r="AC457" s="324"/>
      <c r="AD457" s="324"/>
      <c r="AE457" s="324"/>
      <c r="AF457" s="324"/>
    </row>
    <row r="458" spans="3:32" s="294" customFormat="1">
      <c r="C458" s="10"/>
      <c r="D458" s="29"/>
      <c r="E458" s="29"/>
      <c r="F458" s="36"/>
      <c r="G458" s="324"/>
      <c r="H458" s="324"/>
      <c r="I458" s="324"/>
      <c r="J458" s="324"/>
      <c r="K458" s="324"/>
      <c r="L458" s="324"/>
      <c r="M458" s="324"/>
      <c r="N458" s="324"/>
      <c r="O458" s="324"/>
      <c r="P458" s="324"/>
      <c r="Q458" s="324"/>
      <c r="R458" s="324"/>
      <c r="S458" s="324"/>
      <c r="T458" s="324"/>
      <c r="U458" s="324"/>
      <c r="V458" s="324"/>
      <c r="W458" s="324"/>
      <c r="X458" s="324"/>
      <c r="Y458" s="324"/>
      <c r="Z458" s="324"/>
      <c r="AA458" s="324"/>
      <c r="AB458" s="324"/>
      <c r="AC458" s="324"/>
      <c r="AD458" s="324"/>
      <c r="AE458" s="324"/>
      <c r="AF458" s="324"/>
    </row>
    <row r="459" spans="3:32" s="294" customFormat="1">
      <c r="C459" s="10"/>
      <c r="D459" s="29"/>
      <c r="E459" s="29"/>
      <c r="F459" s="36"/>
      <c r="G459" s="324"/>
      <c r="H459" s="324"/>
      <c r="I459" s="324"/>
      <c r="J459" s="324"/>
      <c r="K459" s="324"/>
      <c r="L459" s="324"/>
      <c r="M459" s="324"/>
      <c r="N459" s="324"/>
      <c r="O459" s="324"/>
      <c r="P459" s="324"/>
      <c r="Q459" s="324"/>
      <c r="R459" s="324"/>
      <c r="S459" s="324"/>
      <c r="T459" s="324"/>
      <c r="U459" s="324"/>
      <c r="V459" s="324"/>
      <c r="W459" s="324"/>
      <c r="X459" s="324"/>
      <c r="Y459" s="324"/>
      <c r="Z459" s="324"/>
      <c r="AA459" s="324"/>
      <c r="AB459" s="324"/>
      <c r="AC459" s="324"/>
      <c r="AD459" s="324"/>
      <c r="AE459" s="324"/>
      <c r="AF459" s="324"/>
    </row>
    <row r="460" spans="3:32" s="294" customFormat="1">
      <c r="C460" s="10"/>
      <c r="D460" s="29"/>
      <c r="E460" s="29"/>
      <c r="F460" s="36"/>
      <c r="G460" s="324"/>
      <c r="H460" s="324"/>
      <c r="I460" s="324"/>
      <c r="J460" s="324"/>
      <c r="K460" s="324"/>
      <c r="L460" s="324"/>
      <c r="M460" s="324"/>
      <c r="N460" s="324"/>
      <c r="O460" s="324"/>
      <c r="P460" s="324"/>
      <c r="Q460" s="324"/>
      <c r="R460" s="324"/>
      <c r="S460" s="324"/>
      <c r="T460" s="324"/>
      <c r="U460" s="324"/>
      <c r="V460" s="324"/>
      <c r="W460" s="324"/>
      <c r="X460" s="324"/>
      <c r="Y460" s="324"/>
      <c r="Z460" s="324"/>
      <c r="AA460" s="324"/>
      <c r="AB460" s="324"/>
      <c r="AC460" s="324"/>
      <c r="AD460" s="324"/>
      <c r="AE460" s="324"/>
      <c r="AF460" s="324"/>
    </row>
    <row r="461" spans="3:32" s="294" customFormat="1">
      <c r="C461" s="10"/>
      <c r="D461" s="29"/>
      <c r="E461" s="29"/>
      <c r="F461" s="36"/>
      <c r="G461" s="324"/>
      <c r="H461" s="324"/>
      <c r="I461" s="324"/>
      <c r="J461" s="324"/>
      <c r="K461" s="324"/>
      <c r="L461" s="324"/>
      <c r="M461" s="324"/>
      <c r="N461" s="324"/>
      <c r="O461" s="324"/>
      <c r="P461" s="324"/>
      <c r="Q461" s="324"/>
      <c r="R461" s="324"/>
      <c r="S461" s="324"/>
      <c r="T461" s="324"/>
      <c r="U461" s="324"/>
      <c r="V461" s="324"/>
      <c r="W461" s="324"/>
      <c r="X461" s="324"/>
      <c r="Y461" s="324"/>
      <c r="Z461" s="324"/>
      <c r="AA461" s="324"/>
      <c r="AB461" s="324"/>
      <c r="AC461" s="324"/>
      <c r="AD461" s="324"/>
      <c r="AE461" s="324"/>
      <c r="AF461" s="324"/>
    </row>
    <row r="462" spans="3:32" s="294" customFormat="1">
      <c r="C462" s="10"/>
      <c r="D462" s="29"/>
      <c r="E462" s="29"/>
      <c r="F462" s="36"/>
      <c r="G462" s="324"/>
      <c r="H462" s="324"/>
      <c r="I462" s="324"/>
      <c r="J462" s="324"/>
      <c r="K462" s="324"/>
      <c r="L462" s="324"/>
      <c r="M462" s="324"/>
      <c r="N462" s="324"/>
      <c r="O462" s="324"/>
      <c r="P462" s="324"/>
      <c r="Q462" s="324"/>
      <c r="R462" s="324"/>
      <c r="S462" s="324"/>
      <c r="T462" s="324"/>
      <c r="U462" s="324"/>
      <c r="V462" s="324"/>
      <c r="W462" s="324"/>
      <c r="X462" s="324"/>
      <c r="Y462" s="324"/>
      <c r="Z462" s="324"/>
      <c r="AA462" s="324"/>
      <c r="AB462" s="324"/>
      <c r="AC462" s="324"/>
      <c r="AD462" s="324"/>
      <c r="AE462" s="324"/>
      <c r="AF462" s="324"/>
    </row>
    <row r="463" spans="3:32" s="294" customFormat="1">
      <c r="C463" s="10"/>
      <c r="D463" s="29"/>
      <c r="E463" s="29"/>
      <c r="F463" s="36"/>
      <c r="G463" s="324"/>
      <c r="H463" s="324"/>
      <c r="I463" s="324"/>
      <c r="J463" s="324"/>
      <c r="K463" s="324"/>
      <c r="L463" s="324"/>
      <c r="M463" s="324"/>
      <c r="N463" s="324"/>
      <c r="O463" s="324"/>
      <c r="P463" s="324"/>
      <c r="Q463" s="324"/>
      <c r="R463" s="324"/>
      <c r="S463" s="324"/>
      <c r="T463" s="324"/>
      <c r="U463" s="324"/>
      <c r="V463" s="324"/>
      <c r="W463" s="324"/>
      <c r="X463" s="324"/>
      <c r="Y463" s="324"/>
      <c r="Z463" s="324"/>
      <c r="AA463" s="324"/>
      <c r="AB463" s="324"/>
      <c r="AC463" s="324"/>
      <c r="AD463" s="324"/>
      <c r="AE463" s="324"/>
      <c r="AF463" s="324"/>
    </row>
    <row r="464" spans="3:32" s="294" customFormat="1">
      <c r="C464" s="10"/>
      <c r="D464" s="29"/>
      <c r="E464" s="29"/>
      <c r="F464" s="36"/>
      <c r="G464" s="324"/>
      <c r="H464" s="324"/>
      <c r="I464" s="324"/>
      <c r="J464" s="324"/>
      <c r="K464" s="324"/>
      <c r="L464" s="324"/>
      <c r="M464" s="324"/>
      <c r="N464" s="324"/>
      <c r="O464" s="324"/>
      <c r="P464" s="324"/>
      <c r="Q464" s="324"/>
      <c r="R464" s="324"/>
      <c r="S464" s="324"/>
      <c r="T464" s="324"/>
      <c r="U464" s="324"/>
      <c r="V464" s="324"/>
      <c r="W464" s="324"/>
      <c r="X464" s="324"/>
      <c r="Y464" s="324"/>
      <c r="Z464" s="324"/>
      <c r="AA464" s="324"/>
      <c r="AB464" s="324"/>
      <c r="AC464" s="324"/>
      <c r="AD464" s="324"/>
      <c r="AE464" s="324"/>
      <c r="AF464" s="324"/>
    </row>
    <row r="465" spans="3:32" s="294" customFormat="1">
      <c r="C465" s="10"/>
      <c r="D465" s="29"/>
      <c r="E465" s="29"/>
      <c r="F465" s="36"/>
      <c r="G465" s="324"/>
      <c r="H465" s="324"/>
      <c r="I465" s="324"/>
      <c r="J465" s="324"/>
      <c r="K465" s="324"/>
      <c r="L465" s="324"/>
      <c r="M465" s="324"/>
      <c r="N465" s="324"/>
      <c r="O465" s="324"/>
      <c r="P465" s="324"/>
      <c r="Q465" s="324"/>
      <c r="R465" s="324"/>
      <c r="S465" s="324"/>
      <c r="T465" s="324"/>
      <c r="U465" s="324"/>
      <c r="V465" s="324"/>
      <c r="W465" s="324"/>
      <c r="X465" s="324"/>
      <c r="Y465" s="324"/>
      <c r="Z465" s="324"/>
      <c r="AA465" s="324"/>
      <c r="AB465" s="324"/>
      <c r="AC465" s="324"/>
      <c r="AD465" s="324"/>
      <c r="AE465" s="324"/>
      <c r="AF465" s="324"/>
    </row>
    <row r="466" spans="3:32" s="294" customFormat="1">
      <c r="C466" s="10"/>
      <c r="D466" s="29"/>
      <c r="E466" s="29"/>
      <c r="F466" s="36"/>
      <c r="G466" s="324"/>
      <c r="H466" s="324"/>
      <c r="I466" s="324"/>
      <c r="J466" s="324"/>
      <c r="K466" s="324"/>
      <c r="L466" s="324"/>
      <c r="M466" s="324"/>
      <c r="N466" s="324"/>
      <c r="O466" s="324"/>
      <c r="P466" s="324"/>
      <c r="Q466" s="324"/>
      <c r="R466" s="324"/>
      <c r="S466" s="324"/>
      <c r="T466" s="324"/>
      <c r="U466" s="324"/>
      <c r="V466" s="324"/>
      <c r="W466" s="324"/>
      <c r="X466" s="324"/>
      <c r="Y466" s="324"/>
      <c r="Z466" s="324"/>
      <c r="AA466" s="324"/>
      <c r="AB466" s="324"/>
      <c r="AC466" s="324"/>
      <c r="AD466" s="324"/>
      <c r="AE466" s="324"/>
      <c r="AF466" s="324"/>
    </row>
    <row r="467" spans="3:32" s="294" customFormat="1">
      <c r="C467" s="10"/>
      <c r="D467" s="29"/>
      <c r="E467" s="29"/>
      <c r="F467" s="36"/>
      <c r="G467" s="324"/>
      <c r="H467" s="324"/>
      <c r="I467" s="324"/>
      <c r="J467" s="324"/>
      <c r="K467" s="324"/>
      <c r="L467" s="324"/>
      <c r="M467" s="324"/>
      <c r="N467" s="324"/>
      <c r="O467" s="324"/>
      <c r="P467" s="324"/>
      <c r="Q467" s="324"/>
      <c r="R467" s="324"/>
      <c r="S467" s="324"/>
      <c r="T467" s="324"/>
      <c r="U467" s="324"/>
      <c r="V467" s="324"/>
      <c r="W467" s="324"/>
      <c r="X467" s="324"/>
      <c r="Y467" s="324"/>
      <c r="Z467" s="324"/>
      <c r="AA467" s="324"/>
      <c r="AB467" s="324"/>
      <c r="AC467" s="324"/>
      <c r="AD467" s="324"/>
      <c r="AE467" s="324"/>
      <c r="AF467" s="324"/>
    </row>
    <row r="468" spans="3:32" s="294" customFormat="1">
      <c r="C468" s="10"/>
      <c r="D468" s="29"/>
      <c r="E468" s="29"/>
      <c r="F468" s="36"/>
      <c r="G468" s="324"/>
      <c r="H468" s="324"/>
      <c r="I468" s="324"/>
      <c r="J468" s="324"/>
      <c r="K468" s="324"/>
      <c r="L468" s="324"/>
      <c r="M468" s="324"/>
      <c r="N468" s="324"/>
      <c r="O468" s="324"/>
      <c r="P468" s="324"/>
      <c r="Q468" s="324"/>
      <c r="R468" s="324"/>
      <c r="S468" s="324"/>
      <c r="T468" s="324"/>
      <c r="U468" s="324"/>
      <c r="V468" s="324"/>
      <c r="W468" s="324"/>
      <c r="X468" s="324"/>
      <c r="Y468" s="324"/>
      <c r="Z468" s="324"/>
      <c r="AA468" s="324"/>
      <c r="AB468" s="324"/>
      <c r="AC468" s="324"/>
      <c r="AD468" s="324"/>
      <c r="AE468" s="324"/>
      <c r="AF468" s="324"/>
    </row>
    <row r="469" spans="3:32" s="294" customFormat="1">
      <c r="C469" s="10"/>
      <c r="D469" s="29"/>
      <c r="E469" s="29"/>
      <c r="F469" s="36"/>
      <c r="G469" s="324"/>
      <c r="H469" s="324"/>
      <c r="I469" s="324"/>
      <c r="J469" s="324"/>
      <c r="K469" s="324"/>
      <c r="L469" s="324"/>
      <c r="M469" s="324"/>
      <c r="N469" s="324"/>
      <c r="O469" s="324"/>
      <c r="P469" s="324"/>
      <c r="Q469" s="324"/>
      <c r="R469" s="324"/>
      <c r="S469" s="324"/>
      <c r="T469" s="324"/>
      <c r="U469" s="324"/>
      <c r="V469" s="324"/>
      <c r="W469" s="324"/>
      <c r="X469" s="324"/>
      <c r="Y469" s="324"/>
      <c r="Z469" s="324"/>
      <c r="AA469" s="324"/>
      <c r="AB469" s="324"/>
      <c r="AC469" s="324"/>
      <c r="AD469" s="324"/>
      <c r="AE469" s="324"/>
      <c r="AF469" s="324"/>
    </row>
    <row r="470" spans="3:32" s="294" customFormat="1">
      <c r="C470" s="10"/>
      <c r="D470" s="29"/>
      <c r="E470" s="29"/>
      <c r="F470" s="36"/>
      <c r="G470" s="324"/>
      <c r="H470" s="324"/>
      <c r="I470" s="324"/>
      <c r="J470" s="324"/>
      <c r="K470" s="324"/>
      <c r="L470" s="324"/>
      <c r="M470" s="324"/>
      <c r="N470" s="324"/>
      <c r="O470" s="324"/>
      <c r="P470" s="324"/>
      <c r="Q470" s="324"/>
      <c r="R470" s="324"/>
      <c r="S470" s="324"/>
      <c r="T470" s="324"/>
      <c r="U470" s="324"/>
      <c r="V470" s="324"/>
      <c r="W470" s="324"/>
      <c r="X470" s="324"/>
      <c r="Y470" s="324"/>
      <c r="Z470" s="324"/>
      <c r="AA470" s="324"/>
      <c r="AB470" s="324"/>
      <c r="AC470" s="324"/>
      <c r="AD470" s="324"/>
      <c r="AE470" s="324"/>
      <c r="AF470" s="324"/>
    </row>
    <row r="471" spans="3:32" s="294" customFormat="1">
      <c r="C471" s="10"/>
      <c r="D471" s="29"/>
      <c r="E471" s="29"/>
      <c r="F471" s="36"/>
      <c r="G471" s="324"/>
      <c r="H471" s="324"/>
      <c r="I471" s="324"/>
      <c r="J471" s="324"/>
      <c r="K471" s="324"/>
      <c r="L471" s="324"/>
      <c r="M471" s="324"/>
      <c r="N471" s="324"/>
      <c r="O471" s="324"/>
      <c r="P471" s="324"/>
      <c r="Q471" s="324"/>
      <c r="R471" s="324"/>
      <c r="S471" s="324"/>
      <c r="T471" s="324"/>
      <c r="U471" s="324"/>
      <c r="V471" s="324"/>
      <c r="W471" s="324"/>
      <c r="X471" s="324"/>
      <c r="Y471" s="324"/>
      <c r="Z471" s="324"/>
      <c r="AA471" s="324"/>
      <c r="AB471" s="324"/>
      <c r="AC471" s="324"/>
      <c r="AD471" s="324"/>
      <c r="AE471" s="324"/>
      <c r="AF471" s="324"/>
    </row>
    <row r="472" spans="3:32" s="294" customFormat="1">
      <c r="C472" s="10"/>
      <c r="D472" s="29"/>
      <c r="E472" s="29"/>
      <c r="F472" s="36"/>
      <c r="G472" s="324"/>
      <c r="H472" s="324"/>
      <c r="I472" s="324"/>
      <c r="J472" s="324"/>
      <c r="K472" s="324"/>
      <c r="L472" s="324"/>
      <c r="M472" s="324"/>
      <c r="N472" s="324"/>
      <c r="O472" s="324"/>
      <c r="P472" s="324"/>
      <c r="Q472" s="324"/>
      <c r="R472" s="324"/>
      <c r="S472" s="324"/>
      <c r="T472" s="324"/>
      <c r="U472" s="324"/>
      <c r="V472" s="324"/>
      <c r="W472" s="324"/>
      <c r="X472" s="324"/>
      <c r="Y472" s="324"/>
      <c r="Z472" s="324"/>
      <c r="AA472" s="324"/>
      <c r="AB472" s="324"/>
      <c r="AC472" s="324"/>
      <c r="AD472" s="324"/>
      <c r="AE472" s="324"/>
      <c r="AF472" s="324"/>
    </row>
    <row r="473" spans="3:32" s="294" customFormat="1">
      <c r="C473" s="10"/>
      <c r="D473" s="29"/>
      <c r="E473" s="29"/>
      <c r="F473" s="36"/>
      <c r="G473" s="324"/>
      <c r="H473" s="324"/>
      <c r="I473" s="324"/>
      <c r="J473" s="324"/>
      <c r="K473" s="324"/>
      <c r="L473" s="324"/>
      <c r="M473" s="324"/>
      <c r="N473" s="324"/>
      <c r="O473" s="324"/>
      <c r="P473" s="324"/>
      <c r="Q473" s="324"/>
      <c r="R473" s="324"/>
      <c r="S473" s="324"/>
      <c r="T473" s="324"/>
      <c r="U473" s="324"/>
      <c r="V473" s="324"/>
      <c r="W473" s="324"/>
      <c r="X473" s="324"/>
      <c r="Y473" s="324"/>
      <c r="Z473" s="324"/>
      <c r="AA473" s="324"/>
      <c r="AB473" s="324"/>
      <c r="AC473" s="324"/>
      <c r="AD473" s="324"/>
      <c r="AE473" s="324"/>
      <c r="AF473" s="324"/>
    </row>
    <row r="474" spans="3:32" s="294" customFormat="1">
      <c r="C474" s="10"/>
      <c r="D474" s="29"/>
      <c r="E474" s="29"/>
      <c r="F474" s="36"/>
      <c r="G474" s="324"/>
      <c r="H474" s="324"/>
      <c r="I474" s="324"/>
      <c r="J474" s="324"/>
      <c r="K474" s="324"/>
      <c r="L474" s="324"/>
      <c r="M474" s="324"/>
      <c r="N474" s="324"/>
      <c r="O474" s="324"/>
      <c r="P474" s="324"/>
      <c r="Q474" s="324"/>
      <c r="R474" s="324"/>
      <c r="S474" s="324"/>
      <c r="T474" s="324"/>
      <c r="U474" s="324"/>
      <c r="V474" s="324"/>
      <c r="W474" s="324"/>
      <c r="X474" s="324"/>
      <c r="Y474" s="324"/>
      <c r="Z474" s="324"/>
      <c r="AA474" s="324"/>
      <c r="AB474" s="324"/>
      <c r="AC474" s="324"/>
      <c r="AD474" s="324"/>
      <c r="AE474" s="324"/>
      <c r="AF474" s="324"/>
    </row>
    <row r="475" spans="3:32" s="294" customFormat="1">
      <c r="C475" s="10"/>
      <c r="D475" s="29"/>
      <c r="E475" s="29"/>
      <c r="F475" s="36"/>
      <c r="G475" s="324"/>
      <c r="H475" s="324"/>
      <c r="I475" s="324"/>
      <c r="J475" s="324"/>
      <c r="K475" s="324"/>
      <c r="L475" s="324"/>
      <c r="M475" s="324"/>
      <c r="N475" s="324"/>
      <c r="O475" s="324"/>
      <c r="P475" s="324"/>
      <c r="Q475" s="324"/>
      <c r="R475" s="324"/>
      <c r="S475" s="324"/>
      <c r="T475" s="324"/>
      <c r="U475" s="324"/>
      <c r="V475" s="324"/>
      <c r="W475" s="324"/>
      <c r="X475" s="324"/>
      <c r="Y475" s="324"/>
      <c r="Z475" s="324"/>
      <c r="AA475" s="324"/>
      <c r="AB475" s="324"/>
      <c r="AC475" s="324"/>
      <c r="AD475" s="324"/>
      <c r="AE475" s="324"/>
      <c r="AF475" s="324"/>
    </row>
    <row r="476" spans="3:32" s="294" customFormat="1">
      <c r="C476" s="10"/>
      <c r="D476" s="29"/>
      <c r="E476" s="29"/>
      <c r="F476" s="36"/>
      <c r="G476" s="324"/>
      <c r="H476" s="324"/>
      <c r="I476" s="324"/>
      <c r="J476" s="324"/>
      <c r="K476" s="324"/>
      <c r="L476" s="324"/>
      <c r="M476" s="324"/>
      <c r="N476" s="324"/>
      <c r="O476" s="324"/>
      <c r="P476" s="324"/>
      <c r="Q476" s="324"/>
      <c r="R476" s="324"/>
      <c r="S476" s="324"/>
      <c r="T476" s="324"/>
      <c r="U476" s="324"/>
      <c r="V476" s="324"/>
      <c r="W476" s="324"/>
      <c r="X476" s="324"/>
      <c r="Y476" s="324"/>
      <c r="Z476" s="324"/>
      <c r="AA476" s="324"/>
      <c r="AB476" s="324"/>
      <c r="AC476" s="324"/>
      <c r="AD476" s="324"/>
      <c r="AE476" s="324"/>
      <c r="AF476" s="324"/>
    </row>
    <row r="477" spans="3:32" s="294" customFormat="1">
      <c r="C477" s="10"/>
      <c r="D477" s="29"/>
      <c r="E477" s="29"/>
      <c r="F477" s="36"/>
      <c r="G477" s="324"/>
      <c r="H477" s="324"/>
      <c r="I477" s="324"/>
      <c r="J477" s="324"/>
      <c r="K477" s="324"/>
      <c r="L477" s="324"/>
      <c r="M477" s="324"/>
      <c r="N477" s="324"/>
      <c r="O477" s="324"/>
      <c r="P477" s="324"/>
      <c r="Q477" s="324"/>
      <c r="R477" s="324"/>
      <c r="S477" s="324"/>
      <c r="T477" s="324"/>
      <c r="U477" s="324"/>
      <c r="V477" s="324"/>
      <c r="W477" s="324"/>
      <c r="X477" s="324"/>
      <c r="Y477" s="324"/>
      <c r="Z477" s="324"/>
      <c r="AA477" s="324"/>
      <c r="AB477" s="324"/>
      <c r="AC477" s="324"/>
      <c r="AD477" s="324"/>
      <c r="AE477" s="324"/>
      <c r="AF477" s="324"/>
    </row>
    <row r="478" spans="3:32" s="294" customFormat="1">
      <c r="C478" s="10"/>
      <c r="D478" s="29"/>
      <c r="E478" s="29"/>
      <c r="F478" s="36"/>
      <c r="G478" s="324"/>
      <c r="H478" s="324"/>
      <c r="I478" s="324"/>
      <c r="J478" s="324"/>
      <c r="K478" s="324"/>
      <c r="L478" s="324"/>
      <c r="M478" s="324"/>
      <c r="N478" s="324"/>
      <c r="O478" s="324"/>
      <c r="P478" s="324"/>
      <c r="Q478" s="324"/>
      <c r="R478" s="324"/>
      <c r="S478" s="324"/>
      <c r="T478" s="324"/>
      <c r="U478" s="324"/>
      <c r="V478" s="324"/>
      <c r="W478" s="324"/>
      <c r="X478" s="324"/>
      <c r="Y478" s="324"/>
      <c r="Z478" s="324"/>
      <c r="AA478" s="324"/>
      <c r="AB478" s="324"/>
      <c r="AC478" s="324"/>
      <c r="AD478" s="324"/>
      <c r="AE478" s="324"/>
      <c r="AF478" s="324"/>
    </row>
    <row r="479" spans="3:32" s="294" customFormat="1">
      <c r="C479" s="10"/>
      <c r="D479" s="29"/>
      <c r="E479" s="29"/>
      <c r="F479" s="36"/>
      <c r="G479" s="324"/>
      <c r="H479" s="324"/>
      <c r="I479" s="324"/>
      <c r="J479" s="324"/>
      <c r="K479" s="324"/>
      <c r="L479" s="324"/>
      <c r="M479" s="324"/>
      <c r="N479" s="324"/>
      <c r="O479" s="324"/>
      <c r="P479" s="324"/>
      <c r="Q479" s="324"/>
      <c r="R479" s="324"/>
      <c r="S479" s="324"/>
      <c r="T479" s="324"/>
      <c r="U479" s="324"/>
      <c r="V479" s="324"/>
      <c r="W479" s="324"/>
      <c r="X479" s="324"/>
      <c r="Y479" s="324"/>
      <c r="Z479" s="324"/>
      <c r="AA479" s="324"/>
      <c r="AB479" s="324"/>
      <c r="AC479" s="324"/>
      <c r="AD479" s="324"/>
      <c r="AE479" s="324"/>
      <c r="AF479" s="324"/>
    </row>
    <row r="480" spans="3:32" s="294" customFormat="1">
      <c r="C480" s="10"/>
      <c r="D480" s="29"/>
      <c r="E480" s="29"/>
      <c r="F480" s="36"/>
      <c r="G480" s="324"/>
      <c r="H480" s="324"/>
      <c r="I480" s="324"/>
      <c r="J480" s="324"/>
      <c r="K480" s="324"/>
      <c r="L480" s="324"/>
      <c r="M480" s="324"/>
      <c r="N480" s="324"/>
      <c r="O480" s="324"/>
      <c r="P480" s="324"/>
      <c r="Q480" s="324"/>
      <c r="R480" s="324"/>
      <c r="S480" s="324"/>
      <c r="T480" s="324"/>
      <c r="U480" s="324"/>
      <c r="V480" s="324"/>
      <c r="W480" s="324"/>
      <c r="X480" s="324"/>
      <c r="Y480" s="324"/>
      <c r="Z480" s="324"/>
      <c r="AA480" s="324"/>
      <c r="AB480" s="324"/>
      <c r="AC480" s="324"/>
      <c r="AD480" s="324"/>
      <c r="AE480" s="324"/>
      <c r="AF480" s="324"/>
    </row>
    <row r="481" spans="3:32" s="294" customFormat="1">
      <c r="C481" s="10"/>
      <c r="D481" s="29"/>
      <c r="E481" s="29"/>
      <c r="F481" s="36"/>
      <c r="G481" s="324"/>
      <c r="H481" s="324"/>
      <c r="I481" s="324"/>
      <c r="J481" s="324"/>
      <c r="K481" s="324"/>
      <c r="L481" s="324"/>
      <c r="M481" s="324"/>
      <c r="N481" s="324"/>
      <c r="O481" s="324"/>
      <c r="P481" s="324"/>
      <c r="Q481" s="324"/>
      <c r="R481" s="324"/>
      <c r="S481" s="324"/>
      <c r="T481" s="324"/>
      <c r="U481" s="324"/>
      <c r="V481" s="324"/>
      <c r="W481" s="324"/>
      <c r="X481" s="324"/>
      <c r="Y481" s="324"/>
      <c r="Z481" s="324"/>
      <c r="AA481" s="324"/>
      <c r="AB481" s="324"/>
      <c r="AC481" s="324"/>
      <c r="AD481" s="324"/>
      <c r="AE481" s="324"/>
      <c r="AF481" s="324"/>
    </row>
    <row r="482" spans="3:32" s="294" customFormat="1">
      <c r="C482" s="10"/>
      <c r="D482" s="29"/>
      <c r="E482" s="29"/>
      <c r="F482" s="36"/>
      <c r="G482" s="324"/>
      <c r="H482" s="324"/>
      <c r="I482" s="324"/>
      <c r="J482" s="324"/>
      <c r="K482" s="324"/>
      <c r="L482" s="324"/>
      <c r="M482" s="324"/>
      <c r="N482" s="324"/>
      <c r="O482" s="324"/>
      <c r="P482" s="324"/>
      <c r="Q482" s="324"/>
      <c r="R482" s="324"/>
      <c r="S482" s="324"/>
      <c r="T482" s="324"/>
      <c r="U482" s="324"/>
      <c r="V482" s="324"/>
      <c r="W482" s="324"/>
      <c r="X482" s="324"/>
      <c r="Y482" s="324"/>
      <c r="Z482" s="324"/>
      <c r="AA482" s="324"/>
      <c r="AB482" s="324"/>
      <c r="AC482" s="324"/>
      <c r="AD482" s="324"/>
      <c r="AE482" s="324"/>
      <c r="AF482" s="324"/>
    </row>
    <row r="483" spans="3:32" s="294" customFormat="1">
      <c r="C483" s="10"/>
      <c r="D483" s="29"/>
      <c r="E483" s="29"/>
      <c r="F483" s="36"/>
      <c r="G483" s="324"/>
      <c r="H483" s="324"/>
      <c r="I483" s="324"/>
      <c r="J483" s="324"/>
      <c r="K483" s="324"/>
      <c r="L483" s="324"/>
      <c r="M483" s="324"/>
      <c r="N483" s="324"/>
      <c r="O483" s="324"/>
      <c r="P483" s="324"/>
      <c r="Q483" s="324"/>
      <c r="R483" s="324"/>
      <c r="S483" s="324"/>
      <c r="T483" s="324"/>
      <c r="U483" s="324"/>
      <c r="V483" s="324"/>
      <c r="W483" s="324"/>
      <c r="X483" s="324"/>
      <c r="Y483" s="324"/>
      <c r="Z483" s="324"/>
      <c r="AA483" s="324"/>
      <c r="AB483" s="324"/>
      <c r="AC483" s="324"/>
      <c r="AD483" s="324"/>
      <c r="AE483" s="324"/>
      <c r="AF483" s="324"/>
    </row>
    <row r="484" spans="3:32" s="294" customFormat="1">
      <c r="C484" s="10"/>
      <c r="D484" s="29"/>
      <c r="E484" s="29"/>
      <c r="F484" s="36"/>
      <c r="G484" s="324"/>
      <c r="H484" s="324"/>
      <c r="I484" s="324"/>
      <c r="J484" s="324"/>
      <c r="K484" s="324"/>
      <c r="L484" s="324"/>
      <c r="M484" s="324"/>
      <c r="N484" s="324"/>
      <c r="O484" s="324"/>
      <c r="P484" s="324"/>
      <c r="Q484" s="324"/>
      <c r="R484" s="324"/>
      <c r="S484" s="324"/>
      <c r="T484" s="324"/>
      <c r="U484" s="324"/>
      <c r="V484" s="324"/>
      <c r="W484" s="324"/>
      <c r="X484" s="324"/>
      <c r="Y484" s="324"/>
      <c r="Z484" s="324"/>
      <c r="AA484" s="324"/>
      <c r="AB484" s="324"/>
      <c r="AC484" s="324"/>
      <c r="AD484" s="324"/>
      <c r="AE484" s="324"/>
      <c r="AF484" s="324"/>
    </row>
    <row r="485" spans="3:32" s="294" customFormat="1">
      <c r="C485" s="10"/>
      <c r="D485" s="29"/>
      <c r="E485" s="29"/>
      <c r="F485" s="36"/>
      <c r="G485" s="324"/>
      <c r="H485" s="324"/>
      <c r="I485" s="324"/>
      <c r="J485" s="324"/>
      <c r="K485" s="324"/>
      <c r="L485" s="324"/>
      <c r="M485" s="324"/>
      <c r="N485" s="324"/>
      <c r="O485" s="324"/>
      <c r="P485" s="324"/>
      <c r="Q485" s="324"/>
      <c r="R485" s="324"/>
      <c r="S485" s="324"/>
      <c r="T485" s="324"/>
      <c r="U485" s="324"/>
      <c r="V485" s="324"/>
      <c r="W485" s="324"/>
      <c r="X485" s="324"/>
      <c r="Y485" s="324"/>
      <c r="Z485" s="324"/>
      <c r="AA485" s="324"/>
      <c r="AB485" s="324"/>
      <c r="AC485" s="324"/>
      <c r="AD485" s="324"/>
      <c r="AE485" s="324"/>
      <c r="AF485" s="324"/>
    </row>
    <row r="486" spans="3:32" s="294" customFormat="1">
      <c r="C486" s="10"/>
      <c r="D486" s="29"/>
      <c r="E486" s="29"/>
      <c r="F486" s="36"/>
      <c r="G486" s="324"/>
      <c r="H486" s="324"/>
      <c r="I486" s="324"/>
      <c r="J486" s="324"/>
      <c r="K486" s="324"/>
      <c r="L486" s="324"/>
      <c r="M486" s="324"/>
      <c r="N486" s="324"/>
      <c r="O486" s="324"/>
      <c r="P486" s="324"/>
      <c r="Q486" s="324"/>
      <c r="R486" s="324"/>
      <c r="S486" s="324"/>
      <c r="T486" s="324"/>
      <c r="U486" s="324"/>
      <c r="V486" s="324"/>
      <c r="W486" s="324"/>
      <c r="X486" s="324"/>
      <c r="Y486" s="324"/>
      <c r="Z486" s="324"/>
      <c r="AA486" s="324"/>
      <c r="AB486" s="324"/>
      <c r="AC486" s="324"/>
      <c r="AD486" s="324"/>
      <c r="AE486" s="324"/>
      <c r="AF486" s="324"/>
    </row>
    <row r="487" spans="3:32" s="294" customFormat="1">
      <c r="C487" s="10"/>
      <c r="D487" s="29"/>
      <c r="E487" s="29"/>
      <c r="F487" s="36"/>
      <c r="G487" s="324"/>
      <c r="H487" s="324"/>
      <c r="I487" s="324"/>
      <c r="J487" s="324"/>
      <c r="K487" s="324"/>
      <c r="L487" s="324"/>
      <c r="M487" s="324"/>
      <c r="N487" s="324"/>
      <c r="O487" s="324"/>
      <c r="P487" s="324"/>
      <c r="Q487" s="324"/>
      <c r="R487" s="324"/>
      <c r="S487" s="324"/>
      <c r="T487" s="324"/>
      <c r="U487" s="324"/>
      <c r="V487" s="324"/>
      <c r="W487" s="324"/>
      <c r="X487" s="324"/>
      <c r="Y487" s="324"/>
      <c r="Z487" s="324"/>
      <c r="AA487" s="324"/>
      <c r="AB487" s="324"/>
      <c r="AC487" s="324"/>
      <c r="AD487" s="324"/>
      <c r="AE487" s="324"/>
      <c r="AF487" s="324"/>
    </row>
    <row r="488" spans="3:32" s="294" customFormat="1">
      <c r="C488" s="10"/>
      <c r="D488" s="29"/>
      <c r="E488" s="29"/>
      <c r="F488" s="36"/>
      <c r="G488" s="324"/>
      <c r="H488" s="324"/>
      <c r="I488" s="324"/>
      <c r="J488" s="324"/>
      <c r="K488" s="324"/>
      <c r="L488" s="324"/>
      <c r="M488" s="324"/>
      <c r="N488" s="324"/>
      <c r="O488" s="324"/>
      <c r="P488" s="324"/>
      <c r="Q488" s="324"/>
      <c r="R488" s="324"/>
      <c r="S488" s="324"/>
      <c r="T488" s="324"/>
      <c r="U488" s="324"/>
      <c r="V488" s="324"/>
      <c r="W488" s="324"/>
      <c r="X488" s="324"/>
      <c r="Y488" s="324"/>
      <c r="Z488" s="324"/>
      <c r="AA488" s="324"/>
      <c r="AB488" s="324"/>
      <c r="AC488" s="324"/>
      <c r="AD488" s="324"/>
      <c r="AE488" s="324"/>
      <c r="AF488" s="324"/>
    </row>
    <row r="489" spans="3:32" s="294" customFormat="1">
      <c r="C489" s="10"/>
      <c r="D489" s="29"/>
      <c r="E489" s="29"/>
      <c r="F489" s="36"/>
      <c r="G489" s="324"/>
      <c r="H489" s="324"/>
      <c r="I489" s="324"/>
      <c r="J489" s="324"/>
      <c r="K489" s="324"/>
      <c r="L489" s="324"/>
      <c r="M489" s="324"/>
      <c r="N489" s="324"/>
      <c r="O489" s="324"/>
      <c r="P489" s="324"/>
      <c r="Q489" s="324"/>
      <c r="R489" s="324"/>
      <c r="S489" s="324"/>
      <c r="T489" s="324"/>
      <c r="U489" s="324"/>
      <c r="V489" s="324"/>
      <c r="W489" s="324"/>
      <c r="X489" s="324"/>
      <c r="Y489" s="324"/>
      <c r="Z489" s="324"/>
      <c r="AA489" s="324"/>
      <c r="AB489" s="324"/>
      <c r="AC489" s="324"/>
      <c r="AD489" s="324"/>
      <c r="AE489" s="324"/>
      <c r="AF489" s="324"/>
    </row>
    <row r="490" spans="3:32" s="294" customFormat="1">
      <c r="C490" s="10"/>
      <c r="D490" s="29"/>
      <c r="E490" s="29"/>
      <c r="F490" s="36"/>
      <c r="G490" s="324"/>
      <c r="H490" s="324"/>
      <c r="I490" s="324"/>
      <c r="J490" s="324"/>
      <c r="K490" s="324"/>
      <c r="L490" s="324"/>
      <c r="M490" s="324"/>
      <c r="N490" s="324"/>
      <c r="O490" s="324"/>
      <c r="P490" s="324"/>
      <c r="Q490" s="324"/>
      <c r="R490" s="324"/>
      <c r="S490" s="324"/>
      <c r="T490" s="324"/>
      <c r="U490" s="324"/>
      <c r="V490" s="324"/>
      <c r="W490" s="324"/>
      <c r="X490" s="324"/>
      <c r="Y490" s="324"/>
      <c r="Z490" s="324"/>
      <c r="AA490" s="324"/>
      <c r="AB490" s="324"/>
      <c r="AC490" s="324"/>
      <c r="AD490" s="324"/>
      <c r="AE490" s="324"/>
      <c r="AF490" s="324"/>
    </row>
    <row r="491" spans="3:32" s="294" customFormat="1">
      <c r="C491" s="10"/>
      <c r="D491" s="29"/>
      <c r="E491" s="29"/>
      <c r="F491" s="36"/>
      <c r="G491" s="324"/>
      <c r="H491" s="324"/>
      <c r="I491" s="324"/>
      <c r="J491" s="324"/>
      <c r="K491" s="324"/>
      <c r="L491" s="324"/>
      <c r="M491" s="324"/>
      <c r="N491" s="324"/>
      <c r="O491" s="324"/>
      <c r="P491" s="324"/>
      <c r="Q491" s="324"/>
      <c r="R491" s="324"/>
      <c r="S491" s="324"/>
      <c r="T491" s="324"/>
      <c r="U491" s="324"/>
      <c r="V491" s="324"/>
      <c r="W491" s="324"/>
      <c r="X491" s="324"/>
      <c r="Y491" s="324"/>
      <c r="Z491" s="324"/>
      <c r="AA491" s="324"/>
      <c r="AB491" s="324"/>
      <c r="AC491" s="324"/>
      <c r="AD491" s="324"/>
      <c r="AE491" s="324"/>
      <c r="AF491" s="324"/>
    </row>
    <row r="492" spans="3:32" s="294" customFormat="1">
      <c r="C492" s="10"/>
      <c r="D492" s="29"/>
      <c r="E492" s="29"/>
      <c r="F492" s="36"/>
      <c r="G492" s="324"/>
      <c r="H492" s="324"/>
      <c r="I492" s="324"/>
      <c r="J492" s="324"/>
      <c r="K492" s="324"/>
      <c r="L492" s="324"/>
      <c r="M492" s="324"/>
      <c r="N492" s="324"/>
      <c r="O492" s="324"/>
      <c r="P492" s="324"/>
      <c r="Q492" s="324"/>
      <c r="R492" s="324"/>
      <c r="S492" s="324"/>
      <c r="T492" s="324"/>
      <c r="U492" s="324"/>
      <c r="V492" s="324"/>
      <c r="W492" s="324"/>
      <c r="X492" s="324"/>
      <c r="Y492" s="324"/>
      <c r="Z492" s="324"/>
      <c r="AA492" s="324"/>
      <c r="AB492" s="324"/>
      <c r="AC492" s="324"/>
      <c r="AD492" s="324"/>
      <c r="AE492" s="324"/>
      <c r="AF492" s="324"/>
    </row>
    <row r="493" spans="3:32" s="294" customFormat="1">
      <c r="C493" s="10"/>
      <c r="D493" s="29"/>
      <c r="E493" s="29"/>
      <c r="F493" s="36"/>
      <c r="G493" s="324"/>
      <c r="H493" s="324"/>
      <c r="I493" s="324"/>
      <c r="J493" s="324"/>
      <c r="K493" s="324"/>
      <c r="L493" s="324"/>
      <c r="M493" s="324"/>
      <c r="N493" s="324"/>
      <c r="O493" s="324"/>
      <c r="P493" s="324"/>
      <c r="Q493" s="324"/>
      <c r="R493" s="324"/>
      <c r="S493" s="324"/>
      <c r="T493" s="324"/>
      <c r="U493" s="324"/>
      <c r="V493" s="324"/>
      <c r="W493" s="324"/>
      <c r="X493" s="324"/>
      <c r="Y493" s="324"/>
      <c r="Z493" s="324"/>
      <c r="AA493" s="324"/>
      <c r="AB493" s="324"/>
      <c r="AC493" s="324"/>
      <c r="AD493" s="324"/>
      <c r="AE493" s="324"/>
      <c r="AF493" s="324"/>
    </row>
    <row r="494" spans="3:32" s="294" customFormat="1">
      <c r="C494" s="10"/>
      <c r="D494" s="29"/>
      <c r="E494" s="29"/>
      <c r="F494" s="36"/>
      <c r="G494" s="324"/>
      <c r="H494" s="324"/>
      <c r="I494" s="324"/>
      <c r="J494" s="324"/>
      <c r="K494" s="324"/>
      <c r="L494" s="324"/>
      <c r="M494" s="324"/>
      <c r="N494" s="324"/>
      <c r="O494" s="324"/>
      <c r="P494" s="324"/>
      <c r="Q494" s="324"/>
      <c r="R494" s="324"/>
      <c r="S494" s="324"/>
      <c r="T494" s="324"/>
      <c r="U494" s="324"/>
      <c r="V494" s="324"/>
      <c r="W494" s="324"/>
      <c r="X494" s="324"/>
      <c r="Y494" s="324"/>
      <c r="Z494" s="324"/>
      <c r="AA494" s="324"/>
      <c r="AB494" s="324"/>
      <c r="AC494" s="324"/>
      <c r="AD494" s="324"/>
      <c r="AE494" s="324"/>
      <c r="AF494" s="324"/>
    </row>
    <row r="495" spans="3:32" s="294" customFormat="1">
      <c r="C495" s="10"/>
      <c r="D495" s="29"/>
      <c r="E495" s="29"/>
      <c r="F495" s="36"/>
      <c r="G495" s="324"/>
      <c r="H495" s="324"/>
      <c r="I495" s="324"/>
      <c r="J495" s="324"/>
      <c r="K495" s="324"/>
      <c r="L495" s="324"/>
      <c r="M495" s="324"/>
      <c r="N495" s="324"/>
      <c r="O495" s="324"/>
      <c r="P495" s="324"/>
      <c r="Q495" s="324"/>
      <c r="R495" s="324"/>
      <c r="S495" s="324"/>
      <c r="T495" s="324"/>
      <c r="U495" s="324"/>
      <c r="V495" s="324"/>
      <c r="W495" s="324"/>
      <c r="X495" s="324"/>
      <c r="Y495" s="324"/>
      <c r="Z495" s="324"/>
      <c r="AA495" s="324"/>
      <c r="AB495" s="324"/>
      <c r="AC495" s="324"/>
      <c r="AD495" s="324"/>
      <c r="AE495" s="324"/>
      <c r="AF495" s="324"/>
    </row>
    <row r="496" spans="3:32" s="294" customFormat="1">
      <c r="C496" s="10"/>
      <c r="D496" s="29"/>
      <c r="E496" s="29"/>
      <c r="F496" s="36"/>
      <c r="G496" s="324"/>
      <c r="H496" s="324"/>
      <c r="I496" s="324"/>
      <c r="J496" s="324"/>
      <c r="K496" s="324"/>
      <c r="L496" s="324"/>
      <c r="M496" s="324"/>
      <c r="N496" s="324"/>
      <c r="O496" s="324"/>
      <c r="P496" s="324"/>
      <c r="Q496" s="324"/>
      <c r="R496" s="324"/>
      <c r="S496" s="324"/>
      <c r="T496" s="324"/>
      <c r="U496" s="324"/>
      <c r="V496" s="324"/>
      <c r="W496" s="324"/>
      <c r="X496" s="324"/>
      <c r="Y496" s="324"/>
      <c r="Z496" s="324"/>
      <c r="AA496" s="324"/>
      <c r="AB496" s="324"/>
      <c r="AC496" s="324"/>
      <c r="AD496" s="324"/>
      <c r="AE496" s="324"/>
      <c r="AF496" s="324"/>
    </row>
    <row r="497" spans="3:32" s="294" customFormat="1">
      <c r="C497" s="10"/>
      <c r="D497" s="29"/>
      <c r="E497" s="29"/>
      <c r="F497" s="36"/>
      <c r="G497" s="324"/>
      <c r="H497" s="324"/>
      <c r="I497" s="324"/>
      <c r="J497" s="324"/>
      <c r="K497" s="324"/>
      <c r="L497" s="324"/>
      <c r="M497" s="324"/>
      <c r="N497" s="324"/>
      <c r="O497" s="324"/>
      <c r="P497" s="324"/>
      <c r="Q497" s="324"/>
      <c r="R497" s="324"/>
      <c r="S497" s="324"/>
      <c r="T497" s="324"/>
      <c r="U497" s="324"/>
      <c r="V497" s="324"/>
      <c r="W497" s="324"/>
      <c r="X497" s="324"/>
      <c r="Y497" s="324"/>
      <c r="Z497" s="324"/>
      <c r="AA497" s="324"/>
      <c r="AB497" s="324"/>
      <c r="AC497" s="324"/>
      <c r="AD497" s="324"/>
      <c r="AE497" s="324"/>
      <c r="AF497" s="324"/>
    </row>
    <row r="498" spans="3:32" s="294" customFormat="1">
      <c r="C498" s="10"/>
      <c r="D498" s="29"/>
      <c r="E498" s="29"/>
      <c r="F498" s="36"/>
      <c r="G498" s="324"/>
      <c r="H498" s="324"/>
      <c r="I498" s="324"/>
      <c r="J498" s="324"/>
      <c r="K498" s="324"/>
      <c r="L498" s="324"/>
      <c r="M498" s="324"/>
      <c r="N498" s="324"/>
      <c r="O498" s="324"/>
      <c r="P498" s="324"/>
      <c r="Q498" s="324"/>
      <c r="R498" s="324"/>
      <c r="S498" s="324"/>
      <c r="T498" s="324"/>
      <c r="U498" s="324"/>
      <c r="V498" s="324"/>
      <c r="W498" s="324"/>
      <c r="X498" s="324"/>
      <c r="Y498" s="324"/>
      <c r="Z498" s="324"/>
      <c r="AA498" s="324"/>
      <c r="AB498" s="324"/>
      <c r="AC498" s="324"/>
      <c r="AD498" s="324"/>
      <c r="AE498" s="324"/>
      <c r="AF498" s="324"/>
    </row>
    <row r="499" spans="3:32" s="294" customFormat="1">
      <c r="C499" s="10"/>
      <c r="D499" s="29"/>
      <c r="E499" s="29"/>
      <c r="F499" s="36"/>
      <c r="G499" s="324"/>
      <c r="H499" s="324"/>
      <c r="I499" s="324"/>
      <c r="J499" s="324"/>
      <c r="K499" s="324"/>
      <c r="L499" s="324"/>
      <c r="M499" s="324"/>
      <c r="N499" s="324"/>
      <c r="O499" s="324"/>
      <c r="P499" s="324"/>
      <c r="Q499" s="324"/>
      <c r="R499" s="324"/>
      <c r="S499" s="324"/>
      <c r="T499" s="324"/>
      <c r="U499" s="324"/>
      <c r="V499" s="324"/>
      <c r="W499" s="324"/>
      <c r="X499" s="324"/>
      <c r="Y499" s="324"/>
      <c r="Z499" s="324"/>
      <c r="AA499" s="324"/>
      <c r="AB499" s="324"/>
      <c r="AC499" s="324"/>
      <c r="AD499" s="324"/>
      <c r="AE499" s="324"/>
      <c r="AF499" s="324"/>
    </row>
    <row r="500" spans="3:32" s="294" customFormat="1">
      <c r="C500" s="10"/>
      <c r="D500" s="29"/>
      <c r="E500" s="29"/>
      <c r="F500" s="36"/>
      <c r="G500" s="324"/>
      <c r="H500" s="324"/>
      <c r="I500" s="324"/>
      <c r="J500" s="324"/>
      <c r="K500" s="324"/>
      <c r="L500" s="324"/>
      <c r="M500" s="324"/>
      <c r="N500" s="324"/>
      <c r="O500" s="324"/>
      <c r="P500" s="324"/>
      <c r="Q500" s="324"/>
      <c r="R500" s="324"/>
      <c r="S500" s="324"/>
      <c r="T500" s="324"/>
      <c r="U500" s="324"/>
      <c r="V500" s="324"/>
      <c r="W500" s="324"/>
      <c r="X500" s="324"/>
      <c r="Y500" s="324"/>
      <c r="Z500" s="324"/>
      <c r="AA500" s="324"/>
      <c r="AB500" s="324"/>
      <c r="AC500" s="324"/>
      <c r="AD500" s="324"/>
      <c r="AE500" s="324"/>
      <c r="AF500" s="324"/>
    </row>
    <row r="501" spans="3:32" s="294" customFormat="1">
      <c r="C501" s="10"/>
      <c r="D501" s="29"/>
      <c r="E501" s="29"/>
      <c r="F501" s="36"/>
      <c r="G501" s="324"/>
      <c r="H501" s="324"/>
      <c r="I501" s="324"/>
      <c r="J501" s="324"/>
      <c r="K501" s="324"/>
      <c r="L501" s="324"/>
      <c r="M501" s="324"/>
      <c r="N501" s="324"/>
      <c r="O501" s="324"/>
      <c r="P501" s="324"/>
      <c r="Q501" s="324"/>
      <c r="R501" s="324"/>
      <c r="S501" s="324"/>
      <c r="T501" s="324"/>
      <c r="U501" s="324"/>
      <c r="V501" s="324"/>
      <c r="W501" s="324"/>
      <c r="X501" s="324"/>
      <c r="Y501" s="324"/>
      <c r="Z501" s="324"/>
      <c r="AA501" s="324"/>
      <c r="AB501" s="324"/>
      <c r="AC501" s="324"/>
      <c r="AD501" s="324"/>
      <c r="AE501" s="324"/>
      <c r="AF501" s="324"/>
    </row>
    <row r="502" spans="3:32" s="294" customFormat="1">
      <c r="C502" s="10"/>
      <c r="D502" s="29"/>
      <c r="E502" s="29"/>
      <c r="F502" s="36"/>
      <c r="G502" s="324"/>
      <c r="H502" s="324"/>
      <c r="I502" s="324"/>
      <c r="J502" s="324"/>
      <c r="K502" s="324"/>
      <c r="L502" s="324"/>
      <c r="M502" s="324"/>
      <c r="N502" s="324"/>
      <c r="O502" s="324"/>
      <c r="P502" s="324"/>
      <c r="Q502" s="324"/>
      <c r="R502" s="324"/>
      <c r="S502" s="324"/>
      <c r="T502" s="324"/>
      <c r="U502" s="324"/>
      <c r="V502" s="324"/>
      <c r="W502" s="324"/>
      <c r="X502" s="324"/>
      <c r="Y502" s="324"/>
      <c r="Z502" s="324"/>
      <c r="AA502" s="324"/>
      <c r="AB502" s="324"/>
      <c r="AC502" s="324"/>
      <c r="AD502" s="324"/>
      <c r="AE502" s="324"/>
      <c r="AF502" s="324"/>
    </row>
    <row r="503" spans="3:32" s="294" customFormat="1">
      <c r="C503" s="10"/>
      <c r="D503" s="29"/>
      <c r="E503" s="29"/>
      <c r="F503" s="36"/>
      <c r="G503" s="324"/>
      <c r="H503" s="324"/>
      <c r="I503" s="324"/>
      <c r="J503" s="324"/>
      <c r="K503" s="324"/>
      <c r="L503" s="324"/>
      <c r="M503" s="324"/>
      <c r="N503" s="324"/>
      <c r="O503" s="324"/>
      <c r="P503" s="324"/>
      <c r="Q503" s="324"/>
      <c r="R503" s="324"/>
      <c r="S503" s="324"/>
      <c r="T503" s="324"/>
      <c r="U503" s="324"/>
      <c r="V503" s="324"/>
      <c r="W503" s="324"/>
      <c r="X503" s="324"/>
      <c r="Y503" s="324"/>
      <c r="Z503" s="324"/>
      <c r="AA503" s="324"/>
      <c r="AB503" s="324"/>
      <c r="AC503" s="324"/>
      <c r="AD503" s="324"/>
      <c r="AE503" s="324"/>
      <c r="AF503" s="324"/>
    </row>
    <row r="504" spans="3:32" s="294" customFormat="1">
      <c r="C504" s="10"/>
      <c r="D504" s="29"/>
      <c r="E504" s="29"/>
      <c r="F504" s="36"/>
      <c r="G504" s="324"/>
      <c r="H504" s="324"/>
      <c r="I504" s="324"/>
      <c r="J504" s="324"/>
      <c r="K504" s="324"/>
      <c r="L504" s="324"/>
      <c r="M504" s="324"/>
      <c r="N504" s="324"/>
      <c r="O504" s="324"/>
      <c r="P504" s="324"/>
      <c r="Q504" s="324"/>
      <c r="R504" s="324"/>
      <c r="S504" s="324"/>
      <c r="T504" s="324"/>
      <c r="U504" s="324"/>
      <c r="V504" s="324"/>
      <c r="W504" s="324"/>
      <c r="X504" s="324"/>
      <c r="Y504" s="324"/>
      <c r="Z504" s="324"/>
      <c r="AA504" s="324"/>
      <c r="AB504" s="324"/>
      <c r="AC504" s="324"/>
      <c r="AD504" s="324"/>
      <c r="AE504" s="324"/>
      <c r="AF504" s="324"/>
    </row>
    <row r="505" spans="3:32" s="294" customFormat="1">
      <c r="C505" s="10"/>
      <c r="D505" s="29"/>
      <c r="E505" s="29"/>
      <c r="F505" s="36"/>
      <c r="G505" s="324"/>
      <c r="H505" s="324"/>
      <c r="I505" s="324"/>
      <c r="J505" s="324"/>
      <c r="K505" s="324"/>
      <c r="L505" s="324"/>
      <c r="M505" s="324"/>
      <c r="N505" s="324"/>
      <c r="O505" s="324"/>
      <c r="P505" s="324"/>
      <c r="Q505" s="324"/>
      <c r="R505" s="324"/>
      <c r="S505" s="324"/>
      <c r="T505" s="324"/>
      <c r="U505" s="324"/>
      <c r="V505" s="324"/>
      <c r="W505" s="324"/>
      <c r="X505" s="324"/>
      <c r="Y505" s="324"/>
      <c r="Z505" s="324"/>
      <c r="AA505" s="324"/>
      <c r="AB505" s="324"/>
      <c r="AC505" s="324"/>
      <c r="AD505" s="324"/>
      <c r="AE505" s="324"/>
      <c r="AF505" s="324"/>
    </row>
    <row r="506" spans="3:32" s="294" customFormat="1">
      <c r="C506" s="10"/>
      <c r="D506" s="29"/>
      <c r="E506" s="29"/>
      <c r="F506" s="36"/>
      <c r="G506" s="324"/>
      <c r="H506" s="324"/>
      <c r="I506" s="324"/>
      <c r="J506" s="324"/>
      <c r="K506" s="324"/>
      <c r="L506" s="324"/>
      <c r="M506" s="324"/>
      <c r="N506" s="324"/>
      <c r="O506" s="324"/>
      <c r="P506" s="324"/>
      <c r="Q506" s="324"/>
      <c r="R506" s="324"/>
      <c r="S506" s="324"/>
      <c r="T506" s="324"/>
      <c r="U506" s="324"/>
      <c r="V506" s="324"/>
      <c r="W506" s="324"/>
      <c r="X506" s="324"/>
      <c r="Y506" s="324"/>
      <c r="Z506" s="324"/>
      <c r="AA506" s="324"/>
      <c r="AB506" s="324"/>
      <c r="AC506" s="324"/>
      <c r="AD506" s="324"/>
      <c r="AE506" s="324"/>
      <c r="AF506" s="324"/>
    </row>
    <row r="507" spans="3:32" s="294" customFormat="1">
      <c r="C507" s="10"/>
      <c r="D507" s="29"/>
      <c r="E507" s="29"/>
      <c r="F507" s="36"/>
      <c r="G507" s="324"/>
      <c r="H507" s="324"/>
      <c r="I507" s="324"/>
      <c r="J507" s="324"/>
      <c r="K507" s="324"/>
      <c r="L507" s="324"/>
      <c r="M507" s="324"/>
      <c r="N507" s="324"/>
      <c r="O507" s="324"/>
      <c r="P507" s="324"/>
      <c r="Q507" s="324"/>
      <c r="R507" s="324"/>
      <c r="S507" s="324"/>
      <c r="T507" s="324"/>
      <c r="U507" s="324"/>
      <c r="V507" s="324"/>
      <c r="W507" s="324"/>
      <c r="X507" s="324"/>
      <c r="Y507" s="324"/>
      <c r="Z507" s="324"/>
      <c r="AA507" s="324"/>
      <c r="AB507" s="324"/>
      <c r="AC507" s="324"/>
      <c r="AD507" s="324"/>
      <c r="AE507" s="324"/>
      <c r="AF507" s="324"/>
    </row>
    <row r="508" spans="3:32" s="294" customFormat="1">
      <c r="C508" s="10"/>
      <c r="D508" s="29"/>
      <c r="E508" s="29"/>
      <c r="F508" s="36"/>
      <c r="G508" s="324"/>
      <c r="H508" s="324"/>
      <c r="I508" s="324"/>
      <c r="J508" s="324"/>
      <c r="K508" s="324"/>
      <c r="L508" s="324"/>
      <c r="M508" s="324"/>
      <c r="N508" s="324"/>
      <c r="O508" s="324"/>
      <c r="P508" s="324"/>
      <c r="Q508" s="324"/>
      <c r="R508" s="324"/>
      <c r="S508" s="324"/>
      <c r="T508" s="324"/>
      <c r="U508" s="324"/>
      <c r="V508" s="324"/>
      <c r="W508" s="324"/>
      <c r="X508" s="324"/>
      <c r="Y508" s="324"/>
      <c r="Z508" s="324"/>
      <c r="AA508" s="324"/>
      <c r="AB508" s="324"/>
      <c r="AC508" s="324"/>
      <c r="AD508" s="324"/>
      <c r="AE508" s="324"/>
      <c r="AF508" s="324"/>
    </row>
    <row r="509" spans="3:32" s="294" customFormat="1">
      <c r="C509" s="10"/>
      <c r="D509" s="29"/>
      <c r="E509" s="29"/>
      <c r="F509" s="36"/>
      <c r="G509" s="324"/>
      <c r="H509" s="324"/>
      <c r="I509" s="324"/>
      <c r="J509" s="324"/>
      <c r="K509" s="324"/>
      <c r="L509" s="324"/>
      <c r="M509" s="324"/>
      <c r="N509" s="324"/>
      <c r="O509" s="324"/>
      <c r="P509" s="324"/>
      <c r="Q509" s="324"/>
      <c r="R509" s="324"/>
      <c r="S509" s="324"/>
      <c r="T509" s="324"/>
      <c r="U509" s="324"/>
      <c r="V509" s="324"/>
      <c r="W509" s="324"/>
      <c r="X509" s="324"/>
      <c r="Y509" s="324"/>
      <c r="Z509" s="324"/>
      <c r="AA509" s="324"/>
      <c r="AB509" s="324"/>
      <c r="AC509" s="324"/>
      <c r="AD509" s="324"/>
      <c r="AE509" s="324"/>
      <c r="AF509" s="324"/>
    </row>
    <row r="510" spans="3:32" s="294" customFormat="1">
      <c r="C510" s="10"/>
      <c r="D510" s="29"/>
      <c r="E510" s="29"/>
      <c r="F510" s="36"/>
      <c r="G510" s="324"/>
      <c r="H510" s="324"/>
      <c r="I510" s="324"/>
      <c r="J510" s="324"/>
      <c r="K510" s="324"/>
      <c r="L510" s="324"/>
      <c r="M510" s="324"/>
      <c r="N510" s="324"/>
      <c r="O510" s="324"/>
      <c r="P510" s="324"/>
      <c r="Q510" s="324"/>
      <c r="R510" s="324"/>
      <c r="S510" s="324"/>
      <c r="T510" s="324"/>
      <c r="U510" s="324"/>
      <c r="V510" s="324"/>
      <c r="W510" s="324"/>
      <c r="X510" s="324"/>
      <c r="Y510" s="324"/>
      <c r="Z510" s="324"/>
      <c r="AA510" s="324"/>
      <c r="AB510" s="324"/>
      <c r="AC510" s="324"/>
      <c r="AD510" s="324"/>
      <c r="AE510" s="324"/>
      <c r="AF510" s="324"/>
    </row>
    <row r="511" spans="3:32" s="294" customFormat="1">
      <c r="C511" s="10"/>
      <c r="D511" s="29"/>
      <c r="E511" s="29"/>
      <c r="F511" s="36"/>
      <c r="G511" s="324"/>
      <c r="H511" s="324"/>
      <c r="I511" s="324"/>
      <c r="J511" s="324"/>
      <c r="K511" s="324"/>
      <c r="L511" s="324"/>
      <c r="M511" s="324"/>
      <c r="N511" s="324"/>
      <c r="O511" s="324"/>
      <c r="P511" s="324"/>
      <c r="Q511" s="324"/>
      <c r="R511" s="324"/>
      <c r="S511" s="324"/>
      <c r="T511" s="324"/>
      <c r="U511" s="324"/>
      <c r="V511" s="324"/>
      <c r="W511" s="324"/>
      <c r="X511" s="324"/>
      <c r="Y511" s="324"/>
      <c r="Z511" s="324"/>
      <c r="AA511" s="324"/>
      <c r="AB511" s="324"/>
      <c r="AC511" s="324"/>
      <c r="AD511" s="324"/>
      <c r="AE511" s="324"/>
      <c r="AF511" s="324"/>
    </row>
    <row r="512" spans="3:32" s="294" customFormat="1">
      <c r="C512" s="10"/>
      <c r="D512" s="29"/>
      <c r="E512" s="29"/>
      <c r="F512" s="36"/>
      <c r="G512" s="324"/>
      <c r="H512" s="324"/>
      <c r="I512" s="324"/>
      <c r="J512" s="324"/>
      <c r="K512" s="324"/>
      <c r="L512" s="324"/>
      <c r="M512" s="324"/>
      <c r="N512" s="324"/>
      <c r="O512" s="324"/>
      <c r="P512" s="324"/>
      <c r="Q512" s="324"/>
      <c r="R512" s="324"/>
      <c r="S512" s="324"/>
      <c r="T512" s="324"/>
      <c r="U512" s="324"/>
      <c r="V512" s="324"/>
      <c r="W512" s="324"/>
      <c r="X512" s="324"/>
      <c r="Y512" s="324"/>
      <c r="Z512" s="324"/>
      <c r="AA512" s="324"/>
      <c r="AB512" s="324"/>
      <c r="AC512" s="324"/>
      <c r="AD512" s="324"/>
      <c r="AE512" s="324"/>
      <c r="AF512" s="324"/>
    </row>
    <row r="513" spans="3:32" s="294" customFormat="1">
      <c r="C513" s="10"/>
      <c r="D513" s="29"/>
      <c r="E513" s="29"/>
      <c r="F513" s="36"/>
      <c r="G513" s="324"/>
      <c r="H513" s="324"/>
      <c r="I513" s="324"/>
      <c r="J513" s="324"/>
      <c r="K513" s="324"/>
      <c r="L513" s="324"/>
      <c r="M513" s="324"/>
      <c r="N513" s="324"/>
      <c r="O513" s="324"/>
      <c r="P513" s="324"/>
      <c r="Q513" s="324"/>
      <c r="R513" s="324"/>
      <c r="S513" s="324"/>
      <c r="T513" s="324"/>
      <c r="U513" s="324"/>
      <c r="V513" s="324"/>
      <c r="W513" s="324"/>
      <c r="X513" s="324"/>
      <c r="Y513" s="324"/>
      <c r="Z513" s="324"/>
      <c r="AA513" s="324"/>
      <c r="AB513" s="324"/>
      <c r="AC513" s="324"/>
      <c r="AD513" s="324"/>
      <c r="AE513" s="324"/>
      <c r="AF513" s="324"/>
    </row>
    <row r="514" spans="3:32" s="294" customFormat="1">
      <c r="C514" s="10"/>
      <c r="D514" s="29"/>
      <c r="E514" s="29"/>
      <c r="F514" s="36"/>
      <c r="G514" s="324"/>
      <c r="H514" s="324"/>
      <c r="I514" s="324"/>
      <c r="J514" s="324"/>
      <c r="K514" s="324"/>
      <c r="L514" s="324"/>
      <c r="M514" s="324"/>
      <c r="N514" s="324"/>
      <c r="O514" s="324"/>
      <c r="P514" s="324"/>
      <c r="Q514" s="324"/>
      <c r="R514" s="324"/>
      <c r="S514" s="324"/>
      <c r="T514" s="324"/>
      <c r="U514" s="324"/>
      <c r="V514" s="324"/>
      <c r="W514" s="324"/>
      <c r="X514" s="324"/>
      <c r="Y514" s="324"/>
      <c r="Z514" s="324"/>
      <c r="AA514" s="324"/>
      <c r="AB514" s="324"/>
      <c r="AC514" s="324"/>
      <c r="AD514" s="324"/>
      <c r="AE514" s="324"/>
      <c r="AF514" s="324"/>
    </row>
    <row r="515" spans="3:32" s="294" customFormat="1">
      <c r="C515" s="10"/>
      <c r="D515" s="29"/>
      <c r="E515" s="29"/>
      <c r="F515" s="36"/>
      <c r="G515" s="324"/>
      <c r="H515" s="324"/>
      <c r="I515" s="324"/>
      <c r="J515" s="324"/>
      <c r="K515" s="324"/>
      <c r="L515" s="324"/>
      <c r="M515" s="324"/>
      <c r="N515" s="324"/>
      <c r="O515" s="324"/>
      <c r="P515" s="324"/>
      <c r="Q515" s="324"/>
      <c r="R515" s="324"/>
      <c r="S515" s="324"/>
      <c r="T515" s="324"/>
      <c r="U515" s="324"/>
      <c r="V515" s="324"/>
      <c r="W515" s="324"/>
      <c r="X515" s="324"/>
      <c r="Y515" s="324"/>
      <c r="Z515" s="324"/>
      <c r="AA515" s="324"/>
      <c r="AB515" s="324"/>
      <c r="AC515" s="324"/>
      <c r="AD515" s="324"/>
      <c r="AE515" s="324"/>
      <c r="AF515" s="324"/>
    </row>
    <row r="516" spans="3:32" s="294" customFormat="1">
      <c r="C516" s="10"/>
      <c r="D516" s="29"/>
      <c r="E516" s="29"/>
      <c r="F516" s="36"/>
      <c r="G516" s="324"/>
      <c r="H516" s="324"/>
      <c r="I516" s="324"/>
      <c r="J516" s="324"/>
      <c r="K516" s="324"/>
      <c r="L516" s="324"/>
      <c r="M516" s="324"/>
      <c r="N516" s="324"/>
      <c r="O516" s="324"/>
      <c r="P516" s="324"/>
      <c r="Q516" s="324"/>
      <c r="R516" s="324"/>
      <c r="S516" s="324"/>
      <c r="T516" s="324"/>
      <c r="U516" s="324"/>
      <c r="V516" s="324"/>
      <c r="W516" s="324"/>
      <c r="X516" s="324"/>
      <c r="Y516" s="324"/>
      <c r="Z516" s="324"/>
      <c r="AA516" s="324"/>
      <c r="AB516" s="324"/>
      <c r="AC516" s="324"/>
      <c r="AD516" s="324"/>
      <c r="AE516" s="324"/>
      <c r="AF516" s="324"/>
    </row>
    <row r="517" spans="3:32" s="294" customFormat="1">
      <c r="C517" s="10"/>
      <c r="D517" s="29"/>
      <c r="E517" s="29"/>
      <c r="F517" s="36"/>
      <c r="G517" s="324"/>
      <c r="H517" s="324"/>
      <c r="I517" s="324"/>
      <c r="J517" s="324"/>
      <c r="K517" s="324"/>
      <c r="L517" s="324"/>
      <c r="M517" s="324"/>
      <c r="N517" s="324"/>
      <c r="O517" s="324"/>
      <c r="P517" s="324"/>
      <c r="Q517" s="324"/>
      <c r="R517" s="324"/>
      <c r="S517" s="324"/>
      <c r="T517" s="324"/>
      <c r="U517" s="324"/>
      <c r="V517" s="324"/>
      <c r="W517" s="324"/>
      <c r="X517" s="324"/>
      <c r="Y517" s="324"/>
      <c r="Z517" s="324"/>
      <c r="AA517" s="324"/>
      <c r="AB517" s="324"/>
      <c r="AC517" s="324"/>
      <c r="AD517" s="324"/>
      <c r="AE517" s="324"/>
      <c r="AF517" s="324"/>
    </row>
    <row r="518" spans="3:32" s="294" customFormat="1">
      <c r="C518" s="10"/>
      <c r="D518" s="29"/>
      <c r="E518" s="29"/>
      <c r="F518" s="36"/>
      <c r="G518" s="324"/>
      <c r="H518" s="324"/>
      <c r="I518" s="324"/>
      <c r="J518" s="324"/>
      <c r="K518" s="324"/>
      <c r="L518" s="324"/>
      <c r="M518" s="324"/>
      <c r="N518" s="324"/>
      <c r="O518" s="324"/>
      <c r="P518" s="324"/>
      <c r="Q518" s="324"/>
      <c r="R518" s="324"/>
      <c r="S518" s="324"/>
      <c r="T518" s="324"/>
      <c r="U518" s="324"/>
      <c r="V518" s="324"/>
      <c r="W518" s="324"/>
      <c r="X518" s="324"/>
      <c r="Y518" s="324"/>
      <c r="Z518" s="324"/>
      <c r="AA518" s="324"/>
      <c r="AB518" s="324"/>
      <c r="AC518" s="324"/>
      <c r="AD518" s="324"/>
      <c r="AE518" s="324"/>
      <c r="AF518" s="324"/>
    </row>
    <row r="519" spans="3:32" s="294" customFormat="1">
      <c r="C519" s="10"/>
      <c r="D519" s="29"/>
      <c r="E519" s="29"/>
      <c r="F519" s="36"/>
      <c r="G519" s="324"/>
      <c r="H519" s="324"/>
      <c r="I519" s="324"/>
      <c r="J519" s="324"/>
      <c r="K519" s="324"/>
      <c r="L519" s="324"/>
      <c r="M519" s="324"/>
      <c r="N519" s="324"/>
      <c r="O519" s="324"/>
      <c r="P519" s="324"/>
      <c r="Q519" s="324"/>
      <c r="R519" s="324"/>
      <c r="S519" s="324"/>
      <c r="T519" s="324"/>
      <c r="U519" s="324"/>
      <c r="V519" s="324"/>
      <c r="W519" s="324"/>
      <c r="X519" s="324"/>
      <c r="Y519" s="324"/>
      <c r="Z519" s="324"/>
      <c r="AA519" s="324"/>
      <c r="AB519" s="324"/>
      <c r="AC519" s="324"/>
      <c r="AD519" s="324"/>
      <c r="AE519" s="324"/>
      <c r="AF519" s="324"/>
    </row>
    <row r="520" spans="3:32" s="294" customFormat="1">
      <c r="C520" s="10"/>
      <c r="D520" s="29"/>
      <c r="E520" s="29"/>
      <c r="F520" s="36"/>
      <c r="G520" s="324"/>
      <c r="H520" s="324"/>
      <c r="I520" s="324"/>
      <c r="J520" s="324"/>
      <c r="K520" s="324"/>
      <c r="L520" s="324"/>
      <c r="M520" s="324"/>
      <c r="N520" s="324"/>
      <c r="O520" s="324"/>
      <c r="P520" s="324"/>
      <c r="Q520" s="324"/>
      <c r="R520" s="324"/>
      <c r="S520" s="324"/>
      <c r="T520" s="324"/>
      <c r="U520" s="324"/>
      <c r="V520" s="324"/>
      <c r="W520" s="324"/>
      <c r="X520" s="324"/>
      <c r="Y520" s="324"/>
      <c r="Z520" s="324"/>
      <c r="AA520" s="324"/>
      <c r="AB520" s="324"/>
      <c r="AC520" s="324"/>
      <c r="AD520" s="324"/>
      <c r="AE520" s="324"/>
      <c r="AF520" s="324"/>
    </row>
    <row r="521" spans="3:32" s="294" customFormat="1">
      <c r="C521" s="10"/>
      <c r="D521" s="29"/>
      <c r="E521" s="29"/>
      <c r="F521" s="36"/>
      <c r="G521" s="324"/>
      <c r="H521" s="324"/>
      <c r="I521" s="324"/>
      <c r="J521" s="324"/>
      <c r="K521" s="324"/>
      <c r="L521" s="324"/>
      <c r="M521" s="324"/>
      <c r="N521" s="324"/>
      <c r="O521" s="324"/>
      <c r="P521" s="324"/>
      <c r="Q521" s="324"/>
      <c r="R521" s="324"/>
      <c r="S521" s="324"/>
      <c r="T521" s="324"/>
      <c r="U521" s="324"/>
      <c r="V521" s="324"/>
      <c r="W521" s="324"/>
      <c r="X521" s="324"/>
      <c r="Y521" s="324"/>
      <c r="Z521" s="324"/>
      <c r="AA521" s="324"/>
      <c r="AB521" s="324"/>
      <c r="AC521" s="324"/>
      <c r="AD521" s="324"/>
      <c r="AE521" s="324"/>
      <c r="AF521" s="324"/>
    </row>
    <row r="522" spans="3:32" s="294" customFormat="1">
      <c r="C522" s="10"/>
      <c r="D522" s="29"/>
      <c r="E522" s="29"/>
      <c r="F522" s="36"/>
      <c r="G522" s="324"/>
      <c r="H522" s="324"/>
      <c r="I522" s="324"/>
      <c r="J522" s="324"/>
      <c r="K522" s="324"/>
      <c r="L522" s="324"/>
      <c r="M522" s="324"/>
      <c r="N522" s="324"/>
      <c r="O522" s="324"/>
      <c r="P522" s="324"/>
      <c r="Q522" s="324"/>
      <c r="R522" s="324"/>
      <c r="S522" s="324"/>
      <c r="T522" s="324"/>
      <c r="U522" s="324"/>
      <c r="V522" s="324"/>
      <c r="W522" s="324"/>
      <c r="X522" s="324"/>
      <c r="Y522" s="324"/>
      <c r="Z522" s="324"/>
      <c r="AA522" s="324"/>
      <c r="AB522" s="324"/>
      <c r="AC522" s="324"/>
      <c r="AD522" s="324"/>
      <c r="AE522" s="324"/>
      <c r="AF522" s="324"/>
    </row>
    <row r="523" spans="3:32" s="294" customFormat="1">
      <c r="C523" s="10"/>
      <c r="D523" s="29"/>
      <c r="E523" s="29"/>
      <c r="F523" s="36"/>
      <c r="G523" s="324"/>
      <c r="H523" s="324"/>
      <c r="I523" s="324"/>
      <c r="J523" s="324"/>
      <c r="K523" s="324"/>
      <c r="L523" s="324"/>
      <c r="M523" s="324"/>
      <c r="N523" s="324"/>
      <c r="O523" s="324"/>
      <c r="P523" s="324"/>
      <c r="Q523" s="324"/>
      <c r="R523" s="324"/>
      <c r="S523" s="324"/>
      <c r="T523" s="324"/>
      <c r="U523" s="324"/>
      <c r="V523" s="324"/>
      <c r="W523" s="324"/>
      <c r="X523" s="324"/>
      <c r="Y523" s="324"/>
      <c r="Z523" s="324"/>
      <c r="AA523" s="324"/>
      <c r="AB523" s="324"/>
      <c r="AC523" s="324"/>
      <c r="AD523" s="324"/>
      <c r="AE523" s="324"/>
      <c r="AF523" s="324"/>
    </row>
    <row r="524" spans="3:32" s="294" customFormat="1">
      <c r="C524" s="10"/>
      <c r="D524" s="29"/>
      <c r="E524" s="29"/>
      <c r="F524" s="36"/>
      <c r="G524" s="324"/>
      <c r="H524" s="324"/>
      <c r="I524" s="324"/>
      <c r="J524" s="324"/>
      <c r="K524" s="324"/>
      <c r="L524" s="324"/>
      <c r="M524" s="324"/>
      <c r="N524" s="324"/>
      <c r="O524" s="324"/>
      <c r="P524" s="324"/>
      <c r="Q524" s="324"/>
      <c r="R524" s="324"/>
      <c r="S524" s="324"/>
      <c r="T524" s="324"/>
      <c r="U524" s="324"/>
      <c r="V524" s="324"/>
      <c r="W524" s="324"/>
      <c r="X524" s="324"/>
      <c r="Y524" s="324"/>
      <c r="Z524" s="324"/>
      <c r="AA524" s="324"/>
      <c r="AB524" s="324"/>
      <c r="AC524" s="324"/>
      <c r="AD524" s="324"/>
      <c r="AE524" s="324"/>
      <c r="AF524" s="324"/>
    </row>
    <row r="525" spans="3:32" s="294" customFormat="1">
      <c r="C525" s="10"/>
      <c r="D525" s="29"/>
      <c r="E525" s="29"/>
      <c r="F525" s="36"/>
      <c r="G525" s="324"/>
      <c r="H525" s="324"/>
      <c r="I525" s="324"/>
      <c r="J525" s="324"/>
      <c r="K525" s="324"/>
      <c r="L525" s="324"/>
      <c r="M525" s="324"/>
      <c r="N525" s="324"/>
      <c r="O525" s="324"/>
      <c r="P525" s="324"/>
      <c r="Q525" s="324"/>
      <c r="R525" s="324"/>
      <c r="S525" s="324"/>
      <c r="T525" s="324"/>
      <c r="U525" s="324"/>
      <c r="V525" s="324"/>
      <c r="W525" s="324"/>
      <c r="X525" s="324"/>
      <c r="Y525" s="324"/>
      <c r="Z525" s="324"/>
      <c r="AA525" s="324"/>
      <c r="AB525" s="324"/>
      <c r="AC525" s="324"/>
      <c r="AD525" s="324"/>
      <c r="AE525" s="324"/>
      <c r="AF525" s="324"/>
    </row>
    <row r="526" spans="3:32" s="294" customFormat="1">
      <c r="C526" s="10"/>
      <c r="D526" s="29"/>
      <c r="E526" s="29"/>
      <c r="F526" s="36"/>
      <c r="G526" s="324"/>
      <c r="H526" s="324"/>
      <c r="I526" s="324"/>
      <c r="J526" s="324"/>
      <c r="K526" s="324"/>
      <c r="L526" s="324"/>
      <c r="M526" s="324"/>
      <c r="N526" s="324"/>
      <c r="O526" s="324"/>
      <c r="P526" s="324"/>
      <c r="Q526" s="324"/>
      <c r="R526" s="324"/>
      <c r="S526" s="324"/>
      <c r="T526" s="324"/>
      <c r="U526" s="324"/>
      <c r="V526" s="324"/>
      <c r="W526" s="324"/>
      <c r="X526" s="324"/>
      <c r="Y526" s="324"/>
      <c r="Z526" s="324"/>
      <c r="AA526" s="324"/>
      <c r="AB526" s="324"/>
      <c r="AC526" s="324"/>
      <c r="AD526" s="324"/>
      <c r="AE526" s="324"/>
      <c r="AF526" s="324"/>
    </row>
    <row r="527" spans="3:32" s="294" customFormat="1">
      <c r="C527" s="10"/>
      <c r="D527" s="29"/>
      <c r="E527" s="29"/>
      <c r="F527" s="36"/>
      <c r="G527" s="324"/>
      <c r="H527" s="324"/>
      <c r="I527" s="324"/>
      <c r="J527" s="324"/>
      <c r="K527" s="324"/>
      <c r="L527" s="324"/>
      <c r="M527" s="324"/>
      <c r="N527" s="324"/>
      <c r="O527" s="324"/>
      <c r="P527" s="324"/>
      <c r="Q527" s="324"/>
      <c r="R527" s="324"/>
      <c r="S527" s="324"/>
      <c r="T527" s="324"/>
      <c r="U527" s="324"/>
      <c r="V527" s="324"/>
      <c r="W527" s="324"/>
      <c r="X527" s="324"/>
      <c r="Y527" s="324"/>
      <c r="Z527" s="324"/>
      <c r="AA527" s="324"/>
      <c r="AB527" s="324"/>
      <c r="AC527" s="324"/>
      <c r="AD527" s="324"/>
      <c r="AE527" s="324"/>
      <c r="AF527" s="324"/>
    </row>
    <row r="528" spans="3:32" s="294" customFormat="1">
      <c r="C528" s="10"/>
      <c r="D528" s="29"/>
      <c r="E528" s="29"/>
      <c r="F528" s="36"/>
      <c r="G528" s="324"/>
      <c r="H528" s="324"/>
      <c r="I528" s="324"/>
      <c r="J528" s="324"/>
      <c r="K528" s="324"/>
      <c r="L528" s="324"/>
      <c r="M528" s="324"/>
      <c r="N528" s="324"/>
      <c r="O528" s="324"/>
      <c r="P528" s="324"/>
      <c r="Q528" s="324"/>
      <c r="R528" s="324"/>
      <c r="S528" s="324"/>
      <c r="T528" s="324"/>
      <c r="U528" s="324"/>
      <c r="V528" s="324"/>
      <c r="W528" s="324"/>
      <c r="X528" s="324"/>
      <c r="Y528" s="324"/>
      <c r="Z528" s="324"/>
      <c r="AA528" s="324"/>
      <c r="AB528" s="324"/>
      <c r="AC528" s="324"/>
      <c r="AD528" s="324"/>
      <c r="AE528" s="324"/>
      <c r="AF528" s="324"/>
    </row>
    <row r="529" spans="3:32" s="294" customFormat="1">
      <c r="C529" s="10"/>
      <c r="D529" s="29"/>
      <c r="E529" s="29"/>
      <c r="F529" s="36"/>
      <c r="G529" s="324"/>
      <c r="H529" s="324"/>
      <c r="I529" s="324"/>
      <c r="J529" s="324"/>
      <c r="K529" s="324"/>
      <c r="L529" s="324"/>
      <c r="M529" s="324"/>
      <c r="N529" s="324"/>
      <c r="O529" s="324"/>
      <c r="P529" s="324"/>
      <c r="Q529" s="324"/>
      <c r="R529" s="324"/>
      <c r="S529" s="324"/>
      <c r="T529" s="324"/>
      <c r="U529" s="324"/>
      <c r="V529" s="324"/>
      <c r="W529" s="324"/>
      <c r="X529" s="324"/>
      <c r="Y529" s="324"/>
      <c r="Z529" s="324"/>
      <c r="AA529" s="324"/>
      <c r="AB529" s="324"/>
      <c r="AC529" s="324"/>
      <c r="AD529" s="324"/>
      <c r="AE529" s="324"/>
      <c r="AF529" s="324"/>
    </row>
    <row r="530" spans="3:32" s="294" customFormat="1">
      <c r="C530" s="10"/>
      <c r="D530" s="29"/>
      <c r="E530" s="29"/>
      <c r="F530" s="36"/>
      <c r="G530" s="324"/>
      <c r="H530" s="324"/>
      <c r="I530" s="324"/>
      <c r="J530" s="324"/>
      <c r="K530" s="324"/>
      <c r="L530" s="324"/>
      <c r="M530" s="324"/>
      <c r="N530" s="324"/>
      <c r="O530" s="324"/>
      <c r="P530" s="324"/>
      <c r="Q530" s="324"/>
      <c r="R530" s="324"/>
      <c r="S530" s="324"/>
      <c r="T530" s="324"/>
      <c r="U530" s="324"/>
      <c r="V530" s="324"/>
      <c r="W530" s="324"/>
      <c r="X530" s="324"/>
      <c r="Y530" s="324"/>
      <c r="Z530" s="324"/>
      <c r="AA530" s="324"/>
      <c r="AB530" s="324"/>
      <c r="AC530" s="324"/>
      <c r="AD530" s="324"/>
      <c r="AE530" s="324"/>
      <c r="AF530" s="324"/>
    </row>
    <row r="531" spans="3:32" s="294" customFormat="1">
      <c r="C531" s="10"/>
      <c r="D531" s="29"/>
      <c r="E531" s="29"/>
      <c r="F531" s="36"/>
      <c r="G531" s="324"/>
      <c r="H531" s="324"/>
      <c r="I531" s="324"/>
      <c r="J531" s="324"/>
      <c r="K531" s="324"/>
      <c r="L531" s="324"/>
      <c r="M531" s="324"/>
      <c r="N531" s="324"/>
      <c r="O531" s="324"/>
      <c r="P531" s="324"/>
      <c r="Q531" s="324"/>
      <c r="R531" s="324"/>
      <c r="S531" s="324"/>
      <c r="T531" s="324"/>
      <c r="U531" s="324"/>
      <c r="V531" s="324"/>
      <c r="W531" s="324"/>
      <c r="X531" s="324"/>
      <c r="Y531" s="324"/>
      <c r="Z531" s="324"/>
      <c r="AA531" s="324"/>
      <c r="AB531" s="324"/>
      <c r="AC531" s="324"/>
      <c r="AD531" s="324"/>
      <c r="AE531" s="324"/>
      <c r="AF531" s="324"/>
    </row>
    <row r="532" spans="3:32" s="294" customFormat="1">
      <c r="C532" s="10"/>
      <c r="D532" s="29"/>
      <c r="E532" s="29"/>
      <c r="F532" s="36"/>
      <c r="G532" s="324"/>
      <c r="H532" s="324"/>
      <c r="I532" s="324"/>
      <c r="J532" s="324"/>
      <c r="K532" s="324"/>
      <c r="L532" s="324"/>
      <c r="M532" s="324"/>
      <c r="N532" s="324"/>
      <c r="O532" s="324"/>
      <c r="P532" s="324"/>
      <c r="Q532" s="324"/>
      <c r="R532" s="324"/>
      <c r="S532" s="324"/>
      <c r="T532" s="324"/>
      <c r="U532" s="324"/>
      <c r="V532" s="324"/>
      <c r="W532" s="324"/>
      <c r="X532" s="324"/>
      <c r="Y532" s="324"/>
      <c r="Z532" s="324"/>
      <c r="AA532" s="324"/>
      <c r="AB532" s="324"/>
      <c r="AC532" s="324"/>
      <c r="AD532" s="324"/>
      <c r="AE532" s="324"/>
      <c r="AF532" s="324"/>
    </row>
    <row r="533" spans="3:32" s="294" customFormat="1">
      <c r="C533" s="10"/>
      <c r="D533" s="29"/>
      <c r="E533" s="29"/>
      <c r="F533" s="36"/>
      <c r="G533" s="324"/>
      <c r="H533" s="324"/>
      <c r="I533" s="324"/>
      <c r="J533" s="324"/>
      <c r="K533" s="324"/>
      <c r="L533" s="324"/>
      <c r="M533" s="324"/>
      <c r="N533" s="324"/>
      <c r="O533" s="324"/>
      <c r="P533" s="324"/>
      <c r="Q533" s="324"/>
      <c r="R533" s="324"/>
      <c r="S533" s="324"/>
      <c r="T533" s="324"/>
      <c r="U533" s="324"/>
      <c r="V533" s="324"/>
      <c r="W533" s="324"/>
      <c r="X533" s="324"/>
      <c r="Y533" s="324"/>
      <c r="Z533" s="324"/>
      <c r="AA533" s="324"/>
      <c r="AB533" s="324"/>
      <c r="AC533" s="324"/>
      <c r="AD533" s="324"/>
      <c r="AE533" s="324"/>
      <c r="AF533" s="324"/>
    </row>
    <row r="534" spans="3:32" s="294" customFormat="1">
      <c r="C534" s="10"/>
      <c r="D534" s="29"/>
      <c r="E534" s="29"/>
      <c r="F534" s="36"/>
      <c r="G534" s="324"/>
      <c r="H534" s="324"/>
      <c r="I534" s="324"/>
      <c r="J534" s="324"/>
      <c r="K534" s="324"/>
      <c r="L534" s="324"/>
      <c r="M534" s="324"/>
      <c r="N534" s="324"/>
      <c r="O534" s="324"/>
      <c r="P534" s="324"/>
      <c r="Q534" s="324"/>
      <c r="R534" s="324"/>
      <c r="S534" s="324"/>
      <c r="T534" s="324"/>
      <c r="U534" s="324"/>
      <c r="V534" s="324"/>
      <c r="W534" s="324"/>
      <c r="X534" s="324"/>
      <c r="Y534" s="324"/>
      <c r="Z534" s="324"/>
      <c r="AA534" s="324"/>
      <c r="AB534" s="324"/>
      <c r="AC534" s="324"/>
      <c r="AD534" s="324"/>
      <c r="AE534" s="324"/>
      <c r="AF534" s="324"/>
    </row>
    <row r="535" spans="3:32" s="294" customFormat="1">
      <c r="C535" s="10"/>
      <c r="D535" s="29"/>
      <c r="E535" s="29"/>
      <c r="F535" s="36"/>
      <c r="G535" s="324"/>
      <c r="H535" s="324"/>
      <c r="I535" s="324"/>
      <c r="J535" s="324"/>
      <c r="K535" s="324"/>
      <c r="L535" s="324"/>
      <c r="M535" s="324"/>
      <c r="N535" s="324"/>
      <c r="O535" s="324"/>
      <c r="P535" s="324"/>
      <c r="Q535" s="324"/>
      <c r="R535" s="324"/>
      <c r="S535" s="324"/>
      <c r="T535" s="324"/>
      <c r="U535" s="324"/>
      <c r="V535" s="324"/>
      <c r="W535" s="324"/>
      <c r="X535" s="324"/>
      <c r="Y535" s="324"/>
      <c r="Z535" s="324"/>
      <c r="AA535" s="324"/>
      <c r="AB535" s="324"/>
      <c r="AC535" s="324"/>
      <c r="AD535" s="324"/>
      <c r="AE535" s="324"/>
      <c r="AF535" s="324"/>
    </row>
    <row r="536" spans="3:32" s="294" customFormat="1">
      <c r="C536" s="10"/>
      <c r="D536" s="29"/>
      <c r="E536" s="29"/>
      <c r="F536" s="36"/>
      <c r="G536" s="324"/>
      <c r="H536" s="324"/>
      <c r="I536" s="324"/>
      <c r="J536" s="324"/>
      <c r="K536" s="324"/>
      <c r="L536" s="324"/>
      <c r="M536" s="324"/>
      <c r="N536" s="324"/>
      <c r="O536" s="324"/>
      <c r="P536" s="324"/>
      <c r="Q536" s="324"/>
      <c r="R536" s="324"/>
      <c r="S536" s="324"/>
      <c r="T536" s="324"/>
      <c r="U536" s="324"/>
      <c r="V536" s="324"/>
      <c r="W536" s="324"/>
      <c r="X536" s="324"/>
      <c r="Y536" s="324"/>
      <c r="Z536" s="324"/>
      <c r="AA536" s="324"/>
      <c r="AB536" s="324"/>
      <c r="AC536" s="324"/>
      <c r="AD536" s="324"/>
      <c r="AE536" s="324"/>
      <c r="AF536" s="324"/>
    </row>
    <row r="537" spans="3:32" s="294" customFormat="1">
      <c r="C537" s="10"/>
      <c r="D537" s="29"/>
      <c r="E537" s="29"/>
      <c r="F537" s="36"/>
      <c r="G537" s="324"/>
      <c r="H537" s="324"/>
      <c r="I537" s="324"/>
      <c r="J537" s="324"/>
      <c r="K537" s="324"/>
      <c r="L537" s="324"/>
      <c r="M537" s="324"/>
      <c r="N537" s="324"/>
      <c r="O537" s="324"/>
      <c r="P537" s="324"/>
      <c r="Q537" s="324"/>
      <c r="R537" s="324"/>
      <c r="S537" s="324"/>
      <c r="T537" s="324"/>
      <c r="U537" s="324"/>
      <c r="V537" s="324"/>
      <c r="W537" s="324"/>
      <c r="X537" s="324"/>
      <c r="Y537" s="324"/>
      <c r="Z537" s="324"/>
      <c r="AA537" s="324"/>
      <c r="AB537" s="324"/>
      <c r="AC537" s="324"/>
      <c r="AD537" s="324"/>
      <c r="AE537" s="324"/>
      <c r="AF537" s="324"/>
    </row>
    <row r="538" spans="3:32" s="294" customFormat="1">
      <c r="C538" s="10"/>
      <c r="D538" s="29"/>
      <c r="E538" s="29"/>
      <c r="F538" s="36"/>
      <c r="G538" s="324"/>
      <c r="H538" s="324"/>
      <c r="I538" s="324"/>
      <c r="J538" s="324"/>
      <c r="K538" s="324"/>
      <c r="L538" s="324"/>
      <c r="M538" s="324"/>
      <c r="N538" s="324"/>
      <c r="O538" s="324"/>
      <c r="P538" s="324"/>
      <c r="Q538" s="324"/>
      <c r="R538" s="324"/>
      <c r="S538" s="324"/>
      <c r="T538" s="324"/>
      <c r="U538" s="324"/>
      <c r="V538" s="324"/>
      <c r="W538" s="324"/>
      <c r="X538" s="324"/>
      <c r="Y538" s="324"/>
      <c r="Z538" s="324"/>
      <c r="AA538" s="324"/>
      <c r="AB538" s="324"/>
      <c r="AC538" s="324"/>
      <c r="AD538" s="324"/>
      <c r="AE538" s="324"/>
      <c r="AF538" s="324"/>
    </row>
    <row r="539" spans="3:32" s="294" customFormat="1">
      <c r="C539" s="10"/>
      <c r="D539" s="29"/>
      <c r="E539" s="29"/>
      <c r="F539" s="36"/>
      <c r="G539" s="324"/>
      <c r="H539" s="324"/>
      <c r="I539" s="324"/>
      <c r="J539" s="324"/>
      <c r="K539" s="324"/>
      <c r="L539" s="324"/>
      <c r="M539" s="324"/>
      <c r="N539" s="324"/>
      <c r="O539" s="324"/>
      <c r="P539" s="324"/>
      <c r="Q539" s="324"/>
      <c r="R539" s="324"/>
      <c r="S539" s="324"/>
      <c r="T539" s="324"/>
      <c r="U539" s="324"/>
      <c r="V539" s="324"/>
      <c r="W539" s="324"/>
      <c r="X539" s="324"/>
      <c r="Y539" s="324"/>
      <c r="Z539" s="324"/>
      <c r="AA539" s="324"/>
      <c r="AB539" s="324"/>
      <c r="AC539" s="324"/>
      <c r="AD539" s="324"/>
      <c r="AE539" s="324"/>
      <c r="AF539" s="324"/>
    </row>
    <row r="540" spans="3:32" s="294" customFormat="1">
      <c r="C540" s="10"/>
      <c r="D540" s="29"/>
      <c r="E540" s="29"/>
      <c r="F540" s="36"/>
      <c r="G540" s="324"/>
      <c r="H540" s="324"/>
      <c r="I540" s="324"/>
      <c r="J540" s="324"/>
      <c r="K540" s="324"/>
      <c r="L540" s="324"/>
      <c r="M540" s="324"/>
      <c r="N540" s="324"/>
      <c r="O540" s="324"/>
      <c r="P540" s="324"/>
      <c r="Q540" s="324"/>
      <c r="R540" s="324"/>
      <c r="S540" s="324"/>
      <c r="T540" s="324"/>
      <c r="U540" s="324"/>
      <c r="V540" s="324"/>
      <c r="W540" s="324"/>
      <c r="X540" s="324"/>
      <c r="Y540" s="324"/>
      <c r="Z540" s="324"/>
      <c r="AA540" s="324"/>
      <c r="AB540" s="324"/>
      <c r="AC540" s="324"/>
      <c r="AD540" s="324"/>
      <c r="AE540" s="324"/>
      <c r="AF540" s="324"/>
    </row>
    <row r="541" spans="3:32" s="294" customFormat="1">
      <c r="C541" s="10"/>
      <c r="D541" s="29"/>
      <c r="E541" s="29"/>
      <c r="F541" s="36"/>
      <c r="G541" s="324"/>
      <c r="H541" s="324"/>
      <c r="I541" s="324"/>
      <c r="J541" s="324"/>
      <c r="K541" s="324"/>
      <c r="L541" s="324"/>
      <c r="M541" s="324"/>
      <c r="N541" s="324"/>
      <c r="O541" s="324"/>
      <c r="P541" s="324"/>
      <c r="Q541" s="324"/>
      <c r="R541" s="324"/>
      <c r="S541" s="324"/>
      <c r="T541" s="324"/>
      <c r="U541" s="324"/>
      <c r="V541" s="324"/>
      <c r="W541" s="324"/>
      <c r="X541" s="324"/>
      <c r="Y541" s="324"/>
      <c r="Z541" s="324"/>
      <c r="AA541" s="324"/>
      <c r="AB541" s="324"/>
      <c r="AC541" s="324"/>
      <c r="AD541" s="324"/>
      <c r="AE541" s="324"/>
      <c r="AF541" s="324"/>
    </row>
    <row r="542" spans="3:32" s="294" customFormat="1">
      <c r="C542" s="10"/>
      <c r="D542" s="29"/>
      <c r="E542" s="29"/>
      <c r="F542" s="36"/>
      <c r="G542" s="324"/>
      <c r="H542" s="324"/>
      <c r="I542" s="324"/>
      <c r="J542" s="324"/>
      <c r="K542" s="324"/>
      <c r="L542" s="324"/>
      <c r="M542" s="324"/>
      <c r="N542" s="324"/>
      <c r="O542" s="324"/>
      <c r="P542" s="324"/>
      <c r="Q542" s="324"/>
      <c r="R542" s="324"/>
      <c r="S542" s="324"/>
      <c r="T542" s="324"/>
      <c r="U542" s="324"/>
      <c r="V542" s="324"/>
      <c r="W542" s="324"/>
      <c r="X542" s="324"/>
      <c r="Y542" s="324"/>
      <c r="Z542" s="324"/>
      <c r="AA542" s="324"/>
      <c r="AB542" s="324"/>
      <c r="AC542" s="324"/>
      <c r="AD542" s="324"/>
      <c r="AE542" s="324"/>
      <c r="AF542" s="324"/>
    </row>
    <row r="543" spans="3:32" s="294" customFormat="1">
      <c r="C543" s="10"/>
      <c r="D543" s="29"/>
      <c r="E543" s="29"/>
      <c r="F543" s="36"/>
      <c r="G543" s="324"/>
      <c r="H543" s="324"/>
      <c r="I543" s="324"/>
      <c r="J543" s="324"/>
      <c r="K543" s="324"/>
      <c r="L543" s="324"/>
      <c r="M543" s="324"/>
      <c r="N543" s="324"/>
      <c r="O543" s="324"/>
      <c r="P543" s="324"/>
      <c r="Q543" s="324"/>
      <c r="R543" s="324"/>
      <c r="S543" s="324"/>
      <c r="T543" s="324"/>
      <c r="U543" s="324"/>
      <c r="V543" s="324"/>
      <c r="W543" s="324"/>
      <c r="X543" s="324"/>
      <c r="Y543" s="324"/>
      <c r="Z543" s="324"/>
      <c r="AA543" s="324"/>
      <c r="AB543" s="324"/>
      <c r="AC543" s="324"/>
      <c r="AD543" s="324"/>
      <c r="AE543" s="324"/>
      <c r="AF543" s="324"/>
    </row>
    <row r="544" spans="3:32" s="294" customFormat="1">
      <c r="C544" s="10"/>
      <c r="D544" s="29"/>
      <c r="E544" s="29"/>
      <c r="F544" s="36"/>
      <c r="G544" s="324"/>
      <c r="H544" s="324"/>
      <c r="I544" s="324"/>
      <c r="J544" s="324"/>
      <c r="K544" s="324"/>
      <c r="L544" s="324"/>
      <c r="M544" s="324"/>
      <c r="N544" s="324"/>
      <c r="O544" s="324"/>
      <c r="P544" s="324"/>
      <c r="Q544" s="324"/>
      <c r="R544" s="324"/>
      <c r="S544" s="324"/>
      <c r="T544" s="324"/>
      <c r="U544" s="324"/>
      <c r="V544" s="324"/>
      <c r="W544" s="324"/>
      <c r="X544" s="324"/>
      <c r="Y544" s="324"/>
      <c r="Z544" s="324"/>
      <c r="AA544" s="324"/>
      <c r="AB544" s="324"/>
      <c r="AC544" s="324"/>
      <c r="AD544" s="324"/>
      <c r="AE544" s="324"/>
      <c r="AF544" s="324"/>
    </row>
    <row r="545" spans="3:32" s="294" customFormat="1">
      <c r="C545" s="10"/>
      <c r="D545" s="29"/>
      <c r="E545" s="29"/>
      <c r="F545" s="36"/>
      <c r="G545" s="324"/>
      <c r="H545" s="324"/>
      <c r="I545" s="324"/>
      <c r="J545" s="324"/>
      <c r="K545" s="324"/>
      <c r="L545" s="324"/>
      <c r="M545" s="324"/>
      <c r="N545" s="324"/>
      <c r="O545" s="324"/>
      <c r="P545" s="324"/>
      <c r="Q545" s="324"/>
      <c r="R545" s="324"/>
      <c r="S545" s="324"/>
      <c r="T545" s="324"/>
      <c r="U545" s="324"/>
      <c r="V545" s="324"/>
      <c r="W545" s="324"/>
      <c r="X545" s="324"/>
      <c r="Y545" s="324"/>
      <c r="Z545" s="324"/>
      <c r="AA545" s="324"/>
      <c r="AB545" s="324"/>
      <c r="AC545" s="324"/>
      <c r="AD545" s="324"/>
      <c r="AE545" s="324"/>
      <c r="AF545" s="324"/>
    </row>
    <row r="546" spans="3:32" s="294" customFormat="1">
      <c r="C546" s="10"/>
      <c r="D546" s="29"/>
      <c r="E546" s="29"/>
      <c r="F546" s="36"/>
      <c r="G546" s="324"/>
      <c r="H546" s="324"/>
      <c r="I546" s="324"/>
      <c r="J546" s="324"/>
      <c r="K546" s="324"/>
      <c r="L546" s="324"/>
      <c r="M546" s="324"/>
      <c r="N546" s="324"/>
      <c r="O546" s="324"/>
      <c r="P546" s="324"/>
      <c r="Q546" s="324"/>
      <c r="R546" s="324"/>
      <c r="S546" s="324"/>
      <c r="T546" s="324"/>
      <c r="U546" s="324"/>
      <c r="V546" s="324"/>
      <c r="W546" s="324"/>
      <c r="X546" s="324"/>
      <c r="Y546" s="324"/>
      <c r="Z546" s="324"/>
      <c r="AA546" s="324"/>
      <c r="AB546" s="324"/>
      <c r="AC546" s="324"/>
      <c r="AD546" s="324"/>
      <c r="AE546" s="324"/>
      <c r="AF546" s="324"/>
    </row>
    <row r="547" spans="3:32" s="294" customFormat="1">
      <c r="C547" s="10"/>
      <c r="D547" s="29"/>
      <c r="E547" s="29"/>
      <c r="F547" s="36"/>
      <c r="G547" s="324"/>
      <c r="H547" s="324"/>
      <c r="I547" s="324"/>
      <c r="J547" s="324"/>
      <c r="K547" s="324"/>
      <c r="L547" s="324"/>
      <c r="M547" s="324"/>
      <c r="N547" s="324"/>
      <c r="O547" s="324"/>
      <c r="P547" s="324"/>
      <c r="Q547" s="324"/>
      <c r="R547" s="324"/>
      <c r="S547" s="324"/>
      <c r="T547" s="324"/>
      <c r="U547" s="324"/>
      <c r="V547" s="324"/>
      <c r="W547" s="324"/>
      <c r="X547" s="324"/>
      <c r="Y547" s="324"/>
      <c r="Z547" s="324"/>
      <c r="AA547" s="324"/>
      <c r="AB547" s="324"/>
      <c r="AC547" s="324"/>
      <c r="AD547" s="324"/>
      <c r="AE547" s="324"/>
      <c r="AF547" s="324"/>
    </row>
    <row r="548" spans="3:32" s="294" customFormat="1">
      <c r="C548" s="10"/>
      <c r="D548" s="29"/>
      <c r="E548" s="29"/>
      <c r="F548" s="36"/>
      <c r="G548" s="324"/>
      <c r="H548" s="324"/>
      <c r="I548" s="324"/>
      <c r="J548" s="324"/>
      <c r="K548" s="324"/>
      <c r="L548" s="324"/>
      <c r="M548" s="324"/>
      <c r="N548" s="324"/>
      <c r="O548" s="324"/>
      <c r="P548" s="324"/>
      <c r="Q548" s="324"/>
      <c r="R548" s="324"/>
      <c r="S548" s="324"/>
      <c r="T548" s="324"/>
      <c r="U548" s="324"/>
      <c r="V548" s="324"/>
      <c r="W548" s="324"/>
      <c r="X548" s="324"/>
      <c r="Y548" s="324"/>
      <c r="Z548" s="324"/>
      <c r="AA548" s="324"/>
      <c r="AB548" s="324"/>
      <c r="AC548" s="324"/>
      <c r="AD548" s="324"/>
      <c r="AE548" s="324"/>
      <c r="AF548" s="324"/>
    </row>
    <row r="549" spans="3:32" s="294" customFormat="1">
      <c r="C549" s="10"/>
      <c r="D549" s="29"/>
      <c r="E549" s="29"/>
      <c r="F549" s="36"/>
      <c r="G549" s="324"/>
      <c r="H549" s="324"/>
      <c r="I549" s="324"/>
      <c r="J549" s="324"/>
      <c r="K549" s="324"/>
      <c r="L549" s="324"/>
      <c r="M549" s="324"/>
      <c r="N549" s="324"/>
      <c r="O549" s="324"/>
      <c r="P549" s="324"/>
      <c r="Q549" s="324"/>
      <c r="R549" s="324"/>
      <c r="S549" s="324"/>
      <c r="T549" s="324"/>
      <c r="U549" s="324"/>
      <c r="V549" s="324"/>
      <c r="W549" s="324"/>
      <c r="X549" s="324"/>
      <c r="Y549" s="324"/>
      <c r="Z549" s="324"/>
      <c r="AA549" s="324"/>
      <c r="AB549" s="324"/>
      <c r="AC549" s="324"/>
      <c r="AD549" s="324"/>
      <c r="AE549" s="324"/>
      <c r="AF549" s="324"/>
    </row>
    <row r="550" spans="3:32" s="294" customFormat="1">
      <c r="C550" s="10"/>
      <c r="D550" s="29"/>
      <c r="E550" s="29"/>
      <c r="F550" s="36"/>
      <c r="G550" s="324"/>
      <c r="H550" s="324"/>
      <c r="I550" s="324"/>
      <c r="J550" s="324"/>
      <c r="K550" s="324"/>
      <c r="L550" s="324"/>
      <c r="M550" s="324"/>
      <c r="N550" s="324"/>
      <c r="O550" s="324"/>
      <c r="P550" s="324"/>
      <c r="Q550" s="324"/>
      <c r="R550" s="324"/>
      <c r="S550" s="324"/>
      <c r="T550" s="324"/>
      <c r="U550" s="324"/>
      <c r="V550" s="324"/>
      <c r="W550" s="324"/>
      <c r="X550" s="324"/>
      <c r="Y550" s="324"/>
      <c r="Z550" s="324"/>
      <c r="AA550" s="324"/>
      <c r="AB550" s="324"/>
      <c r="AC550" s="324"/>
      <c r="AD550" s="324"/>
      <c r="AE550" s="324"/>
      <c r="AF550" s="324"/>
    </row>
    <row r="551" spans="3:32" s="294" customFormat="1">
      <c r="C551" s="10"/>
      <c r="D551" s="29"/>
      <c r="E551" s="29"/>
      <c r="F551" s="36"/>
      <c r="G551" s="324"/>
      <c r="H551" s="324"/>
      <c r="I551" s="324"/>
      <c r="J551" s="324"/>
      <c r="K551" s="324"/>
      <c r="L551" s="324"/>
      <c r="M551" s="324"/>
      <c r="N551" s="324"/>
      <c r="O551" s="324"/>
      <c r="P551" s="324"/>
      <c r="Q551" s="324"/>
      <c r="R551" s="324"/>
      <c r="S551" s="324"/>
      <c r="T551" s="324"/>
      <c r="U551" s="324"/>
      <c r="V551" s="324"/>
      <c r="W551" s="324"/>
      <c r="X551" s="324"/>
      <c r="Y551" s="324"/>
      <c r="Z551" s="324"/>
      <c r="AA551" s="324"/>
      <c r="AB551" s="324"/>
      <c r="AC551" s="324"/>
      <c r="AD551" s="324"/>
      <c r="AE551" s="324"/>
      <c r="AF551" s="324"/>
    </row>
    <row r="552" spans="3:32" s="294" customFormat="1">
      <c r="C552" s="10"/>
      <c r="D552" s="29"/>
      <c r="E552" s="29"/>
      <c r="F552" s="36"/>
      <c r="G552" s="324"/>
      <c r="H552" s="324"/>
      <c r="I552" s="324"/>
      <c r="J552" s="324"/>
      <c r="K552" s="324"/>
      <c r="L552" s="324"/>
      <c r="M552" s="324"/>
      <c r="N552" s="324"/>
      <c r="O552" s="324"/>
      <c r="P552" s="324"/>
      <c r="Q552" s="324"/>
      <c r="R552" s="324"/>
      <c r="S552" s="324"/>
      <c r="T552" s="324"/>
      <c r="U552" s="324"/>
      <c r="V552" s="324"/>
      <c r="W552" s="324"/>
      <c r="X552" s="324"/>
      <c r="Y552" s="324"/>
      <c r="Z552" s="324"/>
      <c r="AA552" s="324"/>
      <c r="AB552" s="324"/>
      <c r="AC552" s="324"/>
      <c r="AD552" s="324"/>
      <c r="AE552" s="324"/>
      <c r="AF552" s="324"/>
    </row>
    <row r="553" spans="3:32" s="294" customFormat="1">
      <c r="C553" s="10"/>
      <c r="D553" s="29"/>
      <c r="E553" s="29"/>
      <c r="F553" s="36"/>
      <c r="G553" s="324"/>
      <c r="H553" s="324"/>
      <c r="I553" s="324"/>
      <c r="J553" s="324"/>
      <c r="K553" s="324"/>
      <c r="L553" s="324"/>
      <c r="M553" s="324"/>
      <c r="N553" s="324"/>
      <c r="O553" s="324"/>
      <c r="P553" s="324"/>
      <c r="Q553" s="324"/>
      <c r="R553" s="324"/>
      <c r="S553" s="324"/>
      <c r="T553" s="324"/>
      <c r="U553" s="324"/>
      <c r="V553" s="324"/>
      <c r="W553" s="324"/>
      <c r="X553" s="324"/>
      <c r="Y553" s="324"/>
      <c r="Z553" s="324"/>
      <c r="AA553" s="324"/>
      <c r="AB553" s="324"/>
      <c r="AC553" s="324"/>
      <c r="AD553" s="324"/>
      <c r="AE553" s="324"/>
      <c r="AF553" s="324"/>
    </row>
    <row r="554" spans="3:32" s="294" customFormat="1">
      <c r="C554" s="10"/>
      <c r="D554" s="29"/>
      <c r="E554" s="29"/>
      <c r="F554" s="36"/>
      <c r="G554" s="324"/>
      <c r="H554" s="324"/>
      <c r="I554" s="324"/>
      <c r="J554" s="324"/>
      <c r="K554" s="324"/>
      <c r="L554" s="324"/>
      <c r="M554" s="324"/>
      <c r="N554" s="324"/>
      <c r="O554" s="324"/>
      <c r="P554" s="324"/>
      <c r="Q554" s="324"/>
      <c r="R554" s="324"/>
      <c r="S554" s="324"/>
      <c r="T554" s="324"/>
      <c r="U554" s="324"/>
      <c r="V554" s="324"/>
      <c r="W554" s="324"/>
      <c r="X554" s="324"/>
      <c r="Y554" s="324"/>
      <c r="Z554" s="324"/>
      <c r="AA554" s="324"/>
      <c r="AB554" s="324"/>
      <c r="AC554" s="324"/>
      <c r="AD554" s="324"/>
      <c r="AE554" s="324"/>
      <c r="AF554" s="324"/>
    </row>
    <row r="555" spans="3:32" s="294" customFormat="1">
      <c r="C555" s="10"/>
      <c r="D555" s="29"/>
      <c r="E555" s="29"/>
      <c r="F555" s="36"/>
      <c r="G555" s="324"/>
      <c r="H555" s="324"/>
      <c r="I555" s="324"/>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s="324"/>
    </row>
    <row r="556" spans="3:32" s="294" customFormat="1">
      <c r="C556" s="10"/>
      <c r="D556" s="29"/>
      <c r="E556" s="29"/>
      <c r="F556" s="36"/>
      <c r="G556" s="324"/>
      <c r="H556" s="324"/>
      <c r="I556" s="324"/>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s="324"/>
    </row>
    <row r="557" spans="3:32" s="294" customFormat="1">
      <c r="C557" s="10"/>
      <c r="D557" s="29"/>
      <c r="E557" s="29"/>
      <c r="F557" s="36"/>
      <c r="G557" s="324"/>
      <c r="H557" s="324"/>
      <c r="I557" s="324"/>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s="324"/>
    </row>
    <row r="558" spans="3:32" s="294" customFormat="1">
      <c r="C558" s="10"/>
      <c r="D558" s="29"/>
      <c r="E558" s="29"/>
      <c r="F558" s="36"/>
      <c r="G558" s="324"/>
      <c r="H558" s="324"/>
      <c r="I558" s="324"/>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s="324"/>
    </row>
    <row r="559" spans="3:32" s="294" customFormat="1">
      <c r="C559" s="10"/>
      <c r="D559" s="29"/>
      <c r="E559" s="29"/>
      <c r="F559" s="36"/>
      <c r="G559" s="324"/>
      <c r="H559" s="324"/>
      <c r="I559" s="324"/>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s="324"/>
    </row>
    <row r="560" spans="3:32" s="294" customFormat="1">
      <c r="C560" s="10"/>
      <c r="D560" s="29"/>
      <c r="E560" s="29"/>
      <c r="F560" s="36"/>
      <c r="G560" s="324"/>
      <c r="H560" s="324"/>
      <c r="I560" s="324"/>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s="324"/>
    </row>
    <row r="561" spans="3:32" s="294" customFormat="1">
      <c r="C561" s="10"/>
      <c r="D561" s="29"/>
      <c r="E561" s="29"/>
      <c r="F561" s="36"/>
      <c r="G561" s="324"/>
      <c r="H561" s="324"/>
      <c r="I561" s="324"/>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s="324"/>
    </row>
    <row r="562" spans="3:32" s="294" customFormat="1">
      <c r="C562" s="10"/>
      <c r="D562" s="29"/>
      <c r="E562" s="29"/>
      <c r="F562" s="36"/>
      <c r="G562" s="324"/>
      <c r="H562" s="324"/>
      <c r="I562" s="324"/>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s="324"/>
    </row>
    <row r="563" spans="3:32" s="294" customFormat="1">
      <c r="C563" s="10"/>
      <c r="D563" s="29"/>
      <c r="E563" s="29"/>
      <c r="F563" s="36"/>
      <c r="G563" s="324"/>
      <c r="H563" s="324"/>
      <c r="I563" s="324"/>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c r="AF563" s="324"/>
    </row>
    <row r="564" spans="3:32" s="294" customFormat="1">
      <c r="C564" s="10"/>
      <c r="D564" s="29"/>
      <c r="E564" s="29"/>
      <c r="F564" s="36"/>
      <c r="G564" s="324"/>
      <c r="H564" s="324"/>
      <c r="I564" s="324"/>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c r="AF564" s="324"/>
    </row>
    <row r="565" spans="3:32" s="294" customFormat="1">
      <c r="C565" s="10"/>
      <c r="D565" s="29"/>
      <c r="E565" s="29"/>
      <c r="F565" s="36"/>
      <c r="G565" s="324"/>
      <c r="H565" s="324"/>
      <c r="I565" s="324"/>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c r="AF565" s="324"/>
    </row>
    <row r="566" spans="3:32" s="294" customFormat="1">
      <c r="C566" s="10"/>
      <c r="D566" s="29"/>
      <c r="E566" s="29"/>
      <c r="F566" s="36"/>
      <c r="G566" s="324"/>
      <c r="H566" s="324"/>
      <c r="I566" s="324"/>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c r="AF566" s="324"/>
    </row>
    <row r="567" spans="3:32" s="294" customFormat="1">
      <c r="C567" s="10"/>
      <c r="D567" s="29"/>
      <c r="E567" s="29"/>
      <c r="F567" s="36"/>
      <c r="G567" s="324"/>
      <c r="H567" s="324"/>
      <c r="I567" s="324"/>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c r="AF567" s="324"/>
    </row>
    <row r="568" spans="3:32" s="294" customFormat="1">
      <c r="C568" s="10"/>
      <c r="D568" s="29"/>
      <c r="E568" s="29"/>
      <c r="F568" s="36"/>
      <c r="G568" s="324"/>
      <c r="H568" s="324"/>
      <c r="I568" s="324"/>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c r="AF568" s="324"/>
    </row>
    <row r="569" spans="3:32" s="294" customFormat="1">
      <c r="C569" s="10"/>
      <c r="D569" s="29"/>
      <c r="E569" s="29"/>
      <c r="F569" s="36"/>
      <c r="G569" s="324"/>
      <c r="H569" s="324"/>
      <c r="I569" s="324"/>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c r="AF569" s="324"/>
    </row>
    <row r="570" spans="3:32" s="294" customFormat="1">
      <c r="C570" s="10"/>
      <c r="D570" s="29"/>
      <c r="E570" s="29"/>
      <c r="F570" s="36"/>
      <c r="G570" s="324"/>
      <c r="H570" s="324"/>
      <c r="I570" s="324"/>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c r="AF570" s="324"/>
    </row>
    <row r="571" spans="3:32" s="294" customFormat="1">
      <c r="C571" s="10"/>
      <c r="D571" s="29"/>
      <c r="E571" s="29"/>
      <c r="F571" s="36"/>
      <c r="G571" s="324"/>
      <c r="H571" s="324"/>
      <c r="I571" s="324"/>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c r="AF571" s="324"/>
    </row>
    <row r="572" spans="3:32" s="294" customFormat="1">
      <c r="C572" s="10"/>
      <c r="D572" s="29"/>
      <c r="E572" s="29"/>
      <c r="F572" s="36"/>
      <c r="G572" s="324"/>
      <c r="H572" s="324"/>
      <c r="I572" s="324"/>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c r="AF572" s="324"/>
    </row>
    <row r="573" spans="3:32" s="294" customFormat="1">
      <c r="C573" s="10"/>
      <c r="D573" s="29"/>
      <c r="E573" s="29"/>
      <c r="F573" s="36"/>
      <c r="G573" s="324"/>
      <c r="H573" s="324"/>
      <c r="I573" s="324"/>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c r="AF573" s="324"/>
    </row>
    <row r="574" spans="3:32" s="294" customFormat="1">
      <c r="C574" s="10"/>
      <c r="D574" s="29"/>
      <c r="E574" s="29"/>
      <c r="F574" s="36"/>
      <c r="G574" s="324"/>
      <c r="H574" s="324"/>
      <c r="I574" s="324"/>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c r="AF574" s="324"/>
    </row>
    <row r="575" spans="3:32" s="294" customFormat="1">
      <c r="C575" s="10"/>
      <c r="D575" s="29"/>
      <c r="E575" s="29"/>
      <c r="F575" s="36"/>
      <c r="G575" s="324"/>
      <c r="H575" s="324"/>
      <c r="I575" s="324"/>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c r="AF575" s="324"/>
    </row>
    <row r="576" spans="3:32" s="294" customFormat="1">
      <c r="C576" s="10"/>
      <c r="D576" s="29"/>
      <c r="E576" s="29"/>
      <c r="F576" s="36"/>
      <c r="G576" s="324"/>
      <c r="H576" s="324"/>
      <c r="I576" s="324"/>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c r="AF576" s="324"/>
    </row>
    <row r="577" spans="3:32" s="294" customFormat="1">
      <c r="C577" s="10"/>
      <c r="D577" s="29"/>
      <c r="E577" s="29"/>
      <c r="F577" s="36"/>
      <c r="G577" s="324"/>
      <c r="H577" s="324"/>
      <c r="I577" s="324"/>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c r="AF577" s="324"/>
    </row>
    <row r="578" spans="3:32" s="294" customFormat="1">
      <c r="C578" s="10"/>
      <c r="D578" s="29"/>
      <c r="E578" s="29"/>
      <c r="F578" s="36"/>
      <c r="G578" s="324"/>
      <c r="H578" s="324"/>
      <c r="I578" s="324"/>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c r="AF578" s="324"/>
    </row>
    <row r="579" spans="3:32" s="294" customFormat="1">
      <c r="C579" s="10"/>
      <c r="D579" s="29"/>
      <c r="E579" s="29"/>
      <c r="F579" s="36"/>
      <c r="G579" s="324"/>
      <c r="H579" s="324"/>
      <c r="I579" s="324"/>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c r="AF579" s="324"/>
    </row>
    <row r="580" spans="3:32" s="294" customFormat="1">
      <c r="C580" s="10"/>
      <c r="D580" s="29"/>
      <c r="E580" s="29"/>
      <c r="F580" s="36"/>
      <c r="G580" s="324"/>
      <c r="H580" s="324"/>
      <c r="I580" s="324"/>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c r="AF580" s="324"/>
    </row>
    <row r="581" spans="3:32" s="294" customFormat="1">
      <c r="C581" s="10"/>
      <c r="D581" s="29"/>
      <c r="E581" s="29"/>
      <c r="F581" s="36"/>
      <c r="G581" s="324"/>
      <c r="H581" s="324"/>
      <c r="I581" s="324"/>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c r="AF581" s="324"/>
    </row>
    <row r="582" spans="3:32" s="294" customFormat="1">
      <c r="C582" s="10"/>
      <c r="D582" s="29"/>
      <c r="E582" s="29"/>
      <c r="F582" s="36"/>
      <c r="G582" s="324"/>
      <c r="H582" s="324"/>
      <c r="I582" s="324"/>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c r="AF582" s="324"/>
    </row>
    <row r="583" spans="3:32" s="294" customFormat="1">
      <c r="C583" s="10"/>
      <c r="D583" s="29"/>
      <c r="E583" s="29"/>
      <c r="F583" s="36"/>
      <c r="G583" s="324"/>
      <c r="H583" s="324"/>
      <c r="I583" s="324"/>
      <c r="J583" s="324"/>
      <c r="K583" s="324"/>
      <c r="L583" s="324"/>
      <c r="M583" s="324"/>
      <c r="N583" s="324"/>
      <c r="O583" s="324"/>
      <c r="P583" s="324"/>
      <c r="Q583" s="324"/>
      <c r="R583" s="324"/>
      <c r="S583" s="324"/>
      <c r="T583" s="324"/>
      <c r="U583" s="324"/>
      <c r="V583" s="324"/>
      <c r="W583" s="324"/>
      <c r="X583" s="324"/>
      <c r="Y583" s="324"/>
      <c r="Z583" s="324"/>
      <c r="AA583" s="324"/>
      <c r="AB583" s="324"/>
      <c r="AC583" s="324"/>
      <c r="AD583" s="324"/>
      <c r="AE583" s="324"/>
      <c r="AF583" s="324"/>
    </row>
    <row r="584" spans="3:32" s="294" customFormat="1">
      <c r="C584" s="10"/>
      <c r="D584" s="29"/>
      <c r="E584" s="29"/>
      <c r="F584" s="36"/>
      <c r="G584" s="324"/>
      <c r="H584" s="324"/>
      <c r="I584" s="324"/>
      <c r="J584" s="324"/>
      <c r="K584" s="324"/>
      <c r="L584" s="324"/>
      <c r="M584" s="324"/>
      <c r="N584" s="324"/>
      <c r="O584" s="324"/>
      <c r="P584" s="324"/>
      <c r="Q584" s="324"/>
      <c r="R584" s="324"/>
      <c r="S584" s="324"/>
      <c r="T584" s="324"/>
      <c r="U584" s="324"/>
      <c r="V584" s="324"/>
      <c r="W584" s="324"/>
      <c r="X584" s="324"/>
      <c r="Y584" s="324"/>
      <c r="Z584" s="324"/>
      <c r="AA584" s="324"/>
      <c r="AB584" s="324"/>
      <c r="AC584" s="324"/>
      <c r="AD584" s="324"/>
      <c r="AE584" s="324"/>
      <c r="AF584" s="324"/>
    </row>
    <row r="585" spans="3:32" s="294" customFormat="1">
      <c r="C585" s="10"/>
      <c r="D585" s="29"/>
      <c r="E585" s="29"/>
      <c r="F585" s="36"/>
      <c r="G585" s="324"/>
      <c r="H585" s="324"/>
      <c r="I585" s="324"/>
      <c r="J585" s="324"/>
      <c r="K585" s="324"/>
      <c r="L585" s="324"/>
      <c r="M585" s="324"/>
      <c r="N585" s="324"/>
      <c r="O585" s="324"/>
      <c r="P585" s="324"/>
      <c r="Q585" s="324"/>
      <c r="R585" s="324"/>
      <c r="S585" s="324"/>
      <c r="T585" s="324"/>
      <c r="U585" s="324"/>
      <c r="V585" s="324"/>
      <c r="W585" s="324"/>
      <c r="X585" s="324"/>
      <c r="Y585" s="324"/>
      <c r="Z585" s="324"/>
      <c r="AA585" s="324"/>
      <c r="AB585" s="324"/>
      <c r="AC585" s="324"/>
      <c r="AD585" s="324"/>
      <c r="AE585" s="324"/>
      <c r="AF585" s="324"/>
    </row>
    <row r="586" spans="3:32" s="294" customFormat="1">
      <c r="C586" s="10"/>
      <c r="D586" s="29"/>
      <c r="E586" s="29"/>
      <c r="F586" s="36"/>
      <c r="G586" s="324"/>
      <c r="H586" s="324"/>
      <c r="I586" s="324"/>
      <c r="J586" s="324"/>
      <c r="K586" s="324"/>
      <c r="L586" s="324"/>
      <c r="M586" s="324"/>
      <c r="N586" s="324"/>
      <c r="O586" s="324"/>
      <c r="P586" s="324"/>
      <c r="Q586" s="324"/>
      <c r="R586" s="324"/>
      <c r="S586" s="324"/>
      <c r="T586" s="324"/>
      <c r="U586" s="324"/>
      <c r="V586" s="324"/>
      <c r="W586" s="324"/>
      <c r="X586" s="324"/>
      <c r="Y586" s="324"/>
      <c r="Z586" s="324"/>
      <c r="AA586" s="324"/>
      <c r="AB586" s="324"/>
      <c r="AC586" s="324"/>
      <c r="AD586" s="324"/>
      <c r="AE586" s="324"/>
      <c r="AF586" s="324"/>
    </row>
    <row r="587" spans="3:32" s="294" customFormat="1">
      <c r="C587" s="10"/>
      <c r="D587" s="29"/>
      <c r="E587" s="29"/>
      <c r="F587" s="36"/>
      <c r="G587" s="324"/>
      <c r="H587" s="324"/>
      <c r="I587" s="324"/>
      <c r="J587" s="324"/>
      <c r="K587" s="324"/>
      <c r="L587" s="324"/>
      <c r="M587" s="324"/>
      <c r="N587" s="324"/>
      <c r="O587" s="324"/>
      <c r="P587" s="324"/>
      <c r="Q587" s="324"/>
      <c r="R587" s="324"/>
      <c r="S587" s="324"/>
      <c r="T587" s="324"/>
      <c r="U587" s="324"/>
      <c r="V587" s="324"/>
      <c r="W587" s="324"/>
      <c r="X587" s="324"/>
      <c r="Y587" s="324"/>
      <c r="Z587" s="324"/>
      <c r="AA587" s="324"/>
      <c r="AB587" s="324"/>
      <c r="AC587" s="324"/>
      <c r="AD587" s="324"/>
      <c r="AE587" s="324"/>
      <c r="AF587" s="324"/>
    </row>
    <row r="588" spans="3:32" s="294" customFormat="1">
      <c r="C588" s="10"/>
      <c r="D588" s="29"/>
      <c r="E588" s="29"/>
      <c r="F588" s="36"/>
      <c r="G588" s="324"/>
      <c r="H588" s="324"/>
      <c r="I588" s="324"/>
      <c r="J588" s="324"/>
      <c r="K588" s="324"/>
      <c r="L588" s="324"/>
      <c r="M588" s="324"/>
      <c r="N588" s="324"/>
      <c r="O588" s="324"/>
      <c r="P588" s="324"/>
      <c r="Q588" s="324"/>
      <c r="R588" s="324"/>
      <c r="S588" s="324"/>
      <c r="T588" s="324"/>
      <c r="U588" s="324"/>
      <c r="V588" s="324"/>
      <c r="W588" s="324"/>
      <c r="X588" s="324"/>
      <c r="Y588" s="324"/>
      <c r="Z588" s="324"/>
      <c r="AA588" s="324"/>
      <c r="AB588" s="324"/>
      <c r="AC588" s="324"/>
      <c r="AD588" s="324"/>
      <c r="AE588" s="324"/>
      <c r="AF588" s="324"/>
    </row>
    <row r="589" spans="3:32" s="294" customFormat="1">
      <c r="C589" s="10"/>
      <c r="D589" s="29"/>
      <c r="E589" s="29"/>
      <c r="F589" s="36"/>
      <c r="G589" s="324"/>
      <c r="H589" s="324"/>
      <c r="I589" s="324"/>
      <c r="J589" s="324"/>
      <c r="K589" s="324"/>
      <c r="L589" s="324"/>
      <c r="M589" s="324"/>
      <c r="N589" s="324"/>
      <c r="O589" s="324"/>
      <c r="P589" s="324"/>
      <c r="Q589" s="324"/>
      <c r="R589" s="324"/>
      <c r="S589" s="324"/>
      <c r="T589" s="324"/>
      <c r="U589" s="324"/>
      <c r="V589" s="324"/>
      <c r="W589" s="324"/>
      <c r="X589" s="324"/>
      <c r="Y589" s="324"/>
      <c r="Z589" s="324"/>
      <c r="AA589" s="324"/>
      <c r="AB589" s="324"/>
      <c r="AC589" s="324"/>
      <c r="AD589" s="324"/>
      <c r="AE589" s="324"/>
      <c r="AF589" s="324"/>
    </row>
    <row r="590" spans="3:32" s="294" customFormat="1">
      <c r="C590" s="10"/>
      <c r="D590" s="29"/>
      <c r="E590" s="29"/>
      <c r="F590" s="36"/>
      <c r="G590" s="324"/>
      <c r="H590" s="324"/>
      <c r="I590" s="324"/>
      <c r="J590" s="324"/>
      <c r="K590" s="324"/>
      <c r="L590" s="324"/>
      <c r="M590" s="324"/>
      <c r="N590" s="324"/>
      <c r="O590" s="324"/>
      <c r="P590" s="324"/>
      <c r="Q590" s="324"/>
      <c r="R590" s="324"/>
      <c r="S590" s="324"/>
      <c r="T590" s="324"/>
      <c r="U590" s="324"/>
      <c r="V590" s="324"/>
      <c r="W590" s="324"/>
      <c r="X590" s="324"/>
      <c r="Y590" s="324"/>
      <c r="Z590" s="324"/>
      <c r="AA590" s="324"/>
      <c r="AB590" s="324"/>
      <c r="AC590" s="324"/>
      <c r="AD590" s="324"/>
      <c r="AE590" s="324"/>
      <c r="AF590" s="324"/>
    </row>
    <row r="591" spans="3:32" s="294" customFormat="1">
      <c r="C591" s="10"/>
      <c r="D591" s="29"/>
      <c r="E591" s="29"/>
      <c r="F591" s="36"/>
      <c r="G591" s="324"/>
      <c r="H591" s="324"/>
      <c r="I591" s="324"/>
      <c r="J591" s="324"/>
      <c r="K591" s="324"/>
      <c r="L591" s="324"/>
      <c r="M591" s="324"/>
      <c r="N591" s="324"/>
      <c r="O591" s="324"/>
      <c r="P591" s="324"/>
      <c r="Q591" s="324"/>
      <c r="R591" s="324"/>
      <c r="S591" s="324"/>
      <c r="T591" s="324"/>
      <c r="U591" s="324"/>
      <c r="V591" s="324"/>
      <c r="W591" s="324"/>
      <c r="X591" s="324"/>
      <c r="Y591" s="324"/>
      <c r="Z591" s="324"/>
      <c r="AA591" s="324"/>
      <c r="AB591" s="324"/>
      <c r="AC591" s="324"/>
      <c r="AD591" s="324"/>
      <c r="AE591" s="324"/>
      <c r="AF591" s="324"/>
    </row>
    <row r="592" spans="3:32" s="294" customFormat="1">
      <c r="C592" s="10"/>
      <c r="D592" s="29"/>
      <c r="E592" s="29"/>
      <c r="F592" s="36"/>
      <c r="G592" s="324"/>
      <c r="H592" s="324"/>
      <c r="I592" s="324"/>
      <c r="J592" s="324"/>
      <c r="K592" s="324"/>
      <c r="L592" s="324"/>
      <c r="M592" s="324"/>
      <c r="N592" s="324"/>
      <c r="O592" s="324"/>
      <c r="P592" s="324"/>
      <c r="Q592" s="324"/>
      <c r="R592" s="324"/>
      <c r="S592" s="324"/>
      <c r="T592" s="324"/>
      <c r="U592" s="324"/>
      <c r="V592" s="324"/>
      <c r="W592" s="324"/>
      <c r="X592" s="324"/>
      <c r="Y592" s="324"/>
      <c r="Z592" s="324"/>
      <c r="AA592" s="324"/>
      <c r="AB592" s="324"/>
      <c r="AC592" s="324"/>
      <c r="AD592" s="324"/>
      <c r="AE592" s="324"/>
      <c r="AF592" s="324"/>
    </row>
    <row r="593" spans="3:32" s="294" customFormat="1">
      <c r="C593" s="10"/>
      <c r="D593" s="29"/>
      <c r="E593" s="29"/>
      <c r="F593" s="36"/>
      <c r="G593" s="324"/>
      <c r="H593" s="324"/>
      <c r="I593" s="324"/>
      <c r="J593" s="324"/>
      <c r="K593" s="324"/>
      <c r="L593" s="324"/>
      <c r="M593" s="324"/>
      <c r="N593" s="324"/>
      <c r="O593" s="324"/>
      <c r="P593" s="324"/>
      <c r="Q593" s="324"/>
      <c r="R593" s="324"/>
      <c r="S593" s="324"/>
      <c r="T593" s="324"/>
      <c r="U593" s="324"/>
      <c r="V593" s="324"/>
      <c r="W593" s="324"/>
      <c r="X593" s="324"/>
      <c r="Y593" s="324"/>
      <c r="Z593" s="324"/>
      <c r="AA593" s="324"/>
      <c r="AB593" s="324"/>
      <c r="AC593" s="324"/>
      <c r="AD593" s="324"/>
      <c r="AE593" s="324"/>
      <c r="AF593" s="324"/>
    </row>
    <row r="594" spans="3:32" s="294" customFormat="1">
      <c r="C594" s="10"/>
      <c r="D594" s="29"/>
      <c r="E594" s="29"/>
      <c r="F594" s="36"/>
      <c r="G594" s="324"/>
      <c r="H594" s="324"/>
      <c r="I594" s="324"/>
      <c r="J594" s="324"/>
      <c r="K594" s="324"/>
      <c r="L594" s="324"/>
      <c r="M594" s="324"/>
      <c r="N594" s="324"/>
      <c r="O594" s="324"/>
      <c r="P594" s="324"/>
      <c r="Q594" s="324"/>
      <c r="R594" s="324"/>
      <c r="S594" s="324"/>
      <c r="T594" s="324"/>
      <c r="U594" s="324"/>
      <c r="V594" s="324"/>
      <c r="W594" s="324"/>
      <c r="X594" s="324"/>
      <c r="Y594" s="324"/>
      <c r="Z594" s="324"/>
      <c r="AA594" s="324"/>
      <c r="AB594" s="324"/>
      <c r="AC594" s="324"/>
      <c r="AD594" s="324"/>
      <c r="AE594" s="324"/>
      <c r="AF594" s="324"/>
    </row>
    <row r="595" spans="3:32" s="294" customFormat="1">
      <c r="C595" s="10"/>
      <c r="D595" s="29"/>
      <c r="E595" s="29"/>
      <c r="F595" s="36"/>
      <c r="G595" s="324"/>
      <c r="H595" s="324"/>
      <c r="I595" s="324"/>
      <c r="J595" s="324"/>
      <c r="K595" s="324"/>
      <c r="L595" s="324"/>
      <c r="M595" s="324"/>
      <c r="N595" s="324"/>
      <c r="O595" s="324"/>
      <c r="P595" s="324"/>
      <c r="Q595" s="324"/>
      <c r="R595" s="324"/>
      <c r="S595" s="324"/>
      <c r="T595" s="324"/>
      <c r="U595" s="324"/>
      <c r="V595" s="324"/>
      <c r="W595" s="324"/>
      <c r="X595" s="324"/>
      <c r="Y595" s="324"/>
      <c r="Z595" s="324"/>
      <c r="AA595" s="324"/>
      <c r="AB595" s="324"/>
      <c r="AC595" s="324"/>
      <c r="AD595" s="324"/>
      <c r="AE595" s="324"/>
      <c r="AF595" s="324"/>
    </row>
    <row r="596" spans="3:32" s="294" customFormat="1">
      <c r="C596" s="10"/>
      <c r="D596" s="29"/>
      <c r="E596" s="29"/>
      <c r="F596" s="36"/>
      <c r="G596" s="324"/>
      <c r="H596" s="324"/>
      <c r="I596" s="324"/>
      <c r="J596" s="324"/>
      <c r="K596" s="324"/>
      <c r="L596" s="324"/>
      <c r="M596" s="324"/>
      <c r="N596" s="324"/>
      <c r="O596" s="324"/>
      <c r="P596" s="324"/>
      <c r="Q596" s="324"/>
      <c r="R596" s="324"/>
      <c r="S596" s="324"/>
      <c r="T596" s="324"/>
      <c r="U596" s="324"/>
      <c r="V596" s="324"/>
      <c r="W596" s="324"/>
      <c r="X596" s="324"/>
      <c r="Y596" s="324"/>
      <c r="Z596" s="324"/>
      <c r="AA596" s="324"/>
      <c r="AB596" s="324"/>
      <c r="AC596" s="324"/>
      <c r="AD596" s="324"/>
      <c r="AE596" s="324"/>
      <c r="AF596" s="324"/>
    </row>
    <row r="597" spans="3:32" s="294" customFormat="1">
      <c r="C597" s="10"/>
      <c r="D597" s="29"/>
      <c r="E597" s="29"/>
      <c r="F597" s="36"/>
      <c r="G597" s="324"/>
      <c r="H597" s="324"/>
      <c r="I597" s="324"/>
      <c r="J597" s="324"/>
      <c r="K597" s="324"/>
      <c r="L597" s="324"/>
      <c r="M597" s="324"/>
      <c r="N597" s="324"/>
      <c r="O597" s="324"/>
      <c r="P597" s="324"/>
      <c r="Q597" s="324"/>
      <c r="R597" s="324"/>
      <c r="S597" s="324"/>
      <c r="T597" s="324"/>
      <c r="U597" s="324"/>
      <c r="V597" s="324"/>
      <c r="W597" s="324"/>
      <c r="X597" s="324"/>
      <c r="Y597" s="324"/>
      <c r="Z597" s="324"/>
      <c r="AA597" s="324"/>
      <c r="AB597" s="324"/>
      <c r="AC597" s="324"/>
      <c r="AD597" s="324"/>
      <c r="AE597" s="324"/>
      <c r="AF597" s="324"/>
    </row>
    <row r="598" spans="3:32" s="294" customFormat="1">
      <c r="C598" s="10"/>
      <c r="D598" s="29"/>
      <c r="E598" s="29"/>
      <c r="F598" s="36"/>
      <c r="G598" s="324"/>
      <c r="H598" s="324"/>
      <c r="I598" s="324"/>
      <c r="J598" s="324"/>
      <c r="K598" s="324"/>
      <c r="L598" s="324"/>
      <c r="M598" s="324"/>
      <c r="N598" s="324"/>
      <c r="O598" s="324"/>
      <c r="P598" s="324"/>
      <c r="Q598" s="324"/>
      <c r="R598" s="324"/>
      <c r="S598" s="324"/>
      <c r="T598" s="324"/>
      <c r="U598" s="324"/>
      <c r="V598" s="324"/>
      <c r="W598" s="324"/>
      <c r="X598" s="324"/>
      <c r="Y598" s="324"/>
      <c r="Z598" s="324"/>
      <c r="AA598" s="324"/>
      <c r="AB598" s="324"/>
      <c r="AC598" s="324"/>
      <c r="AD598" s="324"/>
      <c r="AE598" s="324"/>
      <c r="AF598" s="324"/>
    </row>
    <row r="599" spans="3:32" s="294" customFormat="1">
      <c r="C599" s="10"/>
      <c r="D599" s="29"/>
      <c r="E599" s="29"/>
      <c r="F599" s="36"/>
      <c r="G599" s="324"/>
      <c r="H599" s="324"/>
      <c r="I599" s="324"/>
      <c r="J599" s="324"/>
      <c r="K599" s="324"/>
      <c r="L599" s="324"/>
      <c r="M599" s="324"/>
      <c r="N599" s="324"/>
      <c r="O599" s="324"/>
      <c r="P599" s="324"/>
      <c r="Q599" s="324"/>
      <c r="R599" s="324"/>
      <c r="S599" s="324"/>
      <c r="T599" s="324"/>
      <c r="U599" s="324"/>
      <c r="V599" s="324"/>
      <c r="W599" s="324"/>
      <c r="X599" s="324"/>
      <c r="Y599" s="324"/>
      <c r="Z599" s="324"/>
      <c r="AA599" s="324"/>
      <c r="AB599" s="324"/>
      <c r="AC599" s="324"/>
      <c r="AD599" s="324"/>
      <c r="AE599" s="324"/>
      <c r="AF599" s="324"/>
    </row>
    <row r="600" spans="3:32" s="294" customFormat="1">
      <c r="C600" s="10"/>
      <c r="D600" s="29"/>
      <c r="E600" s="29"/>
      <c r="F600" s="36"/>
      <c r="G600" s="324"/>
      <c r="H600" s="324"/>
      <c r="I600" s="324"/>
      <c r="J600" s="324"/>
      <c r="K600" s="324"/>
      <c r="L600" s="324"/>
      <c r="M600" s="324"/>
      <c r="N600" s="324"/>
      <c r="O600" s="324"/>
      <c r="P600" s="324"/>
      <c r="Q600" s="324"/>
      <c r="R600" s="324"/>
      <c r="S600" s="324"/>
      <c r="T600" s="324"/>
      <c r="U600" s="324"/>
      <c r="V600" s="324"/>
      <c r="W600" s="324"/>
      <c r="X600" s="324"/>
      <c r="Y600" s="324"/>
      <c r="Z600" s="324"/>
      <c r="AA600" s="324"/>
      <c r="AB600" s="324"/>
      <c r="AC600" s="324"/>
      <c r="AD600" s="324"/>
      <c r="AE600" s="324"/>
      <c r="AF600" s="324"/>
    </row>
    <row r="601" spans="3:32" s="294" customFormat="1">
      <c r="C601" s="10"/>
      <c r="D601" s="29"/>
      <c r="E601" s="29"/>
      <c r="F601" s="36"/>
      <c r="G601" s="324"/>
      <c r="H601" s="324"/>
      <c r="I601" s="324"/>
      <c r="J601" s="324"/>
      <c r="K601" s="324"/>
      <c r="L601" s="324"/>
      <c r="M601" s="324"/>
      <c r="N601" s="324"/>
      <c r="O601" s="324"/>
      <c r="P601" s="324"/>
      <c r="Q601" s="324"/>
      <c r="R601" s="324"/>
      <c r="S601" s="324"/>
      <c r="T601" s="324"/>
      <c r="U601" s="324"/>
      <c r="V601" s="324"/>
      <c r="W601" s="324"/>
      <c r="X601" s="324"/>
      <c r="Y601" s="324"/>
      <c r="Z601" s="324"/>
      <c r="AA601" s="324"/>
      <c r="AB601" s="324"/>
      <c r="AC601" s="324"/>
      <c r="AD601" s="324"/>
      <c r="AE601" s="324"/>
      <c r="AF601" s="324"/>
    </row>
    <row r="602" spans="3:32" s="294" customFormat="1">
      <c r="C602" s="10"/>
      <c r="D602" s="29"/>
      <c r="E602" s="29"/>
      <c r="F602" s="36"/>
      <c r="G602" s="324"/>
      <c r="H602" s="324"/>
      <c r="I602" s="324"/>
      <c r="J602" s="324"/>
      <c r="K602" s="324"/>
      <c r="L602" s="324"/>
      <c r="M602" s="324"/>
      <c r="N602" s="324"/>
      <c r="O602" s="324"/>
      <c r="P602" s="324"/>
      <c r="Q602" s="324"/>
      <c r="R602" s="324"/>
      <c r="S602" s="324"/>
      <c r="T602" s="324"/>
      <c r="U602" s="324"/>
      <c r="V602" s="324"/>
      <c r="W602" s="324"/>
      <c r="X602" s="324"/>
      <c r="Y602" s="324"/>
      <c r="Z602" s="324"/>
      <c r="AA602" s="324"/>
      <c r="AB602" s="324"/>
      <c r="AC602" s="324"/>
      <c r="AD602" s="324"/>
      <c r="AE602" s="324"/>
      <c r="AF602" s="324"/>
    </row>
    <row r="603" spans="3:32" s="294" customFormat="1">
      <c r="C603" s="10"/>
      <c r="D603" s="29"/>
      <c r="E603" s="29"/>
      <c r="F603" s="36"/>
      <c r="G603" s="324"/>
      <c r="H603" s="324"/>
      <c r="I603" s="324"/>
      <c r="J603" s="324"/>
      <c r="K603" s="324"/>
      <c r="L603" s="324"/>
      <c r="M603" s="324"/>
      <c r="N603" s="324"/>
      <c r="O603" s="324"/>
      <c r="P603" s="324"/>
      <c r="Q603" s="324"/>
      <c r="R603" s="324"/>
      <c r="S603" s="324"/>
      <c r="T603" s="324"/>
      <c r="U603" s="324"/>
      <c r="V603" s="324"/>
      <c r="W603" s="324"/>
      <c r="X603" s="324"/>
      <c r="Y603" s="324"/>
      <c r="Z603" s="324"/>
      <c r="AA603" s="324"/>
      <c r="AB603" s="324"/>
      <c r="AC603" s="324"/>
      <c r="AD603" s="324"/>
      <c r="AE603" s="324"/>
      <c r="AF603" s="324"/>
    </row>
    <row r="604" spans="3:32" s="294" customFormat="1">
      <c r="C604" s="10"/>
      <c r="D604" s="29"/>
      <c r="E604" s="29"/>
      <c r="F604" s="36"/>
      <c r="G604" s="324"/>
      <c r="H604" s="324"/>
      <c r="I604" s="324"/>
      <c r="J604" s="324"/>
      <c r="K604" s="324"/>
      <c r="L604" s="324"/>
      <c r="M604" s="324"/>
      <c r="N604" s="324"/>
      <c r="O604" s="324"/>
      <c r="P604" s="324"/>
      <c r="Q604" s="324"/>
      <c r="R604" s="324"/>
      <c r="S604" s="324"/>
      <c r="T604" s="324"/>
      <c r="U604" s="324"/>
      <c r="V604" s="324"/>
      <c r="W604" s="324"/>
      <c r="X604" s="324"/>
      <c r="Y604" s="324"/>
      <c r="Z604" s="324"/>
      <c r="AA604" s="324"/>
      <c r="AB604" s="324"/>
      <c r="AC604" s="324"/>
      <c r="AD604" s="324"/>
      <c r="AE604" s="324"/>
      <c r="AF604" s="324"/>
    </row>
    <row r="605" spans="3:32" s="294" customFormat="1">
      <c r="C605" s="10"/>
      <c r="D605" s="29"/>
      <c r="E605" s="29"/>
      <c r="F605" s="36"/>
      <c r="G605" s="324"/>
      <c r="H605" s="324"/>
      <c r="I605" s="324"/>
      <c r="J605" s="324"/>
      <c r="K605" s="324"/>
      <c r="L605" s="324"/>
      <c r="M605" s="324"/>
      <c r="N605" s="324"/>
      <c r="O605" s="324"/>
      <c r="P605" s="324"/>
      <c r="Q605" s="324"/>
      <c r="R605" s="324"/>
      <c r="S605" s="324"/>
      <c r="T605" s="324"/>
      <c r="U605" s="324"/>
      <c r="V605" s="324"/>
      <c r="W605" s="324"/>
      <c r="X605" s="324"/>
      <c r="Y605" s="324"/>
      <c r="Z605" s="324"/>
      <c r="AA605" s="324"/>
      <c r="AB605" s="324"/>
      <c r="AC605" s="324"/>
      <c r="AD605" s="324"/>
      <c r="AE605" s="324"/>
      <c r="AF605" s="324"/>
    </row>
    <row r="606" spans="3:32" s="294" customFormat="1">
      <c r="C606" s="10"/>
      <c r="D606" s="29"/>
      <c r="E606" s="29"/>
      <c r="F606" s="36"/>
      <c r="G606" s="324"/>
      <c r="H606" s="324"/>
      <c r="I606" s="324"/>
      <c r="J606" s="324"/>
      <c r="K606" s="324"/>
      <c r="L606" s="324"/>
      <c r="M606" s="324"/>
      <c r="N606" s="324"/>
      <c r="O606" s="324"/>
      <c r="P606" s="324"/>
      <c r="Q606" s="324"/>
      <c r="R606" s="324"/>
      <c r="S606" s="324"/>
      <c r="T606" s="324"/>
      <c r="U606" s="324"/>
      <c r="V606" s="324"/>
      <c r="W606" s="324"/>
      <c r="X606" s="324"/>
      <c r="Y606" s="324"/>
      <c r="Z606" s="324"/>
      <c r="AA606" s="324"/>
      <c r="AB606" s="324"/>
      <c r="AC606" s="324"/>
      <c r="AD606" s="324"/>
      <c r="AE606" s="324"/>
      <c r="AF606" s="324"/>
    </row>
    <row r="607" spans="3:32" s="294" customFormat="1">
      <c r="C607" s="10"/>
      <c r="D607" s="29"/>
      <c r="E607" s="29"/>
      <c r="F607" s="36"/>
      <c r="G607" s="324"/>
      <c r="H607" s="324"/>
      <c r="I607" s="324"/>
      <c r="J607" s="324"/>
      <c r="K607" s="324"/>
      <c r="L607" s="324"/>
      <c r="M607" s="324"/>
      <c r="N607" s="324"/>
      <c r="O607" s="324"/>
      <c r="P607" s="324"/>
      <c r="Q607" s="324"/>
      <c r="R607" s="324"/>
      <c r="S607" s="324"/>
      <c r="T607" s="324"/>
      <c r="U607" s="324"/>
      <c r="V607" s="324"/>
      <c r="W607" s="324"/>
      <c r="X607" s="324"/>
      <c r="Y607" s="324"/>
      <c r="Z607" s="324"/>
      <c r="AA607" s="324"/>
      <c r="AB607" s="324"/>
      <c r="AC607" s="324"/>
      <c r="AD607" s="324"/>
      <c r="AE607" s="324"/>
      <c r="AF607" s="324"/>
    </row>
    <row r="608" spans="3:32" s="294" customFormat="1">
      <c r="C608" s="10"/>
      <c r="D608" s="29"/>
      <c r="E608" s="29"/>
      <c r="F608" s="36"/>
      <c r="G608" s="324"/>
      <c r="H608" s="324"/>
      <c r="I608" s="324"/>
      <c r="J608" s="324"/>
      <c r="K608" s="324"/>
      <c r="L608" s="324"/>
      <c r="M608" s="324"/>
      <c r="N608" s="324"/>
      <c r="O608" s="324"/>
      <c r="P608" s="324"/>
      <c r="Q608" s="324"/>
      <c r="R608" s="324"/>
      <c r="S608" s="324"/>
      <c r="T608" s="324"/>
      <c r="U608" s="324"/>
      <c r="V608" s="324"/>
      <c r="W608" s="324"/>
      <c r="X608" s="324"/>
      <c r="Y608" s="324"/>
      <c r="Z608" s="324"/>
      <c r="AA608" s="324"/>
      <c r="AB608" s="324"/>
      <c r="AC608" s="324"/>
      <c r="AD608" s="324"/>
      <c r="AE608" s="324"/>
      <c r="AF608" s="324"/>
    </row>
    <row r="609" spans="3:32" s="294" customFormat="1">
      <c r="C609" s="10"/>
      <c r="D609" s="29"/>
      <c r="E609" s="29"/>
      <c r="F609" s="36"/>
      <c r="G609" s="324"/>
      <c r="H609" s="324"/>
      <c r="I609" s="324"/>
      <c r="J609" s="324"/>
      <c r="K609" s="324"/>
      <c r="L609" s="324"/>
      <c r="M609" s="324"/>
      <c r="N609" s="324"/>
      <c r="O609" s="324"/>
      <c r="P609" s="324"/>
      <c r="Q609" s="324"/>
      <c r="R609" s="324"/>
      <c r="S609" s="324"/>
      <c r="T609" s="324"/>
      <c r="U609" s="324"/>
      <c r="V609" s="324"/>
      <c r="W609" s="324"/>
      <c r="X609" s="324"/>
      <c r="Y609" s="324"/>
      <c r="Z609" s="324"/>
      <c r="AA609" s="324"/>
      <c r="AB609" s="324"/>
      <c r="AC609" s="324"/>
      <c r="AD609" s="324"/>
      <c r="AE609" s="324"/>
      <c r="AF609" s="324"/>
    </row>
    <row r="610" spans="3:32" s="294" customFormat="1">
      <c r="C610" s="10"/>
      <c r="D610" s="29"/>
      <c r="E610" s="29"/>
      <c r="F610" s="36"/>
      <c r="G610" s="324"/>
      <c r="H610" s="324"/>
      <c r="I610" s="324"/>
      <c r="J610" s="324"/>
      <c r="K610" s="324"/>
      <c r="L610" s="324"/>
      <c r="M610" s="324"/>
      <c r="N610" s="324"/>
      <c r="O610" s="324"/>
      <c r="P610" s="324"/>
      <c r="Q610" s="324"/>
      <c r="R610" s="324"/>
      <c r="S610" s="324"/>
      <c r="T610" s="324"/>
      <c r="U610" s="324"/>
      <c r="V610" s="324"/>
      <c r="W610" s="324"/>
      <c r="X610" s="324"/>
      <c r="Y610" s="324"/>
      <c r="Z610" s="324"/>
      <c r="AA610" s="324"/>
      <c r="AB610" s="324"/>
      <c r="AC610" s="324"/>
      <c r="AD610" s="324"/>
      <c r="AE610" s="324"/>
      <c r="AF610" s="324"/>
    </row>
    <row r="611" spans="3:32" s="294" customFormat="1">
      <c r="C611" s="10"/>
      <c r="D611" s="29"/>
      <c r="E611" s="29"/>
      <c r="F611" s="36"/>
      <c r="G611" s="324"/>
      <c r="H611" s="324"/>
      <c r="I611" s="324"/>
      <c r="J611" s="324"/>
      <c r="K611" s="324"/>
      <c r="L611" s="324"/>
      <c r="M611" s="324"/>
      <c r="N611" s="324"/>
      <c r="O611" s="324"/>
      <c r="P611" s="324"/>
      <c r="Q611" s="324"/>
      <c r="R611" s="324"/>
      <c r="S611" s="324"/>
      <c r="T611" s="324"/>
      <c r="U611" s="324"/>
      <c r="V611" s="324"/>
      <c r="W611" s="324"/>
      <c r="X611" s="324"/>
      <c r="Y611" s="324"/>
      <c r="Z611" s="324"/>
      <c r="AA611" s="324"/>
      <c r="AB611" s="324"/>
      <c r="AC611" s="324"/>
      <c r="AD611" s="324"/>
      <c r="AE611" s="324"/>
      <c r="AF611" s="324"/>
    </row>
    <row r="612" spans="3:32" s="294" customFormat="1">
      <c r="C612" s="10"/>
      <c r="D612" s="29"/>
      <c r="E612" s="29"/>
      <c r="F612" s="36"/>
      <c r="G612" s="324"/>
      <c r="H612" s="324"/>
      <c r="I612" s="324"/>
      <c r="J612" s="324"/>
      <c r="K612" s="324"/>
      <c r="L612" s="324"/>
      <c r="M612" s="324"/>
      <c r="N612" s="324"/>
      <c r="O612" s="324"/>
      <c r="P612" s="324"/>
      <c r="Q612" s="324"/>
      <c r="R612" s="324"/>
      <c r="S612" s="324"/>
      <c r="T612" s="324"/>
      <c r="U612" s="324"/>
      <c r="V612" s="324"/>
      <c r="W612" s="324"/>
      <c r="X612" s="324"/>
      <c r="Y612" s="324"/>
      <c r="Z612" s="324"/>
      <c r="AA612" s="324"/>
      <c r="AB612" s="324"/>
      <c r="AC612" s="324"/>
      <c r="AD612" s="324"/>
      <c r="AE612" s="324"/>
      <c r="AF612" s="324"/>
    </row>
    <row r="613" spans="3:32" s="294" customFormat="1">
      <c r="C613" s="10"/>
      <c r="D613" s="29"/>
      <c r="E613" s="29"/>
      <c r="F613" s="36"/>
      <c r="G613" s="324"/>
      <c r="H613" s="324"/>
      <c r="I613" s="324"/>
      <c r="J613" s="324"/>
      <c r="K613" s="324"/>
      <c r="L613" s="324"/>
      <c r="M613" s="324"/>
      <c r="N613" s="324"/>
      <c r="O613" s="324"/>
      <c r="P613" s="324"/>
      <c r="Q613" s="324"/>
      <c r="R613" s="324"/>
      <c r="S613" s="324"/>
      <c r="T613" s="324"/>
      <c r="U613" s="324"/>
      <c r="V613" s="324"/>
      <c r="W613" s="324"/>
      <c r="X613" s="324"/>
      <c r="Y613" s="324"/>
      <c r="Z613" s="324"/>
      <c r="AA613" s="324"/>
      <c r="AB613" s="324"/>
      <c r="AC613" s="324"/>
      <c r="AD613" s="324"/>
      <c r="AE613" s="324"/>
      <c r="AF613" s="324"/>
    </row>
    <row r="614" spans="3:32" s="294" customFormat="1">
      <c r="C614" s="10"/>
      <c r="D614" s="29"/>
      <c r="E614" s="29"/>
      <c r="F614" s="36"/>
      <c r="G614" s="324"/>
      <c r="H614" s="324"/>
      <c r="I614" s="324"/>
      <c r="J614" s="324"/>
      <c r="K614" s="324"/>
      <c r="L614" s="324"/>
      <c r="M614" s="324"/>
      <c r="N614" s="324"/>
      <c r="O614" s="324"/>
      <c r="P614" s="324"/>
      <c r="Q614" s="324"/>
      <c r="R614" s="324"/>
      <c r="S614" s="324"/>
      <c r="T614" s="324"/>
      <c r="U614" s="324"/>
      <c r="V614" s="324"/>
      <c r="W614" s="324"/>
      <c r="X614" s="324"/>
      <c r="Y614" s="324"/>
      <c r="Z614" s="324"/>
      <c r="AA614" s="324"/>
      <c r="AB614" s="324"/>
      <c r="AC614" s="324"/>
      <c r="AD614" s="324"/>
      <c r="AE614" s="324"/>
      <c r="AF614" s="324"/>
    </row>
    <row r="615" spans="3:32" s="294" customFormat="1">
      <c r="C615" s="10"/>
      <c r="D615" s="29"/>
      <c r="E615" s="29"/>
      <c r="F615" s="36"/>
      <c r="G615" s="324"/>
      <c r="H615" s="324"/>
      <c r="I615" s="324"/>
      <c r="J615" s="324"/>
      <c r="K615" s="324"/>
      <c r="L615" s="324"/>
      <c r="M615" s="324"/>
      <c r="N615" s="324"/>
      <c r="O615" s="324"/>
      <c r="P615" s="324"/>
      <c r="Q615" s="324"/>
      <c r="R615" s="324"/>
      <c r="S615" s="324"/>
      <c r="T615" s="324"/>
      <c r="U615" s="324"/>
      <c r="V615" s="324"/>
      <c r="W615" s="324"/>
      <c r="X615" s="324"/>
      <c r="Y615" s="324"/>
      <c r="Z615" s="324"/>
      <c r="AA615" s="324"/>
      <c r="AB615" s="324"/>
      <c r="AC615" s="324"/>
      <c r="AD615" s="324"/>
      <c r="AE615" s="324"/>
      <c r="AF615" s="324"/>
    </row>
    <row r="616" spans="3:32" s="294" customFormat="1">
      <c r="C616" s="10"/>
      <c r="D616" s="29"/>
      <c r="E616" s="29"/>
      <c r="F616" s="36"/>
      <c r="G616" s="324"/>
      <c r="H616" s="324"/>
      <c r="I616" s="324"/>
      <c r="J616" s="324"/>
      <c r="K616" s="324"/>
      <c r="L616" s="324"/>
      <c r="M616" s="324"/>
      <c r="N616" s="324"/>
      <c r="O616" s="324"/>
      <c r="P616" s="324"/>
      <c r="Q616" s="324"/>
      <c r="R616" s="324"/>
      <c r="S616" s="324"/>
      <c r="T616" s="324"/>
      <c r="U616" s="324"/>
      <c r="V616" s="324"/>
      <c r="W616" s="324"/>
      <c r="X616" s="324"/>
      <c r="Y616" s="324"/>
      <c r="Z616" s="324"/>
      <c r="AA616" s="324"/>
      <c r="AB616" s="324"/>
      <c r="AC616" s="324"/>
      <c r="AD616" s="324"/>
      <c r="AE616" s="324"/>
      <c r="AF616" s="324"/>
    </row>
    <row r="617" spans="3:32" s="294" customFormat="1">
      <c r="C617" s="10"/>
      <c r="D617" s="29"/>
      <c r="E617" s="29"/>
      <c r="F617" s="36"/>
      <c r="G617" s="324"/>
      <c r="H617" s="324"/>
      <c r="I617" s="324"/>
      <c r="J617" s="324"/>
      <c r="K617" s="324"/>
      <c r="L617" s="324"/>
      <c r="M617" s="324"/>
      <c r="N617" s="324"/>
      <c r="O617" s="324"/>
      <c r="P617" s="324"/>
      <c r="Q617" s="324"/>
      <c r="R617" s="324"/>
      <c r="S617" s="324"/>
      <c r="T617" s="324"/>
      <c r="U617" s="324"/>
      <c r="V617" s="324"/>
      <c r="W617" s="324"/>
      <c r="X617" s="324"/>
      <c r="Y617" s="324"/>
      <c r="Z617" s="324"/>
      <c r="AA617" s="324"/>
      <c r="AB617" s="324"/>
      <c r="AC617" s="324"/>
      <c r="AD617" s="324"/>
      <c r="AE617" s="324"/>
      <c r="AF617" s="324"/>
    </row>
    <row r="618" spans="3:32" s="294" customFormat="1">
      <c r="C618" s="10"/>
      <c r="D618" s="29"/>
      <c r="E618" s="29"/>
      <c r="F618" s="36"/>
      <c r="G618" s="324"/>
      <c r="H618" s="324"/>
      <c r="I618" s="324"/>
      <c r="J618" s="324"/>
      <c r="K618" s="324"/>
      <c r="L618" s="324"/>
      <c r="M618" s="324"/>
      <c r="N618" s="324"/>
      <c r="O618" s="324"/>
      <c r="P618" s="324"/>
      <c r="Q618" s="324"/>
      <c r="R618" s="324"/>
      <c r="S618" s="324"/>
      <c r="T618" s="324"/>
      <c r="U618" s="324"/>
      <c r="V618" s="324"/>
      <c r="W618" s="324"/>
      <c r="X618" s="324"/>
      <c r="Y618" s="324"/>
      <c r="Z618" s="324"/>
      <c r="AA618" s="324"/>
      <c r="AB618" s="324"/>
      <c r="AC618" s="324"/>
      <c r="AD618" s="324"/>
      <c r="AE618" s="324"/>
      <c r="AF618" s="324"/>
    </row>
    <row r="619" spans="3:32" s="294" customFormat="1">
      <c r="C619" s="10"/>
      <c r="D619" s="29"/>
      <c r="E619" s="29"/>
      <c r="F619" s="36"/>
      <c r="G619" s="324"/>
      <c r="H619" s="324"/>
      <c r="I619" s="324"/>
      <c r="J619" s="324"/>
      <c r="K619" s="324"/>
      <c r="L619" s="324"/>
      <c r="M619" s="324"/>
      <c r="N619" s="324"/>
      <c r="O619" s="324"/>
      <c r="P619" s="324"/>
      <c r="Q619" s="324"/>
      <c r="R619" s="324"/>
      <c r="S619" s="324"/>
      <c r="T619" s="324"/>
      <c r="U619" s="324"/>
      <c r="V619" s="324"/>
      <c r="W619" s="324"/>
      <c r="X619" s="324"/>
      <c r="Y619" s="324"/>
      <c r="Z619" s="324"/>
      <c r="AA619" s="324"/>
      <c r="AB619" s="324"/>
      <c r="AC619" s="324"/>
      <c r="AD619" s="324"/>
      <c r="AE619" s="324"/>
      <c r="AF619" s="324"/>
    </row>
    <row r="620" spans="3:32" s="294" customFormat="1">
      <c r="C620" s="10"/>
      <c r="D620" s="29"/>
      <c r="E620" s="29"/>
      <c r="F620" s="36"/>
      <c r="G620" s="324"/>
      <c r="H620" s="324"/>
      <c r="I620" s="324"/>
      <c r="J620" s="324"/>
      <c r="K620" s="324"/>
      <c r="L620" s="324"/>
      <c r="M620" s="324"/>
      <c r="N620" s="324"/>
      <c r="O620" s="324"/>
      <c r="P620" s="324"/>
      <c r="Q620" s="324"/>
      <c r="R620" s="324"/>
      <c r="S620" s="324"/>
      <c r="T620" s="324"/>
      <c r="U620" s="324"/>
      <c r="V620" s="324"/>
      <c r="W620" s="324"/>
      <c r="X620" s="324"/>
      <c r="Y620" s="324"/>
      <c r="Z620" s="324"/>
      <c r="AA620" s="324"/>
      <c r="AB620" s="324"/>
      <c r="AC620" s="324"/>
      <c r="AD620" s="324"/>
      <c r="AE620" s="324"/>
      <c r="AF620" s="324"/>
    </row>
    <row r="621" spans="3:32" s="294" customFormat="1">
      <c r="C621" s="10"/>
      <c r="D621" s="29"/>
      <c r="E621" s="29"/>
      <c r="F621" s="36"/>
      <c r="G621" s="324"/>
      <c r="H621" s="324"/>
      <c r="I621" s="324"/>
      <c r="J621" s="324"/>
      <c r="K621" s="324"/>
      <c r="L621" s="324"/>
      <c r="M621" s="324"/>
      <c r="N621" s="324"/>
      <c r="O621" s="324"/>
      <c r="P621" s="324"/>
      <c r="Q621" s="324"/>
      <c r="R621" s="324"/>
      <c r="S621" s="324"/>
      <c r="T621" s="324"/>
      <c r="U621" s="324"/>
      <c r="V621" s="324"/>
      <c r="W621" s="324"/>
      <c r="X621" s="324"/>
      <c r="Y621" s="324"/>
      <c r="Z621" s="324"/>
      <c r="AA621" s="324"/>
      <c r="AB621" s="324"/>
      <c r="AC621" s="324"/>
      <c r="AD621" s="324"/>
      <c r="AE621" s="324"/>
      <c r="AF621" s="324"/>
    </row>
    <row r="622" spans="3:32" s="294" customFormat="1">
      <c r="C622" s="10"/>
      <c r="D622" s="29"/>
      <c r="E622" s="29"/>
      <c r="F622" s="36"/>
      <c r="G622" s="324"/>
      <c r="H622" s="324"/>
      <c r="I622" s="324"/>
      <c r="J622" s="324"/>
      <c r="K622" s="324"/>
      <c r="L622" s="324"/>
      <c r="M622" s="324"/>
      <c r="N622" s="324"/>
      <c r="O622" s="324"/>
      <c r="P622" s="324"/>
      <c r="Q622" s="324"/>
      <c r="R622" s="324"/>
      <c r="S622" s="324"/>
      <c r="T622" s="324"/>
      <c r="U622" s="324"/>
      <c r="V622" s="324"/>
      <c r="W622" s="324"/>
      <c r="X622" s="324"/>
      <c r="Y622" s="324"/>
      <c r="Z622" s="324"/>
      <c r="AA622" s="324"/>
      <c r="AB622" s="324"/>
      <c r="AC622" s="324"/>
      <c r="AD622" s="324"/>
      <c r="AE622" s="324"/>
      <c r="AF622" s="324"/>
    </row>
    <row r="623" spans="3:32" s="294" customFormat="1">
      <c r="C623" s="10"/>
      <c r="D623" s="29"/>
      <c r="E623" s="29"/>
      <c r="F623" s="36"/>
      <c r="G623" s="324"/>
      <c r="H623" s="324"/>
      <c r="I623" s="324"/>
      <c r="J623" s="324"/>
      <c r="K623" s="324"/>
      <c r="L623" s="324"/>
      <c r="M623" s="324"/>
      <c r="N623" s="324"/>
      <c r="O623" s="324"/>
      <c r="P623" s="324"/>
      <c r="Q623" s="324"/>
      <c r="R623" s="324"/>
      <c r="S623" s="324"/>
      <c r="T623" s="324"/>
      <c r="U623" s="324"/>
      <c r="V623" s="324"/>
      <c r="W623" s="324"/>
      <c r="X623" s="324"/>
      <c r="Y623" s="324"/>
      <c r="Z623" s="324"/>
      <c r="AA623" s="324"/>
      <c r="AB623" s="324"/>
      <c r="AC623" s="324"/>
      <c r="AD623" s="324"/>
      <c r="AE623" s="324"/>
      <c r="AF623" s="324"/>
    </row>
    <row r="624" spans="3:32" s="294" customFormat="1">
      <c r="C624" s="10"/>
      <c r="D624" s="29"/>
      <c r="E624" s="29"/>
      <c r="F624" s="36"/>
      <c r="G624" s="324"/>
      <c r="H624" s="324"/>
      <c r="I624" s="324"/>
      <c r="J624" s="324"/>
      <c r="K624" s="324"/>
      <c r="L624" s="324"/>
      <c r="M624" s="324"/>
      <c r="N624" s="324"/>
      <c r="O624" s="324"/>
      <c r="P624" s="324"/>
      <c r="Q624" s="324"/>
      <c r="R624" s="324"/>
      <c r="S624" s="324"/>
      <c r="T624" s="324"/>
      <c r="U624" s="324"/>
      <c r="V624" s="324"/>
      <c r="W624" s="324"/>
      <c r="X624" s="324"/>
      <c r="Y624" s="324"/>
      <c r="Z624" s="324"/>
      <c r="AA624" s="324"/>
      <c r="AB624" s="324"/>
      <c r="AC624" s="324"/>
      <c r="AD624" s="324"/>
      <c r="AE624" s="324"/>
      <c r="AF624" s="324"/>
    </row>
    <row r="625" spans="3:32" s="294" customFormat="1">
      <c r="C625" s="10"/>
      <c r="D625" s="29"/>
      <c r="E625" s="29"/>
      <c r="F625" s="36"/>
      <c r="G625" s="324"/>
      <c r="H625" s="324"/>
      <c r="I625" s="324"/>
      <c r="J625" s="324"/>
      <c r="K625" s="324"/>
      <c r="L625" s="324"/>
      <c r="M625" s="324"/>
      <c r="N625" s="324"/>
      <c r="O625" s="324"/>
      <c r="P625" s="324"/>
      <c r="Q625" s="324"/>
      <c r="R625" s="324"/>
      <c r="S625" s="324"/>
      <c r="T625" s="324"/>
      <c r="U625" s="324"/>
      <c r="V625" s="324"/>
      <c r="W625" s="324"/>
      <c r="X625" s="324"/>
      <c r="Y625" s="324"/>
      <c r="Z625" s="324"/>
      <c r="AA625" s="324"/>
      <c r="AB625" s="324"/>
      <c r="AC625" s="324"/>
      <c r="AD625" s="324"/>
      <c r="AE625" s="324"/>
      <c r="AF625" s="324"/>
    </row>
    <row r="626" spans="3:32" s="294" customFormat="1">
      <c r="C626" s="10"/>
      <c r="D626" s="29"/>
      <c r="E626" s="29"/>
      <c r="F626" s="36"/>
      <c r="G626" s="324"/>
      <c r="H626" s="324"/>
      <c r="I626" s="324"/>
      <c r="J626" s="324"/>
      <c r="K626" s="324"/>
      <c r="L626" s="324"/>
      <c r="M626" s="324"/>
      <c r="N626" s="324"/>
      <c r="O626" s="324"/>
      <c r="P626" s="324"/>
      <c r="Q626" s="324"/>
      <c r="R626" s="324"/>
      <c r="S626" s="324"/>
      <c r="T626" s="324"/>
      <c r="U626" s="324"/>
      <c r="V626" s="324"/>
      <c r="W626" s="324"/>
      <c r="X626" s="324"/>
      <c r="Y626" s="324"/>
      <c r="Z626" s="324"/>
      <c r="AA626" s="324"/>
      <c r="AB626" s="324"/>
      <c r="AC626" s="324"/>
      <c r="AD626" s="324"/>
      <c r="AE626" s="324"/>
      <c r="AF626" s="324"/>
    </row>
    <row r="627" spans="3:32" s="294" customFormat="1">
      <c r="C627" s="10"/>
      <c r="D627" s="29"/>
      <c r="E627" s="29"/>
      <c r="F627" s="36"/>
      <c r="G627" s="324"/>
      <c r="H627" s="324"/>
      <c r="I627" s="324"/>
      <c r="J627" s="324"/>
      <c r="K627" s="324"/>
      <c r="L627" s="324"/>
      <c r="M627" s="324"/>
      <c r="N627" s="324"/>
      <c r="O627" s="324"/>
      <c r="P627" s="324"/>
      <c r="Q627" s="324"/>
      <c r="R627" s="324"/>
      <c r="S627" s="324"/>
      <c r="T627" s="324"/>
      <c r="U627" s="324"/>
      <c r="V627" s="324"/>
      <c r="W627" s="324"/>
      <c r="X627" s="324"/>
      <c r="Y627" s="324"/>
      <c r="Z627" s="324"/>
      <c r="AA627" s="324"/>
      <c r="AB627" s="324"/>
      <c r="AC627" s="324"/>
      <c r="AD627" s="324"/>
      <c r="AE627" s="324"/>
      <c r="AF627" s="324"/>
    </row>
    <row r="628" spans="3:32" s="294" customFormat="1">
      <c r="C628" s="10"/>
      <c r="D628" s="29"/>
      <c r="E628" s="29"/>
      <c r="F628" s="36"/>
      <c r="G628" s="324"/>
      <c r="H628" s="324"/>
      <c r="I628" s="324"/>
      <c r="J628" s="324"/>
      <c r="K628" s="324"/>
      <c r="L628" s="324"/>
      <c r="M628" s="324"/>
      <c r="N628" s="324"/>
      <c r="O628" s="324"/>
      <c r="P628" s="324"/>
      <c r="Q628" s="324"/>
      <c r="R628" s="324"/>
      <c r="S628" s="324"/>
      <c r="T628" s="324"/>
      <c r="U628" s="324"/>
      <c r="V628" s="324"/>
      <c r="W628" s="324"/>
      <c r="X628" s="324"/>
      <c r="Y628" s="324"/>
      <c r="Z628" s="324"/>
      <c r="AA628" s="324"/>
      <c r="AB628" s="324"/>
      <c r="AC628" s="324"/>
      <c r="AD628" s="324"/>
      <c r="AE628" s="324"/>
      <c r="AF628" s="324"/>
    </row>
    <row r="629" spans="3:32" s="294" customFormat="1">
      <c r="C629" s="10"/>
      <c r="D629" s="29"/>
      <c r="E629" s="29"/>
      <c r="F629" s="36"/>
      <c r="G629" s="324"/>
      <c r="H629" s="324"/>
      <c r="I629" s="324"/>
      <c r="J629" s="324"/>
      <c r="K629" s="324"/>
      <c r="L629" s="324"/>
      <c r="M629" s="324"/>
      <c r="N629" s="324"/>
      <c r="O629" s="324"/>
      <c r="P629" s="324"/>
      <c r="Q629" s="324"/>
      <c r="R629" s="324"/>
      <c r="S629" s="324"/>
      <c r="T629" s="324"/>
      <c r="U629" s="324"/>
      <c r="V629" s="324"/>
      <c r="W629" s="324"/>
      <c r="X629" s="324"/>
      <c r="Y629" s="324"/>
      <c r="Z629" s="324"/>
      <c r="AA629" s="324"/>
      <c r="AB629" s="324"/>
      <c r="AC629" s="324"/>
      <c r="AD629" s="324"/>
      <c r="AE629" s="324"/>
      <c r="AF629" s="324"/>
    </row>
    <row r="630" spans="3:32" s="294" customFormat="1">
      <c r="C630" s="10"/>
      <c r="D630" s="29"/>
      <c r="E630" s="29"/>
      <c r="F630" s="36"/>
      <c r="G630" s="324"/>
      <c r="H630" s="324"/>
      <c r="I630" s="324"/>
      <c r="J630" s="324"/>
      <c r="K630" s="324"/>
      <c r="L630" s="324"/>
      <c r="M630" s="324"/>
      <c r="N630" s="324"/>
      <c r="O630" s="324"/>
      <c r="P630" s="324"/>
      <c r="Q630" s="324"/>
      <c r="R630" s="324"/>
      <c r="S630" s="324"/>
      <c r="T630" s="324"/>
      <c r="U630" s="324"/>
      <c r="V630" s="324"/>
      <c r="W630" s="324"/>
      <c r="X630" s="324"/>
      <c r="Y630" s="324"/>
      <c r="Z630" s="324"/>
      <c r="AA630" s="324"/>
      <c r="AB630" s="324"/>
      <c r="AC630" s="324"/>
      <c r="AD630" s="324"/>
      <c r="AE630" s="324"/>
      <c r="AF630" s="324"/>
    </row>
    <row r="631" spans="3:32" s="294" customFormat="1">
      <c r="C631" s="10"/>
      <c r="D631" s="29"/>
      <c r="E631" s="29"/>
      <c r="F631" s="36"/>
      <c r="G631" s="324"/>
      <c r="H631" s="324"/>
      <c r="I631" s="324"/>
      <c r="J631" s="324"/>
      <c r="K631" s="324"/>
      <c r="L631" s="324"/>
      <c r="M631" s="324"/>
      <c r="N631" s="324"/>
      <c r="O631" s="324"/>
      <c r="P631" s="324"/>
      <c r="Q631" s="324"/>
      <c r="R631" s="324"/>
      <c r="S631" s="324"/>
      <c r="T631" s="324"/>
      <c r="U631" s="324"/>
      <c r="V631" s="324"/>
      <c r="W631" s="324"/>
      <c r="X631" s="324"/>
      <c r="Y631" s="324"/>
      <c r="Z631" s="324"/>
      <c r="AA631" s="324"/>
      <c r="AB631" s="324"/>
      <c r="AC631" s="324"/>
      <c r="AD631" s="324"/>
      <c r="AE631" s="324"/>
      <c r="AF631" s="324"/>
    </row>
    <row r="632" spans="3:32" s="294" customFormat="1">
      <c r="C632" s="10"/>
      <c r="D632" s="29"/>
      <c r="E632" s="29"/>
      <c r="F632" s="36"/>
      <c r="G632" s="324"/>
      <c r="H632" s="324"/>
      <c r="I632" s="324"/>
      <c r="J632" s="324"/>
      <c r="K632" s="324"/>
      <c r="L632" s="324"/>
      <c r="M632" s="324"/>
      <c r="N632" s="324"/>
      <c r="O632" s="324"/>
      <c r="P632" s="324"/>
      <c r="Q632" s="324"/>
      <c r="R632" s="324"/>
      <c r="S632" s="324"/>
      <c r="T632" s="324"/>
      <c r="U632" s="324"/>
      <c r="V632" s="324"/>
      <c r="W632" s="324"/>
      <c r="X632" s="324"/>
      <c r="Y632" s="324"/>
      <c r="Z632" s="324"/>
      <c r="AA632" s="324"/>
      <c r="AB632" s="324"/>
      <c r="AC632" s="324"/>
      <c r="AD632" s="324"/>
      <c r="AE632" s="324"/>
      <c r="AF632" s="324"/>
    </row>
    <row r="633" spans="3:32" s="294" customFormat="1">
      <c r="C633" s="10"/>
      <c r="D633" s="29"/>
      <c r="E633" s="29"/>
      <c r="F633" s="36"/>
      <c r="G633" s="324"/>
      <c r="H633" s="324"/>
      <c r="I633" s="324"/>
      <c r="J633" s="324"/>
      <c r="K633" s="324"/>
      <c r="L633" s="324"/>
      <c r="M633" s="324"/>
      <c r="N633" s="324"/>
      <c r="O633" s="324"/>
      <c r="P633" s="324"/>
      <c r="Q633" s="324"/>
      <c r="R633" s="324"/>
      <c r="S633" s="324"/>
      <c r="T633" s="324"/>
      <c r="U633" s="324"/>
      <c r="V633" s="324"/>
      <c r="W633" s="324"/>
      <c r="X633" s="324"/>
      <c r="Y633" s="324"/>
      <c r="Z633" s="324"/>
      <c r="AA633" s="324"/>
      <c r="AB633" s="324"/>
      <c r="AC633" s="324"/>
      <c r="AD633" s="324"/>
      <c r="AE633" s="324"/>
      <c r="AF633" s="324"/>
    </row>
    <row r="634" spans="3:32" s="294" customFormat="1">
      <c r="C634" s="10"/>
      <c r="D634" s="29"/>
      <c r="E634" s="29"/>
      <c r="F634" s="36"/>
      <c r="G634" s="324"/>
      <c r="H634" s="324"/>
      <c r="I634" s="324"/>
      <c r="J634" s="324"/>
      <c r="K634" s="324"/>
      <c r="L634" s="324"/>
      <c r="M634" s="324"/>
      <c r="N634" s="324"/>
      <c r="O634" s="324"/>
      <c r="P634" s="324"/>
      <c r="Q634" s="324"/>
      <c r="R634" s="324"/>
      <c r="S634" s="324"/>
      <c r="T634" s="324"/>
      <c r="U634" s="324"/>
      <c r="V634" s="324"/>
      <c r="W634" s="324"/>
      <c r="X634" s="324"/>
      <c r="Y634" s="324"/>
      <c r="Z634" s="324"/>
      <c r="AA634" s="324"/>
      <c r="AB634" s="324"/>
      <c r="AC634" s="324"/>
      <c r="AD634" s="324"/>
      <c r="AE634" s="324"/>
      <c r="AF634" s="324"/>
    </row>
    <row r="635" spans="3:32" s="294" customFormat="1">
      <c r="C635" s="10"/>
      <c r="D635" s="29"/>
      <c r="E635" s="29"/>
      <c r="F635" s="36"/>
      <c r="G635" s="324"/>
      <c r="H635" s="324"/>
      <c r="I635" s="324"/>
      <c r="J635" s="324"/>
      <c r="K635" s="324"/>
      <c r="L635" s="324"/>
      <c r="M635" s="324"/>
      <c r="N635" s="324"/>
      <c r="O635" s="324"/>
      <c r="P635" s="324"/>
      <c r="Q635" s="324"/>
      <c r="R635" s="324"/>
      <c r="S635" s="324"/>
      <c r="T635" s="324"/>
      <c r="U635" s="324"/>
      <c r="V635" s="324"/>
      <c r="W635" s="324"/>
      <c r="X635" s="324"/>
      <c r="Y635" s="324"/>
      <c r="Z635" s="324"/>
      <c r="AA635" s="324"/>
      <c r="AB635" s="324"/>
      <c r="AC635" s="324"/>
      <c r="AD635" s="324"/>
      <c r="AE635" s="324"/>
      <c r="AF635" s="324"/>
    </row>
    <row r="636" spans="3:32" s="294" customFormat="1">
      <c r="C636" s="10"/>
      <c r="D636" s="29"/>
      <c r="E636" s="29"/>
      <c r="F636" s="36"/>
      <c r="G636" s="324"/>
      <c r="H636" s="324"/>
      <c r="I636" s="324"/>
      <c r="J636" s="324"/>
      <c r="K636" s="324"/>
      <c r="L636" s="324"/>
      <c r="M636" s="324"/>
      <c r="N636" s="324"/>
      <c r="O636" s="324"/>
      <c r="P636" s="324"/>
      <c r="Q636" s="324"/>
      <c r="R636" s="324"/>
      <c r="S636" s="324"/>
      <c r="T636" s="324"/>
      <c r="U636" s="324"/>
      <c r="V636" s="324"/>
      <c r="W636" s="324"/>
      <c r="X636" s="324"/>
      <c r="Y636" s="324"/>
      <c r="Z636" s="324"/>
      <c r="AA636" s="324"/>
      <c r="AB636" s="324"/>
      <c r="AC636" s="324"/>
      <c r="AD636" s="324"/>
      <c r="AE636" s="324"/>
      <c r="AF636" s="324"/>
    </row>
    <row r="637" spans="3:32" s="294" customFormat="1">
      <c r="C637" s="10"/>
      <c r="D637" s="29"/>
      <c r="E637" s="29"/>
      <c r="F637" s="36"/>
      <c r="G637" s="324"/>
      <c r="H637" s="324"/>
      <c r="I637" s="324"/>
      <c r="J637" s="324"/>
      <c r="K637" s="324"/>
      <c r="L637" s="324"/>
      <c r="M637" s="324"/>
      <c r="N637" s="324"/>
      <c r="O637" s="324"/>
      <c r="P637" s="324"/>
      <c r="Q637" s="324"/>
      <c r="R637" s="324"/>
      <c r="S637" s="324"/>
      <c r="T637" s="324"/>
      <c r="U637" s="324"/>
      <c r="V637" s="324"/>
      <c r="W637" s="324"/>
      <c r="X637" s="324"/>
      <c r="Y637" s="324"/>
      <c r="Z637" s="324"/>
      <c r="AA637" s="324"/>
      <c r="AB637" s="324"/>
      <c r="AC637" s="324"/>
      <c r="AD637" s="324"/>
      <c r="AE637" s="324"/>
      <c r="AF637" s="324"/>
    </row>
    <row r="638" spans="3:32" s="294" customFormat="1">
      <c r="C638" s="10"/>
      <c r="D638" s="29"/>
      <c r="E638" s="29"/>
      <c r="F638" s="36"/>
      <c r="G638" s="324"/>
      <c r="H638" s="324"/>
      <c r="I638" s="324"/>
      <c r="J638" s="324"/>
      <c r="K638" s="324"/>
      <c r="L638" s="324"/>
      <c r="M638" s="324"/>
      <c r="N638" s="324"/>
      <c r="O638" s="324"/>
      <c r="P638" s="324"/>
      <c r="Q638" s="324"/>
      <c r="R638" s="324"/>
      <c r="S638" s="324"/>
      <c r="T638" s="324"/>
      <c r="U638" s="324"/>
      <c r="V638" s="324"/>
      <c r="W638" s="324"/>
      <c r="X638" s="324"/>
      <c r="Y638" s="324"/>
      <c r="Z638" s="324"/>
      <c r="AA638" s="324"/>
      <c r="AB638" s="324"/>
      <c r="AC638" s="324"/>
      <c r="AD638" s="324"/>
      <c r="AE638" s="324"/>
      <c r="AF638" s="324"/>
    </row>
    <row r="639" spans="3:32" s="294" customFormat="1">
      <c r="C639" s="10"/>
      <c r="D639" s="29"/>
      <c r="E639" s="29"/>
      <c r="F639" s="36"/>
      <c r="G639" s="324"/>
      <c r="H639" s="324"/>
      <c r="I639" s="324"/>
      <c r="J639" s="324"/>
      <c r="K639" s="324"/>
      <c r="L639" s="324"/>
      <c r="M639" s="324"/>
      <c r="N639" s="324"/>
      <c r="O639" s="324"/>
      <c r="P639" s="324"/>
      <c r="Q639" s="324"/>
      <c r="R639" s="324"/>
      <c r="S639" s="324"/>
      <c r="T639" s="324"/>
      <c r="U639" s="324"/>
      <c r="V639" s="324"/>
      <c r="W639" s="324"/>
      <c r="X639" s="324"/>
      <c r="Y639" s="324"/>
      <c r="Z639" s="324"/>
      <c r="AA639" s="324"/>
      <c r="AB639" s="324"/>
      <c r="AC639" s="324"/>
      <c r="AD639" s="324"/>
      <c r="AE639" s="324"/>
      <c r="AF639" s="324"/>
    </row>
    <row r="640" spans="3:32" s="294" customFormat="1">
      <c r="C640" s="10"/>
      <c r="D640" s="29"/>
      <c r="E640" s="29"/>
      <c r="F640" s="36"/>
      <c r="G640" s="324"/>
      <c r="H640" s="324"/>
      <c r="I640" s="324"/>
      <c r="J640" s="324"/>
      <c r="K640" s="324"/>
      <c r="L640" s="324"/>
      <c r="M640" s="324"/>
      <c r="N640" s="324"/>
      <c r="O640" s="324"/>
      <c r="P640" s="324"/>
      <c r="Q640" s="324"/>
      <c r="R640" s="324"/>
      <c r="S640" s="324"/>
      <c r="T640" s="324"/>
      <c r="U640" s="324"/>
      <c r="V640" s="324"/>
      <c r="W640" s="324"/>
      <c r="X640" s="324"/>
      <c r="Y640" s="324"/>
      <c r="Z640" s="324"/>
      <c r="AA640" s="324"/>
      <c r="AB640" s="324"/>
      <c r="AC640" s="324"/>
      <c r="AD640" s="324"/>
      <c r="AE640" s="324"/>
      <c r="AF640" s="324"/>
    </row>
    <row r="641" spans="3:32" s="294" customFormat="1">
      <c r="C641" s="10"/>
      <c r="D641" s="29"/>
      <c r="E641" s="29"/>
      <c r="F641" s="36"/>
      <c r="G641" s="324"/>
      <c r="H641" s="324"/>
      <c r="I641" s="324"/>
      <c r="J641" s="324"/>
      <c r="K641" s="324"/>
      <c r="L641" s="324"/>
      <c r="M641" s="324"/>
      <c r="N641" s="324"/>
      <c r="O641" s="324"/>
      <c r="P641" s="324"/>
      <c r="Q641" s="324"/>
      <c r="R641" s="324"/>
      <c r="S641" s="324"/>
      <c r="T641" s="324"/>
      <c r="U641" s="324"/>
      <c r="V641" s="324"/>
      <c r="W641" s="324"/>
      <c r="X641" s="324"/>
      <c r="Y641" s="324"/>
      <c r="Z641" s="324"/>
      <c r="AA641" s="324"/>
      <c r="AB641" s="324"/>
      <c r="AC641" s="324"/>
      <c r="AD641" s="324"/>
      <c r="AE641" s="324"/>
      <c r="AF641" s="324"/>
    </row>
    <row r="642" spans="3:32" s="294" customFormat="1">
      <c r="C642" s="10"/>
      <c r="D642" s="29"/>
      <c r="E642" s="29"/>
      <c r="F642" s="36"/>
      <c r="G642" s="324"/>
      <c r="H642" s="324"/>
      <c r="I642" s="324"/>
      <c r="J642" s="324"/>
      <c r="K642" s="324"/>
      <c r="L642" s="324"/>
      <c r="M642" s="324"/>
      <c r="N642" s="324"/>
      <c r="O642" s="324"/>
      <c r="P642" s="324"/>
      <c r="Q642" s="324"/>
      <c r="R642" s="324"/>
      <c r="S642" s="324"/>
      <c r="T642" s="324"/>
      <c r="U642" s="324"/>
      <c r="V642" s="324"/>
      <c r="W642" s="324"/>
      <c r="X642" s="324"/>
      <c r="Y642" s="324"/>
      <c r="Z642" s="324"/>
      <c r="AA642" s="324"/>
      <c r="AB642" s="324"/>
      <c r="AC642" s="324"/>
      <c r="AD642" s="324"/>
      <c r="AE642" s="324"/>
      <c r="AF642" s="324"/>
    </row>
    <row r="643" spans="3:32" s="294" customFormat="1">
      <c r="C643" s="10"/>
      <c r="D643" s="29"/>
      <c r="E643" s="29"/>
      <c r="F643" s="36"/>
      <c r="G643" s="324"/>
      <c r="H643" s="324"/>
      <c r="I643" s="324"/>
      <c r="J643" s="324"/>
      <c r="K643" s="324"/>
      <c r="L643" s="324"/>
      <c r="M643" s="324"/>
      <c r="N643" s="324"/>
      <c r="O643" s="324"/>
      <c r="P643" s="324"/>
      <c r="Q643" s="324"/>
      <c r="R643" s="324"/>
      <c r="S643" s="324"/>
      <c r="T643" s="324"/>
      <c r="U643" s="324"/>
      <c r="V643" s="324"/>
      <c r="W643" s="324"/>
      <c r="X643" s="324"/>
      <c r="Y643" s="324"/>
      <c r="Z643" s="324"/>
      <c r="AA643" s="324"/>
      <c r="AB643" s="324"/>
      <c r="AC643" s="324"/>
      <c r="AD643" s="324"/>
      <c r="AE643" s="324"/>
      <c r="AF643" s="324"/>
    </row>
    <row r="644" spans="3:32" s="294" customFormat="1">
      <c r="C644" s="10"/>
      <c r="D644" s="29"/>
      <c r="E644" s="29"/>
      <c r="F644" s="36"/>
      <c r="G644" s="324"/>
      <c r="H644" s="324"/>
      <c r="I644" s="324"/>
      <c r="J644" s="324"/>
      <c r="K644" s="324"/>
      <c r="L644" s="324"/>
      <c r="M644" s="324"/>
      <c r="N644" s="324"/>
      <c r="O644" s="324"/>
      <c r="P644" s="324"/>
      <c r="Q644" s="324"/>
      <c r="R644" s="324"/>
      <c r="S644" s="324"/>
      <c r="T644" s="324"/>
      <c r="U644" s="324"/>
      <c r="V644" s="324"/>
      <c r="W644" s="324"/>
      <c r="X644" s="324"/>
      <c r="Y644" s="324"/>
      <c r="Z644" s="324"/>
      <c r="AA644" s="324"/>
      <c r="AB644" s="324"/>
      <c r="AC644" s="324"/>
      <c r="AD644" s="324"/>
      <c r="AE644" s="324"/>
      <c r="AF644" s="324"/>
    </row>
    <row r="645" spans="3:32" s="294" customFormat="1">
      <c r="C645" s="10"/>
      <c r="D645" s="29"/>
      <c r="E645" s="29"/>
      <c r="F645" s="36"/>
      <c r="G645" s="324"/>
      <c r="H645" s="324"/>
      <c r="I645" s="324"/>
      <c r="J645" s="324"/>
      <c r="K645" s="324"/>
      <c r="L645" s="324"/>
      <c r="M645" s="324"/>
      <c r="N645" s="324"/>
      <c r="O645" s="324"/>
      <c r="P645" s="324"/>
      <c r="Q645" s="324"/>
      <c r="R645" s="324"/>
      <c r="S645" s="324"/>
      <c r="T645" s="324"/>
      <c r="U645" s="324"/>
      <c r="V645" s="324"/>
      <c r="W645" s="324"/>
      <c r="X645" s="324"/>
      <c r="Y645" s="324"/>
      <c r="Z645" s="324"/>
      <c r="AA645" s="324"/>
      <c r="AB645" s="324"/>
      <c r="AC645" s="324"/>
      <c r="AD645" s="324"/>
      <c r="AE645" s="324"/>
      <c r="AF645" s="324"/>
    </row>
    <row r="646" spans="3:32" s="294" customFormat="1">
      <c r="C646" s="10"/>
      <c r="D646" s="29"/>
      <c r="E646" s="29"/>
      <c r="F646" s="36"/>
      <c r="G646" s="324"/>
      <c r="H646" s="324"/>
      <c r="I646" s="324"/>
      <c r="J646" s="324"/>
      <c r="K646" s="324"/>
      <c r="L646" s="324"/>
      <c r="M646" s="324"/>
      <c r="N646" s="324"/>
      <c r="O646" s="324"/>
      <c r="P646" s="324"/>
      <c r="Q646" s="324"/>
      <c r="R646" s="324"/>
      <c r="S646" s="324"/>
      <c r="T646" s="324"/>
      <c r="U646" s="324"/>
      <c r="V646" s="324"/>
      <c r="W646" s="324"/>
      <c r="X646" s="324"/>
      <c r="Y646" s="324"/>
      <c r="Z646" s="324"/>
      <c r="AA646" s="324"/>
      <c r="AB646" s="324"/>
      <c r="AC646" s="324"/>
      <c r="AD646" s="324"/>
      <c r="AE646" s="324"/>
      <c r="AF646" s="324"/>
    </row>
    <row r="647" spans="3:32" s="294" customFormat="1">
      <c r="C647" s="10"/>
      <c r="D647" s="29"/>
      <c r="E647" s="29"/>
      <c r="F647" s="36"/>
      <c r="G647" s="324"/>
      <c r="H647" s="324"/>
      <c r="I647" s="324"/>
      <c r="J647" s="324"/>
      <c r="K647" s="324"/>
      <c r="L647" s="324"/>
      <c r="M647" s="324"/>
      <c r="N647" s="324"/>
      <c r="O647" s="324"/>
      <c r="P647" s="324"/>
      <c r="Q647" s="324"/>
      <c r="R647" s="324"/>
      <c r="S647" s="324"/>
      <c r="T647" s="324"/>
      <c r="U647" s="324"/>
      <c r="V647" s="324"/>
      <c r="W647" s="324"/>
      <c r="X647" s="324"/>
      <c r="Y647" s="324"/>
      <c r="Z647" s="324"/>
      <c r="AA647" s="324"/>
      <c r="AB647" s="324"/>
      <c r="AC647" s="324"/>
      <c r="AD647" s="324"/>
      <c r="AE647" s="324"/>
      <c r="AF647" s="324"/>
    </row>
    <row r="648" spans="3:32" s="294" customFormat="1">
      <c r="C648" s="10"/>
      <c r="D648" s="29"/>
      <c r="E648" s="29"/>
      <c r="F648" s="36"/>
      <c r="G648" s="324"/>
      <c r="H648" s="324"/>
      <c r="I648" s="324"/>
      <c r="J648" s="324"/>
      <c r="K648" s="324"/>
      <c r="L648" s="324"/>
      <c r="M648" s="324"/>
      <c r="N648" s="324"/>
      <c r="O648" s="324"/>
      <c r="P648" s="324"/>
      <c r="Q648" s="324"/>
      <c r="R648" s="324"/>
      <c r="S648" s="324"/>
      <c r="T648" s="324"/>
      <c r="U648" s="324"/>
      <c r="V648" s="324"/>
      <c r="W648" s="324"/>
      <c r="X648" s="324"/>
      <c r="Y648" s="324"/>
      <c r="Z648" s="324"/>
      <c r="AA648" s="324"/>
      <c r="AB648" s="324"/>
      <c r="AC648" s="324"/>
      <c r="AD648" s="324"/>
      <c r="AE648" s="324"/>
      <c r="AF648" s="324"/>
    </row>
    <row r="649" spans="3:32" s="294" customFormat="1">
      <c r="C649" s="10"/>
      <c r="D649" s="29"/>
      <c r="E649" s="29"/>
      <c r="F649" s="36"/>
      <c r="G649" s="324"/>
      <c r="H649" s="324"/>
      <c r="I649" s="324"/>
      <c r="J649" s="324"/>
      <c r="K649" s="324"/>
      <c r="L649" s="324"/>
      <c r="M649" s="324"/>
      <c r="N649" s="324"/>
      <c r="O649" s="324"/>
      <c r="P649" s="324"/>
      <c r="Q649" s="324"/>
      <c r="R649" s="324"/>
      <c r="S649" s="324"/>
      <c r="T649" s="324"/>
      <c r="U649" s="324"/>
      <c r="V649" s="324"/>
      <c r="W649" s="324"/>
      <c r="X649" s="324"/>
      <c r="Y649" s="324"/>
      <c r="Z649" s="324"/>
      <c r="AA649" s="324"/>
      <c r="AB649" s="324"/>
      <c r="AC649" s="324"/>
      <c r="AD649" s="324"/>
      <c r="AE649" s="324"/>
      <c r="AF649" s="324"/>
    </row>
    <row r="650" spans="3:32" s="294" customFormat="1">
      <c r="C650" s="10"/>
      <c r="D650" s="29"/>
      <c r="E650" s="29"/>
      <c r="F650" s="36"/>
      <c r="G650" s="324"/>
      <c r="H650" s="324"/>
      <c r="I650" s="324"/>
      <c r="J650" s="324"/>
      <c r="K650" s="324"/>
      <c r="L650" s="324"/>
      <c r="M650" s="324"/>
      <c r="N650" s="324"/>
      <c r="O650" s="324"/>
      <c r="P650" s="324"/>
      <c r="Q650" s="324"/>
      <c r="R650" s="324"/>
      <c r="S650" s="324"/>
      <c r="T650" s="324"/>
      <c r="U650" s="324"/>
      <c r="V650" s="324"/>
      <c r="W650" s="324"/>
      <c r="X650" s="324"/>
      <c r="Y650" s="324"/>
      <c r="Z650" s="324"/>
      <c r="AA650" s="324"/>
      <c r="AB650" s="324"/>
      <c r="AC650" s="324"/>
      <c r="AD650" s="324"/>
      <c r="AE650" s="324"/>
      <c r="AF650" s="324"/>
    </row>
    <row r="651" spans="3:32" s="294" customFormat="1">
      <c r="C651" s="10"/>
      <c r="D651" s="29"/>
      <c r="E651" s="29"/>
      <c r="F651" s="36"/>
      <c r="G651" s="324"/>
      <c r="H651" s="324"/>
      <c r="I651" s="324"/>
      <c r="J651" s="324"/>
      <c r="K651" s="324"/>
      <c r="L651" s="324"/>
      <c r="M651" s="324"/>
      <c r="N651" s="324"/>
      <c r="O651" s="324"/>
      <c r="P651" s="324"/>
      <c r="Q651" s="324"/>
      <c r="R651" s="324"/>
      <c r="S651" s="324"/>
      <c r="T651" s="324"/>
      <c r="U651" s="324"/>
      <c r="V651" s="324"/>
      <c r="W651" s="324"/>
      <c r="X651" s="324"/>
      <c r="Y651" s="324"/>
      <c r="Z651" s="324"/>
      <c r="AA651" s="324"/>
      <c r="AB651" s="324"/>
      <c r="AC651" s="324"/>
      <c r="AD651" s="324"/>
      <c r="AE651" s="324"/>
      <c r="AF651" s="324"/>
    </row>
    <row r="652" spans="3:32" s="294" customFormat="1">
      <c r="C652" s="10"/>
      <c r="D652" s="29"/>
      <c r="E652" s="29"/>
      <c r="F652" s="36"/>
      <c r="G652" s="324"/>
      <c r="H652" s="324"/>
      <c r="I652" s="324"/>
      <c r="J652" s="324"/>
      <c r="K652" s="324"/>
      <c r="L652" s="324"/>
      <c r="M652" s="324"/>
      <c r="N652" s="324"/>
      <c r="O652" s="324"/>
      <c r="P652" s="324"/>
      <c r="Q652" s="324"/>
      <c r="R652" s="324"/>
      <c r="S652" s="324"/>
      <c r="T652" s="324"/>
      <c r="U652" s="324"/>
      <c r="V652" s="324"/>
      <c r="W652" s="324"/>
      <c r="X652" s="324"/>
      <c r="Y652" s="324"/>
      <c r="Z652" s="324"/>
      <c r="AA652" s="324"/>
      <c r="AB652" s="324"/>
      <c r="AC652" s="324"/>
      <c r="AD652" s="324"/>
      <c r="AE652" s="324"/>
      <c r="AF652" s="324"/>
    </row>
    <row r="653" spans="3:32" s="294" customFormat="1">
      <c r="C653" s="10"/>
      <c r="D653" s="29"/>
      <c r="E653" s="29"/>
      <c r="F653" s="36"/>
      <c r="G653" s="324"/>
      <c r="H653" s="324"/>
      <c r="I653" s="324"/>
      <c r="J653" s="324"/>
      <c r="K653" s="324"/>
      <c r="L653" s="324"/>
      <c r="M653" s="324"/>
      <c r="N653" s="324"/>
      <c r="O653" s="324"/>
      <c r="P653" s="324"/>
      <c r="Q653" s="324"/>
      <c r="R653" s="324"/>
      <c r="S653" s="324"/>
      <c r="T653" s="324"/>
      <c r="U653" s="324"/>
      <c r="V653" s="324"/>
      <c r="W653" s="324"/>
      <c r="X653" s="324"/>
      <c r="Y653" s="324"/>
      <c r="Z653" s="324"/>
      <c r="AA653" s="324"/>
      <c r="AB653" s="324"/>
      <c r="AC653" s="324"/>
      <c r="AD653" s="324"/>
      <c r="AE653" s="324"/>
      <c r="AF653" s="324"/>
    </row>
    <row r="654" spans="3:32" s="294" customFormat="1">
      <c r="C654" s="10"/>
      <c r="D654" s="29"/>
      <c r="E654" s="29"/>
      <c r="F654" s="36"/>
      <c r="G654" s="324"/>
      <c r="H654" s="324"/>
      <c r="I654" s="324"/>
      <c r="J654" s="324"/>
      <c r="K654" s="324"/>
      <c r="L654" s="324"/>
      <c r="M654" s="324"/>
      <c r="N654" s="324"/>
      <c r="O654" s="324"/>
      <c r="P654" s="324"/>
      <c r="Q654" s="324"/>
      <c r="R654" s="324"/>
      <c r="S654" s="324"/>
      <c r="T654" s="324"/>
      <c r="U654" s="324"/>
      <c r="V654" s="324"/>
      <c r="W654" s="324"/>
      <c r="X654" s="324"/>
      <c r="Y654" s="324"/>
      <c r="Z654" s="324"/>
      <c r="AA654" s="324"/>
      <c r="AB654" s="324"/>
      <c r="AC654" s="324"/>
      <c r="AD654" s="324"/>
      <c r="AE654" s="324"/>
      <c r="AF654" s="324"/>
    </row>
    <row r="655" spans="3:32" s="294" customFormat="1">
      <c r="C655" s="10"/>
      <c r="D655" s="29"/>
      <c r="E655" s="29"/>
      <c r="F655" s="36"/>
      <c r="G655" s="324"/>
      <c r="H655" s="324"/>
      <c r="I655" s="324"/>
      <c r="J655" s="324"/>
      <c r="K655" s="324"/>
      <c r="L655" s="324"/>
      <c r="M655" s="324"/>
      <c r="N655" s="324"/>
      <c r="O655" s="324"/>
      <c r="P655" s="324"/>
      <c r="Q655" s="324"/>
      <c r="R655" s="324"/>
      <c r="S655" s="324"/>
      <c r="T655" s="324"/>
      <c r="U655" s="324"/>
      <c r="V655" s="324"/>
      <c r="W655" s="324"/>
      <c r="X655" s="324"/>
      <c r="Y655" s="324"/>
      <c r="Z655" s="324"/>
      <c r="AA655" s="324"/>
      <c r="AB655" s="324"/>
      <c r="AC655" s="324"/>
      <c r="AD655" s="324"/>
      <c r="AE655" s="324"/>
      <c r="AF655" s="324"/>
    </row>
    <row r="656" spans="3:32" s="294" customFormat="1">
      <c r="C656" s="10"/>
      <c r="D656" s="29"/>
      <c r="E656" s="29"/>
      <c r="F656" s="36"/>
      <c r="G656" s="324"/>
      <c r="H656" s="324"/>
      <c r="I656" s="324"/>
      <c r="J656" s="324"/>
      <c r="K656" s="324"/>
      <c r="L656" s="324"/>
      <c r="M656" s="324"/>
      <c r="N656" s="324"/>
      <c r="O656" s="324"/>
      <c r="P656" s="324"/>
      <c r="Q656" s="324"/>
      <c r="R656" s="324"/>
      <c r="S656" s="324"/>
      <c r="T656" s="324"/>
      <c r="U656" s="324"/>
      <c r="V656" s="324"/>
      <c r="W656" s="324"/>
      <c r="X656" s="324"/>
      <c r="Y656" s="324"/>
      <c r="Z656" s="324"/>
      <c r="AA656" s="324"/>
      <c r="AB656" s="324"/>
      <c r="AC656" s="324"/>
      <c r="AD656" s="324"/>
      <c r="AE656" s="324"/>
      <c r="AF656" s="324"/>
    </row>
    <row r="657" spans="3:32" s="294" customFormat="1">
      <c r="C657" s="10"/>
      <c r="D657" s="29"/>
      <c r="E657" s="29"/>
      <c r="F657" s="36"/>
      <c r="G657" s="324"/>
      <c r="H657" s="324"/>
      <c r="I657" s="324"/>
      <c r="J657" s="324"/>
      <c r="K657" s="324"/>
      <c r="L657" s="324"/>
      <c r="M657" s="324"/>
      <c r="N657" s="324"/>
      <c r="O657" s="324"/>
      <c r="P657" s="324"/>
      <c r="Q657" s="324"/>
      <c r="R657" s="324"/>
      <c r="S657" s="324"/>
      <c r="T657" s="324"/>
      <c r="U657" s="324"/>
      <c r="V657" s="324"/>
      <c r="W657" s="324"/>
      <c r="X657" s="324"/>
      <c r="Y657" s="324"/>
      <c r="Z657" s="324"/>
      <c r="AA657" s="324"/>
      <c r="AB657" s="324"/>
      <c r="AC657" s="324"/>
      <c r="AD657" s="324"/>
      <c r="AE657" s="324"/>
      <c r="AF657" s="324"/>
    </row>
    <row r="658" spans="3:32" s="294" customFormat="1">
      <c r="C658" s="10"/>
      <c r="D658" s="29"/>
      <c r="E658" s="29"/>
      <c r="F658" s="36"/>
      <c r="G658" s="324"/>
      <c r="H658" s="324"/>
      <c r="I658" s="324"/>
      <c r="J658" s="324"/>
      <c r="K658" s="324"/>
      <c r="L658" s="324"/>
      <c r="M658" s="324"/>
      <c r="N658" s="324"/>
      <c r="O658" s="324"/>
      <c r="P658" s="324"/>
      <c r="Q658" s="324"/>
      <c r="R658" s="324"/>
      <c r="S658" s="324"/>
      <c r="T658" s="324"/>
      <c r="U658" s="324"/>
      <c r="V658" s="324"/>
      <c r="W658" s="324"/>
      <c r="X658" s="324"/>
      <c r="Y658" s="324"/>
      <c r="Z658" s="324"/>
      <c r="AA658" s="324"/>
      <c r="AB658" s="324"/>
      <c r="AC658" s="324"/>
      <c r="AD658" s="324"/>
      <c r="AE658" s="324"/>
      <c r="AF658" s="324"/>
    </row>
    <row r="659" spans="3:32" s="294" customFormat="1">
      <c r="C659" s="10"/>
      <c r="D659" s="29"/>
      <c r="E659" s="29"/>
      <c r="F659" s="36"/>
      <c r="G659" s="324"/>
      <c r="H659" s="324"/>
      <c r="I659" s="324"/>
      <c r="J659" s="324"/>
      <c r="K659" s="324"/>
      <c r="L659" s="324"/>
      <c r="M659" s="324"/>
      <c r="N659" s="324"/>
      <c r="O659" s="324"/>
      <c r="P659" s="324"/>
      <c r="Q659" s="324"/>
      <c r="R659" s="324"/>
      <c r="S659" s="324"/>
      <c r="T659" s="324"/>
      <c r="U659" s="324"/>
      <c r="V659" s="324"/>
      <c r="W659" s="324"/>
      <c r="X659" s="324"/>
      <c r="Y659" s="324"/>
      <c r="Z659" s="324"/>
      <c r="AA659" s="324"/>
      <c r="AB659" s="324"/>
      <c r="AC659" s="324"/>
      <c r="AD659" s="324"/>
      <c r="AE659" s="324"/>
      <c r="AF659" s="324"/>
    </row>
    <row r="660" spans="3:32" s="294" customFormat="1">
      <c r="C660" s="10"/>
      <c r="D660" s="29"/>
      <c r="E660" s="29"/>
      <c r="F660" s="36"/>
      <c r="G660" s="324"/>
      <c r="H660" s="324"/>
      <c r="I660" s="324"/>
      <c r="J660" s="324"/>
      <c r="K660" s="324"/>
      <c r="L660" s="324"/>
      <c r="M660" s="324"/>
      <c r="N660" s="324"/>
      <c r="O660" s="324"/>
      <c r="P660" s="324"/>
      <c r="Q660" s="324"/>
      <c r="R660" s="324"/>
      <c r="S660" s="324"/>
      <c r="T660" s="324"/>
      <c r="U660" s="324"/>
      <c r="V660" s="324"/>
      <c r="W660" s="324"/>
      <c r="X660" s="324"/>
      <c r="Y660" s="324"/>
      <c r="Z660" s="324"/>
      <c r="AA660" s="324"/>
      <c r="AB660" s="324"/>
      <c r="AC660" s="324"/>
      <c r="AD660" s="324"/>
      <c r="AE660" s="324"/>
      <c r="AF660" s="324"/>
    </row>
    <row r="661" spans="3:32" s="294" customFormat="1">
      <c r="C661" s="10"/>
      <c r="D661" s="29"/>
      <c r="E661" s="29"/>
      <c r="F661" s="36"/>
      <c r="G661" s="324"/>
      <c r="H661" s="324"/>
      <c r="I661" s="324"/>
      <c r="J661" s="324"/>
      <c r="K661" s="324"/>
      <c r="L661" s="324"/>
      <c r="M661" s="324"/>
      <c r="N661" s="324"/>
      <c r="O661" s="324"/>
      <c r="P661" s="324"/>
      <c r="Q661" s="324"/>
      <c r="R661" s="324"/>
      <c r="S661" s="324"/>
      <c r="T661" s="324"/>
      <c r="U661" s="324"/>
      <c r="V661" s="324"/>
      <c r="W661" s="324"/>
      <c r="X661" s="324"/>
      <c r="Y661" s="324"/>
      <c r="Z661" s="324"/>
      <c r="AA661" s="324"/>
      <c r="AB661" s="324"/>
      <c r="AC661" s="324"/>
      <c r="AD661" s="324"/>
      <c r="AE661" s="324"/>
      <c r="AF661" s="324"/>
    </row>
    <row r="662" spans="3:32" s="294" customFormat="1">
      <c r="C662" s="10"/>
      <c r="D662" s="29"/>
      <c r="E662" s="29"/>
      <c r="F662" s="36"/>
      <c r="G662" s="324"/>
      <c r="H662" s="324"/>
      <c r="I662" s="324"/>
      <c r="J662" s="324"/>
      <c r="K662" s="324"/>
      <c r="L662" s="324"/>
      <c r="M662" s="324"/>
      <c r="N662" s="324"/>
      <c r="O662" s="324"/>
      <c r="P662" s="324"/>
      <c r="Q662" s="324"/>
      <c r="R662" s="324"/>
      <c r="S662" s="324"/>
      <c r="T662" s="324"/>
      <c r="U662" s="324"/>
      <c r="V662" s="324"/>
      <c r="W662" s="324"/>
      <c r="X662" s="324"/>
      <c r="Y662" s="324"/>
      <c r="Z662" s="324"/>
      <c r="AA662" s="324"/>
      <c r="AB662" s="324"/>
      <c r="AC662" s="324"/>
      <c r="AD662" s="324"/>
      <c r="AE662" s="324"/>
      <c r="AF662" s="324"/>
    </row>
    <row r="663" spans="3:32" s="294" customFormat="1">
      <c r="C663" s="10"/>
      <c r="D663" s="29"/>
      <c r="E663" s="29"/>
      <c r="F663" s="36"/>
      <c r="G663" s="324"/>
      <c r="H663" s="324"/>
      <c r="I663" s="324"/>
      <c r="J663" s="324"/>
      <c r="K663" s="324"/>
      <c r="L663" s="324"/>
      <c r="M663" s="324"/>
      <c r="N663" s="324"/>
      <c r="O663" s="324"/>
      <c r="P663" s="324"/>
      <c r="Q663" s="324"/>
      <c r="R663" s="324"/>
      <c r="S663" s="324"/>
      <c r="T663" s="324"/>
      <c r="U663" s="324"/>
      <c r="V663" s="324"/>
      <c r="W663" s="324"/>
      <c r="X663" s="324"/>
      <c r="Y663" s="324"/>
      <c r="Z663" s="324"/>
      <c r="AA663" s="324"/>
      <c r="AB663" s="324"/>
      <c r="AC663" s="324"/>
      <c r="AD663" s="324"/>
      <c r="AE663" s="324"/>
      <c r="AF663" s="324"/>
    </row>
    <row r="664" spans="3:32" s="294" customFormat="1">
      <c r="C664" s="10"/>
      <c r="D664" s="29"/>
      <c r="E664" s="29"/>
      <c r="F664" s="36"/>
      <c r="G664" s="324"/>
      <c r="H664" s="324"/>
      <c r="I664" s="324"/>
      <c r="J664" s="324"/>
      <c r="K664" s="324"/>
      <c r="L664" s="324"/>
      <c r="M664" s="324"/>
      <c r="N664" s="324"/>
      <c r="O664" s="324"/>
      <c r="P664" s="324"/>
      <c r="Q664" s="324"/>
      <c r="R664" s="324"/>
      <c r="S664" s="324"/>
      <c r="T664" s="324"/>
      <c r="U664" s="324"/>
      <c r="V664" s="324"/>
      <c r="W664" s="324"/>
      <c r="X664" s="324"/>
      <c r="Y664" s="324"/>
      <c r="Z664" s="324"/>
      <c r="AA664" s="324"/>
      <c r="AB664" s="324"/>
      <c r="AC664" s="324"/>
      <c r="AD664" s="324"/>
      <c r="AE664" s="324"/>
      <c r="AF664" s="324"/>
    </row>
    <row r="665" spans="3:32" s="294" customFormat="1">
      <c r="C665" s="10"/>
      <c r="D665" s="29"/>
      <c r="E665" s="29"/>
      <c r="F665" s="36"/>
      <c r="G665" s="324"/>
      <c r="H665" s="324"/>
      <c r="I665" s="324"/>
      <c r="J665" s="324"/>
      <c r="K665" s="324"/>
      <c r="L665" s="324"/>
      <c r="M665" s="324"/>
      <c r="N665" s="324"/>
      <c r="O665" s="324"/>
      <c r="P665" s="324"/>
      <c r="Q665" s="324"/>
      <c r="R665" s="324"/>
      <c r="S665" s="324"/>
      <c r="T665" s="324"/>
      <c r="U665" s="324"/>
      <c r="V665" s="324"/>
      <c r="W665" s="324"/>
      <c r="X665" s="324"/>
      <c r="Y665" s="324"/>
      <c r="Z665" s="324"/>
      <c r="AA665" s="324"/>
      <c r="AB665" s="324"/>
      <c r="AC665" s="324"/>
      <c r="AD665" s="324"/>
      <c r="AE665" s="324"/>
      <c r="AF665" s="324"/>
    </row>
    <row r="666" spans="3:32" s="294" customFormat="1">
      <c r="C666" s="10"/>
      <c r="D666" s="29"/>
      <c r="E666" s="29"/>
      <c r="F666" s="36"/>
      <c r="G666" s="324"/>
      <c r="H666" s="324"/>
      <c r="I666" s="324"/>
      <c r="J666" s="324"/>
      <c r="K666" s="324"/>
      <c r="L666" s="324"/>
      <c r="M666" s="324"/>
      <c r="N666" s="324"/>
      <c r="O666" s="324"/>
      <c r="P666" s="324"/>
      <c r="Q666" s="324"/>
      <c r="R666" s="324"/>
      <c r="S666" s="324"/>
      <c r="T666" s="324"/>
      <c r="U666" s="324"/>
      <c r="V666" s="324"/>
      <c r="W666" s="324"/>
      <c r="X666" s="324"/>
      <c r="Y666" s="324"/>
      <c r="Z666" s="324"/>
      <c r="AA666" s="324"/>
      <c r="AB666" s="324"/>
      <c r="AC666" s="324"/>
      <c r="AD666" s="324"/>
      <c r="AE666" s="324"/>
      <c r="AF666" s="324"/>
    </row>
    <row r="667" spans="3:32" s="294" customFormat="1">
      <c r="C667" s="10"/>
      <c r="D667" s="29"/>
      <c r="E667" s="29"/>
      <c r="F667" s="36"/>
      <c r="G667" s="324"/>
      <c r="H667" s="324"/>
      <c r="I667" s="324"/>
      <c r="J667" s="324"/>
      <c r="K667" s="324"/>
      <c r="L667" s="324"/>
      <c r="M667" s="324"/>
      <c r="N667" s="324"/>
      <c r="O667" s="324"/>
      <c r="P667" s="324"/>
      <c r="Q667" s="324"/>
      <c r="R667" s="324"/>
      <c r="S667" s="324"/>
      <c r="T667" s="324"/>
      <c r="U667" s="324"/>
      <c r="V667" s="324"/>
      <c r="W667" s="324"/>
      <c r="X667" s="324"/>
      <c r="Y667" s="324"/>
      <c r="Z667" s="324"/>
      <c r="AA667" s="324"/>
      <c r="AB667" s="324"/>
      <c r="AC667" s="324"/>
      <c r="AD667" s="324"/>
      <c r="AE667" s="324"/>
      <c r="AF667" s="324"/>
    </row>
    <row r="668" spans="3:32" s="294" customFormat="1">
      <c r="C668" s="10"/>
      <c r="D668" s="29"/>
      <c r="E668" s="29"/>
      <c r="F668" s="36"/>
      <c r="G668" s="324"/>
      <c r="H668" s="324"/>
      <c r="I668" s="324"/>
      <c r="J668" s="324"/>
      <c r="K668" s="324"/>
      <c r="L668" s="324"/>
      <c r="M668" s="324"/>
      <c r="N668" s="324"/>
      <c r="O668" s="324"/>
      <c r="P668" s="324"/>
      <c r="Q668" s="324"/>
      <c r="R668" s="324"/>
      <c r="S668" s="324"/>
      <c r="T668" s="324"/>
      <c r="U668" s="324"/>
      <c r="V668" s="324"/>
      <c r="W668" s="324"/>
      <c r="X668" s="324"/>
      <c r="Y668" s="324"/>
      <c r="Z668" s="324"/>
      <c r="AA668" s="324"/>
      <c r="AB668" s="324"/>
      <c r="AC668" s="324"/>
      <c r="AD668" s="324"/>
      <c r="AE668" s="324"/>
      <c r="AF668" s="324"/>
    </row>
    <row r="669" spans="3:32" s="294" customFormat="1">
      <c r="C669" s="10"/>
      <c r="D669" s="29"/>
      <c r="E669" s="29"/>
      <c r="F669" s="36"/>
      <c r="G669" s="324"/>
      <c r="H669" s="324"/>
      <c r="I669" s="324"/>
      <c r="J669" s="324"/>
      <c r="K669" s="324"/>
      <c r="L669" s="324"/>
      <c r="M669" s="324"/>
      <c r="N669" s="324"/>
      <c r="O669" s="324"/>
      <c r="P669" s="324"/>
      <c r="Q669" s="324"/>
      <c r="R669" s="324"/>
      <c r="S669" s="324"/>
      <c r="T669" s="324"/>
      <c r="U669" s="324"/>
      <c r="V669" s="324"/>
      <c r="W669" s="324"/>
      <c r="X669" s="324"/>
      <c r="Y669" s="324"/>
      <c r="Z669" s="324"/>
      <c r="AA669" s="324"/>
      <c r="AB669" s="324"/>
      <c r="AC669" s="324"/>
      <c r="AD669" s="324"/>
      <c r="AE669" s="324"/>
      <c r="AF669" s="324"/>
    </row>
    <row r="670" spans="3:32" s="294" customFormat="1">
      <c r="C670" s="10"/>
      <c r="D670" s="29"/>
      <c r="E670" s="29"/>
      <c r="F670" s="36"/>
      <c r="G670" s="324"/>
      <c r="H670" s="324"/>
      <c r="I670" s="324"/>
      <c r="J670" s="324"/>
      <c r="K670" s="324"/>
      <c r="L670" s="324"/>
      <c r="M670" s="324"/>
      <c r="N670" s="324"/>
      <c r="O670" s="324"/>
      <c r="P670" s="324"/>
      <c r="Q670" s="324"/>
      <c r="R670" s="324"/>
      <c r="S670" s="324"/>
      <c r="T670" s="324"/>
      <c r="U670" s="324"/>
      <c r="V670" s="324"/>
      <c r="W670" s="324"/>
      <c r="X670" s="324"/>
      <c r="Y670" s="324"/>
      <c r="Z670" s="324"/>
      <c r="AA670" s="324"/>
      <c r="AB670" s="324"/>
      <c r="AC670" s="324"/>
      <c r="AD670" s="324"/>
      <c r="AE670" s="324"/>
      <c r="AF670" s="324"/>
    </row>
    <row r="671" spans="3:32" s="294" customFormat="1">
      <c r="C671" s="10"/>
      <c r="D671" s="29"/>
      <c r="E671" s="29"/>
      <c r="F671" s="36"/>
      <c r="G671" s="324"/>
      <c r="H671" s="324"/>
      <c r="I671" s="324"/>
      <c r="J671" s="324"/>
      <c r="K671" s="324"/>
      <c r="L671" s="324"/>
      <c r="M671" s="324"/>
      <c r="N671" s="324"/>
      <c r="O671" s="324"/>
      <c r="P671" s="324"/>
      <c r="Q671" s="324"/>
      <c r="R671" s="324"/>
      <c r="S671" s="324"/>
      <c r="T671" s="324"/>
      <c r="U671" s="324"/>
      <c r="V671" s="324"/>
      <c r="W671" s="324"/>
      <c r="X671" s="324"/>
      <c r="Y671" s="324"/>
      <c r="Z671" s="324"/>
      <c r="AA671" s="324"/>
      <c r="AB671" s="324"/>
      <c r="AC671" s="324"/>
      <c r="AD671" s="324"/>
      <c r="AE671" s="324"/>
      <c r="AF671" s="324"/>
    </row>
    <row r="672" spans="3:32" s="294" customFormat="1">
      <c r="C672" s="10"/>
      <c r="D672" s="29"/>
      <c r="E672" s="29"/>
      <c r="F672" s="36"/>
      <c r="G672" s="324"/>
      <c r="H672" s="324"/>
      <c r="I672" s="324"/>
      <c r="J672" s="324"/>
      <c r="K672" s="324"/>
      <c r="L672" s="324"/>
      <c r="M672" s="324"/>
      <c r="N672" s="324"/>
      <c r="O672" s="324"/>
      <c r="P672" s="324"/>
      <c r="Q672" s="324"/>
      <c r="R672" s="324"/>
      <c r="S672" s="324"/>
      <c r="T672" s="324"/>
      <c r="U672" s="324"/>
      <c r="V672" s="324"/>
      <c r="W672" s="324"/>
      <c r="X672" s="324"/>
      <c r="Y672" s="324"/>
      <c r="Z672" s="324"/>
      <c r="AA672" s="324"/>
      <c r="AB672" s="324"/>
      <c r="AC672" s="324"/>
      <c r="AD672" s="324"/>
      <c r="AE672" s="324"/>
      <c r="AF672" s="324"/>
    </row>
    <row r="673" spans="3:32" s="294" customFormat="1">
      <c r="C673" s="10"/>
      <c r="D673" s="29"/>
      <c r="E673" s="29"/>
      <c r="F673" s="36"/>
      <c r="G673" s="324"/>
      <c r="H673" s="324"/>
      <c r="I673" s="324"/>
      <c r="J673" s="324"/>
      <c r="K673" s="324"/>
      <c r="L673" s="324"/>
      <c r="M673" s="324"/>
      <c r="N673" s="324"/>
      <c r="O673" s="324"/>
      <c r="P673" s="324"/>
      <c r="Q673" s="324"/>
      <c r="R673" s="324"/>
      <c r="S673" s="324"/>
      <c r="T673" s="324"/>
      <c r="U673" s="324"/>
      <c r="V673" s="324"/>
      <c r="W673" s="324"/>
      <c r="X673" s="324"/>
      <c r="Y673" s="324"/>
      <c r="Z673" s="324"/>
      <c r="AA673" s="324"/>
      <c r="AB673" s="324"/>
      <c r="AC673" s="324"/>
      <c r="AD673" s="324"/>
      <c r="AE673" s="324"/>
      <c r="AF673" s="324"/>
    </row>
    <row r="674" spans="3:32" s="294" customFormat="1">
      <c r="C674" s="10"/>
      <c r="D674" s="29"/>
      <c r="E674" s="29"/>
      <c r="F674" s="36"/>
      <c r="G674" s="324"/>
      <c r="H674" s="324"/>
      <c r="I674" s="324"/>
      <c r="J674" s="324"/>
      <c r="K674" s="324"/>
      <c r="L674" s="324"/>
      <c r="M674" s="324"/>
      <c r="N674" s="324"/>
      <c r="O674" s="324"/>
      <c r="P674" s="324"/>
      <c r="Q674" s="324"/>
      <c r="R674" s="324"/>
      <c r="S674" s="324"/>
      <c r="T674" s="324"/>
      <c r="U674" s="324"/>
      <c r="V674" s="324"/>
      <c r="W674" s="324"/>
      <c r="X674" s="324"/>
      <c r="Y674" s="324"/>
      <c r="Z674" s="324"/>
      <c r="AA674" s="324"/>
      <c r="AB674" s="324"/>
      <c r="AC674" s="324"/>
      <c r="AD674" s="324"/>
      <c r="AE674" s="324"/>
      <c r="AF674" s="324"/>
    </row>
    <row r="675" spans="3:32" s="294" customFormat="1">
      <c r="C675" s="10"/>
      <c r="D675" s="29"/>
      <c r="E675" s="29"/>
      <c r="F675" s="36"/>
      <c r="G675" s="324"/>
      <c r="H675" s="324"/>
      <c r="I675" s="324"/>
      <c r="J675" s="324"/>
      <c r="K675" s="324"/>
      <c r="L675" s="324"/>
      <c r="M675" s="324"/>
      <c r="N675" s="324"/>
      <c r="O675" s="324"/>
      <c r="P675" s="324"/>
      <c r="Q675" s="324"/>
      <c r="R675" s="324"/>
      <c r="S675" s="324"/>
      <c r="T675" s="324"/>
      <c r="U675" s="324"/>
      <c r="V675" s="324"/>
      <c r="W675" s="324"/>
      <c r="X675" s="324"/>
      <c r="Y675" s="324"/>
      <c r="Z675" s="324"/>
      <c r="AA675" s="324"/>
      <c r="AB675" s="324"/>
      <c r="AC675" s="324"/>
      <c r="AD675" s="324"/>
      <c r="AE675" s="324"/>
      <c r="AF675" s="324"/>
    </row>
    <row r="676" spans="3:32" s="294" customFormat="1">
      <c r="C676" s="10"/>
      <c r="D676" s="29"/>
      <c r="E676" s="29"/>
      <c r="F676" s="36"/>
      <c r="G676" s="324"/>
      <c r="H676" s="324"/>
      <c r="I676" s="324"/>
      <c r="J676" s="324"/>
      <c r="K676" s="324"/>
      <c r="L676" s="324"/>
      <c r="M676" s="324"/>
      <c r="N676" s="324"/>
      <c r="O676" s="324"/>
      <c r="P676" s="324"/>
      <c r="Q676" s="324"/>
      <c r="R676" s="324"/>
      <c r="S676" s="324"/>
      <c r="T676" s="324"/>
      <c r="U676" s="324"/>
      <c r="V676" s="324"/>
      <c r="W676" s="324"/>
      <c r="X676" s="324"/>
      <c r="Y676" s="324"/>
      <c r="Z676" s="324"/>
      <c r="AA676" s="324"/>
      <c r="AB676" s="324"/>
      <c r="AC676" s="324"/>
      <c r="AD676" s="324"/>
      <c r="AE676" s="324"/>
      <c r="AF676" s="324"/>
    </row>
    <row r="677" spans="3:32" s="294" customFormat="1">
      <c r="C677" s="10"/>
      <c r="D677" s="29"/>
      <c r="E677" s="29"/>
      <c r="F677" s="36"/>
      <c r="G677" s="324"/>
      <c r="H677" s="324"/>
      <c r="I677" s="324"/>
      <c r="J677" s="324"/>
      <c r="K677" s="324"/>
      <c r="L677" s="324"/>
      <c r="M677" s="324"/>
      <c r="N677" s="324"/>
      <c r="O677" s="324"/>
      <c r="P677" s="324"/>
      <c r="Q677" s="324"/>
      <c r="R677" s="324"/>
      <c r="S677" s="324"/>
      <c r="T677" s="324"/>
      <c r="U677" s="324"/>
      <c r="V677" s="324"/>
      <c r="W677" s="324"/>
      <c r="X677" s="324"/>
      <c r="Y677" s="324"/>
      <c r="Z677" s="324"/>
      <c r="AA677" s="324"/>
      <c r="AB677" s="324"/>
      <c r="AC677" s="324"/>
      <c r="AD677" s="324"/>
      <c r="AE677" s="324"/>
      <c r="AF677" s="324"/>
    </row>
    <row r="678" spans="3:32" s="294" customFormat="1">
      <c r="C678" s="10"/>
      <c r="D678" s="29"/>
      <c r="E678" s="29"/>
      <c r="F678" s="36"/>
      <c r="G678" s="324"/>
      <c r="H678" s="324"/>
      <c r="I678" s="324"/>
      <c r="J678" s="324"/>
      <c r="K678" s="324"/>
      <c r="L678" s="324"/>
      <c r="M678" s="324"/>
      <c r="N678" s="324"/>
      <c r="O678" s="324"/>
      <c r="P678" s="324"/>
      <c r="Q678" s="324"/>
      <c r="R678" s="324"/>
      <c r="S678" s="324"/>
      <c r="T678" s="324"/>
      <c r="U678" s="324"/>
      <c r="V678" s="324"/>
      <c r="W678" s="324"/>
      <c r="X678" s="324"/>
      <c r="Y678" s="324"/>
      <c r="Z678" s="324"/>
      <c r="AA678" s="324"/>
      <c r="AB678" s="324"/>
      <c r="AC678" s="324"/>
      <c r="AD678" s="324"/>
      <c r="AE678" s="324"/>
      <c r="AF678" s="324"/>
    </row>
    <row r="679" spans="3:32" s="294" customFormat="1">
      <c r="C679" s="10"/>
      <c r="D679" s="29"/>
      <c r="E679" s="29"/>
      <c r="F679" s="36"/>
      <c r="G679" s="324"/>
      <c r="H679" s="324"/>
      <c r="I679" s="324"/>
      <c r="J679" s="324"/>
      <c r="K679" s="324"/>
      <c r="L679" s="324"/>
      <c r="M679" s="324"/>
      <c r="N679" s="324"/>
      <c r="O679" s="324"/>
      <c r="P679" s="324"/>
      <c r="Q679" s="324"/>
      <c r="R679" s="324"/>
      <c r="S679" s="324"/>
      <c r="T679" s="324"/>
      <c r="U679" s="324"/>
      <c r="V679" s="324"/>
      <c r="W679" s="324"/>
      <c r="X679" s="324"/>
      <c r="Y679" s="324"/>
      <c r="Z679" s="324"/>
      <c r="AA679" s="324"/>
      <c r="AB679" s="324"/>
      <c r="AC679" s="324"/>
      <c r="AD679" s="324"/>
      <c r="AE679" s="324"/>
      <c r="AF679" s="324"/>
    </row>
    <row r="680" spans="3:32" s="294" customFormat="1">
      <c r="C680" s="10"/>
      <c r="D680" s="29"/>
      <c r="E680" s="29"/>
      <c r="F680" s="36"/>
      <c r="G680" s="324"/>
      <c r="H680" s="324"/>
      <c r="I680" s="324"/>
      <c r="J680" s="324"/>
      <c r="K680" s="324"/>
      <c r="L680" s="324"/>
      <c r="M680" s="324"/>
      <c r="N680" s="324"/>
      <c r="O680" s="324"/>
      <c r="P680" s="324"/>
      <c r="Q680" s="324"/>
      <c r="R680" s="324"/>
      <c r="S680" s="324"/>
      <c r="T680" s="324"/>
      <c r="U680" s="324"/>
      <c r="V680" s="324"/>
      <c r="W680" s="324"/>
      <c r="X680" s="324"/>
      <c r="Y680" s="324"/>
      <c r="Z680" s="324"/>
      <c r="AA680" s="324"/>
      <c r="AB680" s="324"/>
      <c r="AC680" s="324"/>
      <c r="AD680" s="324"/>
      <c r="AE680" s="324"/>
      <c r="AF680" s="324"/>
    </row>
    <row r="681" spans="3:32" s="294" customFormat="1">
      <c r="C681" s="10"/>
      <c r="D681" s="29"/>
      <c r="E681" s="29"/>
      <c r="F681" s="36"/>
      <c r="G681" s="324"/>
      <c r="H681" s="324"/>
      <c r="I681" s="324"/>
      <c r="J681" s="324"/>
      <c r="K681" s="324"/>
      <c r="L681" s="324"/>
      <c r="M681" s="324"/>
      <c r="N681" s="324"/>
      <c r="O681" s="324"/>
      <c r="P681" s="324"/>
      <c r="Q681" s="324"/>
      <c r="R681" s="324"/>
      <c r="S681" s="324"/>
      <c r="T681" s="324"/>
      <c r="U681" s="324"/>
      <c r="V681" s="324"/>
      <c r="W681" s="324"/>
      <c r="X681" s="324"/>
      <c r="Y681" s="324"/>
      <c r="Z681" s="324"/>
      <c r="AA681" s="324"/>
      <c r="AB681" s="324"/>
      <c r="AC681" s="324"/>
      <c r="AD681" s="324"/>
      <c r="AE681" s="324"/>
      <c r="AF681" s="324"/>
    </row>
    <row r="682" spans="3:32" s="294" customFormat="1">
      <c r="C682" s="10"/>
      <c r="D682" s="29"/>
      <c r="E682" s="29"/>
      <c r="F682" s="36"/>
      <c r="G682" s="324"/>
      <c r="H682" s="324"/>
      <c r="I682" s="324"/>
      <c r="J682" s="324"/>
      <c r="K682" s="324"/>
      <c r="L682" s="324"/>
      <c r="M682" s="324"/>
      <c r="N682" s="324"/>
      <c r="O682" s="324"/>
      <c r="P682" s="324"/>
      <c r="Q682" s="324"/>
      <c r="R682" s="324"/>
      <c r="S682" s="324"/>
      <c r="T682" s="324"/>
      <c r="U682" s="324"/>
      <c r="V682" s="324"/>
      <c r="W682" s="324"/>
      <c r="X682" s="324"/>
      <c r="Y682" s="324"/>
      <c r="Z682" s="324"/>
      <c r="AA682" s="324"/>
      <c r="AB682" s="324"/>
      <c r="AC682" s="324"/>
      <c r="AD682" s="324"/>
      <c r="AE682" s="324"/>
      <c r="AF682" s="324"/>
    </row>
    <row r="683" spans="3:32" s="294" customFormat="1">
      <c r="C683" s="10"/>
      <c r="D683" s="29"/>
      <c r="E683" s="29"/>
      <c r="F683" s="36"/>
      <c r="G683" s="324"/>
      <c r="H683" s="324"/>
      <c r="I683" s="324"/>
      <c r="J683" s="324"/>
      <c r="K683" s="324"/>
      <c r="L683" s="324"/>
      <c r="M683" s="324"/>
      <c r="N683" s="324"/>
      <c r="O683" s="324"/>
      <c r="P683" s="324"/>
      <c r="Q683" s="324"/>
      <c r="R683" s="324"/>
      <c r="S683" s="324"/>
      <c r="T683" s="324"/>
      <c r="U683" s="324"/>
      <c r="V683" s="324"/>
      <c r="W683" s="324"/>
      <c r="X683" s="324"/>
      <c r="Y683" s="324"/>
      <c r="Z683" s="324"/>
      <c r="AA683" s="324"/>
      <c r="AB683" s="324"/>
      <c r="AC683" s="324"/>
      <c r="AD683" s="324"/>
      <c r="AE683" s="324"/>
      <c r="AF683" s="324"/>
    </row>
    <row r="684" spans="3:32" s="294" customFormat="1">
      <c r="C684" s="10"/>
      <c r="D684" s="29"/>
      <c r="E684" s="29"/>
      <c r="F684" s="36"/>
      <c r="G684" s="324"/>
      <c r="H684" s="324"/>
      <c r="I684" s="324"/>
      <c r="J684" s="324"/>
      <c r="K684" s="324"/>
      <c r="L684" s="324"/>
      <c r="M684" s="324"/>
      <c r="N684" s="324"/>
      <c r="O684" s="324"/>
      <c r="P684" s="324"/>
      <c r="Q684" s="324"/>
      <c r="R684" s="324"/>
      <c r="S684" s="324"/>
      <c r="T684" s="324"/>
      <c r="U684" s="324"/>
      <c r="V684" s="324"/>
      <c r="W684" s="324"/>
      <c r="X684" s="324"/>
      <c r="Y684" s="324"/>
      <c r="Z684" s="324"/>
      <c r="AA684" s="324"/>
      <c r="AB684" s="324"/>
      <c r="AC684" s="324"/>
      <c r="AD684" s="324"/>
      <c r="AE684" s="324"/>
      <c r="AF684" s="324"/>
    </row>
    <row r="685" spans="3:32" s="294" customFormat="1">
      <c r="C685" s="10"/>
      <c r="D685" s="29"/>
      <c r="E685" s="29"/>
      <c r="F685" s="36"/>
      <c r="G685" s="324"/>
      <c r="H685" s="324"/>
      <c r="I685" s="324"/>
      <c r="J685" s="324"/>
      <c r="K685" s="324"/>
      <c r="L685" s="324"/>
      <c r="M685" s="324"/>
      <c r="N685" s="324"/>
      <c r="O685" s="324"/>
      <c r="P685" s="324"/>
      <c r="Q685" s="324"/>
      <c r="R685" s="324"/>
      <c r="S685" s="324"/>
      <c r="T685" s="324"/>
      <c r="U685" s="324"/>
      <c r="V685" s="324"/>
      <c r="W685" s="324"/>
      <c r="X685" s="324"/>
      <c r="Y685" s="324"/>
      <c r="Z685" s="324"/>
      <c r="AA685" s="324"/>
      <c r="AB685" s="324"/>
      <c r="AC685" s="324"/>
      <c r="AD685" s="324"/>
      <c r="AE685" s="324"/>
      <c r="AF685" s="324"/>
    </row>
    <row r="686" spans="3:32" s="294" customFormat="1">
      <c r="C686" s="10"/>
      <c r="D686" s="29"/>
      <c r="E686" s="29"/>
      <c r="F686" s="36"/>
      <c r="G686" s="324"/>
      <c r="H686" s="324"/>
      <c r="I686" s="324"/>
      <c r="J686" s="324"/>
      <c r="K686" s="324"/>
      <c r="L686" s="324"/>
      <c r="M686" s="324"/>
      <c r="N686" s="324"/>
      <c r="O686" s="324"/>
      <c r="P686" s="324"/>
      <c r="Q686" s="324"/>
      <c r="R686" s="324"/>
      <c r="S686" s="324"/>
      <c r="T686" s="324"/>
      <c r="U686" s="324"/>
      <c r="V686" s="324"/>
      <c r="W686" s="324"/>
      <c r="X686" s="324"/>
      <c r="Y686" s="324"/>
      <c r="Z686" s="324"/>
      <c r="AA686" s="324"/>
      <c r="AB686" s="324"/>
      <c r="AC686" s="324"/>
      <c r="AD686" s="324"/>
      <c r="AE686" s="324"/>
      <c r="AF686" s="324"/>
    </row>
    <row r="687" spans="3:32" s="294" customFormat="1">
      <c r="C687" s="10"/>
      <c r="D687" s="29"/>
      <c r="E687" s="29"/>
      <c r="F687" s="36"/>
      <c r="G687" s="324"/>
      <c r="H687" s="324"/>
      <c r="I687" s="324"/>
      <c r="J687" s="324"/>
      <c r="K687" s="324"/>
      <c r="L687" s="324"/>
      <c r="M687" s="324"/>
      <c r="N687" s="324"/>
      <c r="O687" s="324"/>
      <c r="P687" s="324"/>
      <c r="Q687" s="324"/>
      <c r="R687" s="324"/>
      <c r="S687" s="324"/>
      <c r="T687" s="324"/>
      <c r="U687" s="324"/>
      <c r="V687" s="324"/>
      <c r="W687" s="324"/>
      <c r="X687" s="324"/>
      <c r="Y687" s="324"/>
      <c r="Z687" s="324"/>
      <c r="AA687" s="324"/>
      <c r="AB687" s="324"/>
      <c r="AC687" s="324"/>
      <c r="AD687" s="324"/>
      <c r="AE687" s="324"/>
      <c r="AF687" s="324"/>
    </row>
    <row r="688" spans="3:32" s="294" customFormat="1">
      <c r="C688" s="10"/>
      <c r="D688" s="29"/>
      <c r="E688" s="29"/>
      <c r="F688" s="36"/>
      <c r="G688" s="324"/>
      <c r="H688" s="324"/>
      <c r="I688" s="324"/>
      <c r="J688" s="324"/>
      <c r="K688" s="324"/>
      <c r="L688" s="324"/>
      <c r="M688" s="324"/>
      <c r="N688" s="324"/>
      <c r="O688" s="324"/>
      <c r="P688" s="324"/>
      <c r="Q688" s="324"/>
      <c r="R688" s="324"/>
      <c r="S688" s="324"/>
      <c r="T688" s="324"/>
      <c r="U688" s="324"/>
      <c r="V688" s="324"/>
      <c r="W688" s="324"/>
      <c r="X688" s="324"/>
      <c r="Y688" s="324"/>
      <c r="Z688" s="324"/>
      <c r="AA688" s="324"/>
      <c r="AB688" s="324"/>
      <c r="AC688" s="324"/>
      <c r="AD688" s="324"/>
      <c r="AE688" s="324"/>
      <c r="AF688" s="324"/>
    </row>
    <row r="689" spans="3:32" s="294" customFormat="1">
      <c r="C689" s="10"/>
      <c r="D689" s="29"/>
      <c r="E689" s="29"/>
      <c r="F689" s="36"/>
      <c r="G689" s="324"/>
      <c r="H689" s="324"/>
      <c r="I689" s="324"/>
      <c r="J689" s="324"/>
      <c r="K689" s="324"/>
      <c r="L689" s="324"/>
      <c r="M689" s="324"/>
      <c r="N689" s="324"/>
      <c r="O689" s="324"/>
      <c r="P689" s="324"/>
      <c r="Q689" s="324"/>
      <c r="R689" s="324"/>
      <c r="S689" s="324"/>
      <c r="T689" s="324"/>
      <c r="U689" s="324"/>
      <c r="V689" s="324"/>
      <c r="W689" s="324"/>
      <c r="X689" s="324"/>
      <c r="Y689" s="324"/>
      <c r="Z689" s="324"/>
      <c r="AA689" s="324"/>
      <c r="AB689" s="324"/>
      <c r="AC689" s="324"/>
      <c r="AD689" s="324"/>
      <c r="AE689" s="324"/>
      <c r="AF689" s="324"/>
    </row>
    <row r="690" spans="3:32" s="294" customFormat="1">
      <c r="C690" s="10"/>
      <c r="D690" s="29"/>
      <c r="E690" s="29"/>
      <c r="F690" s="36"/>
      <c r="G690" s="324"/>
      <c r="H690" s="324"/>
      <c r="I690" s="324"/>
      <c r="J690" s="324"/>
      <c r="K690" s="324"/>
      <c r="L690" s="324"/>
      <c r="M690" s="324"/>
      <c r="N690" s="324"/>
      <c r="O690" s="324"/>
      <c r="P690" s="324"/>
      <c r="Q690" s="324"/>
      <c r="R690" s="324"/>
      <c r="S690" s="324"/>
      <c r="T690" s="324"/>
      <c r="U690" s="324"/>
      <c r="V690" s="324"/>
      <c r="W690" s="324"/>
      <c r="X690" s="324"/>
      <c r="Y690" s="324"/>
      <c r="Z690" s="324"/>
      <c r="AA690" s="324"/>
      <c r="AB690" s="324"/>
      <c r="AC690" s="324"/>
      <c r="AD690" s="324"/>
      <c r="AE690" s="324"/>
      <c r="AF690" s="324"/>
    </row>
    <row r="691" spans="3:32" s="294" customFormat="1">
      <c r="C691" s="10"/>
      <c r="D691" s="29"/>
      <c r="E691" s="29"/>
      <c r="F691" s="36"/>
      <c r="G691" s="324"/>
      <c r="H691" s="324"/>
      <c r="I691" s="324"/>
      <c r="J691" s="324"/>
      <c r="K691" s="324"/>
      <c r="L691" s="324"/>
      <c r="M691" s="324"/>
      <c r="N691" s="324"/>
      <c r="O691" s="324"/>
      <c r="P691" s="324"/>
      <c r="Q691" s="324"/>
      <c r="R691" s="324"/>
      <c r="S691" s="324"/>
      <c r="T691" s="324"/>
      <c r="U691" s="324"/>
      <c r="V691" s="324"/>
      <c r="W691" s="324"/>
      <c r="X691" s="324"/>
      <c r="Y691" s="324"/>
      <c r="Z691" s="324"/>
      <c r="AA691" s="324"/>
      <c r="AB691" s="324"/>
      <c r="AC691" s="324"/>
      <c r="AD691" s="324"/>
      <c r="AE691" s="324"/>
      <c r="AF691" s="324"/>
    </row>
    <row r="692" spans="3:32" s="294" customFormat="1">
      <c r="C692" s="10"/>
      <c r="D692" s="29"/>
      <c r="E692" s="29"/>
      <c r="F692" s="36"/>
      <c r="G692" s="324"/>
      <c r="H692" s="324"/>
      <c r="I692" s="324"/>
      <c r="J692" s="324"/>
      <c r="K692" s="324"/>
      <c r="L692" s="324"/>
      <c r="M692" s="324"/>
      <c r="N692" s="324"/>
      <c r="O692" s="324"/>
      <c r="P692" s="324"/>
      <c r="Q692" s="324"/>
      <c r="R692" s="324"/>
      <c r="S692" s="324"/>
      <c r="T692" s="324"/>
      <c r="U692" s="324"/>
      <c r="V692" s="324"/>
      <c r="W692" s="324"/>
      <c r="X692" s="324"/>
      <c r="Y692" s="324"/>
      <c r="Z692" s="324"/>
      <c r="AA692" s="324"/>
      <c r="AB692" s="324"/>
      <c r="AC692" s="324"/>
      <c r="AD692" s="324"/>
      <c r="AE692" s="324"/>
      <c r="AF692" s="324"/>
    </row>
    <row r="693" spans="3:32" s="294" customFormat="1">
      <c r="C693" s="10"/>
      <c r="D693" s="29"/>
      <c r="E693" s="29"/>
      <c r="F693" s="36"/>
      <c r="G693" s="324"/>
      <c r="H693" s="324"/>
      <c r="I693" s="324"/>
      <c r="J693" s="324"/>
      <c r="K693" s="324"/>
      <c r="L693" s="324"/>
      <c r="M693" s="324"/>
      <c r="N693" s="324"/>
      <c r="O693" s="324"/>
      <c r="P693" s="324"/>
      <c r="Q693" s="324"/>
      <c r="R693" s="324"/>
      <c r="S693" s="324"/>
      <c r="T693" s="324"/>
      <c r="U693" s="324"/>
      <c r="V693" s="324"/>
      <c r="W693" s="324"/>
      <c r="X693" s="324"/>
      <c r="Y693" s="324"/>
      <c r="Z693" s="324"/>
      <c r="AA693" s="324"/>
      <c r="AB693" s="324"/>
      <c r="AC693" s="324"/>
      <c r="AD693" s="324"/>
      <c r="AE693" s="324"/>
      <c r="AF693" s="324"/>
    </row>
    <row r="694" spans="3:32" s="294" customFormat="1">
      <c r="C694" s="10"/>
      <c r="D694" s="29"/>
      <c r="E694" s="29"/>
      <c r="F694" s="36"/>
      <c r="G694" s="324"/>
      <c r="H694" s="324"/>
      <c r="I694" s="324"/>
      <c r="J694" s="324"/>
      <c r="K694" s="324"/>
      <c r="L694" s="324"/>
      <c r="M694" s="324"/>
      <c r="N694" s="324"/>
      <c r="O694" s="324"/>
      <c r="P694" s="324"/>
      <c r="Q694" s="324"/>
      <c r="R694" s="324"/>
      <c r="S694" s="324"/>
      <c r="T694" s="324"/>
      <c r="U694" s="324"/>
      <c r="V694" s="324"/>
      <c r="W694" s="324"/>
      <c r="X694" s="324"/>
      <c r="Y694" s="324"/>
      <c r="Z694" s="324"/>
      <c r="AA694" s="324"/>
      <c r="AB694" s="324"/>
      <c r="AC694" s="324"/>
      <c r="AD694" s="324"/>
      <c r="AE694" s="324"/>
      <c r="AF694" s="324"/>
    </row>
    <row r="695" spans="3:32" s="294" customFormat="1">
      <c r="C695" s="10"/>
      <c r="D695" s="29"/>
      <c r="E695" s="29"/>
      <c r="F695" s="36"/>
      <c r="G695" s="324"/>
      <c r="H695" s="324"/>
      <c r="I695" s="324"/>
      <c r="J695" s="324"/>
      <c r="K695" s="324"/>
      <c r="L695" s="324"/>
      <c r="M695" s="324"/>
      <c r="N695" s="324"/>
      <c r="O695" s="324"/>
      <c r="P695" s="324"/>
      <c r="Q695" s="324"/>
      <c r="R695" s="324"/>
      <c r="S695" s="324"/>
      <c r="T695" s="324"/>
      <c r="U695" s="324"/>
      <c r="V695" s="324"/>
      <c r="W695" s="324"/>
      <c r="X695" s="324"/>
      <c r="Y695" s="324"/>
      <c r="Z695" s="324"/>
      <c r="AA695" s="324"/>
      <c r="AB695" s="324"/>
      <c r="AC695" s="324"/>
      <c r="AD695" s="324"/>
      <c r="AE695" s="324"/>
      <c r="AF695" s="324"/>
    </row>
    <row r="696" spans="3:32" s="294" customFormat="1">
      <c r="C696" s="10"/>
      <c r="D696" s="29"/>
      <c r="E696" s="29"/>
      <c r="F696" s="36"/>
      <c r="G696" s="324"/>
      <c r="H696" s="324"/>
      <c r="I696" s="324"/>
      <c r="J696" s="324"/>
      <c r="K696" s="324"/>
      <c r="L696" s="324"/>
      <c r="M696" s="324"/>
      <c r="N696" s="324"/>
      <c r="O696" s="324"/>
      <c r="P696" s="324"/>
      <c r="Q696" s="324"/>
      <c r="R696" s="324"/>
      <c r="S696" s="324"/>
      <c r="T696" s="324"/>
      <c r="U696" s="324"/>
      <c r="V696" s="324"/>
      <c r="W696" s="324"/>
      <c r="X696" s="324"/>
      <c r="Y696" s="324"/>
      <c r="Z696" s="324"/>
      <c r="AA696" s="324"/>
      <c r="AB696" s="324"/>
      <c r="AC696" s="324"/>
      <c r="AD696" s="324"/>
      <c r="AE696" s="324"/>
      <c r="AF696" s="324"/>
    </row>
    <row r="697" spans="3:32" s="294" customFormat="1">
      <c r="C697" s="10"/>
      <c r="D697" s="29"/>
      <c r="E697" s="29"/>
      <c r="F697" s="36"/>
      <c r="G697" s="324"/>
      <c r="H697" s="324"/>
      <c r="I697" s="324"/>
      <c r="J697" s="324"/>
      <c r="K697" s="324"/>
      <c r="L697" s="324"/>
      <c r="M697" s="324"/>
      <c r="N697" s="324"/>
      <c r="O697" s="324"/>
      <c r="P697" s="324"/>
      <c r="Q697" s="324"/>
      <c r="R697" s="324"/>
      <c r="S697" s="324"/>
      <c r="T697" s="324"/>
      <c r="U697" s="324"/>
      <c r="V697" s="324"/>
      <c r="W697" s="324"/>
      <c r="X697" s="324"/>
      <c r="Y697" s="324"/>
      <c r="Z697" s="324"/>
      <c r="AA697" s="324"/>
      <c r="AB697" s="324"/>
      <c r="AC697" s="324"/>
      <c r="AD697" s="324"/>
      <c r="AE697" s="324"/>
      <c r="AF697" s="324"/>
    </row>
    <row r="698" spans="3:32" s="294" customFormat="1">
      <c r="C698" s="10"/>
      <c r="D698" s="29"/>
      <c r="E698" s="29"/>
      <c r="F698" s="36"/>
      <c r="G698" s="324"/>
      <c r="H698" s="324"/>
      <c r="I698" s="324"/>
      <c r="J698" s="324"/>
      <c r="K698" s="324"/>
      <c r="L698" s="324"/>
      <c r="M698" s="324"/>
      <c r="N698" s="324"/>
      <c r="O698" s="324"/>
      <c r="P698" s="324"/>
      <c r="Q698" s="324"/>
      <c r="R698" s="324"/>
      <c r="S698" s="324"/>
      <c r="T698" s="324"/>
      <c r="U698" s="324"/>
      <c r="V698" s="324"/>
      <c r="W698" s="324"/>
      <c r="X698" s="324"/>
      <c r="Y698" s="324"/>
      <c r="Z698" s="324"/>
      <c r="AA698" s="324"/>
      <c r="AB698" s="324"/>
      <c r="AC698" s="324"/>
      <c r="AD698" s="324"/>
      <c r="AE698" s="324"/>
      <c r="AF698" s="324"/>
    </row>
    <row r="699" spans="3:32" s="294" customFormat="1">
      <c r="C699" s="10"/>
      <c r="D699" s="29"/>
      <c r="E699" s="29"/>
      <c r="F699" s="36"/>
      <c r="G699" s="324"/>
      <c r="H699" s="324"/>
      <c r="I699" s="324"/>
      <c r="J699" s="324"/>
      <c r="K699" s="324"/>
      <c r="L699" s="324"/>
      <c r="M699" s="324"/>
      <c r="N699" s="324"/>
      <c r="O699" s="324"/>
      <c r="P699" s="324"/>
      <c r="Q699" s="324"/>
      <c r="R699" s="324"/>
      <c r="S699" s="324"/>
      <c r="T699" s="324"/>
      <c r="U699" s="324"/>
      <c r="V699" s="324"/>
      <c r="W699" s="324"/>
      <c r="X699" s="324"/>
      <c r="Y699" s="324"/>
      <c r="Z699" s="324"/>
      <c r="AA699" s="324"/>
      <c r="AB699" s="324"/>
      <c r="AC699" s="324"/>
      <c r="AD699" s="324"/>
      <c r="AE699" s="324"/>
      <c r="AF699" s="324"/>
    </row>
    <row r="700" spans="3:32" s="294" customFormat="1">
      <c r="C700" s="10"/>
      <c r="D700" s="29"/>
      <c r="E700" s="29"/>
      <c r="F700" s="36"/>
      <c r="G700" s="324"/>
      <c r="H700" s="324"/>
      <c r="I700" s="324"/>
      <c r="J700" s="324"/>
      <c r="K700" s="324"/>
      <c r="L700" s="324"/>
      <c r="M700" s="324"/>
      <c r="N700" s="324"/>
      <c r="O700" s="324"/>
      <c r="P700" s="324"/>
      <c r="Q700" s="324"/>
      <c r="R700" s="324"/>
      <c r="S700" s="324"/>
      <c r="T700" s="324"/>
      <c r="U700" s="324"/>
      <c r="V700" s="324"/>
      <c r="W700" s="324"/>
      <c r="X700" s="324"/>
      <c r="Y700" s="324"/>
      <c r="Z700" s="324"/>
      <c r="AA700" s="324"/>
      <c r="AB700" s="324"/>
      <c r="AC700" s="324"/>
      <c r="AD700" s="324"/>
      <c r="AE700" s="324"/>
      <c r="AF700" s="324"/>
    </row>
    <row r="701" spans="3:32" s="294" customFormat="1">
      <c r="C701" s="10"/>
      <c r="D701" s="29"/>
      <c r="E701" s="29"/>
      <c r="F701" s="36"/>
      <c r="G701" s="324"/>
      <c r="H701" s="324"/>
      <c r="I701" s="324"/>
      <c r="J701" s="324"/>
      <c r="K701" s="324"/>
      <c r="L701" s="324"/>
      <c r="M701" s="324"/>
      <c r="N701" s="324"/>
      <c r="O701" s="324"/>
      <c r="P701" s="324"/>
      <c r="Q701" s="324"/>
      <c r="R701" s="324"/>
      <c r="S701" s="324"/>
      <c r="T701" s="324"/>
      <c r="U701" s="324"/>
      <c r="V701" s="324"/>
      <c r="W701" s="324"/>
      <c r="X701" s="324"/>
      <c r="Y701" s="324"/>
      <c r="Z701" s="324"/>
      <c r="AA701" s="324"/>
      <c r="AB701" s="324"/>
      <c r="AC701" s="324"/>
      <c r="AD701" s="324"/>
      <c r="AE701" s="324"/>
      <c r="AF701" s="324"/>
    </row>
    <row r="702" spans="3:32" s="294" customFormat="1">
      <c r="C702" s="10"/>
      <c r="D702" s="29"/>
      <c r="E702" s="29"/>
      <c r="F702" s="36"/>
      <c r="G702" s="324"/>
      <c r="H702" s="324"/>
      <c r="I702" s="324"/>
      <c r="J702" s="324"/>
      <c r="K702" s="324"/>
      <c r="L702" s="324"/>
      <c r="M702" s="324"/>
      <c r="N702" s="324"/>
      <c r="O702" s="324"/>
      <c r="P702" s="324"/>
      <c r="Q702" s="324"/>
      <c r="R702" s="324"/>
      <c r="S702" s="324"/>
      <c r="T702" s="324"/>
      <c r="U702" s="324"/>
      <c r="V702" s="324"/>
      <c r="W702" s="324"/>
      <c r="X702" s="324"/>
      <c r="Y702" s="324"/>
      <c r="Z702" s="324"/>
      <c r="AA702" s="324"/>
      <c r="AB702" s="324"/>
      <c r="AC702" s="324"/>
      <c r="AD702" s="324"/>
      <c r="AE702" s="324"/>
      <c r="AF702" s="324"/>
    </row>
    <row r="703" spans="3:32" s="294" customFormat="1">
      <c r="C703" s="10"/>
      <c r="D703" s="29"/>
      <c r="E703" s="29"/>
      <c r="F703" s="36"/>
      <c r="G703" s="324"/>
      <c r="H703" s="324"/>
      <c r="I703" s="324"/>
      <c r="J703" s="324"/>
      <c r="K703" s="324"/>
      <c r="L703" s="324"/>
      <c r="M703" s="324"/>
      <c r="N703" s="324"/>
      <c r="O703" s="324"/>
      <c r="P703" s="324"/>
      <c r="Q703" s="324"/>
      <c r="R703" s="324"/>
      <c r="S703" s="324"/>
      <c r="T703" s="324"/>
      <c r="U703" s="324"/>
      <c r="V703" s="324"/>
      <c r="W703" s="324"/>
      <c r="X703" s="324"/>
      <c r="Y703" s="324"/>
      <c r="Z703" s="324"/>
      <c r="AA703" s="324"/>
      <c r="AB703" s="324"/>
      <c r="AC703" s="324"/>
      <c r="AD703" s="324"/>
      <c r="AE703" s="324"/>
      <c r="AF703" s="324"/>
    </row>
    <row r="704" spans="3:32" s="294" customFormat="1">
      <c r="C704" s="10"/>
      <c r="D704" s="29"/>
      <c r="E704" s="29"/>
      <c r="F704" s="36"/>
      <c r="G704" s="324"/>
      <c r="H704" s="324"/>
      <c r="I704" s="324"/>
      <c r="J704" s="324"/>
      <c r="K704" s="324"/>
      <c r="L704" s="324"/>
      <c r="M704" s="324"/>
      <c r="N704" s="324"/>
      <c r="O704" s="324"/>
      <c r="P704" s="324"/>
      <c r="Q704" s="324"/>
      <c r="R704" s="324"/>
      <c r="S704" s="324"/>
      <c r="T704" s="324"/>
      <c r="U704" s="324"/>
      <c r="V704" s="324"/>
      <c r="W704" s="324"/>
      <c r="X704" s="324"/>
      <c r="Y704" s="324"/>
      <c r="Z704" s="324"/>
      <c r="AA704" s="324"/>
      <c r="AB704" s="324"/>
      <c r="AC704" s="324"/>
      <c r="AD704" s="324"/>
      <c r="AE704" s="324"/>
      <c r="AF704" s="324"/>
    </row>
    <row r="705" spans="3:32" s="294" customFormat="1">
      <c r="C705" s="10"/>
      <c r="D705" s="29"/>
      <c r="E705" s="29"/>
      <c r="F705" s="36"/>
      <c r="G705" s="324"/>
      <c r="H705" s="324"/>
      <c r="I705" s="324"/>
      <c r="J705" s="324"/>
      <c r="K705" s="324"/>
      <c r="L705" s="324"/>
      <c r="M705" s="324"/>
      <c r="N705" s="324"/>
      <c r="O705" s="324"/>
      <c r="P705" s="324"/>
      <c r="Q705" s="324"/>
      <c r="R705" s="324"/>
      <c r="S705" s="324"/>
      <c r="T705" s="324"/>
      <c r="U705" s="324"/>
      <c r="V705" s="324"/>
      <c r="W705" s="324"/>
      <c r="X705" s="324"/>
      <c r="Y705" s="324"/>
      <c r="Z705" s="324"/>
      <c r="AA705" s="324"/>
      <c r="AB705" s="324"/>
      <c r="AC705" s="324"/>
      <c r="AD705" s="324"/>
      <c r="AE705" s="324"/>
      <c r="AF705" s="324"/>
    </row>
    <row r="706" spans="3:32" s="294" customFormat="1">
      <c r="C706" s="10"/>
      <c r="D706" s="29"/>
      <c r="E706" s="29"/>
      <c r="F706" s="36"/>
      <c r="G706" s="324"/>
      <c r="H706" s="324"/>
      <c r="I706" s="324"/>
      <c r="J706" s="324"/>
      <c r="K706" s="324"/>
      <c r="L706" s="324"/>
      <c r="M706" s="324"/>
      <c r="N706" s="324"/>
      <c r="O706" s="324"/>
      <c r="P706" s="324"/>
      <c r="Q706" s="324"/>
      <c r="R706" s="324"/>
      <c r="S706" s="324"/>
      <c r="T706" s="324"/>
      <c r="U706" s="324"/>
      <c r="V706" s="324"/>
      <c r="W706" s="324"/>
      <c r="X706" s="324"/>
      <c r="Y706" s="324"/>
      <c r="Z706" s="324"/>
      <c r="AA706" s="324"/>
      <c r="AB706" s="324"/>
      <c r="AC706" s="324"/>
      <c r="AD706" s="324"/>
      <c r="AE706" s="324"/>
      <c r="AF706" s="324"/>
    </row>
    <row r="707" spans="3:32" s="294" customFormat="1">
      <c r="C707" s="10"/>
      <c r="D707" s="29"/>
      <c r="E707" s="29"/>
      <c r="F707" s="36"/>
      <c r="G707" s="324"/>
      <c r="H707" s="324"/>
      <c r="I707" s="324"/>
      <c r="J707" s="324"/>
      <c r="K707" s="324"/>
      <c r="L707" s="324"/>
      <c r="M707" s="324"/>
      <c r="N707" s="324"/>
      <c r="O707" s="324"/>
      <c r="P707" s="324"/>
      <c r="Q707" s="324"/>
      <c r="R707" s="324"/>
      <c r="S707" s="324"/>
      <c r="T707" s="324"/>
      <c r="U707" s="324"/>
      <c r="V707" s="324"/>
      <c r="W707" s="324"/>
      <c r="X707" s="324"/>
      <c r="Y707" s="324"/>
      <c r="Z707" s="324"/>
      <c r="AA707" s="324"/>
      <c r="AB707" s="324"/>
      <c r="AC707" s="324"/>
      <c r="AD707" s="324"/>
      <c r="AE707" s="324"/>
      <c r="AF707" s="324"/>
    </row>
    <row r="708" spans="3:32" s="294" customFormat="1">
      <c r="C708" s="10"/>
      <c r="D708" s="29"/>
      <c r="E708" s="29"/>
      <c r="F708" s="36"/>
      <c r="G708" s="324"/>
      <c r="H708" s="324"/>
      <c r="I708" s="324"/>
      <c r="J708" s="324"/>
      <c r="K708" s="324"/>
      <c r="L708" s="324"/>
      <c r="M708" s="324"/>
      <c r="N708" s="324"/>
      <c r="O708" s="324"/>
      <c r="P708" s="324"/>
      <c r="Q708" s="324"/>
      <c r="R708" s="324"/>
      <c r="S708" s="324"/>
      <c r="T708" s="324"/>
      <c r="U708" s="324"/>
      <c r="V708" s="324"/>
      <c r="W708" s="324"/>
      <c r="X708" s="324"/>
      <c r="Y708" s="324"/>
      <c r="Z708" s="324"/>
      <c r="AA708" s="324"/>
      <c r="AB708" s="324"/>
      <c r="AC708" s="324"/>
      <c r="AD708" s="324"/>
      <c r="AE708" s="324"/>
      <c r="AF708" s="324"/>
    </row>
    <row r="709" spans="3:32" s="294" customFormat="1">
      <c r="C709" s="10"/>
      <c r="D709" s="29"/>
      <c r="E709" s="29"/>
      <c r="F709" s="36"/>
      <c r="G709" s="324"/>
      <c r="H709" s="324"/>
      <c r="I709" s="324"/>
      <c r="J709" s="324"/>
      <c r="K709" s="324"/>
      <c r="L709" s="324"/>
      <c r="M709" s="324"/>
      <c r="N709" s="324"/>
      <c r="O709" s="324"/>
      <c r="P709" s="324"/>
      <c r="Q709" s="324"/>
      <c r="R709" s="324"/>
      <c r="S709" s="324"/>
      <c r="T709" s="324"/>
      <c r="U709" s="324"/>
      <c r="V709" s="324"/>
      <c r="W709" s="324"/>
      <c r="X709" s="324"/>
      <c r="Y709" s="324"/>
      <c r="Z709" s="324"/>
      <c r="AA709" s="324"/>
      <c r="AB709" s="324"/>
      <c r="AC709" s="324"/>
      <c r="AD709" s="324"/>
      <c r="AE709" s="324"/>
      <c r="AF709" s="324"/>
    </row>
    <row r="710" spans="3:32" s="294" customFormat="1">
      <c r="C710" s="10"/>
      <c r="D710" s="29"/>
      <c r="E710" s="29"/>
      <c r="F710" s="36"/>
      <c r="G710" s="324"/>
      <c r="H710" s="324"/>
      <c r="I710" s="324"/>
      <c r="J710" s="324"/>
      <c r="K710" s="324"/>
      <c r="L710" s="324"/>
      <c r="M710" s="324"/>
      <c r="N710" s="324"/>
      <c r="O710" s="324"/>
      <c r="P710" s="324"/>
      <c r="Q710" s="324"/>
      <c r="R710" s="324"/>
      <c r="S710" s="324"/>
      <c r="T710" s="324"/>
      <c r="U710" s="324"/>
      <c r="V710" s="324"/>
      <c r="W710" s="324"/>
      <c r="X710" s="324"/>
      <c r="Y710" s="324"/>
      <c r="Z710" s="324"/>
      <c r="AA710" s="324"/>
      <c r="AB710" s="324"/>
      <c r="AC710" s="324"/>
      <c r="AD710" s="324"/>
      <c r="AE710" s="324"/>
      <c r="AF710" s="324"/>
    </row>
    <row r="711" spans="3:32" s="294" customFormat="1">
      <c r="C711" s="10"/>
      <c r="D711" s="29"/>
      <c r="E711" s="29"/>
      <c r="F711" s="36"/>
      <c r="G711" s="324"/>
      <c r="H711" s="324"/>
      <c r="I711" s="324"/>
      <c r="J711" s="324"/>
      <c r="K711" s="324"/>
      <c r="L711" s="324"/>
      <c r="M711" s="324"/>
      <c r="N711" s="324"/>
      <c r="O711" s="324"/>
      <c r="P711" s="324"/>
      <c r="Q711" s="324"/>
      <c r="R711" s="324"/>
      <c r="S711" s="324"/>
      <c r="T711" s="324"/>
      <c r="U711" s="324"/>
      <c r="V711" s="324"/>
      <c r="W711" s="324"/>
      <c r="X711" s="324"/>
      <c r="Y711" s="324"/>
      <c r="Z711" s="324"/>
      <c r="AA711" s="324"/>
      <c r="AB711" s="324"/>
      <c r="AC711" s="324"/>
      <c r="AD711" s="324"/>
      <c r="AE711" s="324"/>
      <c r="AF711" s="324"/>
    </row>
    <row r="712" spans="3:32" s="294" customFormat="1">
      <c r="C712" s="10"/>
      <c r="D712" s="29"/>
      <c r="E712" s="29"/>
      <c r="F712" s="36"/>
      <c r="G712" s="324"/>
      <c r="H712" s="324"/>
      <c r="I712" s="324"/>
      <c r="J712" s="324"/>
      <c r="K712" s="324"/>
      <c r="L712" s="324"/>
      <c r="M712" s="324"/>
      <c r="N712" s="324"/>
      <c r="O712" s="324"/>
      <c r="P712" s="324"/>
      <c r="Q712" s="324"/>
      <c r="R712" s="324"/>
      <c r="S712" s="324"/>
      <c r="T712" s="324"/>
      <c r="U712" s="324"/>
      <c r="V712" s="324"/>
      <c r="W712" s="324"/>
      <c r="X712" s="324"/>
      <c r="Y712" s="324"/>
      <c r="Z712" s="324"/>
      <c r="AA712" s="324"/>
      <c r="AB712" s="324"/>
      <c r="AC712" s="324"/>
      <c r="AD712" s="324"/>
      <c r="AE712" s="324"/>
      <c r="AF712" s="324"/>
    </row>
    <row r="713" spans="3:32" s="294" customFormat="1">
      <c r="C713" s="10"/>
      <c r="D713" s="29"/>
      <c r="E713" s="29"/>
      <c r="F713" s="36"/>
      <c r="G713" s="324"/>
      <c r="H713" s="324"/>
      <c r="I713" s="324"/>
      <c r="J713" s="324"/>
      <c r="K713" s="324"/>
      <c r="L713" s="324"/>
      <c r="M713" s="324"/>
      <c r="N713" s="324"/>
      <c r="O713" s="324"/>
      <c r="P713" s="324"/>
      <c r="Q713" s="324"/>
      <c r="R713" s="324"/>
      <c r="S713" s="324"/>
      <c r="T713" s="324"/>
      <c r="U713" s="324"/>
      <c r="V713" s="324"/>
      <c r="W713" s="324"/>
      <c r="X713" s="324"/>
      <c r="Y713" s="324"/>
      <c r="Z713" s="324"/>
      <c r="AA713" s="324"/>
      <c r="AB713" s="324"/>
      <c r="AC713" s="324"/>
      <c r="AD713" s="324"/>
      <c r="AE713" s="324"/>
      <c r="AF713" s="324"/>
    </row>
    <row r="714" spans="3:32" s="294" customFormat="1">
      <c r="C714" s="10"/>
      <c r="D714" s="29"/>
      <c r="E714" s="29"/>
      <c r="F714" s="36"/>
      <c r="G714" s="324"/>
      <c r="H714" s="324"/>
      <c r="I714" s="324"/>
      <c r="J714" s="324"/>
      <c r="K714" s="324"/>
      <c r="L714" s="324"/>
      <c r="M714" s="324"/>
      <c r="N714" s="324"/>
      <c r="O714" s="324"/>
      <c r="P714" s="324"/>
      <c r="Q714" s="324"/>
      <c r="R714" s="324"/>
      <c r="S714" s="324"/>
      <c r="T714" s="324"/>
      <c r="U714" s="324"/>
      <c r="V714" s="324"/>
      <c r="W714" s="324"/>
      <c r="X714" s="324"/>
      <c r="Y714" s="324"/>
      <c r="Z714" s="324"/>
      <c r="AA714" s="324"/>
      <c r="AB714" s="324"/>
      <c r="AC714" s="324"/>
      <c r="AD714" s="324"/>
      <c r="AE714" s="324"/>
      <c r="AF714" s="324"/>
    </row>
    <row r="715" spans="3:32" s="294" customFormat="1">
      <c r="C715" s="10"/>
      <c r="D715" s="29"/>
      <c r="E715" s="29"/>
      <c r="F715" s="36"/>
      <c r="G715" s="324"/>
      <c r="H715" s="324"/>
      <c r="I715" s="324"/>
      <c r="J715" s="324"/>
      <c r="K715" s="324"/>
      <c r="L715" s="324"/>
      <c r="M715" s="324"/>
      <c r="N715" s="324"/>
      <c r="O715" s="324"/>
      <c r="P715" s="324"/>
      <c r="Q715" s="324"/>
      <c r="R715" s="324"/>
      <c r="S715" s="324"/>
      <c r="T715" s="324"/>
      <c r="U715" s="324"/>
      <c r="V715" s="324"/>
      <c r="W715" s="324"/>
      <c r="X715" s="324"/>
      <c r="Y715" s="324"/>
      <c r="Z715" s="324"/>
      <c r="AA715" s="324"/>
      <c r="AB715" s="324"/>
      <c r="AC715" s="324"/>
      <c r="AD715" s="324"/>
      <c r="AE715" s="324"/>
      <c r="AF715" s="324"/>
    </row>
    <row r="716" spans="3:32" s="294" customFormat="1">
      <c r="C716" s="10"/>
      <c r="D716" s="29"/>
      <c r="E716" s="29"/>
      <c r="F716" s="36"/>
      <c r="G716" s="324"/>
      <c r="H716" s="324"/>
      <c r="I716" s="324"/>
      <c r="J716" s="324"/>
      <c r="K716" s="324"/>
      <c r="L716" s="324"/>
      <c r="M716" s="324"/>
      <c r="N716" s="324"/>
      <c r="O716" s="324"/>
      <c r="P716" s="324"/>
      <c r="Q716" s="324"/>
      <c r="R716" s="324"/>
      <c r="S716" s="324"/>
      <c r="T716" s="324"/>
      <c r="U716" s="324"/>
      <c r="V716" s="324"/>
      <c r="W716" s="324"/>
      <c r="X716" s="324"/>
      <c r="Y716" s="324"/>
      <c r="Z716" s="324"/>
      <c r="AA716" s="324"/>
      <c r="AB716" s="324"/>
      <c r="AC716" s="324"/>
      <c r="AD716" s="324"/>
      <c r="AE716" s="324"/>
      <c r="AF716" s="324"/>
    </row>
    <row r="717" spans="3:32" s="294" customFormat="1">
      <c r="C717" s="10"/>
      <c r="D717" s="29"/>
      <c r="E717" s="29"/>
      <c r="F717" s="36"/>
      <c r="G717" s="324"/>
      <c r="H717" s="324"/>
      <c r="I717" s="324"/>
      <c r="J717" s="324"/>
      <c r="K717" s="324"/>
      <c r="L717" s="324"/>
      <c r="M717" s="324"/>
      <c r="N717" s="324"/>
      <c r="O717" s="324"/>
      <c r="P717" s="324"/>
      <c r="Q717" s="324"/>
      <c r="R717" s="324"/>
      <c r="S717" s="324"/>
      <c r="T717" s="324"/>
      <c r="U717" s="324"/>
      <c r="V717" s="324"/>
      <c r="W717" s="324"/>
      <c r="X717" s="324"/>
      <c r="Y717" s="324"/>
      <c r="Z717" s="324"/>
      <c r="AA717" s="324"/>
      <c r="AB717" s="324"/>
      <c r="AC717" s="324"/>
      <c r="AD717" s="324"/>
      <c r="AE717" s="324"/>
      <c r="AF717" s="324"/>
    </row>
    <row r="718" spans="3:32" s="294" customFormat="1">
      <c r="C718" s="10"/>
      <c r="D718" s="29"/>
      <c r="E718" s="29"/>
      <c r="F718" s="36"/>
      <c r="G718" s="324"/>
      <c r="H718" s="324"/>
      <c r="I718" s="324"/>
      <c r="J718" s="324"/>
      <c r="K718" s="324"/>
      <c r="L718" s="324"/>
      <c r="M718" s="324"/>
      <c r="N718" s="324"/>
      <c r="O718" s="324"/>
      <c r="P718" s="324"/>
      <c r="Q718" s="324"/>
      <c r="R718" s="324"/>
      <c r="S718" s="324"/>
      <c r="T718" s="324"/>
      <c r="U718" s="324"/>
      <c r="V718" s="324"/>
      <c r="W718" s="324"/>
      <c r="X718" s="324"/>
      <c r="Y718" s="324"/>
      <c r="Z718" s="324"/>
      <c r="AA718" s="324"/>
      <c r="AB718" s="324"/>
      <c r="AC718" s="324"/>
      <c r="AD718" s="324"/>
      <c r="AE718" s="324"/>
      <c r="AF718" s="324"/>
    </row>
    <row r="719" spans="3:32" s="294" customFormat="1">
      <c r="C719" s="10"/>
      <c r="D719" s="29"/>
      <c r="E719" s="29"/>
      <c r="F719" s="36"/>
      <c r="G719" s="324"/>
      <c r="H719" s="324"/>
      <c r="I719" s="324"/>
      <c r="J719" s="324"/>
      <c r="K719" s="324"/>
      <c r="L719" s="324"/>
      <c r="M719" s="324"/>
      <c r="N719" s="324"/>
      <c r="O719" s="324"/>
      <c r="P719" s="324"/>
      <c r="Q719" s="324"/>
      <c r="R719" s="324"/>
      <c r="S719" s="324"/>
      <c r="T719" s="324"/>
      <c r="U719" s="324"/>
      <c r="V719" s="324"/>
      <c r="W719" s="324"/>
      <c r="X719" s="324"/>
      <c r="Y719" s="324"/>
      <c r="Z719" s="324"/>
      <c r="AA719" s="324"/>
      <c r="AB719" s="324"/>
      <c r="AC719" s="324"/>
      <c r="AD719" s="324"/>
      <c r="AE719" s="324"/>
      <c r="AF719" s="324"/>
    </row>
    <row r="720" spans="3:32" s="294" customFormat="1">
      <c r="C720" s="10"/>
      <c r="D720" s="29"/>
      <c r="E720" s="29"/>
      <c r="F720" s="36"/>
      <c r="G720" s="324"/>
      <c r="H720" s="324"/>
      <c r="I720" s="324"/>
      <c r="J720" s="324"/>
      <c r="K720" s="324"/>
      <c r="L720" s="324"/>
      <c r="M720" s="324"/>
      <c r="N720" s="324"/>
      <c r="O720" s="324"/>
      <c r="P720" s="324"/>
      <c r="Q720" s="324"/>
      <c r="R720" s="324"/>
      <c r="S720" s="324"/>
      <c r="T720" s="324"/>
      <c r="U720" s="324"/>
      <c r="V720" s="324"/>
      <c r="W720" s="324"/>
      <c r="X720" s="324"/>
      <c r="Y720" s="324"/>
      <c r="Z720" s="324"/>
      <c r="AA720" s="324"/>
      <c r="AB720" s="324"/>
      <c r="AC720" s="324"/>
      <c r="AD720" s="324"/>
      <c r="AE720" s="324"/>
      <c r="AF720" s="324"/>
    </row>
    <row r="721" spans="3:32" s="294" customFormat="1">
      <c r="C721" s="10"/>
      <c r="D721" s="29"/>
      <c r="E721" s="29"/>
      <c r="F721" s="36"/>
      <c r="G721" s="324"/>
      <c r="H721" s="324"/>
      <c r="I721" s="324"/>
      <c r="J721" s="324"/>
      <c r="K721" s="324"/>
      <c r="L721" s="324"/>
      <c r="M721" s="324"/>
      <c r="N721" s="324"/>
      <c r="O721" s="324"/>
      <c r="P721" s="324"/>
      <c r="Q721" s="324"/>
      <c r="R721" s="324"/>
      <c r="S721" s="324"/>
      <c r="T721" s="324"/>
      <c r="U721" s="324"/>
      <c r="V721" s="324"/>
      <c r="W721" s="324"/>
      <c r="X721" s="324"/>
      <c r="Y721" s="324"/>
      <c r="Z721" s="324"/>
      <c r="AA721" s="324"/>
      <c r="AB721" s="324"/>
      <c r="AC721" s="324"/>
      <c r="AD721" s="324"/>
      <c r="AE721" s="324"/>
      <c r="AF721" s="324"/>
    </row>
    <row r="722" spans="3:32" s="294" customFormat="1">
      <c r="C722" s="10"/>
      <c r="D722" s="29"/>
      <c r="E722" s="29"/>
      <c r="F722" s="36"/>
      <c r="G722" s="324"/>
      <c r="H722" s="324"/>
      <c r="I722" s="324"/>
      <c r="J722" s="324"/>
      <c r="K722" s="324"/>
      <c r="L722" s="324"/>
      <c r="M722" s="324"/>
      <c r="N722" s="324"/>
      <c r="O722" s="324"/>
      <c r="P722" s="324"/>
      <c r="Q722" s="324"/>
      <c r="R722" s="324"/>
      <c r="S722" s="324"/>
      <c r="T722" s="324"/>
      <c r="U722" s="324"/>
      <c r="V722" s="324"/>
      <c r="W722" s="324"/>
      <c r="X722" s="324"/>
      <c r="Y722" s="324"/>
      <c r="Z722" s="324"/>
      <c r="AA722" s="324"/>
      <c r="AB722" s="324"/>
      <c r="AC722" s="324"/>
      <c r="AD722" s="324"/>
      <c r="AE722" s="324"/>
      <c r="AF722" s="324"/>
    </row>
    <row r="723" spans="3:32" s="294" customFormat="1">
      <c r="C723" s="10"/>
      <c r="D723" s="29"/>
      <c r="E723" s="29"/>
      <c r="F723" s="36"/>
      <c r="G723" s="324"/>
      <c r="H723" s="324"/>
      <c r="I723" s="324"/>
      <c r="J723" s="324"/>
      <c r="K723" s="324"/>
      <c r="L723" s="324"/>
      <c r="M723" s="324"/>
      <c r="N723" s="324"/>
      <c r="O723" s="324"/>
      <c r="P723" s="324"/>
      <c r="Q723" s="324"/>
      <c r="R723" s="324"/>
      <c r="S723" s="324"/>
      <c r="T723" s="324"/>
      <c r="U723" s="324"/>
      <c r="V723" s="324"/>
      <c r="W723" s="324"/>
      <c r="X723" s="324"/>
      <c r="Y723" s="324"/>
      <c r="Z723" s="324"/>
      <c r="AA723" s="324"/>
      <c r="AB723" s="324"/>
      <c r="AC723" s="324"/>
      <c r="AD723" s="324"/>
      <c r="AE723" s="324"/>
      <c r="AF723" s="324"/>
    </row>
    <row r="724" spans="3:32" s="294" customFormat="1">
      <c r="C724" s="10"/>
      <c r="D724" s="29"/>
      <c r="E724" s="29"/>
      <c r="F724" s="36"/>
      <c r="G724" s="324"/>
      <c r="H724" s="324"/>
      <c r="I724" s="324"/>
      <c r="J724" s="324"/>
      <c r="K724" s="324"/>
      <c r="L724" s="324"/>
      <c r="M724" s="324"/>
      <c r="N724" s="324"/>
      <c r="O724" s="324"/>
      <c r="P724" s="324"/>
      <c r="Q724" s="324"/>
      <c r="R724" s="324"/>
      <c r="S724" s="324"/>
      <c r="T724" s="324"/>
      <c r="U724" s="324"/>
      <c r="V724" s="324"/>
      <c r="W724" s="324"/>
      <c r="X724" s="324"/>
      <c r="Y724" s="324"/>
      <c r="Z724" s="324"/>
      <c r="AA724" s="324"/>
      <c r="AB724" s="324"/>
      <c r="AC724" s="324"/>
      <c r="AD724" s="324"/>
      <c r="AE724" s="324"/>
      <c r="AF724" s="324"/>
    </row>
    <row r="725" spans="3:32" s="294" customFormat="1">
      <c r="C725" s="10"/>
      <c r="D725" s="29"/>
      <c r="E725" s="29"/>
      <c r="F725" s="36"/>
      <c r="G725" s="324"/>
      <c r="H725" s="324"/>
      <c r="I725" s="324"/>
      <c r="J725" s="324"/>
      <c r="K725" s="324"/>
      <c r="L725" s="324"/>
      <c r="M725" s="324"/>
      <c r="N725" s="324"/>
      <c r="O725" s="324"/>
      <c r="P725" s="324"/>
      <c r="Q725" s="324"/>
      <c r="R725" s="324"/>
      <c r="S725" s="324"/>
      <c r="T725" s="324"/>
      <c r="U725" s="324"/>
      <c r="V725" s="324"/>
      <c r="W725" s="324"/>
      <c r="X725" s="324"/>
      <c r="Y725" s="324"/>
      <c r="Z725" s="324"/>
      <c r="AA725" s="324"/>
      <c r="AB725" s="324"/>
      <c r="AC725" s="324"/>
      <c r="AD725" s="324"/>
      <c r="AE725" s="324"/>
      <c r="AF725" s="324"/>
    </row>
    <row r="726" spans="3:32" s="294" customFormat="1">
      <c r="C726" s="10"/>
      <c r="D726" s="29"/>
      <c r="E726" s="29"/>
      <c r="F726" s="36"/>
      <c r="G726" s="324"/>
      <c r="H726" s="324"/>
      <c r="I726" s="324"/>
      <c r="J726" s="324"/>
      <c r="K726" s="324"/>
      <c r="L726" s="324"/>
      <c r="M726" s="324"/>
      <c r="N726" s="324"/>
      <c r="O726" s="324"/>
      <c r="P726" s="324"/>
      <c r="Q726" s="324"/>
      <c r="R726" s="324"/>
      <c r="S726" s="324"/>
      <c r="T726" s="324"/>
      <c r="U726" s="324"/>
      <c r="V726" s="324"/>
      <c r="W726" s="324"/>
      <c r="X726" s="324"/>
      <c r="Y726" s="324"/>
      <c r="Z726" s="324"/>
      <c r="AA726" s="324"/>
      <c r="AB726" s="324"/>
      <c r="AC726" s="324"/>
      <c r="AD726" s="324"/>
      <c r="AE726" s="324"/>
      <c r="AF726" s="324"/>
    </row>
    <row r="727" spans="3:32" s="294" customFormat="1">
      <c r="C727" s="10"/>
      <c r="D727" s="29"/>
      <c r="E727" s="29"/>
      <c r="F727" s="36"/>
      <c r="G727" s="324"/>
      <c r="H727" s="324"/>
      <c r="I727" s="324"/>
      <c r="J727" s="324"/>
      <c r="K727" s="324"/>
      <c r="L727" s="324"/>
      <c r="M727" s="324"/>
      <c r="N727" s="324"/>
      <c r="O727" s="324"/>
      <c r="P727" s="324"/>
      <c r="Q727" s="324"/>
      <c r="R727" s="324"/>
      <c r="S727" s="324"/>
      <c r="T727" s="324"/>
      <c r="U727" s="324"/>
      <c r="V727" s="324"/>
      <c r="W727" s="324"/>
      <c r="X727" s="324"/>
      <c r="Y727" s="324"/>
      <c r="Z727" s="324"/>
      <c r="AA727" s="324"/>
      <c r="AB727" s="324"/>
      <c r="AC727" s="324"/>
      <c r="AD727" s="324"/>
      <c r="AE727" s="324"/>
      <c r="AF727" s="324"/>
    </row>
    <row r="728" spans="3:32" s="294" customFormat="1">
      <c r="C728" s="10"/>
      <c r="D728" s="29"/>
      <c r="E728" s="29"/>
      <c r="F728" s="36"/>
      <c r="G728" s="324"/>
      <c r="H728" s="324"/>
      <c r="I728" s="324"/>
      <c r="J728" s="324"/>
      <c r="K728" s="324"/>
      <c r="L728" s="324"/>
      <c r="M728" s="324"/>
      <c r="N728" s="324"/>
      <c r="O728" s="324"/>
      <c r="P728" s="324"/>
      <c r="Q728" s="324"/>
      <c r="R728" s="324"/>
      <c r="S728" s="324"/>
      <c r="T728" s="324"/>
      <c r="U728" s="324"/>
      <c r="V728" s="324"/>
      <c r="W728" s="324"/>
      <c r="X728" s="324"/>
      <c r="Y728" s="324"/>
      <c r="Z728" s="324"/>
      <c r="AA728" s="324"/>
      <c r="AB728" s="324"/>
      <c r="AC728" s="324"/>
      <c r="AD728" s="324"/>
      <c r="AE728" s="324"/>
      <c r="AF728" s="324"/>
    </row>
    <row r="729" spans="3:32" s="294" customFormat="1">
      <c r="C729" s="10"/>
      <c r="D729" s="29"/>
      <c r="E729" s="29"/>
      <c r="F729" s="36"/>
      <c r="G729" s="324"/>
      <c r="H729" s="324"/>
      <c r="I729" s="324"/>
      <c r="J729" s="324"/>
      <c r="K729" s="324"/>
      <c r="L729" s="324"/>
      <c r="M729" s="324"/>
      <c r="N729" s="324"/>
      <c r="O729" s="324"/>
      <c r="P729" s="324"/>
      <c r="Q729" s="324"/>
      <c r="R729" s="324"/>
      <c r="S729" s="324"/>
      <c r="T729" s="324"/>
      <c r="U729" s="324"/>
      <c r="V729" s="324"/>
      <c r="W729" s="324"/>
      <c r="X729" s="324"/>
      <c r="Y729" s="324"/>
      <c r="Z729" s="324"/>
      <c r="AA729" s="324"/>
      <c r="AB729" s="324"/>
      <c r="AC729" s="324"/>
      <c r="AD729" s="324"/>
      <c r="AE729" s="324"/>
      <c r="AF729" s="324"/>
    </row>
    <row r="730" spans="3:32" s="294" customFormat="1">
      <c r="C730" s="10"/>
      <c r="D730" s="29"/>
      <c r="E730" s="29"/>
      <c r="F730" s="36"/>
      <c r="G730" s="324"/>
      <c r="H730" s="324"/>
      <c r="I730" s="324"/>
      <c r="J730" s="324"/>
      <c r="K730" s="324"/>
      <c r="L730" s="324"/>
      <c r="M730" s="324"/>
      <c r="N730" s="324"/>
      <c r="O730" s="324"/>
      <c r="P730" s="324"/>
      <c r="Q730" s="324"/>
      <c r="R730" s="324"/>
      <c r="S730" s="324"/>
      <c r="T730" s="324"/>
      <c r="U730" s="324"/>
      <c r="V730" s="324"/>
      <c r="W730" s="324"/>
      <c r="X730" s="324"/>
      <c r="Y730" s="324"/>
      <c r="Z730" s="324"/>
      <c r="AA730" s="324"/>
      <c r="AB730" s="324"/>
      <c r="AC730" s="324"/>
      <c r="AD730" s="324"/>
      <c r="AE730" s="324"/>
      <c r="AF730" s="324"/>
    </row>
    <row r="731" spans="3:32" s="294" customFormat="1">
      <c r="C731" s="10"/>
      <c r="D731" s="29"/>
      <c r="E731" s="29"/>
      <c r="F731" s="36"/>
      <c r="G731" s="324"/>
      <c r="H731" s="324"/>
      <c r="I731" s="324"/>
      <c r="J731" s="324"/>
      <c r="K731" s="324"/>
      <c r="L731" s="324"/>
      <c r="M731" s="324"/>
      <c r="N731" s="324"/>
      <c r="O731" s="324"/>
      <c r="P731" s="324"/>
      <c r="Q731" s="324"/>
      <c r="R731" s="324"/>
      <c r="S731" s="324"/>
      <c r="T731" s="324"/>
      <c r="U731" s="324"/>
      <c r="V731" s="324"/>
      <c r="W731" s="324"/>
      <c r="X731" s="324"/>
      <c r="Y731" s="324"/>
      <c r="Z731" s="324"/>
      <c r="AA731" s="324"/>
      <c r="AB731" s="324"/>
      <c r="AC731" s="324"/>
      <c r="AD731" s="324"/>
      <c r="AE731" s="324"/>
      <c r="AF731" s="324"/>
    </row>
    <row r="732" spans="3:32" s="294" customFormat="1">
      <c r="C732" s="10"/>
      <c r="D732" s="29"/>
      <c r="E732" s="29"/>
      <c r="F732" s="36"/>
      <c r="G732" s="324"/>
      <c r="H732" s="324"/>
      <c r="I732" s="324"/>
      <c r="J732" s="324"/>
      <c r="K732" s="324"/>
      <c r="L732" s="324"/>
      <c r="M732" s="324"/>
      <c r="N732" s="324"/>
      <c r="O732" s="324"/>
      <c r="P732" s="324"/>
      <c r="Q732" s="324"/>
      <c r="R732" s="324"/>
      <c r="S732" s="324"/>
      <c r="T732" s="324"/>
      <c r="U732" s="324"/>
      <c r="V732" s="324"/>
      <c r="W732" s="324"/>
      <c r="X732" s="324"/>
      <c r="Y732" s="324"/>
      <c r="Z732" s="324"/>
      <c r="AA732" s="324"/>
      <c r="AB732" s="324"/>
      <c r="AC732" s="324"/>
      <c r="AD732" s="324"/>
      <c r="AE732" s="324"/>
      <c r="AF732" s="324"/>
    </row>
    <row r="733" spans="3:32" s="294" customFormat="1">
      <c r="C733" s="10"/>
      <c r="D733" s="29"/>
      <c r="E733" s="29"/>
      <c r="F733" s="36"/>
      <c r="G733" s="324"/>
      <c r="H733" s="324"/>
      <c r="I733" s="324"/>
      <c r="J733" s="324"/>
      <c r="K733" s="324"/>
      <c r="L733" s="324"/>
      <c r="M733" s="324"/>
      <c r="N733" s="324"/>
      <c r="O733" s="324"/>
      <c r="P733" s="324"/>
      <c r="Q733" s="324"/>
      <c r="R733" s="324"/>
      <c r="S733" s="324"/>
      <c r="T733" s="324"/>
      <c r="U733" s="324"/>
      <c r="V733" s="324"/>
      <c r="W733" s="324"/>
      <c r="X733" s="324"/>
      <c r="Y733" s="324"/>
      <c r="Z733" s="324"/>
      <c r="AA733" s="324"/>
      <c r="AB733" s="324"/>
      <c r="AC733" s="324"/>
      <c r="AD733" s="324"/>
      <c r="AE733" s="324"/>
      <c r="AF733" s="324"/>
    </row>
    <row r="734" spans="3:32" s="294" customFormat="1">
      <c r="C734" s="10"/>
      <c r="D734" s="29"/>
      <c r="E734" s="29"/>
      <c r="F734" s="36"/>
      <c r="G734" s="324"/>
      <c r="H734" s="324"/>
      <c r="I734" s="324"/>
      <c r="J734" s="324"/>
      <c r="K734" s="324"/>
      <c r="L734" s="324"/>
      <c r="M734" s="324"/>
      <c r="N734" s="324"/>
      <c r="O734" s="324"/>
      <c r="P734" s="324"/>
      <c r="Q734" s="324"/>
      <c r="R734" s="324"/>
      <c r="S734" s="324"/>
      <c r="T734" s="324"/>
      <c r="U734" s="324"/>
      <c r="V734" s="324"/>
      <c r="W734" s="324"/>
      <c r="X734" s="324"/>
      <c r="Y734" s="324"/>
      <c r="Z734" s="324"/>
      <c r="AA734" s="324"/>
      <c r="AB734" s="324"/>
      <c r="AC734" s="324"/>
      <c r="AD734" s="324"/>
      <c r="AE734" s="324"/>
      <c r="AF734" s="324"/>
    </row>
    <row r="735" spans="3:32" s="294" customFormat="1">
      <c r="C735" s="10"/>
      <c r="D735" s="29"/>
      <c r="E735" s="29"/>
      <c r="F735" s="36"/>
      <c r="G735" s="324"/>
      <c r="H735" s="324"/>
      <c r="I735" s="324"/>
      <c r="J735" s="324"/>
      <c r="K735" s="324"/>
      <c r="L735" s="324"/>
      <c r="M735" s="324"/>
      <c r="N735" s="324"/>
      <c r="O735" s="324"/>
      <c r="P735" s="324"/>
      <c r="Q735" s="324"/>
      <c r="R735" s="324"/>
      <c r="S735" s="324"/>
      <c r="T735" s="324"/>
      <c r="U735" s="324"/>
      <c r="V735" s="324"/>
      <c r="W735" s="324"/>
      <c r="X735" s="324"/>
      <c r="Y735" s="324"/>
      <c r="Z735" s="324"/>
      <c r="AA735" s="324"/>
      <c r="AB735" s="324"/>
      <c r="AC735" s="324"/>
      <c r="AD735" s="324"/>
      <c r="AE735" s="324"/>
      <c r="AF735" s="324"/>
    </row>
    <row r="736" spans="3:32" s="294" customFormat="1">
      <c r="C736" s="10"/>
      <c r="D736" s="29"/>
      <c r="E736" s="29"/>
      <c r="F736" s="36"/>
      <c r="G736" s="324"/>
      <c r="H736" s="324"/>
      <c r="I736" s="324"/>
      <c r="J736" s="324"/>
      <c r="K736" s="324"/>
      <c r="L736" s="324"/>
      <c r="M736" s="324"/>
      <c r="N736" s="324"/>
      <c r="O736" s="324"/>
      <c r="P736" s="324"/>
      <c r="Q736" s="324"/>
      <c r="R736" s="324"/>
      <c r="S736" s="324"/>
      <c r="T736" s="324"/>
      <c r="U736" s="324"/>
      <c r="V736" s="324"/>
      <c r="W736" s="324"/>
      <c r="X736" s="324"/>
      <c r="Y736" s="324"/>
      <c r="Z736" s="324"/>
      <c r="AA736" s="324"/>
      <c r="AB736" s="324"/>
      <c r="AC736" s="324"/>
      <c r="AD736" s="324"/>
      <c r="AE736" s="324"/>
      <c r="AF736" s="324"/>
    </row>
    <row r="737" spans="3:32" s="294" customFormat="1">
      <c r="C737" s="10"/>
      <c r="D737" s="29"/>
      <c r="E737" s="29"/>
      <c r="F737" s="36"/>
      <c r="G737" s="324"/>
      <c r="H737" s="324"/>
      <c r="I737" s="324"/>
      <c r="J737" s="324"/>
      <c r="K737" s="324"/>
      <c r="L737" s="324"/>
      <c r="M737" s="324"/>
      <c r="N737" s="324"/>
      <c r="O737" s="324"/>
      <c r="P737" s="324"/>
      <c r="Q737" s="324"/>
      <c r="R737" s="324"/>
      <c r="S737" s="324"/>
      <c r="T737" s="324"/>
      <c r="U737" s="324"/>
      <c r="V737" s="324"/>
      <c r="W737" s="324"/>
      <c r="X737" s="324"/>
      <c r="Y737" s="324"/>
      <c r="Z737" s="324"/>
      <c r="AA737" s="324"/>
      <c r="AB737" s="324"/>
      <c r="AC737" s="324"/>
      <c r="AD737" s="324"/>
      <c r="AE737" s="324"/>
      <c r="AF737" s="324"/>
    </row>
    <row r="738" spans="3:32" s="294" customFormat="1">
      <c r="C738" s="10"/>
      <c r="D738" s="29"/>
      <c r="E738" s="29"/>
      <c r="F738" s="36"/>
      <c r="G738" s="324"/>
      <c r="H738" s="324"/>
      <c r="I738" s="324"/>
      <c r="J738" s="324"/>
      <c r="K738" s="324"/>
      <c r="L738" s="324"/>
      <c r="M738" s="324"/>
      <c r="N738" s="324"/>
      <c r="O738" s="324"/>
      <c r="P738" s="324"/>
      <c r="Q738" s="324"/>
      <c r="R738" s="324"/>
      <c r="S738" s="324"/>
      <c r="T738" s="324"/>
      <c r="U738" s="324"/>
      <c r="V738" s="324"/>
      <c r="W738" s="324"/>
      <c r="X738" s="324"/>
      <c r="Y738" s="324"/>
      <c r="Z738" s="324"/>
      <c r="AA738" s="324"/>
      <c r="AB738" s="324"/>
      <c r="AC738" s="324"/>
      <c r="AD738" s="324"/>
      <c r="AE738" s="324"/>
      <c r="AF738" s="324"/>
    </row>
    <row r="739" spans="3:32" s="294" customFormat="1">
      <c r="C739" s="10"/>
      <c r="D739" s="29"/>
      <c r="E739" s="29"/>
      <c r="F739" s="36"/>
      <c r="G739" s="324"/>
      <c r="H739" s="324"/>
      <c r="I739" s="324"/>
      <c r="J739" s="324"/>
      <c r="K739" s="324"/>
      <c r="L739" s="324"/>
      <c r="M739" s="324"/>
      <c r="N739" s="324"/>
      <c r="O739" s="324"/>
      <c r="P739" s="324"/>
      <c r="Q739" s="324"/>
      <c r="R739" s="324"/>
      <c r="S739" s="324"/>
      <c r="T739" s="324"/>
      <c r="U739" s="324"/>
      <c r="V739" s="324"/>
      <c r="W739" s="324"/>
      <c r="X739" s="324"/>
      <c r="Y739" s="324"/>
      <c r="Z739" s="324"/>
      <c r="AA739" s="324"/>
      <c r="AB739" s="324"/>
      <c r="AC739" s="324"/>
      <c r="AD739" s="324"/>
      <c r="AE739" s="324"/>
      <c r="AF739" s="324"/>
    </row>
    <row r="740" spans="3:32" s="294" customFormat="1">
      <c r="C740" s="10"/>
      <c r="D740" s="29"/>
      <c r="E740" s="29"/>
      <c r="F740" s="36"/>
      <c r="G740" s="324"/>
      <c r="H740" s="324"/>
      <c r="I740" s="324"/>
      <c r="J740" s="324"/>
      <c r="K740" s="324"/>
      <c r="L740" s="324"/>
      <c r="M740" s="324"/>
      <c r="N740" s="324"/>
      <c r="O740" s="324"/>
      <c r="P740" s="324"/>
      <c r="Q740" s="324"/>
      <c r="R740" s="324"/>
      <c r="S740" s="324"/>
      <c r="T740" s="324"/>
      <c r="U740" s="324"/>
      <c r="V740" s="324"/>
      <c r="W740" s="324"/>
      <c r="X740" s="324"/>
      <c r="Y740" s="324"/>
      <c r="Z740" s="324"/>
      <c r="AA740" s="324"/>
      <c r="AB740" s="324"/>
      <c r="AC740" s="324"/>
      <c r="AD740" s="324"/>
      <c r="AE740" s="324"/>
      <c r="AF740" s="324"/>
    </row>
    <row r="741" spans="3:32" s="294" customFormat="1">
      <c r="C741" s="10"/>
      <c r="D741" s="29"/>
      <c r="E741" s="29"/>
      <c r="F741" s="36"/>
      <c r="G741" s="324"/>
      <c r="H741" s="324"/>
      <c r="I741" s="324"/>
      <c r="J741" s="324"/>
      <c r="K741" s="324"/>
      <c r="L741" s="324"/>
      <c r="M741" s="324"/>
      <c r="N741" s="324"/>
      <c r="O741" s="324"/>
      <c r="P741" s="324"/>
      <c r="Q741" s="324"/>
      <c r="R741" s="324"/>
      <c r="S741" s="324"/>
      <c r="T741" s="324"/>
      <c r="U741" s="324"/>
      <c r="V741" s="324"/>
      <c r="W741" s="324"/>
      <c r="X741" s="324"/>
      <c r="Y741" s="324"/>
      <c r="Z741" s="324"/>
      <c r="AA741" s="324"/>
      <c r="AB741" s="324"/>
      <c r="AC741" s="324"/>
      <c r="AD741" s="324"/>
      <c r="AE741" s="324"/>
      <c r="AF741" s="324"/>
    </row>
    <row r="742" spans="3:32" s="294" customFormat="1">
      <c r="C742" s="10"/>
      <c r="D742" s="29"/>
      <c r="E742" s="29"/>
      <c r="F742" s="36"/>
      <c r="G742" s="324"/>
      <c r="H742" s="324"/>
      <c r="I742" s="324"/>
      <c r="J742" s="324"/>
      <c r="K742" s="324"/>
      <c r="L742" s="324"/>
      <c r="M742" s="324"/>
      <c r="N742" s="324"/>
      <c r="O742" s="324"/>
      <c r="P742" s="324"/>
      <c r="Q742" s="324"/>
      <c r="R742" s="324"/>
      <c r="S742" s="324"/>
      <c r="T742" s="324"/>
      <c r="U742" s="324"/>
      <c r="V742" s="324"/>
      <c r="W742" s="324"/>
      <c r="X742" s="324"/>
      <c r="Y742" s="324"/>
      <c r="Z742" s="324"/>
      <c r="AA742" s="324"/>
      <c r="AB742" s="324"/>
      <c r="AC742" s="324"/>
      <c r="AD742" s="324"/>
      <c r="AE742" s="324"/>
      <c r="AF742" s="324"/>
    </row>
    <row r="743" spans="3:32" s="294" customFormat="1">
      <c r="C743" s="10"/>
      <c r="D743" s="29"/>
      <c r="E743" s="29"/>
      <c r="F743" s="36"/>
      <c r="G743" s="324"/>
      <c r="H743" s="324"/>
      <c r="I743" s="324"/>
      <c r="J743" s="324"/>
      <c r="K743" s="324"/>
      <c r="L743" s="324"/>
      <c r="M743" s="324"/>
      <c r="N743" s="324"/>
      <c r="O743" s="324"/>
      <c r="P743" s="324"/>
      <c r="Q743" s="324"/>
      <c r="R743" s="324"/>
      <c r="S743" s="324"/>
      <c r="T743" s="324"/>
      <c r="U743" s="324"/>
      <c r="V743" s="324"/>
      <c r="W743" s="324"/>
      <c r="X743" s="324"/>
      <c r="Y743" s="324"/>
      <c r="Z743" s="324"/>
      <c r="AA743" s="324"/>
      <c r="AB743" s="324"/>
      <c r="AC743" s="324"/>
      <c r="AD743" s="324"/>
      <c r="AE743" s="324"/>
      <c r="AF743" s="324"/>
    </row>
    <row r="744" spans="3:32" s="294" customFormat="1">
      <c r="C744" s="10"/>
      <c r="D744" s="29"/>
      <c r="E744" s="29"/>
      <c r="F744" s="36"/>
      <c r="G744" s="324"/>
      <c r="H744" s="324"/>
      <c r="I744" s="324"/>
      <c r="J744" s="324"/>
      <c r="K744" s="324"/>
      <c r="L744" s="324"/>
      <c r="M744" s="324"/>
      <c r="N744" s="324"/>
      <c r="O744" s="324"/>
      <c r="P744" s="324"/>
      <c r="Q744" s="324"/>
      <c r="R744" s="324"/>
      <c r="S744" s="324"/>
      <c r="T744" s="324"/>
      <c r="U744" s="324"/>
      <c r="V744" s="324"/>
      <c r="W744" s="324"/>
      <c r="X744" s="324"/>
      <c r="Y744" s="324"/>
      <c r="Z744" s="324"/>
      <c r="AA744" s="324"/>
      <c r="AB744" s="324"/>
      <c r="AC744" s="324"/>
      <c r="AD744" s="324"/>
      <c r="AE744" s="324"/>
      <c r="AF744" s="324"/>
    </row>
    <row r="745" spans="3:32" s="294" customFormat="1">
      <c r="C745" s="10"/>
      <c r="D745" s="29"/>
      <c r="E745" s="29"/>
      <c r="F745" s="36"/>
      <c r="G745" s="324"/>
      <c r="H745" s="324"/>
      <c r="I745" s="324"/>
      <c r="J745" s="324"/>
      <c r="K745" s="324"/>
      <c r="L745" s="324"/>
      <c r="M745" s="324"/>
      <c r="N745" s="324"/>
      <c r="O745" s="324"/>
      <c r="P745" s="324"/>
      <c r="Q745" s="324"/>
      <c r="R745" s="324"/>
      <c r="S745" s="324"/>
      <c r="T745" s="324"/>
      <c r="U745" s="324"/>
      <c r="V745" s="324"/>
      <c r="W745" s="324"/>
      <c r="X745" s="324"/>
      <c r="Y745" s="324"/>
      <c r="Z745" s="324"/>
      <c r="AA745" s="324"/>
      <c r="AB745" s="324"/>
      <c r="AC745" s="324"/>
      <c r="AD745" s="324"/>
      <c r="AE745" s="324"/>
      <c r="AF745" s="324"/>
    </row>
    <row r="746" spans="3:32" s="294" customFormat="1">
      <c r="C746" s="10"/>
      <c r="D746" s="29"/>
      <c r="E746" s="29"/>
      <c r="F746" s="36"/>
      <c r="G746" s="324"/>
      <c r="H746" s="324"/>
      <c r="I746" s="324"/>
      <c r="J746" s="324"/>
      <c r="K746" s="324"/>
      <c r="L746" s="324"/>
      <c r="M746" s="324"/>
      <c r="N746" s="324"/>
      <c r="O746" s="324"/>
      <c r="P746" s="324"/>
      <c r="Q746" s="324"/>
      <c r="R746" s="324"/>
      <c r="S746" s="324"/>
      <c r="T746" s="324"/>
      <c r="U746" s="324"/>
      <c r="V746" s="324"/>
      <c r="W746" s="324"/>
      <c r="X746" s="324"/>
      <c r="Y746" s="324"/>
      <c r="Z746" s="324"/>
      <c r="AA746" s="324"/>
      <c r="AB746" s="324"/>
      <c r="AC746" s="324"/>
      <c r="AD746" s="324"/>
      <c r="AE746" s="324"/>
      <c r="AF746" s="324"/>
    </row>
    <row r="747" spans="3:32" s="294" customFormat="1">
      <c r="C747" s="10"/>
      <c r="D747" s="29"/>
      <c r="E747" s="29"/>
      <c r="F747" s="36"/>
      <c r="G747" s="324"/>
      <c r="H747" s="324"/>
      <c r="I747" s="324"/>
      <c r="J747" s="324"/>
      <c r="K747" s="324"/>
      <c r="L747" s="324"/>
      <c r="M747" s="324"/>
      <c r="N747" s="324"/>
      <c r="O747" s="324"/>
      <c r="P747" s="324"/>
      <c r="Q747" s="324"/>
      <c r="R747" s="324"/>
      <c r="S747" s="324"/>
      <c r="T747" s="324"/>
      <c r="U747" s="324"/>
      <c r="V747" s="324"/>
      <c r="W747" s="324"/>
      <c r="X747" s="324"/>
      <c r="Y747" s="324"/>
      <c r="Z747" s="324"/>
      <c r="AA747" s="324"/>
      <c r="AB747" s="324"/>
      <c r="AC747" s="324"/>
      <c r="AD747" s="324"/>
      <c r="AE747" s="324"/>
      <c r="AF747" s="324"/>
    </row>
    <row r="748" spans="3:32" s="294" customFormat="1">
      <c r="C748" s="10"/>
      <c r="D748" s="29"/>
      <c r="E748" s="29"/>
      <c r="F748" s="36"/>
      <c r="G748" s="324"/>
      <c r="H748" s="324"/>
      <c r="I748" s="324"/>
      <c r="J748" s="324"/>
      <c r="K748" s="324"/>
      <c r="L748" s="324"/>
      <c r="M748" s="324"/>
      <c r="N748" s="324"/>
      <c r="O748" s="324"/>
      <c r="P748" s="324"/>
      <c r="Q748" s="324"/>
      <c r="R748" s="324"/>
      <c r="S748" s="324"/>
      <c r="T748" s="324"/>
      <c r="U748" s="324"/>
      <c r="V748" s="324"/>
      <c r="W748" s="324"/>
      <c r="X748" s="324"/>
      <c r="Y748" s="324"/>
      <c r="Z748" s="324"/>
      <c r="AA748" s="324"/>
      <c r="AB748" s="324"/>
      <c r="AC748" s="324"/>
      <c r="AD748" s="324"/>
      <c r="AE748" s="324"/>
      <c r="AF748" s="324"/>
    </row>
    <row r="749" spans="3:32" s="294" customFormat="1">
      <c r="C749" s="10"/>
      <c r="D749" s="29"/>
      <c r="E749" s="29"/>
      <c r="F749" s="36"/>
      <c r="G749" s="324"/>
      <c r="H749" s="324"/>
      <c r="I749" s="324"/>
      <c r="J749" s="324"/>
      <c r="K749" s="324"/>
      <c r="L749" s="324"/>
      <c r="M749" s="324"/>
      <c r="N749" s="324"/>
      <c r="O749" s="324"/>
      <c r="P749" s="324"/>
      <c r="Q749" s="324"/>
      <c r="R749" s="324"/>
      <c r="S749" s="324"/>
      <c r="T749" s="324"/>
      <c r="U749" s="324"/>
      <c r="V749" s="324"/>
      <c r="W749" s="324"/>
      <c r="X749" s="324"/>
      <c r="Y749" s="324"/>
      <c r="Z749" s="324"/>
      <c r="AA749" s="324"/>
      <c r="AB749" s="324"/>
      <c r="AC749" s="324"/>
      <c r="AD749" s="324"/>
      <c r="AE749" s="324"/>
      <c r="AF749" s="324"/>
    </row>
    <row r="750" spans="3:32" s="294" customFormat="1">
      <c r="C750" s="10"/>
      <c r="D750" s="29"/>
      <c r="E750" s="29"/>
      <c r="F750" s="36"/>
      <c r="G750" s="324"/>
      <c r="H750" s="324"/>
      <c r="I750" s="324"/>
      <c r="J750" s="324"/>
      <c r="K750" s="324"/>
      <c r="L750" s="324"/>
      <c r="M750" s="324"/>
      <c r="N750" s="324"/>
      <c r="O750" s="324"/>
      <c r="P750" s="324"/>
      <c r="Q750" s="324"/>
      <c r="R750" s="324"/>
      <c r="S750" s="324"/>
      <c r="T750" s="324"/>
      <c r="U750" s="324"/>
      <c r="V750" s="324"/>
      <c r="W750" s="324"/>
      <c r="X750" s="324"/>
      <c r="Y750" s="324"/>
      <c r="Z750" s="324"/>
      <c r="AA750" s="324"/>
      <c r="AB750" s="324"/>
      <c r="AC750" s="324"/>
      <c r="AD750" s="324"/>
      <c r="AE750" s="324"/>
      <c r="AF750" s="324"/>
    </row>
    <row r="751" spans="3:32" s="294" customFormat="1">
      <c r="C751" s="10"/>
      <c r="D751" s="29"/>
      <c r="E751" s="29"/>
      <c r="F751" s="36"/>
      <c r="G751" s="324"/>
      <c r="H751" s="324"/>
      <c r="I751" s="324"/>
      <c r="J751" s="324"/>
      <c r="K751" s="324"/>
      <c r="L751" s="324"/>
      <c r="M751" s="324"/>
      <c r="N751" s="324"/>
      <c r="O751" s="324"/>
      <c r="P751" s="324"/>
      <c r="Q751" s="324"/>
      <c r="R751" s="324"/>
      <c r="S751" s="324"/>
      <c r="T751" s="324"/>
      <c r="U751" s="324"/>
      <c r="V751" s="324"/>
      <c r="W751" s="324"/>
      <c r="X751" s="324"/>
      <c r="Y751" s="324"/>
      <c r="Z751" s="324"/>
      <c r="AA751" s="324"/>
      <c r="AB751" s="324"/>
      <c r="AC751" s="324"/>
      <c r="AD751" s="324"/>
      <c r="AE751" s="324"/>
      <c r="AF751" s="324"/>
    </row>
    <row r="752" spans="3:32" s="294" customFormat="1">
      <c r="C752" s="10"/>
      <c r="D752" s="29"/>
      <c r="E752" s="29"/>
      <c r="F752" s="36"/>
      <c r="G752" s="324"/>
      <c r="H752" s="324"/>
      <c r="I752" s="324"/>
      <c r="J752" s="324"/>
      <c r="K752" s="324"/>
      <c r="L752" s="324"/>
      <c r="M752" s="324"/>
      <c r="N752" s="324"/>
      <c r="O752" s="324"/>
      <c r="P752" s="324"/>
      <c r="Q752" s="324"/>
      <c r="R752" s="324"/>
      <c r="S752" s="324"/>
      <c r="T752" s="324"/>
      <c r="U752" s="324"/>
      <c r="V752" s="324"/>
      <c r="W752" s="324"/>
      <c r="X752" s="324"/>
      <c r="Y752" s="324"/>
      <c r="Z752" s="324"/>
      <c r="AA752" s="324"/>
      <c r="AB752" s="324"/>
      <c r="AC752" s="324"/>
      <c r="AD752" s="324"/>
      <c r="AE752" s="324"/>
      <c r="AF752" s="324"/>
    </row>
    <row r="753" spans="3:32" s="294" customFormat="1">
      <c r="C753" s="10"/>
      <c r="D753" s="29"/>
      <c r="E753" s="29"/>
      <c r="F753" s="36"/>
      <c r="G753" s="324"/>
      <c r="H753" s="324"/>
      <c r="I753" s="324"/>
      <c r="J753" s="324"/>
      <c r="K753" s="324"/>
      <c r="L753" s="324"/>
      <c r="M753" s="324"/>
      <c r="N753" s="324"/>
      <c r="O753" s="324"/>
      <c r="P753" s="324"/>
      <c r="Q753" s="324"/>
      <c r="R753" s="324"/>
      <c r="S753" s="324"/>
      <c r="T753" s="324"/>
      <c r="U753" s="324"/>
      <c r="V753" s="324"/>
      <c r="W753" s="324"/>
      <c r="X753" s="324"/>
      <c r="Y753" s="324"/>
      <c r="Z753" s="324"/>
      <c r="AA753" s="324"/>
      <c r="AB753" s="324"/>
      <c r="AC753" s="324"/>
      <c r="AD753" s="324"/>
      <c r="AE753" s="324"/>
      <c r="AF753" s="324"/>
    </row>
    <row r="754" spans="3:32" s="294" customFormat="1">
      <c r="C754" s="10"/>
      <c r="D754" s="29"/>
      <c r="E754" s="29"/>
      <c r="F754" s="36"/>
      <c r="G754" s="324"/>
      <c r="H754" s="324"/>
      <c r="I754" s="324"/>
      <c r="J754" s="324"/>
      <c r="K754" s="324"/>
      <c r="L754" s="324"/>
      <c r="M754" s="324"/>
      <c r="N754" s="324"/>
      <c r="O754" s="324"/>
      <c r="P754" s="324"/>
      <c r="Q754" s="324"/>
      <c r="R754" s="324"/>
      <c r="S754" s="324"/>
      <c r="T754" s="324"/>
      <c r="U754" s="324"/>
      <c r="V754" s="324"/>
      <c r="W754" s="324"/>
      <c r="X754" s="324"/>
      <c r="Y754" s="324"/>
      <c r="Z754" s="324"/>
      <c r="AA754" s="324"/>
      <c r="AB754" s="324"/>
      <c r="AC754" s="324"/>
      <c r="AD754" s="324"/>
      <c r="AE754" s="324"/>
      <c r="AF754" s="324"/>
    </row>
    <row r="755" spans="3:32" s="294" customFormat="1">
      <c r="C755" s="10"/>
      <c r="D755" s="29"/>
      <c r="E755" s="29"/>
      <c r="F755" s="36"/>
      <c r="G755" s="324"/>
      <c r="H755" s="324"/>
      <c r="I755" s="324"/>
      <c r="J755" s="324"/>
      <c r="K755" s="324"/>
      <c r="L755" s="324"/>
      <c r="M755" s="324"/>
      <c r="N755" s="324"/>
      <c r="O755" s="324"/>
      <c r="P755" s="324"/>
      <c r="Q755" s="324"/>
      <c r="R755" s="324"/>
      <c r="S755" s="324"/>
      <c r="T755" s="324"/>
      <c r="U755" s="324"/>
      <c r="V755" s="324"/>
      <c r="W755" s="324"/>
      <c r="X755" s="324"/>
      <c r="Y755" s="324"/>
      <c r="Z755" s="324"/>
      <c r="AA755" s="324"/>
      <c r="AB755" s="324"/>
      <c r="AC755" s="324"/>
      <c r="AD755" s="324"/>
      <c r="AE755" s="324"/>
      <c r="AF755" s="324"/>
    </row>
    <row r="756" spans="3:32" s="294" customFormat="1">
      <c r="C756" s="10"/>
      <c r="D756" s="29"/>
      <c r="E756" s="29"/>
      <c r="F756" s="36"/>
      <c r="G756" s="324"/>
      <c r="H756" s="324"/>
      <c r="I756" s="324"/>
      <c r="J756" s="324"/>
      <c r="K756" s="324"/>
      <c r="L756" s="324"/>
      <c r="M756" s="324"/>
      <c r="N756" s="324"/>
      <c r="O756" s="324"/>
      <c r="P756" s="324"/>
      <c r="Q756" s="324"/>
      <c r="R756" s="324"/>
      <c r="S756" s="324"/>
      <c r="T756" s="324"/>
      <c r="U756" s="324"/>
      <c r="V756" s="324"/>
      <c r="W756" s="324"/>
      <c r="X756" s="324"/>
      <c r="Y756" s="324"/>
      <c r="Z756" s="324"/>
      <c r="AA756" s="324"/>
      <c r="AB756" s="324"/>
      <c r="AC756" s="324"/>
      <c r="AD756" s="324"/>
      <c r="AE756" s="324"/>
      <c r="AF756" s="324"/>
    </row>
    <row r="757" spans="3:32" s="294" customFormat="1">
      <c r="C757" s="10"/>
      <c r="D757" s="29"/>
      <c r="E757" s="29"/>
      <c r="F757" s="36"/>
      <c r="G757" s="324"/>
      <c r="H757" s="324"/>
      <c r="I757" s="324"/>
      <c r="J757" s="324"/>
      <c r="K757" s="324"/>
      <c r="L757" s="324"/>
      <c r="M757" s="324"/>
      <c r="N757" s="324"/>
      <c r="O757" s="324"/>
      <c r="P757" s="324"/>
      <c r="Q757" s="324"/>
      <c r="R757" s="324"/>
      <c r="S757" s="324"/>
      <c r="T757" s="324"/>
      <c r="U757" s="324"/>
      <c r="V757" s="324"/>
      <c r="W757" s="324"/>
      <c r="X757" s="324"/>
      <c r="Y757" s="324"/>
      <c r="Z757" s="324"/>
      <c r="AA757" s="324"/>
      <c r="AB757" s="324"/>
      <c r="AC757" s="324"/>
      <c r="AD757" s="324"/>
      <c r="AE757" s="324"/>
      <c r="AF757" s="324"/>
    </row>
    <row r="758" spans="3:32" s="294" customFormat="1">
      <c r="C758" s="10"/>
      <c r="D758" s="29"/>
      <c r="E758" s="29"/>
      <c r="F758" s="36"/>
      <c r="G758" s="324"/>
      <c r="H758" s="324"/>
      <c r="I758" s="324"/>
      <c r="J758" s="324"/>
      <c r="K758" s="324"/>
      <c r="L758" s="324"/>
      <c r="M758" s="324"/>
      <c r="N758" s="324"/>
      <c r="O758" s="324"/>
      <c r="P758" s="324"/>
      <c r="Q758" s="324"/>
      <c r="R758" s="324"/>
      <c r="S758" s="324"/>
      <c r="T758" s="324"/>
      <c r="U758" s="324"/>
      <c r="V758" s="324"/>
      <c r="W758" s="324"/>
      <c r="X758" s="324"/>
      <c r="Y758" s="324"/>
      <c r="Z758" s="324"/>
      <c r="AA758" s="324"/>
      <c r="AB758" s="324"/>
      <c r="AC758" s="324"/>
      <c r="AD758" s="324"/>
      <c r="AE758" s="324"/>
      <c r="AF758" s="324"/>
    </row>
    <row r="759" spans="3:32" s="294" customFormat="1">
      <c r="C759" s="10"/>
      <c r="D759" s="29"/>
      <c r="E759" s="29"/>
      <c r="F759" s="36"/>
      <c r="G759" s="324"/>
      <c r="H759" s="324"/>
      <c r="I759" s="324"/>
      <c r="J759" s="324"/>
      <c r="K759" s="324"/>
      <c r="L759" s="324"/>
      <c r="M759" s="324"/>
      <c r="N759" s="324"/>
      <c r="O759" s="324"/>
      <c r="P759" s="324"/>
      <c r="Q759" s="324"/>
      <c r="R759" s="324"/>
      <c r="S759" s="324"/>
      <c r="T759" s="324"/>
      <c r="U759" s="324"/>
      <c r="V759" s="324"/>
      <c r="W759" s="324"/>
      <c r="X759" s="324"/>
      <c r="Y759" s="324"/>
      <c r="Z759" s="324"/>
      <c r="AA759" s="324"/>
      <c r="AB759" s="324"/>
      <c r="AC759" s="324"/>
      <c r="AD759" s="324"/>
      <c r="AE759" s="324"/>
      <c r="AF759" s="324"/>
    </row>
    <row r="760" spans="3:32" s="294" customFormat="1">
      <c r="C760" s="10"/>
      <c r="D760" s="29"/>
      <c r="E760" s="29"/>
      <c r="F760" s="36"/>
      <c r="G760" s="324"/>
      <c r="H760" s="324"/>
      <c r="I760" s="324"/>
      <c r="J760" s="324"/>
      <c r="K760" s="324"/>
      <c r="L760" s="324"/>
      <c r="M760" s="324"/>
      <c r="N760" s="324"/>
      <c r="O760" s="324"/>
      <c r="P760" s="324"/>
      <c r="Q760" s="324"/>
      <c r="R760" s="324"/>
      <c r="S760" s="324"/>
      <c r="T760" s="324"/>
      <c r="U760" s="324"/>
      <c r="V760" s="324"/>
      <c r="W760" s="324"/>
      <c r="X760" s="324"/>
      <c r="Y760" s="324"/>
      <c r="Z760" s="324"/>
      <c r="AA760" s="324"/>
      <c r="AB760" s="324"/>
      <c r="AC760" s="324"/>
      <c r="AD760" s="324"/>
      <c r="AE760" s="324"/>
      <c r="AF760" s="324"/>
    </row>
    <row r="761" spans="3:32" s="294" customFormat="1">
      <c r="C761" s="10"/>
      <c r="D761" s="29"/>
      <c r="E761" s="29"/>
      <c r="F761" s="36"/>
      <c r="G761" s="324"/>
      <c r="H761" s="324"/>
      <c r="I761" s="324"/>
      <c r="J761" s="324"/>
      <c r="K761" s="324"/>
      <c r="L761" s="324"/>
      <c r="M761" s="324"/>
      <c r="N761" s="324"/>
      <c r="O761" s="324"/>
      <c r="P761" s="324"/>
      <c r="Q761" s="324"/>
      <c r="R761" s="324"/>
      <c r="S761" s="324"/>
      <c r="T761" s="324"/>
      <c r="U761" s="324"/>
      <c r="V761" s="324"/>
      <c r="W761" s="324"/>
      <c r="X761" s="324"/>
      <c r="Y761" s="324"/>
      <c r="Z761" s="324"/>
      <c r="AA761" s="324"/>
      <c r="AB761" s="324"/>
      <c r="AC761" s="324"/>
      <c r="AD761" s="324"/>
      <c r="AE761" s="324"/>
      <c r="AF761" s="324"/>
    </row>
    <row r="762" spans="3:32" s="294" customFormat="1">
      <c r="C762" s="10"/>
      <c r="D762" s="29"/>
      <c r="E762" s="29"/>
      <c r="F762" s="36"/>
      <c r="G762" s="324"/>
      <c r="H762" s="324"/>
      <c r="I762" s="324"/>
      <c r="J762" s="324"/>
      <c r="K762" s="324"/>
      <c r="L762" s="324"/>
      <c r="M762" s="324"/>
      <c r="N762" s="324"/>
      <c r="O762" s="324"/>
      <c r="P762" s="324"/>
      <c r="Q762" s="324"/>
      <c r="R762" s="324"/>
      <c r="S762" s="324"/>
      <c r="T762" s="324"/>
      <c r="U762" s="324"/>
      <c r="V762" s="324"/>
      <c r="W762" s="324"/>
      <c r="X762" s="324"/>
      <c r="Y762" s="324"/>
      <c r="Z762" s="324"/>
      <c r="AA762" s="324"/>
      <c r="AB762" s="324"/>
      <c r="AC762" s="324"/>
      <c r="AD762" s="324"/>
      <c r="AE762" s="324"/>
      <c r="AF762" s="324"/>
    </row>
    <row r="763" spans="3:32" s="294" customFormat="1">
      <c r="C763" s="10"/>
      <c r="D763" s="29"/>
      <c r="E763" s="29"/>
      <c r="F763" s="36"/>
      <c r="G763" s="324"/>
      <c r="H763" s="324"/>
      <c r="I763" s="324"/>
      <c r="J763" s="324"/>
      <c r="K763" s="324"/>
      <c r="L763" s="324"/>
      <c r="M763" s="324"/>
      <c r="N763" s="324"/>
      <c r="O763" s="324"/>
      <c r="P763" s="324"/>
      <c r="Q763" s="324"/>
      <c r="R763" s="324"/>
      <c r="S763" s="324"/>
      <c r="T763" s="324"/>
      <c r="U763" s="324"/>
      <c r="V763" s="324"/>
      <c r="W763" s="324"/>
      <c r="X763" s="324"/>
      <c r="Y763" s="324"/>
      <c r="Z763" s="324"/>
      <c r="AA763" s="324"/>
      <c r="AB763" s="324"/>
      <c r="AC763" s="324"/>
      <c r="AD763" s="324"/>
      <c r="AE763" s="324"/>
      <c r="AF763" s="324"/>
    </row>
    <row r="764" spans="3:32" s="294" customFormat="1">
      <c r="C764" s="10"/>
      <c r="D764" s="29"/>
      <c r="E764" s="29"/>
      <c r="F764" s="36"/>
      <c r="G764" s="324"/>
      <c r="H764" s="324"/>
      <c r="I764" s="324"/>
      <c r="J764" s="324"/>
      <c r="K764" s="324"/>
      <c r="L764" s="324"/>
      <c r="M764" s="324"/>
      <c r="N764" s="324"/>
      <c r="O764" s="324"/>
      <c r="P764" s="324"/>
      <c r="Q764" s="324"/>
      <c r="R764" s="324"/>
      <c r="S764" s="324"/>
      <c r="T764" s="324"/>
      <c r="U764" s="324"/>
      <c r="V764" s="324"/>
      <c r="W764" s="324"/>
      <c r="X764" s="324"/>
      <c r="Y764" s="324"/>
      <c r="Z764" s="324"/>
      <c r="AA764" s="324"/>
      <c r="AB764" s="324"/>
      <c r="AC764" s="324"/>
      <c r="AD764" s="324"/>
      <c r="AE764" s="324"/>
      <c r="AF764" s="324"/>
    </row>
    <row r="765" spans="3:32" s="294" customFormat="1">
      <c r="C765" s="10"/>
      <c r="D765" s="29"/>
      <c r="E765" s="29"/>
      <c r="F765" s="36"/>
      <c r="G765" s="324"/>
      <c r="H765" s="324"/>
      <c r="I765" s="324"/>
      <c r="J765" s="324"/>
      <c r="K765" s="324"/>
      <c r="L765" s="324"/>
      <c r="M765" s="324"/>
      <c r="N765" s="324"/>
      <c r="O765" s="324"/>
      <c r="P765" s="324"/>
      <c r="Q765" s="324"/>
      <c r="R765" s="324"/>
      <c r="S765" s="324"/>
      <c r="T765" s="324"/>
      <c r="U765" s="324"/>
      <c r="V765" s="324"/>
      <c r="W765" s="324"/>
      <c r="X765" s="324"/>
      <c r="Y765" s="324"/>
      <c r="Z765" s="324"/>
      <c r="AA765" s="324"/>
      <c r="AB765" s="324"/>
      <c r="AC765" s="324"/>
      <c r="AD765" s="324"/>
      <c r="AE765" s="324"/>
      <c r="AF765" s="324"/>
    </row>
    <row r="766" spans="3:32" s="294" customFormat="1">
      <c r="C766" s="10"/>
      <c r="D766" s="29"/>
      <c r="E766" s="29"/>
      <c r="F766" s="36"/>
      <c r="G766" s="324"/>
      <c r="H766" s="324"/>
      <c r="I766" s="324"/>
      <c r="J766" s="324"/>
      <c r="K766" s="324"/>
      <c r="L766" s="324"/>
      <c r="M766" s="324"/>
      <c r="N766" s="324"/>
      <c r="O766" s="324"/>
      <c r="P766" s="324"/>
      <c r="Q766" s="324"/>
      <c r="R766" s="324"/>
      <c r="S766" s="324"/>
      <c r="T766" s="324"/>
      <c r="U766" s="324"/>
      <c r="V766" s="324"/>
      <c r="W766" s="324"/>
      <c r="X766" s="324"/>
      <c r="Y766" s="324"/>
      <c r="Z766" s="324"/>
      <c r="AA766" s="324"/>
      <c r="AB766" s="324"/>
      <c r="AC766" s="324"/>
      <c r="AD766" s="324"/>
      <c r="AE766" s="324"/>
      <c r="AF766" s="324"/>
    </row>
    <row r="767" spans="3:32" s="294" customFormat="1">
      <c r="C767" s="10"/>
      <c r="D767" s="29"/>
      <c r="E767" s="29"/>
      <c r="F767" s="36"/>
      <c r="G767" s="324"/>
      <c r="H767" s="324"/>
      <c r="I767" s="324"/>
      <c r="J767" s="324"/>
      <c r="K767" s="324"/>
      <c r="L767" s="324"/>
      <c r="M767" s="324"/>
      <c r="N767" s="324"/>
      <c r="O767" s="324"/>
      <c r="P767" s="324"/>
      <c r="Q767" s="324"/>
      <c r="R767" s="324"/>
      <c r="S767" s="324"/>
      <c r="T767" s="324"/>
      <c r="U767" s="324"/>
      <c r="V767" s="324"/>
      <c r="W767" s="324"/>
      <c r="X767" s="324"/>
      <c r="Y767" s="324"/>
      <c r="Z767" s="324"/>
      <c r="AA767" s="324"/>
      <c r="AB767" s="324"/>
      <c r="AC767" s="324"/>
      <c r="AD767" s="324"/>
      <c r="AE767" s="324"/>
      <c r="AF767" s="324"/>
    </row>
    <row r="768" spans="3:32" s="294" customFormat="1">
      <c r="C768" s="10"/>
      <c r="D768" s="29"/>
      <c r="E768" s="29"/>
      <c r="F768" s="36"/>
      <c r="G768" s="324"/>
      <c r="H768" s="324"/>
      <c r="I768" s="324"/>
      <c r="J768" s="324"/>
      <c r="K768" s="324"/>
      <c r="L768" s="324"/>
      <c r="M768" s="324"/>
      <c r="N768" s="324"/>
      <c r="O768" s="324"/>
      <c r="P768" s="324"/>
      <c r="Q768" s="324"/>
      <c r="R768" s="324"/>
      <c r="S768" s="324"/>
      <c r="T768" s="324"/>
      <c r="U768" s="324"/>
      <c r="V768" s="324"/>
      <c r="W768" s="324"/>
      <c r="X768" s="324"/>
      <c r="Y768" s="324"/>
      <c r="Z768" s="324"/>
      <c r="AA768" s="324"/>
      <c r="AB768" s="324"/>
      <c r="AC768" s="324"/>
      <c r="AD768" s="324"/>
      <c r="AE768" s="324"/>
      <c r="AF768" s="324"/>
    </row>
    <row r="769" spans="3:32" s="294" customFormat="1">
      <c r="C769" s="10"/>
      <c r="D769" s="29"/>
      <c r="E769" s="29"/>
      <c r="F769" s="36"/>
      <c r="G769" s="324"/>
      <c r="H769" s="324"/>
      <c r="I769" s="324"/>
      <c r="J769" s="324"/>
      <c r="K769" s="324"/>
      <c r="L769" s="324"/>
      <c r="M769" s="324"/>
      <c r="N769" s="324"/>
      <c r="O769" s="324"/>
      <c r="P769" s="324"/>
      <c r="Q769" s="324"/>
      <c r="R769" s="324"/>
      <c r="S769" s="324"/>
      <c r="T769" s="324"/>
      <c r="U769" s="324"/>
      <c r="V769" s="324"/>
      <c r="W769" s="324"/>
      <c r="X769" s="324"/>
      <c r="Y769" s="324"/>
      <c r="Z769" s="324"/>
      <c r="AA769" s="324"/>
      <c r="AB769" s="324"/>
      <c r="AC769" s="324"/>
      <c r="AD769" s="324"/>
      <c r="AE769" s="324"/>
      <c r="AF769" s="324"/>
    </row>
    <row r="770" spans="3:32" s="294" customFormat="1">
      <c r="C770" s="10"/>
      <c r="D770" s="29"/>
      <c r="E770" s="29"/>
      <c r="F770" s="36"/>
      <c r="G770" s="324"/>
      <c r="H770" s="324"/>
      <c r="I770" s="324"/>
      <c r="J770" s="324"/>
      <c r="K770" s="324"/>
      <c r="L770" s="324"/>
      <c r="M770" s="324"/>
      <c r="N770" s="324"/>
      <c r="O770" s="324"/>
      <c r="P770" s="324"/>
      <c r="Q770" s="324"/>
      <c r="R770" s="324"/>
      <c r="S770" s="324"/>
      <c r="T770" s="324"/>
      <c r="U770" s="324"/>
      <c r="V770" s="324"/>
      <c r="W770" s="324"/>
      <c r="X770" s="324"/>
      <c r="Y770" s="324"/>
      <c r="Z770" s="324"/>
      <c r="AA770" s="324"/>
      <c r="AB770" s="324"/>
      <c r="AC770" s="324"/>
      <c r="AD770" s="324"/>
      <c r="AE770" s="324"/>
      <c r="AF770" s="324"/>
    </row>
    <row r="771" spans="3:32" s="294" customFormat="1">
      <c r="C771" s="10"/>
      <c r="D771" s="29"/>
      <c r="E771" s="29"/>
      <c r="F771" s="36"/>
      <c r="G771" s="324"/>
      <c r="H771" s="324"/>
      <c r="I771" s="324"/>
      <c r="J771" s="324"/>
      <c r="K771" s="324"/>
      <c r="L771" s="324"/>
      <c r="M771" s="324"/>
      <c r="N771" s="324"/>
      <c r="O771" s="324"/>
      <c r="P771" s="324"/>
      <c r="Q771" s="324"/>
      <c r="R771" s="324"/>
      <c r="S771" s="324"/>
      <c r="T771" s="324"/>
      <c r="U771" s="324"/>
      <c r="V771" s="324"/>
      <c r="W771" s="324"/>
      <c r="X771" s="324"/>
      <c r="Y771" s="324"/>
      <c r="Z771" s="324"/>
      <c r="AA771" s="324"/>
      <c r="AB771" s="324"/>
      <c r="AC771" s="324"/>
      <c r="AD771" s="324"/>
      <c r="AE771" s="324"/>
      <c r="AF771" s="324"/>
    </row>
    <row r="772" spans="3:32" s="294" customFormat="1">
      <c r="C772" s="10"/>
      <c r="D772" s="29"/>
      <c r="E772" s="29"/>
      <c r="F772" s="36"/>
      <c r="G772" s="324"/>
      <c r="H772" s="324"/>
      <c r="I772" s="324"/>
      <c r="J772" s="324"/>
      <c r="K772" s="324"/>
      <c r="L772" s="324"/>
      <c r="M772" s="324"/>
      <c r="N772" s="324"/>
      <c r="O772" s="324"/>
      <c r="P772" s="324"/>
      <c r="Q772" s="324"/>
      <c r="R772" s="324"/>
      <c r="S772" s="324"/>
      <c r="T772" s="324"/>
      <c r="U772" s="324"/>
      <c r="V772" s="324"/>
      <c r="W772" s="324"/>
      <c r="X772" s="324"/>
      <c r="Y772" s="324"/>
      <c r="Z772" s="324"/>
      <c r="AA772" s="324"/>
      <c r="AB772" s="324"/>
      <c r="AC772" s="324"/>
      <c r="AD772" s="324"/>
      <c r="AE772" s="324"/>
      <c r="AF772" s="324"/>
    </row>
    <row r="773" spans="3:32" s="294" customFormat="1">
      <c r="C773" s="10"/>
      <c r="D773" s="29"/>
      <c r="E773" s="29"/>
      <c r="F773" s="36"/>
      <c r="G773" s="324"/>
      <c r="H773" s="324"/>
      <c r="I773" s="324"/>
      <c r="J773" s="324"/>
      <c r="K773" s="324"/>
      <c r="L773" s="324"/>
      <c r="M773" s="324"/>
      <c r="N773" s="324"/>
      <c r="O773" s="324"/>
      <c r="P773" s="324"/>
      <c r="Q773" s="324"/>
      <c r="R773" s="324"/>
      <c r="S773" s="324"/>
      <c r="T773" s="324"/>
      <c r="U773" s="324"/>
      <c r="V773" s="324"/>
      <c r="W773" s="324"/>
      <c r="X773" s="324"/>
      <c r="Y773" s="324"/>
      <c r="Z773" s="324"/>
      <c r="AA773" s="324"/>
      <c r="AB773" s="324"/>
      <c r="AC773" s="324"/>
      <c r="AD773" s="324"/>
      <c r="AE773" s="324"/>
      <c r="AF773" s="324"/>
    </row>
    <row r="774" spans="3:32" s="294" customFormat="1">
      <c r="C774" s="10"/>
      <c r="D774" s="29"/>
      <c r="E774" s="29"/>
      <c r="F774" s="36"/>
      <c r="G774" s="324"/>
      <c r="H774" s="324"/>
      <c r="I774" s="324"/>
      <c r="J774" s="324"/>
      <c r="K774" s="324"/>
      <c r="L774" s="324"/>
      <c r="M774" s="324"/>
      <c r="N774" s="324"/>
      <c r="O774" s="324"/>
      <c r="P774" s="324"/>
      <c r="Q774" s="324"/>
      <c r="R774" s="324"/>
      <c r="S774" s="324"/>
      <c r="T774" s="324"/>
      <c r="U774" s="324"/>
      <c r="V774" s="324"/>
      <c r="W774" s="324"/>
      <c r="X774" s="324"/>
      <c r="Y774" s="324"/>
      <c r="Z774" s="324"/>
      <c r="AA774" s="324"/>
      <c r="AB774" s="324"/>
      <c r="AC774" s="324"/>
      <c r="AD774" s="324"/>
      <c r="AE774" s="324"/>
      <c r="AF774" s="324"/>
    </row>
    <row r="775" spans="3:32" s="294" customFormat="1">
      <c r="C775" s="10"/>
      <c r="D775" s="29"/>
      <c r="E775" s="29"/>
      <c r="F775" s="36"/>
      <c r="G775" s="324"/>
      <c r="H775" s="324"/>
      <c r="I775" s="324"/>
      <c r="J775" s="324"/>
      <c r="K775" s="324"/>
      <c r="L775" s="324"/>
      <c r="M775" s="324"/>
      <c r="N775" s="324"/>
      <c r="O775" s="324"/>
      <c r="P775" s="324"/>
      <c r="Q775" s="324"/>
      <c r="R775" s="324"/>
      <c r="S775" s="324"/>
      <c r="T775" s="324"/>
      <c r="U775" s="324"/>
      <c r="V775" s="324"/>
      <c r="W775" s="324"/>
      <c r="X775" s="324"/>
      <c r="Y775" s="324"/>
      <c r="Z775" s="324"/>
      <c r="AA775" s="324"/>
      <c r="AB775" s="324"/>
      <c r="AC775" s="324"/>
      <c r="AD775" s="324"/>
      <c r="AE775" s="324"/>
      <c r="AF775" s="324"/>
    </row>
    <row r="776" spans="3:32" s="294" customFormat="1">
      <c r="C776" s="10"/>
      <c r="D776" s="29"/>
      <c r="E776" s="29"/>
      <c r="F776" s="36"/>
      <c r="G776" s="324"/>
      <c r="H776" s="324"/>
      <c r="I776" s="324"/>
      <c r="J776" s="324"/>
      <c r="K776" s="324"/>
      <c r="L776" s="324"/>
      <c r="M776" s="324"/>
      <c r="N776" s="324"/>
      <c r="O776" s="324"/>
      <c r="P776" s="324"/>
      <c r="Q776" s="324"/>
      <c r="R776" s="324"/>
      <c r="S776" s="324"/>
      <c r="T776" s="324"/>
      <c r="U776" s="324"/>
      <c r="V776" s="324"/>
      <c r="W776" s="324"/>
      <c r="X776" s="324"/>
      <c r="Y776" s="324"/>
      <c r="Z776" s="324"/>
      <c r="AA776" s="324"/>
      <c r="AB776" s="324"/>
      <c r="AC776" s="324"/>
      <c r="AD776" s="324"/>
      <c r="AE776" s="324"/>
      <c r="AF776" s="324"/>
    </row>
    <row r="777" spans="3:32" s="294" customFormat="1">
      <c r="C777" s="10"/>
      <c r="D777" s="29"/>
      <c r="E777" s="29"/>
      <c r="F777" s="36"/>
      <c r="G777" s="324"/>
      <c r="H777" s="324"/>
      <c r="I777" s="324"/>
      <c r="J777" s="324"/>
      <c r="K777" s="324"/>
      <c r="L777" s="324"/>
      <c r="M777" s="324"/>
      <c r="N777" s="324"/>
      <c r="O777" s="324"/>
      <c r="P777" s="324"/>
      <c r="Q777" s="324"/>
      <c r="R777" s="324"/>
      <c r="S777" s="324"/>
      <c r="T777" s="324"/>
      <c r="U777" s="324"/>
      <c r="V777" s="324"/>
      <c r="W777" s="324"/>
      <c r="X777" s="324"/>
      <c r="Y777" s="324"/>
      <c r="Z777" s="324"/>
      <c r="AA777" s="324"/>
      <c r="AB777" s="324"/>
      <c r="AC777" s="324"/>
      <c r="AD777" s="324"/>
      <c r="AE777" s="324"/>
      <c r="AF777" s="324"/>
    </row>
    <row r="778" spans="3:32" s="294" customFormat="1">
      <c r="C778" s="10"/>
      <c r="D778" s="29"/>
      <c r="E778" s="29"/>
      <c r="F778" s="36"/>
      <c r="G778" s="324"/>
      <c r="H778" s="324"/>
      <c r="I778" s="324"/>
      <c r="J778" s="324"/>
      <c r="K778" s="324"/>
      <c r="L778" s="324"/>
      <c r="M778" s="324"/>
      <c r="N778" s="324"/>
      <c r="O778" s="324"/>
      <c r="P778" s="324"/>
      <c r="Q778" s="324"/>
      <c r="R778" s="324"/>
      <c r="S778" s="324"/>
      <c r="T778" s="324"/>
      <c r="U778" s="324"/>
      <c r="V778" s="324"/>
      <c r="W778" s="324"/>
      <c r="X778" s="324"/>
      <c r="Y778" s="324"/>
      <c r="Z778" s="324"/>
      <c r="AA778" s="324"/>
      <c r="AB778" s="324"/>
      <c r="AC778" s="324"/>
      <c r="AD778" s="324"/>
      <c r="AE778" s="324"/>
      <c r="AF778" s="324"/>
    </row>
    <row r="779" spans="3:32" s="294" customFormat="1">
      <c r="C779" s="10"/>
      <c r="D779" s="29"/>
      <c r="E779" s="29"/>
      <c r="F779" s="36"/>
      <c r="G779" s="324"/>
      <c r="H779" s="324"/>
      <c r="I779" s="324"/>
      <c r="J779" s="324"/>
      <c r="K779" s="324"/>
      <c r="L779" s="324"/>
      <c r="M779" s="324"/>
      <c r="N779" s="324"/>
      <c r="O779" s="324"/>
      <c r="P779" s="324"/>
      <c r="Q779" s="324"/>
      <c r="R779" s="324"/>
      <c r="S779" s="324"/>
      <c r="T779" s="324"/>
      <c r="U779" s="324"/>
      <c r="V779" s="324"/>
      <c r="W779" s="324"/>
      <c r="X779" s="324"/>
      <c r="Y779" s="324"/>
      <c r="Z779" s="324"/>
      <c r="AA779" s="324"/>
      <c r="AB779" s="324"/>
      <c r="AC779" s="324"/>
      <c r="AD779" s="324"/>
      <c r="AE779" s="324"/>
      <c r="AF779" s="324"/>
    </row>
    <row r="780" spans="3:32" s="294" customFormat="1">
      <c r="C780" s="10"/>
      <c r="D780" s="29"/>
      <c r="E780" s="29"/>
      <c r="F780" s="36"/>
      <c r="G780" s="324"/>
      <c r="H780" s="324"/>
      <c r="I780" s="324"/>
      <c r="J780" s="324"/>
      <c r="K780" s="324"/>
      <c r="L780" s="324"/>
      <c r="M780" s="324"/>
      <c r="N780" s="324"/>
      <c r="O780" s="324"/>
      <c r="P780" s="324"/>
      <c r="Q780" s="324"/>
      <c r="R780" s="324"/>
      <c r="S780" s="324"/>
      <c r="T780" s="324"/>
      <c r="U780" s="324"/>
      <c r="V780" s="324"/>
      <c r="W780" s="324"/>
      <c r="X780" s="324"/>
      <c r="Y780" s="324"/>
      <c r="Z780" s="324"/>
      <c r="AA780" s="324"/>
      <c r="AB780" s="324"/>
      <c r="AC780" s="324"/>
      <c r="AD780" s="324"/>
      <c r="AE780" s="324"/>
      <c r="AF780" s="324"/>
    </row>
    <row r="781" spans="3:32" s="294" customFormat="1">
      <c r="C781" s="10"/>
      <c r="D781" s="29"/>
      <c r="E781" s="29"/>
      <c r="F781" s="36"/>
      <c r="G781" s="324"/>
      <c r="H781" s="324"/>
      <c r="I781" s="324"/>
      <c r="J781" s="324"/>
      <c r="K781" s="324"/>
      <c r="L781" s="324"/>
      <c r="M781" s="324"/>
      <c r="N781" s="324"/>
      <c r="O781" s="324"/>
      <c r="P781" s="324"/>
      <c r="Q781" s="324"/>
      <c r="R781" s="324"/>
      <c r="S781" s="324"/>
      <c r="T781" s="324"/>
      <c r="U781" s="324"/>
      <c r="V781" s="324"/>
      <c r="W781" s="324"/>
      <c r="X781" s="324"/>
      <c r="Y781" s="324"/>
      <c r="Z781" s="324"/>
      <c r="AA781" s="324"/>
      <c r="AB781" s="324"/>
      <c r="AC781" s="324"/>
      <c r="AD781" s="324"/>
      <c r="AE781" s="324"/>
      <c r="AF781" s="324"/>
    </row>
    <row r="782" spans="3:32" s="294" customFormat="1">
      <c r="C782" s="10"/>
      <c r="D782" s="29"/>
      <c r="E782" s="29"/>
      <c r="F782" s="36"/>
      <c r="G782" s="324"/>
      <c r="H782" s="324"/>
      <c r="I782" s="324"/>
      <c r="J782" s="324"/>
      <c r="K782" s="324"/>
      <c r="L782" s="324"/>
      <c r="M782" s="324"/>
      <c r="N782" s="324"/>
      <c r="O782" s="324"/>
      <c r="P782" s="324"/>
      <c r="Q782" s="324"/>
      <c r="R782" s="324"/>
      <c r="S782" s="324"/>
      <c r="T782" s="324"/>
      <c r="U782" s="324"/>
      <c r="V782" s="324"/>
      <c r="W782" s="324"/>
      <c r="X782" s="324"/>
      <c r="Y782" s="324"/>
      <c r="Z782" s="324"/>
      <c r="AA782" s="324"/>
      <c r="AB782" s="324"/>
      <c r="AC782" s="324"/>
      <c r="AD782" s="324"/>
      <c r="AE782" s="324"/>
      <c r="AF782" s="324"/>
    </row>
    <row r="783" spans="3:32" s="294" customFormat="1">
      <c r="C783" s="10"/>
      <c r="D783" s="29"/>
      <c r="E783" s="29"/>
      <c r="F783" s="36"/>
      <c r="G783" s="324"/>
      <c r="H783" s="324"/>
      <c r="I783" s="324"/>
      <c r="J783" s="324"/>
      <c r="K783" s="324"/>
      <c r="L783" s="324"/>
      <c r="M783" s="324"/>
      <c r="N783" s="324"/>
      <c r="O783" s="324"/>
      <c r="P783" s="324"/>
      <c r="Q783" s="324"/>
      <c r="R783" s="324"/>
      <c r="S783" s="324"/>
      <c r="T783" s="324"/>
      <c r="U783" s="324"/>
      <c r="V783" s="324"/>
      <c r="W783" s="324"/>
      <c r="X783" s="324"/>
      <c r="Y783" s="324"/>
      <c r="Z783" s="324"/>
      <c r="AA783" s="324"/>
      <c r="AB783" s="324"/>
      <c r="AC783" s="324"/>
      <c r="AD783" s="324"/>
      <c r="AE783" s="324"/>
      <c r="AF783" s="324"/>
    </row>
    <row r="784" spans="3:32" s="294" customFormat="1">
      <c r="C784" s="10"/>
      <c r="D784" s="29"/>
      <c r="E784" s="29"/>
      <c r="F784" s="36"/>
      <c r="G784" s="324"/>
      <c r="H784" s="324"/>
      <c r="I784" s="324"/>
      <c r="J784" s="324"/>
      <c r="K784" s="324"/>
      <c r="L784" s="324"/>
      <c r="M784" s="324"/>
      <c r="N784" s="324"/>
      <c r="O784" s="324"/>
      <c r="P784" s="324"/>
      <c r="Q784" s="324"/>
      <c r="R784" s="324"/>
      <c r="S784" s="324"/>
      <c r="T784" s="324"/>
      <c r="U784" s="324"/>
      <c r="V784" s="324"/>
      <c r="W784" s="324"/>
      <c r="X784" s="324"/>
      <c r="Y784" s="324"/>
      <c r="Z784" s="324"/>
      <c r="AA784" s="324"/>
      <c r="AB784" s="324"/>
      <c r="AC784" s="324"/>
      <c r="AD784" s="324"/>
      <c r="AE784" s="324"/>
      <c r="AF784" s="324"/>
    </row>
    <row r="785" spans="3:32" s="294" customFormat="1">
      <c r="C785" s="10"/>
      <c r="D785" s="29"/>
      <c r="E785" s="29"/>
      <c r="F785" s="36"/>
      <c r="G785" s="324"/>
      <c r="H785" s="324"/>
      <c r="I785" s="324"/>
      <c r="J785" s="324"/>
      <c r="K785" s="324"/>
      <c r="L785" s="324"/>
      <c r="M785" s="324"/>
      <c r="N785" s="324"/>
      <c r="O785" s="324"/>
      <c r="P785" s="324"/>
      <c r="Q785" s="324"/>
      <c r="R785" s="324"/>
      <c r="S785" s="324"/>
      <c r="T785" s="324"/>
      <c r="U785" s="324"/>
      <c r="V785" s="324"/>
      <c r="W785" s="324"/>
      <c r="X785" s="324"/>
      <c r="Y785" s="324"/>
      <c r="Z785" s="324"/>
      <c r="AA785" s="324"/>
      <c r="AB785" s="324"/>
      <c r="AC785" s="324"/>
      <c r="AD785" s="324"/>
      <c r="AE785" s="324"/>
      <c r="AF785" s="324"/>
    </row>
    <row r="786" spans="3:32" s="294" customFormat="1">
      <c r="C786" s="10"/>
      <c r="D786" s="29"/>
      <c r="E786" s="29"/>
      <c r="F786" s="36"/>
      <c r="G786" s="324"/>
      <c r="H786" s="324"/>
      <c r="I786" s="324"/>
      <c r="J786" s="324"/>
      <c r="K786" s="324"/>
      <c r="L786" s="324"/>
      <c r="M786" s="324"/>
      <c r="N786" s="324"/>
      <c r="O786" s="324"/>
      <c r="P786" s="324"/>
      <c r="Q786" s="324"/>
      <c r="R786" s="324"/>
      <c r="S786" s="324"/>
      <c r="T786" s="324"/>
      <c r="U786" s="324"/>
      <c r="V786" s="324"/>
      <c r="W786" s="324"/>
      <c r="X786" s="324"/>
      <c r="Y786" s="324"/>
      <c r="Z786" s="324"/>
      <c r="AA786" s="324"/>
      <c r="AB786" s="324"/>
      <c r="AC786" s="324"/>
      <c r="AD786" s="324"/>
      <c r="AE786" s="324"/>
      <c r="AF786" s="324"/>
    </row>
    <row r="787" spans="3:32" s="294" customFormat="1">
      <c r="C787" s="10"/>
      <c r="D787" s="29"/>
      <c r="E787" s="29"/>
      <c r="F787" s="36"/>
      <c r="G787" s="324"/>
      <c r="H787" s="324"/>
      <c r="I787" s="324"/>
      <c r="J787" s="324"/>
      <c r="K787" s="324"/>
      <c r="L787" s="324"/>
      <c r="M787" s="324"/>
      <c r="N787" s="324"/>
      <c r="O787" s="324"/>
      <c r="P787" s="324"/>
      <c r="Q787" s="324"/>
      <c r="R787" s="324"/>
      <c r="S787" s="324"/>
      <c r="T787" s="324"/>
      <c r="U787" s="324"/>
      <c r="V787" s="324"/>
      <c r="W787" s="324"/>
      <c r="X787" s="324"/>
      <c r="Y787" s="324"/>
      <c r="Z787" s="324"/>
      <c r="AA787" s="324"/>
      <c r="AB787" s="324"/>
      <c r="AC787" s="324"/>
      <c r="AD787" s="324"/>
      <c r="AE787" s="324"/>
      <c r="AF787" s="324"/>
    </row>
    <row r="788" spans="3:32" s="294" customFormat="1">
      <c r="C788" s="10"/>
      <c r="D788" s="29"/>
      <c r="E788" s="29"/>
      <c r="F788" s="36"/>
      <c r="G788" s="324"/>
      <c r="H788" s="324"/>
      <c r="I788" s="324"/>
      <c r="J788" s="324"/>
      <c r="K788" s="324"/>
      <c r="L788" s="324"/>
      <c r="M788" s="324"/>
      <c r="N788" s="324"/>
      <c r="O788" s="324"/>
      <c r="P788" s="324"/>
      <c r="Q788" s="324"/>
      <c r="R788" s="324"/>
      <c r="S788" s="324"/>
      <c r="T788" s="324"/>
      <c r="U788" s="324"/>
      <c r="V788" s="324"/>
      <c r="W788" s="324"/>
      <c r="X788" s="324"/>
      <c r="Y788" s="324"/>
      <c r="Z788" s="324"/>
      <c r="AA788" s="324"/>
      <c r="AB788" s="324"/>
      <c r="AC788" s="324"/>
      <c r="AD788" s="324"/>
      <c r="AE788" s="324"/>
      <c r="AF788" s="324"/>
    </row>
    <row r="789" spans="3:32" s="294" customFormat="1">
      <c r="C789" s="10"/>
      <c r="D789" s="29"/>
      <c r="E789" s="29"/>
      <c r="F789" s="36"/>
      <c r="G789" s="324"/>
      <c r="H789" s="324"/>
      <c r="I789" s="324"/>
      <c r="J789" s="324"/>
      <c r="K789" s="324"/>
      <c r="L789" s="324"/>
      <c r="M789" s="324"/>
      <c r="N789" s="324"/>
      <c r="O789" s="324"/>
      <c r="P789" s="324"/>
      <c r="Q789" s="324"/>
      <c r="R789" s="324"/>
      <c r="S789" s="324"/>
      <c r="T789" s="324"/>
      <c r="U789" s="324"/>
      <c r="V789" s="324"/>
      <c r="W789" s="324"/>
      <c r="X789" s="324"/>
      <c r="Y789" s="324"/>
      <c r="Z789" s="324"/>
      <c r="AA789" s="324"/>
      <c r="AB789" s="324"/>
      <c r="AC789" s="324"/>
      <c r="AD789" s="324"/>
      <c r="AE789" s="324"/>
      <c r="AF789" s="324"/>
    </row>
    <row r="790" spans="3:32" s="294" customFormat="1">
      <c r="C790" s="10"/>
      <c r="D790" s="29"/>
      <c r="E790" s="29"/>
      <c r="F790" s="36"/>
      <c r="G790" s="324"/>
      <c r="H790" s="324"/>
      <c r="I790" s="324"/>
      <c r="J790" s="324"/>
      <c r="K790" s="324"/>
      <c r="L790" s="324"/>
      <c r="M790" s="324"/>
      <c r="N790" s="324"/>
      <c r="O790" s="324"/>
      <c r="P790" s="324"/>
      <c r="Q790" s="324"/>
      <c r="R790" s="324"/>
      <c r="S790" s="324"/>
      <c r="T790" s="324"/>
      <c r="U790" s="324"/>
      <c r="V790" s="324"/>
      <c r="W790" s="324"/>
      <c r="X790" s="324"/>
      <c r="Y790" s="324"/>
      <c r="Z790" s="324"/>
      <c r="AA790" s="324"/>
      <c r="AB790" s="324"/>
      <c r="AC790" s="324"/>
      <c r="AD790" s="324"/>
      <c r="AE790" s="324"/>
      <c r="AF790" s="324"/>
    </row>
    <row r="791" spans="3:32" s="294" customFormat="1">
      <c r="C791" s="10"/>
      <c r="D791" s="29"/>
      <c r="E791" s="29"/>
      <c r="F791" s="36"/>
      <c r="G791" s="324"/>
      <c r="H791" s="324"/>
      <c r="I791" s="324"/>
      <c r="J791" s="324"/>
      <c r="K791" s="324"/>
      <c r="L791" s="324"/>
      <c r="M791" s="324"/>
      <c r="N791" s="324"/>
      <c r="O791" s="324"/>
      <c r="P791" s="324"/>
      <c r="Q791" s="324"/>
      <c r="R791" s="324"/>
      <c r="S791" s="324"/>
      <c r="T791" s="324"/>
      <c r="U791" s="324"/>
      <c r="V791" s="324"/>
      <c r="W791" s="324"/>
      <c r="X791" s="324"/>
      <c r="Y791" s="324"/>
      <c r="Z791" s="324"/>
      <c r="AA791" s="324"/>
      <c r="AB791" s="324"/>
      <c r="AC791" s="324"/>
      <c r="AD791" s="324"/>
      <c r="AE791" s="324"/>
      <c r="AF791" s="324"/>
    </row>
    <row r="792" spans="3:32" s="294" customFormat="1">
      <c r="C792" s="10"/>
      <c r="D792" s="29"/>
      <c r="E792" s="29"/>
      <c r="F792" s="36"/>
      <c r="G792" s="324"/>
      <c r="H792" s="324"/>
      <c r="I792" s="324"/>
      <c r="J792" s="324"/>
      <c r="K792" s="324"/>
      <c r="L792" s="324"/>
      <c r="M792" s="324"/>
      <c r="N792" s="324"/>
      <c r="O792" s="324"/>
      <c r="P792" s="324"/>
      <c r="Q792" s="324"/>
      <c r="R792" s="324"/>
      <c r="S792" s="324"/>
      <c r="T792" s="324"/>
      <c r="U792" s="324"/>
      <c r="V792" s="324"/>
      <c r="W792" s="324"/>
      <c r="X792" s="324"/>
      <c r="Y792" s="324"/>
      <c r="Z792" s="324"/>
      <c r="AA792" s="324"/>
      <c r="AB792" s="324"/>
      <c r="AC792" s="324"/>
      <c r="AD792" s="324"/>
      <c r="AE792" s="324"/>
      <c r="AF792" s="324"/>
    </row>
    <row r="793" spans="3:32" s="294" customFormat="1">
      <c r="C793" s="10"/>
      <c r="D793" s="29"/>
      <c r="E793" s="29"/>
      <c r="F793" s="36"/>
      <c r="G793" s="324"/>
      <c r="H793" s="324"/>
      <c r="I793" s="324"/>
      <c r="J793" s="324"/>
      <c r="K793" s="324"/>
      <c r="L793" s="324"/>
      <c r="M793" s="324"/>
      <c r="N793" s="324"/>
      <c r="O793" s="324"/>
      <c r="P793" s="324"/>
      <c r="Q793" s="324"/>
      <c r="R793" s="324"/>
      <c r="S793" s="324"/>
      <c r="T793" s="324"/>
      <c r="U793" s="324"/>
      <c r="V793" s="324"/>
      <c r="W793" s="324"/>
      <c r="X793" s="324"/>
      <c r="Y793" s="324"/>
      <c r="Z793" s="324"/>
      <c r="AA793" s="324"/>
      <c r="AB793" s="324"/>
      <c r="AC793" s="324"/>
      <c r="AD793" s="324"/>
      <c r="AE793" s="324"/>
      <c r="AF793" s="324"/>
    </row>
    <row r="794" spans="3:32" s="294" customFormat="1">
      <c r="C794" s="10"/>
      <c r="D794" s="29"/>
      <c r="E794" s="29"/>
      <c r="F794" s="36"/>
      <c r="G794" s="324"/>
      <c r="H794" s="324"/>
      <c r="I794" s="324"/>
      <c r="J794" s="324"/>
      <c r="K794" s="324"/>
      <c r="L794" s="324"/>
      <c r="M794" s="324"/>
      <c r="N794" s="324"/>
      <c r="O794" s="324"/>
      <c r="P794" s="324"/>
      <c r="Q794" s="324"/>
      <c r="R794" s="324"/>
      <c r="S794" s="324"/>
      <c r="T794" s="324"/>
      <c r="U794" s="324"/>
      <c r="V794" s="324"/>
      <c r="W794" s="324"/>
      <c r="X794" s="324"/>
      <c r="Y794" s="324"/>
      <c r="Z794" s="324"/>
      <c r="AA794" s="324"/>
      <c r="AB794" s="324"/>
      <c r="AC794" s="324"/>
      <c r="AD794" s="324"/>
      <c r="AE794" s="324"/>
      <c r="AF794" s="324"/>
    </row>
    <row r="795" spans="3:32" s="294" customFormat="1">
      <c r="C795" s="10"/>
      <c r="D795" s="29"/>
      <c r="E795" s="29"/>
      <c r="F795" s="36"/>
      <c r="G795" s="324"/>
      <c r="H795" s="324"/>
      <c r="I795" s="324"/>
      <c r="J795" s="324"/>
      <c r="K795" s="324"/>
      <c r="L795" s="324"/>
      <c r="M795" s="324"/>
      <c r="N795" s="324"/>
      <c r="O795" s="324"/>
      <c r="P795" s="324"/>
      <c r="Q795" s="324"/>
      <c r="R795" s="324"/>
      <c r="S795" s="324"/>
      <c r="T795" s="324"/>
      <c r="U795" s="324"/>
      <c r="V795" s="324"/>
      <c r="W795" s="324"/>
      <c r="X795" s="324"/>
      <c r="Y795" s="324"/>
      <c r="Z795" s="324"/>
      <c r="AA795" s="324"/>
      <c r="AB795" s="324"/>
      <c r="AC795" s="324"/>
      <c r="AD795" s="324"/>
      <c r="AE795" s="324"/>
      <c r="AF795" s="324"/>
    </row>
    <row r="796" spans="3:32" s="294" customFormat="1">
      <c r="C796" s="10"/>
      <c r="D796" s="29"/>
      <c r="E796" s="29"/>
      <c r="F796" s="36"/>
      <c r="G796" s="324"/>
      <c r="H796" s="324"/>
      <c r="I796" s="324"/>
      <c r="J796" s="324"/>
      <c r="K796" s="324"/>
      <c r="L796" s="324"/>
      <c r="M796" s="324"/>
      <c r="N796" s="324"/>
      <c r="O796" s="324"/>
      <c r="P796" s="324"/>
      <c r="Q796" s="324"/>
      <c r="R796" s="324"/>
      <c r="S796" s="324"/>
      <c r="T796" s="324"/>
      <c r="U796" s="324"/>
      <c r="V796" s="324"/>
      <c r="W796" s="324"/>
      <c r="X796" s="324"/>
      <c r="Y796" s="324"/>
      <c r="Z796" s="324"/>
      <c r="AA796" s="324"/>
      <c r="AB796" s="324"/>
      <c r="AC796" s="324"/>
      <c r="AD796" s="324"/>
      <c r="AE796" s="324"/>
      <c r="AF796" s="324"/>
    </row>
    <row r="797" spans="3:32" s="294" customFormat="1">
      <c r="C797" s="10"/>
      <c r="D797" s="29"/>
      <c r="E797" s="29"/>
      <c r="F797" s="36"/>
      <c r="G797" s="324"/>
      <c r="H797" s="324"/>
      <c r="I797" s="324"/>
      <c r="J797" s="324"/>
      <c r="K797" s="324"/>
      <c r="L797" s="324"/>
      <c r="M797" s="324"/>
      <c r="N797" s="324"/>
      <c r="O797" s="324"/>
      <c r="P797" s="324"/>
      <c r="Q797" s="324"/>
      <c r="R797" s="324"/>
      <c r="S797" s="324"/>
      <c r="T797" s="324"/>
      <c r="U797" s="324"/>
      <c r="V797" s="324"/>
      <c r="W797" s="324"/>
      <c r="X797" s="324"/>
      <c r="Y797" s="324"/>
      <c r="Z797" s="324"/>
      <c r="AA797" s="324"/>
      <c r="AB797" s="324"/>
      <c r="AC797" s="324"/>
      <c r="AD797" s="324"/>
      <c r="AE797" s="324"/>
      <c r="AF797" s="324"/>
    </row>
    <row r="798" spans="3:32" s="294" customFormat="1">
      <c r="C798" s="10"/>
      <c r="D798" s="29"/>
      <c r="E798" s="29"/>
      <c r="F798" s="36"/>
      <c r="G798" s="324"/>
      <c r="H798" s="324"/>
      <c r="I798" s="324"/>
      <c r="J798" s="324"/>
      <c r="K798" s="324"/>
      <c r="L798" s="324"/>
      <c r="M798" s="324"/>
      <c r="N798" s="324"/>
      <c r="O798" s="324"/>
      <c r="P798" s="324"/>
      <c r="Q798" s="324"/>
      <c r="R798" s="324"/>
      <c r="S798" s="324"/>
      <c r="T798" s="324"/>
      <c r="U798" s="324"/>
      <c r="V798" s="324"/>
      <c r="W798" s="324"/>
      <c r="X798" s="324"/>
      <c r="Y798" s="324"/>
      <c r="Z798" s="324"/>
      <c r="AA798" s="324"/>
      <c r="AB798" s="324"/>
      <c r="AC798" s="324"/>
      <c r="AD798" s="324"/>
      <c r="AE798" s="324"/>
      <c r="AF798" s="324"/>
    </row>
    <row r="799" spans="3:32" s="294" customFormat="1">
      <c r="C799" s="10"/>
      <c r="D799" s="29"/>
      <c r="E799" s="29"/>
      <c r="F799" s="36"/>
      <c r="G799" s="324"/>
      <c r="H799" s="324"/>
      <c r="I799" s="324"/>
      <c r="J799" s="324"/>
      <c r="K799" s="324"/>
      <c r="L799" s="324"/>
      <c r="M799" s="324"/>
      <c r="N799" s="324"/>
      <c r="O799" s="324"/>
      <c r="P799" s="324"/>
      <c r="Q799" s="324"/>
      <c r="R799" s="324"/>
      <c r="S799" s="324"/>
      <c r="T799" s="324"/>
      <c r="U799" s="324"/>
      <c r="V799" s="324"/>
      <c r="W799" s="324"/>
      <c r="X799" s="324"/>
      <c r="Y799" s="324"/>
      <c r="Z799" s="324"/>
      <c r="AA799" s="324"/>
      <c r="AB799" s="324"/>
      <c r="AC799" s="324"/>
      <c r="AD799" s="324"/>
      <c r="AE799" s="324"/>
      <c r="AF799" s="324"/>
    </row>
    <row r="800" spans="3:32" s="294" customFormat="1">
      <c r="C800" s="10"/>
      <c r="D800" s="29"/>
      <c r="E800" s="29"/>
      <c r="F800" s="36"/>
      <c r="G800" s="324"/>
      <c r="H800" s="324"/>
      <c r="I800" s="324"/>
      <c r="J800" s="324"/>
      <c r="K800" s="324"/>
      <c r="L800" s="324"/>
      <c r="M800" s="324"/>
      <c r="N800" s="324"/>
      <c r="O800" s="324"/>
      <c r="P800" s="324"/>
      <c r="Q800" s="324"/>
      <c r="R800" s="324"/>
      <c r="S800" s="324"/>
      <c r="T800" s="324"/>
      <c r="U800" s="324"/>
      <c r="V800" s="324"/>
      <c r="W800" s="324"/>
      <c r="X800" s="324"/>
      <c r="Y800" s="324"/>
      <c r="Z800" s="324"/>
      <c r="AA800" s="324"/>
      <c r="AB800" s="324"/>
      <c r="AC800" s="324"/>
      <c r="AD800" s="324"/>
      <c r="AE800" s="324"/>
      <c r="AF800" s="324"/>
    </row>
    <row r="801" spans="3:32" s="294" customFormat="1">
      <c r="C801" s="10"/>
      <c r="D801" s="29"/>
      <c r="E801" s="29"/>
      <c r="F801" s="36"/>
      <c r="G801" s="324"/>
      <c r="H801" s="324"/>
      <c r="I801" s="324"/>
      <c r="J801" s="324"/>
      <c r="K801" s="324"/>
      <c r="L801" s="324"/>
      <c r="M801" s="324"/>
      <c r="N801" s="324"/>
      <c r="O801" s="324"/>
      <c r="P801" s="324"/>
      <c r="Q801" s="324"/>
      <c r="R801" s="324"/>
      <c r="S801" s="324"/>
      <c r="T801" s="324"/>
      <c r="U801" s="324"/>
      <c r="V801" s="324"/>
      <c r="W801" s="324"/>
      <c r="X801" s="324"/>
      <c r="Y801" s="324"/>
      <c r="Z801" s="324"/>
      <c r="AA801" s="324"/>
      <c r="AB801" s="324"/>
      <c r="AC801" s="324"/>
      <c r="AD801" s="324"/>
      <c r="AE801" s="324"/>
      <c r="AF801" s="324"/>
    </row>
    <row r="802" spans="3:32" s="294" customFormat="1">
      <c r="C802" s="10"/>
      <c r="D802" s="29"/>
      <c r="E802" s="29"/>
      <c r="F802" s="36"/>
      <c r="G802" s="324"/>
      <c r="H802" s="324"/>
      <c r="I802" s="324"/>
      <c r="J802" s="324"/>
      <c r="K802" s="324"/>
      <c r="L802" s="324"/>
      <c r="M802" s="324"/>
      <c r="N802" s="324"/>
      <c r="O802" s="324"/>
      <c r="P802" s="324"/>
      <c r="Q802" s="324"/>
      <c r="R802" s="324"/>
      <c r="S802" s="324"/>
      <c r="T802" s="324"/>
      <c r="U802" s="324"/>
      <c r="V802" s="324"/>
      <c r="W802" s="324"/>
      <c r="X802" s="324"/>
      <c r="Y802" s="324"/>
      <c r="Z802" s="324"/>
      <c r="AA802" s="324"/>
      <c r="AB802" s="324"/>
      <c r="AC802" s="324"/>
      <c r="AD802" s="324"/>
      <c r="AE802" s="324"/>
      <c r="AF802" s="324"/>
    </row>
    <row r="803" spans="3:32" s="294" customFormat="1">
      <c r="C803" s="10"/>
      <c r="D803" s="29"/>
      <c r="E803" s="29"/>
      <c r="F803" s="36"/>
      <c r="G803" s="324"/>
      <c r="H803" s="324"/>
      <c r="I803" s="324"/>
      <c r="J803" s="324"/>
      <c r="K803" s="324"/>
      <c r="L803" s="324"/>
      <c r="M803" s="324"/>
      <c r="N803" s="324"/>
      <c r="O803" s="324"/>
      <c r="P803" s="324"/>
      <c r="Q803" s="324"/>
      <c r="R803" s="324"/>
      <c r="S803" s="324"/>
      <c r="T803" s="324"/>
      <c r="U803" s="324"/>
      <c r="V803" s="324"/>
      <c r="W803" s="324"/>
      <c r="X803" s="324"/>
      <c r="Y803" s="324"/>
      <c r="Z803" s="324"/>
      <c r="AA803" s="324"/>
      <c r="AB803" s="324"/>
      <c r="AC803" s="324"/>
      <c r="AD803" s="324"/>
      <c r="AE803" s="324"/>
      <c r="AF803" s="324"/>
    </row>
    <row r="804" spans="3:32" s="294" customFormat="1">
      <c r="C804" s="10"/>
      <c r="D804" s="29"/>
      <c r="E804" s="29"/>
      <c r="F804" s="36"/>
      <c r="G804" s="324"/>
      <c r="H804" s="324"/>
      <c r="I804" s="324"/>
      <c r="J804" s="324"/>
      <c r="K804" s="324"/>
      <c r="L804" s="324"/>
      <c r="M804" s="324"/>
      <c r="N804" s="324"/>
      <c r="O804" s="324"/>
      <c r="P804" s="324"/>
      <c r="Q804" s="324"/>
      <c r="R804" s="324"/>
      <c r="S804" s="324"/>
      <c r="T804" s="324"/>
      <c r="U804" s="324"/>
      <c r="V804" s="324"/>
      <c r="W804" s="324"/>
      <c r="X804" s="324"/>
      <c r="Y804" s="324"/>
      <c r="Z804" s="324"/>
      <c r="AA804" s="324"/>
      <c r="AB804" s="324"/>
      <c r="AC804" s="324"/>
      <c r="AD804" s="324"/>
      <c r="AE804" s="324"/>
      <c r="AF804" s="324"/>
    </row>
    <row r="805" spans="3:32" s="294" customFormat="1">
      <c r="C805" s="10"/>
      <c r="D805" s="29"/>
      <c r="E805" s="29"/>
      <c r="F805" s="36"/>
      <c r="G805" s="324"/>
      <c r="H805" s="324"/>
      <c r="I805" s="324"/>
      <c r="J805" s="324"/>
      <c r="K805" s="324"/>
      <c r="L805" s="324"/>
      <c r="M805" s="324"/>
      <c r="N805" s="324"/>
      <c r="O805" s="324"/>
      <c r="P805" s="324"/>
      <c r="Q805" s="324"/>
      <c r="R805" s="324"/>
      <c r="S805" s="324"/>
      <c r="T805" s="324"/>
      <c r="U805" s="324"/>
      <c r="V805" s="324"/>
      <c r="W805" s="324"/>
      <c r="X805" s="324"/>
      <c r="Y805" s="324"/>
      <c r="Z805" s="324"/>
      <c r="AA805" s="324"/>
      <c r="AB805" s="324"/>
      <c r="AC805" s="324"/>
      <c r="AD805" s="324"/>
      <c r="AE805" s="324"/>
      <c r="AF805" s="324"/>
    </row>
    <row r="806" spans="3:32" s="294" customFormat="1">
      <c r="C806" s="10"/>
      <c r="D806" s="29"/>
      <c r="E806" s="29"/>
      <c r="F806" s="36"/>
      <c r="G806" s="324"/>
      <c r="H806" s="324"/>
      <c r="I806" s="324"/>
      <c r="J806" s="324"/>
      <c r="K806" s="324"/>
      <c r="L806" s="324"/>
      <c r="M806" s="324"/>
      <c r="N806" s="324"/>
      <c r="O806" s="324"/>
      <c r="P806" s="324"/>
      <c r="Q806" s="324"/>
      <c r="R806" s="324"/>
      <c r="S806" s="324"/>
      <c r="T806" s="324"/>
      <c r="U806" s="324"/>
      <c r="V806" s="324"/>
      <c r="W806" s="324"/>
      <c r="X806" s="324"/>
      <c r="Y806" s="324"/>
      <c r="Z806" s="324"/>
      <c r="AA806" s="324"/>
      <c r="AB806" s="324"/>
      <c r="AC806" s="324"/>
      <c r="AD806" s="324"/>
      <c r="AE806" s="324"/>
      <c r="AF806" s="324"/>
    </row>
    <row r="807" spans="3:32" s="294" customFormat="1">
      <c r="C807" s="10"/>
      <c r="D807" s="29"/>
      <c r="E807" s="29"/>
      <c r="F807" s="36"/>
      <c r="G807" s="324"/>
      <c r="H807" s="324"/>
      <c r="I807" s="324"/>
      <c r="J807" s="324"/>
      <c r="K807" s="324"/>
      <c r="L807" s="324"/>
      <c r="M807" s="324"/>
      <c r="N807" s="324"/>
      <c r="O807" s="324"/>
      <c r="P807" s="324"/>
      <c r="Q807" s="324"/>
      <c r="R807" s="324"/>
      <c r="S807" s="324"/>
      <c r="T807" s="324"/>
      <c r="U807" s="324"/>
      <c r="V807" s="324"/>
      <c r="W807" s="324"/>
      <c r="X807" s="324"/>
      <c r="Y807" s="324"/>
      <c r="Z807" s="324"/>
      <c r="AA807" s="324"/>
      <c r="AB807" s="324"/>
      <c r="AC807" s="324"/>
      <c r="AD807" s="324"/>
      <c r="AE807" s="324"/>
      <c r="AF807" s="324"/>
    </row>
    <row r="808" spans="3:32" s="294" customFormat="1">
      <c r="C808" s="10"/>
      <c r="D808" s="29"/>
      <c r="E808" s="29"/>
      <c r="F808" s="36"/>
      <c r="G808" s="324"/>
      <c r="H808" s="324"/>
      <c r="I808" s="324"/>
      <c r="J808" s="324"/>
      <c r="K808" s="324"/>
      <c r="L808" s="324"/>
      <c r="M808" s="324"/>
      <c r="N808" s="324"/>
      <c r="O808" s="324"/>
      <c r="P808" s="324"/>
      <c r="Q808" s="324"/>
      <c r="R808" s="324"/>
      <c r="S808" s="324"/>
      <c r="T808" s="324"/>
      <c r="U808" s="324"/>
      <c r="V808" s="324"/>
      <c r="W808" s="324"/>
      <c r="X808" s="324"/>
      <c r="Y808" s="324"/>
      <c r="Z808" s="324"/>
      <c r="AA808" s="324"/>
      <c r="AB808" s="324"/>
      <c r="AC808" s="324"/>
      <c r="AD808" s="324"/>
      <c r="AE808" s="324"/>
      <c r="AF808" s="324"/>
    </row>
    <row r="809" spans="3:32" s="294" customFormat="1">
      <c r="C809" s="10"/>
      <c r="D809" s="29"/>
      <c r="E809" s="29"/>
      <c r="F809" s="36"/>
      <c r="G809" s="324"/>
      <c r="H809" s="324"/>
      <c r="I809" s="324"/>
      <c r="J809" s="324"/>
      <c r="K809" s="324"/>
      <c r="L809" s="324"/>
      <c r="M809" s="324"/>
      <c r="N809" s="324"/>
      <c r="O809" s="324"/>
      <c r="P809" s="324"/>
      <c r="Q809" s="324"/>
      <c r="R809" s="324"/>
      <c r="S809" s="324"/>
      <c r="T809" s="324"/>
      <c r="U809" s="324"/>
      <c r="V809" s="324"/>
      <c r="W809" s="324"/>
      <c r="X809" s="324"/>
      <c r="Y809" s="324"/>
      <c r="Z809" s="324"/>
      <c r="AA809" s="324"/>
      <c r="AB809" s="324"/>
      <c r="AC809" s="324"/>
      <c r="AD809" s="324"/>
      <c r="AE809" s="324"/>
      <c r="AF809" s="324"/>
    </row>
    <row r="810" spans="3:32" s="294" customFormat="1">
      <c r="C810" s="10"/>
      <c r="D810" s="29"/>
      <c r="E810" s="29"/>
      <c r="F810" s="36"/>
      <c r="G810" s="324"/>
      <c r="H810" s="324"/>
      <c r="I810" s="324"/>
      <c r="J810" s="324"/>
      <c r="K810" s="324"/>
      <c r="L810" s="324"/>
      <c r="M810" s="324"/>
      <c r="N810" s="324"/>
      <c r="O810" s="324"/>
      <c r="P810" s="324"/>
      <c r="Q810" s="324"/>
      <c r="R810" s="324"/>
      <c r="S810" s="324"/>
      <c r="T810" s="324"/>
      <c r="U810" s="324"/>
      <c r="V810" s="324"/>
      <c r="W810" s="324"/>
      <c r="X810" s="324"/>
      <c r="Y810" s="324"/>
      <c r="Z810" s="324"/>
      <c r="AA810" s="324"/>
      <c r="AB810" s="324"/>
      <c r="AC810" s="324"/>
      <c r="AD810" s="324"/>
      <c r="AE810" s="324"/>
      <c r="AF810" s="324"/>
    </row>
    <row r="811" spans="3:32" s="294" customFormat="1">
      <c r="C811" s="10"/>
      <c r="D811" s="29"/>
      <c r="E811" s="29"/>
      <c r="F811" s="36"/>
      <c r="G811" s="324"/>
      <c r="H811" s="324"/>
      <c r="I811" s="324"/>
      <c r="J811" s="324"/>
      <c r="K811" s="324"/>
      <c r="L811" s="324"/>
      <c r="M811" s="324"/>
      <c r="N811" s="324"/>
      <c r="O811" s="324"/>
      <c r="P811" s="324"/>
      <c r="Q811" s="324"/>
      <c r="R811" s="324"/>
      <c r="S811" s="324"/>
      <c r="T811" s="324"/>
      <c r="U811" s="324"/>
      <c r="V811" s="324"/>
      <c r="W811" s="324"/>
      <c r="X811" s="324"/>
      <c r="Y811" s="324"/>
      <c r="Z811" s="324"/>
      <c r="AA811" s="324"/>
      <c r="AB811" s="324"/>
      <c r="AC811" s="324"/>
      <c r="AD811" s="324"/>
      <c r="AE811" s="324"/>
      <c r="AF811" s="324"/>
    </row>
    <row r="812" spans="3:32" s="294" customFormat="1">
      <c r="C812" s="10"/>
      <c r="D812" s="29"/>
      <c r="E812" s="29"/>
      <c r="F812" s="36"/>
      <c r="G812" s="324"/>
      <c r="H812" s="324"/>
      <c r="I812" s="324"/>
      <c r="J812" s="324"/>
      <c r="K812" s="324"/>
      <c r="L812" s="324"/>
      <c r="M812" s="324"/>
      <c r="N812" s="324"/>
      <c r="O812" s="324"/>
      <c r="P812" s="324"/>
      <c r="Q812" s="324"/>
      <c r="R812" s="324"/>
      <c r="S812" s="324"/>
      <c r="T812" s="324"/>
      <c r="U812" s="324"/>
      <c r="V812" s="324"/>
      <c r="W812" s="324"/>
      <c r="X812" s="324"/>
      <c r="Y812" s="324"/>
      <c r="Z812" s="324"/>
      <c r="AA812" s="324"/>
      <c r="AB812" s="324"/>
      <c r="AC812" s="324"/>
      <c r="AD812" s="324"/>
      <c r="AE812" s="324"/>
      <c r="AF812" s="324"/>
    </row>
    <row r="813" spans="3:32" s="294" customFormat="1">
      <c r="C813" s="10"/>
      <c r="D813" s="29"/>
      <c r="E813" s="29"/>
      <c r="F813" s="36"/>
      <c r="G813" s="324"/>
      <c r="H813" s="324"/>
      <c r="I813" s="324"/>
      <c r="J813" s="324"/>
      <c r="K813" s="324"/>
      <c r="L813" s="324"/>
      <c r="M813" s="324"/>
      <c r="N813" s="324"/>
      <c r="O813" s="324"/>
      <c r="P813" s="324"/>
      <c r="Q813" s="324"/>
      <c r="R813" s="324"/>
      <c r="S813" s="324"/>
      <c r="T813" s="324"/>
      <c r="U813" s="324"/>
      <c r="V813" s="324"/>
      <c r="W813" s="324"/>
      <c r="X813" s="324"/>
      <c r="Y813" s="324"/>
      <c r="Z813" s="324"/>
      <c r="AA813" s="324"/>
      <c r="AB813" s="324"/>
      <c r="AC813" s="324"/>
      <c r="AD813" s="324"/>
      <c r="AE813" s="324"/>
      <c r="AF813" s="324"/>
    </row>
    <row r="814" spans="3:32" s="294" customFormat="1">
      <c r="C814" s="10"/>
      <c r="D814" s="29"/>
      <c r="E814" s="29"/>
      <c r="F814" s="36"/>
      <c r="G814" s="324"/>
      <c r="H814" s="324"/>
      <c r="I814" s="324"/>
      <c r="J814" s="324"/>
      <c r="K814" s="324"/>
      <c r="L814" s="324"/>
      <c r="M814" s="324"/>
      <c r="N814" s="324"/>
      <c r="O814" s="324"/>
      <c r="P814" s="324"/>
      <c r="Q814" s="324"/>
      <c r="R814" s="324"/>
      <c r="S814" s="324"/>
      <c r="T814" s="324"/>
      <c r="U814" s="324"/>
      <c r="V814" s="324"/>
      <c r="W814" s="324"/>
      <c r="X814" s="324"/>
      <c r="Y814" s="324"/>
      <c r="Z814" s="324"/>
      <c r="AA814" s="324"/>
      <c r="AB814" s="324"/>
      <c r="AC814" s="324"/>
      <c r="AD814" s="324"/>
      <c r="AE814" s="324"/>
      <c r="AF814" s="324"/>
    </row>
    <row r="815" spans="3:32" s="294" customFormat="1">
      <c r="C815" s="10"/>
      <c r="D815" s="29"/>
      <c r="E815" s="29"/>
      <c r="F815" s="36"/>
      <c r="G815" s="324"/>
      <c r="H815" s="324"/>
      <c r="I815" s="324"/>
      <c r="J815" s="324"/>
      <c r="K815" s="324"/>
      <c r="L815" s="324"/>
      <c r="M815" s="324"/>
      <c r="N815" s="324"/>
      <c r="O815" s="324"/>
      <c r="P815" s="324"/>
      <c r="Q815" s="324"/>
      <c r="R815" s="324"/>
      <c r="S815" s="324"/>
      <c r="T815" s="324"/>
      <c r="U815" s="324"/>
      <c r="V815" s="324"/>
      <c r="W815" s="324"/>
      <c r="X815" s="324"/>
      <c r="Y815" s="324"/>
      <c r="Z815" s="324"/>
      <c r="AA815" s="324"/>
      <c r="AB815" s="324"/>
      <c r="AC815" s="324"/>
      <c r="AD815" s="324"/>
      <c r="AE815" s="324"/>
      <c r="AF815" s="324"/>
    </row>
    <row r="816" spans="3:32" s="294" customFormat="1">
      <c r="C816" s="10"/>
      <c r="D816" s="29"/>
      <c r="E816" s="29"/>
      <c r="F816" s="36"/>
      <c r="G816" s="324"/>
      <c r="H816" s="324"/>
      <c r="I816" s="324"/>
      <c r="J816" s="324"/>
      <c r="K816" s="324"/>
      <c r="L816" s="324"/>
      <c r="M816" s="324"/>
      <c r="N816" s="324"/>
      <c r="O816" s="324"/>
      <c r="P816" s="324"/>
      <c r="Q816" s="324"/>
      <c r="R816" s="324"/>
      <c r="S816" s="324"/>
      <c r="T816" s="324"/>
      <c r="U816" s="324"/>
      <c r="V816" s="324"/>
      <c r="W816" s="324"/>
      <c r="X816" s="324"/>
      <c r="Y816" s="324"/>
      <c r="Z816" s="324"/>
      <c r="AA816" s="324"/>
      <c r="AB816" s="324"/>
      <c r="AC816" s="324"/>
      <c r="AD816" s="324"/>
      <c r="AE816" s="324"/>
      <c r="AF816" s="324"/>
    </row>
    <row r="817" spans="3:32" s="294" customFormat="1">
      <c r="C817" s="10"/>
      <c r="D817" s="29"/>
      <c r="E817" s="29"/>
      <c r="F817" s="36"/>
      <c r="G817" s="324"/>
      <c r="H817" s="324"/>
      <c r="I817" s="324"/>
      <c r="J817" s="324"/>
      <c r="K817" s="324"/>
      <c r="L817" s="324"/>
      <c r="M817" s="324"/>
      <c r="N817" s="324"/>
      <c r="O817" s="324"/>
      <c r="P817" s="324"/>
      <c r="Q817" s="324"/>
      <c r="R817" s="324"/>
      <c r="S817" s="324"/>
      <c r="T817" s="324"/>
      <c r="U817" s="324"/>
      <c r="V817" s="324"/>
      <c r="W817" s="324"/>
      <c r="X817" s="324"/>
      <c r="Y817" s="324"/>
      <c r="Z817" s="324"/>
      <c r="AA817" s="324"/>
      <c r="AB817" s="324"/>
      <c r="AC817" s="324"/>
      <c r="AD817" s="324"/>
      <c r="AE817" s="324"/>
      <c r="AF817" s="324"/>
    </row>
    <row r="818" spans="3:32" s="294" customFormat="1">
      <c r="C818" s="10"/>
      <c r="D818" s="29"/>
      <c r="E818" s="29"/>
      <c r="F818" s="36"/>
      <c r="G818" s="324"/>
      <c r="H818" s="324"/>
      <c r="I818" s="324"/>
      <c r="J818" s="324"/>
      <c r="K818" s="324"/>
      <c r="L818" s="324"/>
      <c r="M818" s="324"/>
      <c r="N818" s="324"/>
      <c r="O818" s="324"/>
      <c r="P818" s="324"/>
      <c r="Q818" s="324"/>
      <c r="R818" s="324"/>
      <c r="S818" s="324"/>
      <c r="T818" s="324"/>
      <c r="U818" s="324"/>
      <c r="V818" s="324"/>
      <c r="W818" s="324"/>
      <c r="X818" s="324"/>
      <c r="Y818" s="324"/>
      <c r="Z818" s="324"/>
      <c r="AA818" s="324"/>
      <c r="AB818" s="324"/>
      <c r="AC818" s="324"/>
      <c r="AD818" s="324"/>
      <c r="AE818" s="324"/>
      <c r="AF818" s="324"/>
    </row>
    <row r="819" spans="3:32" s="294" customFormat="1">
      <c r="C819" s="10"/>
      <c r="D819" s="29"/>
      <c r="E819" s="29"/>
      <c r="F819" s="36"/>
      <c r="G819" s="324"/>
      <c r="H819" s="324"/>
      <c r="I819" s="324"/>
      <c r="J819" s="324"/>
      <c r="K819" s="324"/>
      <c r="L819" s="324"/>
      <c r="M819" s="324"/>
      <c r="N819" s="324"/>
      <c r="O819" s="324"/>
      <c r="P819" s="324"/>
      <c r="Q819" s="324"/>
      <c r="R819" s="324"/>
      <c r="S819" s="324"/>
      <c r="T819" s="324"/>
      <c r="U819" s="324"/>
      <c r="V819" s="324"/>
      <c r="W819" s="324"/>
      <c r="X819" s="324"/>
      <c r="Y819" s="324"/>
      <c r="Z819" s="324"/>
      <c r="AA819" s="324"/>
      <c r="AB819" s="324"/>
      <c r="AC819" s="324"/>
      <c r="AD819" s="324"/>
      <c r="AE819" s="324"/>
      <c r="AF819" s="324"/>
    </row>
    <row r="820" spans="3:32" s="294" customFormat="1">
      <c r="C820" s="10"/>
      <c r="D820" s="29"/>
      <c r="E820" s="29"/>
      <c r="F820" s="36"/>
      <c r="G820" s="324"/>
      <c r="H820" s="324"/>
      <c r="I820" s="324"/>
      <c r="J820" s="324"/>
      <c r="K820" s="324"/>
      <c r="L820" s="324"/>
      <c r="M820" s="324"/>
      <c r="N820" s="324"/>
      <c r="O820" s="324"/>
      <c r="P820" s="324"/>
      <c r="Q820" s="324"/>
      <c r="R820" s="324"/>
      <c r="S820" s="324"/>
      <c r="T820" s="324"/>
      <c r="U820" s="324"/>
      <c r="V820" s="324"/>
      <c r="W820" s="324"/>
      <c r="X820" s="324"/>
      <c r="Y820" s="324"/>
      <c r="Z820" s="324"/>
      <c r="AA820" s="324"/>
      <c r="AB820" s="324"/>
      <c r="AC820" s="324"/>
      <c r="AD820" s="324"/>
      <c r="AE820" s="324"/>
      <c r="AF820" s="324"/>
    </row>
    <row r="821" spans="3:32" s="294" customFormat="1">
      <c r="C821" s="10"/>
      <c r="D821" s="29"/>
      <c r="E821" s="29"/>
      <c r="F821" s="36"/>
      <c r="G821" s="324"/>
      <c r="H821" s="324"/>
      <c r="I821" s="324"/>
      <c r="J821" s="324"/>
      <c r="K821" s="324"/>
      <c r="L821" s="324"/>
      <c r="M821" s="324"/>
      <c r="N821" s="324"/>
      <c r="O821" s="324"/>
      <c r="P821" s="324"/>
      <c r="Q821" s="324"/>
      <c r="R821" s="324"/>
      <c r="S821" s="324"/>
      <c r="T821" s="324"/>
      <c r="U821" s="324"/>
      <c r="V821" s="324"/>
      <c r="W821" s="324"/>
      <c r="X821" s="324"/>
      <c r="Y821" s="324"/>
      <c r="Z821" s="324"/>
      <c r="AA821" s="324"/>
      <c r="AB821" s="324"/>
      <c r="AC821" s="324"/>
      <c r="AD821" s="324"/>
      <c r="AE821" s="324"/>
      <c r="AF821" s="324"/>
    </row>
    <row r="822" spans="3:32" s="294" customFormat="1">
      <c r="C822" s="10"/>
      <c r="D822" s="29"/>
      <c r="E822" s="29"/>
      <c r="F822" s="36"/>
      <c r="G822" s="324"/>
      <c r="H822" s="324"/>
      <c r="I822" s="324"/>
      <c r="J822" s="324"/>
      <c r="K822" s="324"/>
      <c r="L822" s="324"/>
      <c r="M822" s="324"/>
      <c r="N822" s="324"/>
      <c r="O822" s="324"/>
      <c r="P822" s="324"/>
      <c r="Q822" s="324"/>
      <c r="R822" s="324"/>
      <c r="S822" s="324"/>
      <c r="T822" s="324"/>
      <c r="U822" s="324"/>
      <c r="V822" s="324"/>
      <c r="W822" s="324"/>
      <c r="X822" s="324"/>
      <c r="Y822" s="324"/>
      <c r="Z822" s="324"/>
      <c r="AA822" s="324"/>
      <c r="AB822" s="324"/>
      <c r="AC822" s="324"/>
      <c r="AD822" s="324"/>
      <c r="AE822" s="324"/>
      <c r="AF822" s="324"/>
    </row>
    <row r="823" spans="3:32" s="294" customFormat="1">
      <c r="C823" s="10"/>
      <c r="D823" s="29"/>
      <c r="E823" s="29"/>
      <c r="F823" s="36"/>
      <c r="G823" s="324"/>
      <c r="H823" s="324"/>
      <c r="I823" s="324"/>
      <c r="J823" s="324"/>
      <c r="K823" s="324"/>
      <c r="L823" s="324"/>
      <c r="M823" s="324"/>
      <c r="N823" s="324"/>
      <c r="O823" s="324"/>
      <c r="P823" s="324"/>
      <c r="Q823" s="324"/>
      <c r="R823" s="324"/>
      <c r="S823" s="324"/>
      <c r="T823" s="324"/>
      <c r="U823" s="324"/>
      <c r="V823" s="324"/>
      <c r="W823" s="324"/>
      <c r="X823" s="324"/>
      <c r="Y823" s="324"/>
      <c r="Z823" s="324"/>
      <c r="AA823" s="324"/>
      <c r="AB823" s="324"/>
      <c r="AC823" s="324"/>
      <c r="AD823" s="324"/>
      <c r="AE823" s="324"/>
      <c r="AF823" s="324"/>
    </row>
    <row r="824" spans="3:32" s="294" customFormat="1">
      <c r="C824" s="10"/>
      <c r="D824" s="29"/>
      <c r="E824" s="29"/>
      <c r="F824" s="36"/>
      <c r="G824" s="324"/>
      <c r="H824" s="324"/>
      <c r="I824" s="324"/>
      <c r="J824" s="324"/>
      <c r="K824" s="324"/>
      <c r="L824" s="324"/>
      <c r="M824" s="324"/>
      <c r="N824" s="324"/>
      <c r="O824" s="324"/>
      <c r="P824" s="324"/>
      <c r="Q824" s="324"/>
      <c r="R824" s="324"/>
      <c r="S824" s="324"/>
      <c r="T824" s="324"/>
      <c r="U824" s="324"/>
      <c r="V824" s="324"/>
      <c r="W824" s="324"/>
      <c r="X824" s="324"/>
      <c r="Y824" s="324"/>
      <c r="Z824" s="324"/>
      <c r="AA824" s="324"/>
      <c r="AB824" s="324"/>
      <c r="AC824" s="324"/>
      <c r="AD824" s="324"/>
      <c r="AE824" s="324"/>
      <c r="AF824" s="324"/>
    </row>
    <row r="825" spans="3:32" s="294" customFormat="1">
      <c r="C825" s="10"/>
      <c r="D825" s="29"/>
      <c r="E825" s="29"/>
      <c r="F825" s="36"/>
      <c r="G825" s="324"/>
      <c r="H825" s="324"/>
      <c r="I825" s="324"/>
      <c r="J825" s="324"/>
      <c r="K825" s="324"/>
      <c r="L825" s="324"/>
      <c r="M825" s="324"/>
      <c r="N825" s="324"/>
      <c r="O825" s="324"/>
      <c r="P825" s="324"/>
      <c r="Q825" s="324"/>
      <c r="R825" s="324"/>
      <c r="S825" s="324"/>
      <c r="T825" s="324"/>
      <c r="U825" s="324"/>
      <c r="V825" s="324"/>
      <c r="W825" s="324"/>
      <c r="X825" s="324"/>
      <c r="Y825" s="324"/>
      <c r="Z825" s="324"/>
      <c r="AA825" s="324"/>
      <c r="AB825" s="324"/>
      <c r="AC825" s="324"/>
      <c r="AD825" s="324"/>
      <c r="AE825" s="324"/>
      <c r="AF825" s="324"/>
    </row>
    <row r="826" spans="3:32" s="294" customFormat="1">
      <c r="C826" s="10"/>
      <c r="D826" s="29"/>
      <c r="E826" s="29"/>
      <c r="F826" s="36"/>
      <c r="G826" s="324"/>
      <c r="H826" s="324"/>
      <c r="I826" s="324"/>
      <c r="J826" s="324"/>
      <c r="K826" s="324"/>
      <c r="L826" s="324"/>
      <c r="M826" s="324"/>
      <c r="N826" s="324"/>
      <c r="O826" s="324"/>
      <c r="P826" s="324"/>
      <c r="Q826" s="324"/>
      <c r="R826" s="324"/>
      <c r="S826" s="324"/>
      <c r="T826" s="324"/>
      <c r="U826" s="324"/>
      <c r="V826" s="324"/>
      <c r="W826" s="324"/>
      <c r="X826" s="324"/>
      <c r="Y826" s="324"/>
      <c r="Z826" s="324"/>
      <c r="AA826" s="324"/>
      <c r="AB826" s="324"/>
      <c r="AC826" s="324"/>
      <c r="AD826" s="324"/>
      <c r="AE826" s="324"/>
      <c r="AF826" s="324"/>
    </row>
    <row r="827" spans="3:32" s="294" customFormat="1">
      <c r="C827" s="10"/>
      <c r="D827" s="29"/>
      <c r="E827" s="29"/>
      <c r="F827" s="36"/>
      <c r="G827" s="324"/>
      <c r="H827" s="324"/>
      <c r="I827" s="324"/>
      <c r="J827" s="324"/>
      <c r="K827" s="324"/>
      <c r="L827" s="324"/>
      <c r="M827" s="324"/>
      <c r="N827" s="324"/>
      <c r="O827" s="324"/>
      <c r="P827" s="324"/>
      <c r="Q827" s="324"/>
      <c r="R827" s="324"/>
      <c r="S827" s="324"/>
      <c r="T827" s="324"/>
      <c r="U827" s="324"/>
      <c r="V827" s="324"/>
      <c r="W827" s="324"/>
      <c r="X827" s="324"/>
      <c r="Y827" s="324"/>
      <c r="Z827" s="324"/>
      <c r="AA827" s="324"/>
      <c r="AB827" s="324"/>
      <c r="AC827" s="324"/>
      <c r="AD827" s="324"/>
      <c r="AE827" s="324"/>
      <c r="AF827" s="324"/>
    </row>
    <row r="828" spans="3:32" s="294" customFormat="1">
      <c r="C828" s="10"/>
      <c r="D828" s="29"/>
      <c r="E828" s="29"/>
      <c r="F828" s="36"/>
      <c r="G828" s="324"/>
      <c r="H828" s="324"/>
      <c r="I828" s="324"/>
      <c r="J828" s="324"/>
      <c r="K828" s="324"/>
      <c r="L828" s="324"/>
      <c r="M828" s="324"/>
      <c r="N828" s="324"/>
      <c r="O828" s="324"/>
      <c r="P828" s="324"/>
      <c r="Q828" s="324"/>
      <c r="R828" s="324"/>
      <c r="S828" s="324"/>
      <c r="T828" s="324"/>
      <c r="U828" s="324"/>
      <c r="V828" s="324"/>
      <c r="W828" s="324"/>
      <c r="X828" s="324"/>
      <c r="Y828" s="324"/>
      <c r="Z828" s="324"/>
      <c r="AA828" s="324"/>
      <c r="AB828" s="324"/>
      <c r="AC828" s="324"/>
      <c r="AD828" s="324"/>
      <c r="AE828" s="324"/>
      <c r="AF828" s="324"/>
    </row>
    <row r="829" spans="3:32" s="294" customFormat="1">
      <c r="C829" s="10"/>
      <c r="D829" s="29"/>
      <c r="E829" s="29"/>
      <c r="F829" s="36"/>
      <c r="G829" s="324"/>
      <c r="H829" s="324"/>
      <c r="I829" s="324"/>
      <c r="J829" s="324"/>
      <c r="K829" s="324"/>
      <c r="L829" s="324"/>
      <c r="M829" s="324"/>
      <c r="N829" s="324"/>
      <c r="O829" s="324"/>
      <c r="P829" s="324"/>
      <c r="Q829" s="324"/>
      <c r="R829" s="324"/>
      <c r="S829" s="324"/>
      <c r="T829" s="324"/>
      <c r="U829" s="324"/>
      <c r="V829" s="324"/>
      <c r="W829" s="324"/>
      <c r="X829" s="324"/>
      <c r="Y829" s="324"/>
      <c r="Z829" s="324"/>
      <c r="AA829" s="324"/>
      <c r="AB829" s="324"/>
      <c r="AC829" s="324"/>
      <c r="AD829" s="324"/>
      <c r="AE829" s="324"/>
      <c r="AF829" s="324"/>
    </row>
    <row r="830" spans="3:32" s="294" customFormat="1">
      <c r="C830" s="10"/>
      <c r="D830" s="29"/>
      <c r="E830" s="29"/>
      <c r="F830" s="36"/>
      <c r="G830" s="324"/>
      <c r="H830" s="324"/>
      <c r="I830" s="324"/>
      <c r="J830" s="324"/>
      <c r="K830" s="324"/>
      <c r="L830" s="324"/>
      <c r="M830" s="324"/>
      <c r="N830" s="324"/>
      <c r="O830" s="324"/>
      <c r="P830" s="324"/>
      <c r="Q830" s="324"/>
      <c r="R830" s="324"/>
      <c r="S830" s="324"/>
      <c r="T830" s="324"/>
      <c r="U830" s="324"/>
      <c r="V830" s="324"/>
      <c r="W830" s="324"/>
      <c r="X830" s="324"/>
      <c r="Y830" s="324"/>
      <c r="Z830" s="324"/>
      <c r="AA830" s="324"/>
      <c r="AB830" s="324"/>
      <c r="AC830" s="324"/>
      <c r="AD830" s="324"/>
      <c r="AE830" s="324"/>
      <c r="AF830" s="324"/>
    </row>
    <row r="831" spans="3:32" s="294" customFormat="1">
      <c r="C831" s="10"/>
      <c r="D831" s="29"/>
      <c r="E831" s="29"/>
      <c r="F831" s="36"/>
      <c r="G831" s="324"/>
      <c r="H831" s="324"/>
      <c r="I831" s="324"/>
      <c r="J831" s="324"/>
      <c r="K831" s="324"/>
      <c r="L831" s="324"/>
      <c r="M831" s="324"/>
      <c r="N831" s="324"/>
      <c r="O831" s="324"/>
      <c r="P831" s="324"/>
      <c r="Q831" s="324"/>
      <c r="R831" s="324"/>
      <c r="S831" s="324"/>
      <c r="T831" s="324"/>
      <c r="U831" s="324"/>
      <c r="V831" s="324"/>
      <c r="W831" s="324"/>
      <c r="X831" s="324"/>
      <c r="Y831" s="324"/>
      <c r="Z831" s="324"/>
      <c r="AA831" s="324"/>
      <c r="AB831" s="324"/>
      <c r="AC831" s="324"/>
      <c r="AD831" s="324"/>
      <c r="AE831" s="324"/>
      <c r="AF831" s="324"/>
    </row>
    <row r="832" spans="3:32" s="294" customFormat="1">
      <c r="C832" s="10"/>
      <c r="D832" s="29"/>
      <c r="E832" s="29"/>
      <c r="F832" s="36"/>
      <c r="G832" s="324"/>
      <c r="H832" s="324"/>
      <c r="I832" s="324"/>
      <c r="J832" s="324"/>
      <c r="K832" s="324"/>
      <c r="L832" s="324"/>
      <c r="M832" s="324"/>
      <c r="N832" s="324"/>
      <c r="O832" s="324"/>
      <c r="P832" s="324"/>
      <c r="Q832" s="324"/>
      <c r="R832" s="324"/>
      <c r="S832" s="324"/>
      <c r="T832" s="324"/>
      <c r="U832" s="324"/>
      <c r="V832" s="324"/>
      <c r="W832" s="324"/>
      <c r="X832" s="324"/>
      <c r="Y832" s="324"/>
      <c r="Z832" s="324"/>
      <c r="AA832" s="324"/>
      <c r="AB832" s="324"/>
      <c r="AC832" s="324"/>
      <c r="AD832" s="324"/>
      <c r="AE832" s="324"/>
      <c r="AF832" s="324"/>
    </row>
    <row r="833" spans="3:32" s="294" customFormat="1">
      <c r="C833" s="10"/>
      <c r="D833" s="29"/>
      <c r="E833" s="29"/>
      <c r="F833" s="36"/>
      <c r="G833" s="324"/>
      <c r="H833" s="324"/>
      <c r="I833" s="324"/>
      <c r="J833" s="324"/>
      <c r="K833" s="324"/>
      <c r="L833" s="324"/>
      <c r="M833" s="324"/>
      <c r="N833" s="324"/>
      <c r="O833" s="324"/>
      <c r="P833" s="324"/>
      <c r="Q833" s="324"/>
      <c r="R833" s="324"/>
      <c r="S833" s="324"/>
      <c r="T833" s="324"/>
      <c r="U833" s="324"/>
      <c r="V833" s="324"/>
      <c r="W833" s="324"/>
      <c r="X833" s="324"/>
      <c r="Y833" s="324"/>
      <c r="Z833" s="324"/>
      <c r="AA833" s="324"/>
      <c r="AB833" s="324"/>
      <c r="AC833" s="324"/>
      <c r="AD833" s="324"/>
      <c r="AE833" s="324"/>
      <c r="AF833" s="324"/>
    </row>
    <row r="834" spans="3:32" s="294" customFormat="1">
      <c r="C834" s="10"/>
      <c r="D834" s="29"/>
      <c r="E834" s="29"/>
      <c r="F834" s="36"/>
      <c r="G834" s="324"/>
      <c r="H834" s="324"/>
      <c r="I834" s="324"/>
      <c r="J834" s="324"/>
      <c r="K834" s="324"/>
      <c r="L834" s="324"/>
      <c r="M834" s="324"/>
      <c r="N834" s="324"/>
      <c r="O834" s="324"/>
      <c r="P834" s="324"/>
      <c r="Q834" s="324"/>
      <c r="R834" s="324"/>
      <c r="S834" s="324"/>
      <c r="T834" s="324"/>
      <c r="U834" s="324"/>
      <c r="V834" s="324"/>
      <c r="W834" s="324"/>
      <c r="X834" s="324"/>
      <c r="Y834" s="324"/>
      <c r="Z834" s="324"/>
      <c r="AA834" s="324"/>
      <c r="AB834" s="324"/>
      <c r="AC834" s="324"/>
      <c r="AD834" s="324"/>
      <c r="AE834" s="324"/>
      <c r="AF834" s="324"/>
    </row>
    <row r="835" spans="3:32" s="294" customFormat="1">
      <c r="C835" s="10"/>
      <c r="D835" s="29"/>
      <c r="E835" s="29"/>
      <c r="F835" s="36"/>
      <c r="G835" s="324"/>
      <c r="H835" s="324"/>
      <c r="I835" s="324"/>
      <c r="J835" s="324"/>
      <c r="K835" s="324"/>
      <c r="L835" s="324"/>
      <c r="M835" s="324"/>
      <c r="N835" s="324"/>
      <c r="O835" s="324"/>
      <c r="P835" s="324"/>
      <c r="Q835" s="324"/>
      <c r="R835" s="324"/>
      <c r="S835" s="324"/>
      <c r="T835" s="324"/>
      <c r="U835" s="324"/>
      <c r="V835" s="324"/>
      <c r="W835" s="324"/>
      <c r="X835" s="324"/>
      <c r="Y835" s="324"/>
      <c r="Z835" s="324"/>
      <c r="AA835" s="324"/>
      <c r="AB835" s="324"/>
      <c r="AC835" s="324"/>
      <c r="AD835" s="324"/>
      <c r="AE835" s="324"/>
      <c r="AF835" s="324"/>
    </row>
    <row r="836" spans="3:32" s="294" customFormat="1">
      <c r="C836" s="10"/>
      <c r="D836" s="29"/>
      <c r="E836" s="29"/>
      <c r="F836" s="36"/>
      <c r="G836" s="324"/>
      <c r="H836" s="324"/>
      <c r="I836" s="324"/>
      <c r="J836" s="324"/>
      <c r="K836" s="324"/>
      <c r="L836" s="324"/>
      <c r="M836" s="324"/>
      <c r="N836" s="324"/>
      <c r="O836" s="324"/>
      <c r="P836" s="324"/>
      <c r="Q836" s="324"/>
      <c r="R836" s="324"/>
      <c r="S836" s="324"/>
      <c r="T836" s="324"/>
      <c r="U836" s="324"/>
      <c r="V836" s="324"/>
      <c r="W836" s="324"/>
      <c r="X836" s="324"/>
      <c r="Y836" s="324"/>
      <c r="Z836" s="324"/>
      <c r="AA836" s="324"/>
      <c r="AB836" s="324"/>
      <c r="AC836" s="324"/>
      <c r="AD836" s="324"/>
      <c r="AE836" s="324"/>
      <c r="AF836" s="324"/>
    </row>
    <row r="837" spans="3:32" s="294" customFormat="1">
      <c r="C837" s="10"/>
      <c r="D837" s="29"/>
      <c r="E837" s="29"/>
      <c r="F837" s="36"/>
      <c r="G837" s="324"/>
      <c r="H837" s="324"/>
      <c r="I837" s="324"/>
      <c r="J837" s="324"/>
      <c r="K837" s="324"/>
      <c r="L837" s="324"/>
      <c r="M837" s="324"/>
      <c r="N837" s="324"/>
      <c r="O837" s="324"/>
      <c r="P837" s="324"/>
      <c r="Q837" s="324"/>
      <c r="R837" s="324"/>
      <c r="S837" s="324"/>
      <c r="T837" s="324"/>
      <c r="U837" s="324"/>
      <c r="V837" s="324"/>
      <c r="W837" s="324"/>
      <c r="X837" s="324"/>
      <c r="Y837" s="324"/>
      <c r="Z837" s="324"/>
      <c r="AA837" s="324"/>
      <c r="AB837" s="324"/>
      <c r="AC837" s="324"/>
      <c r="AD837" s="324"/>
      <c r="AE837" s="324"/>
      <c r="AF837" s="324"/>
    </row>
    <row r="838" spans="3:32" s="294" customFormat="1">
      <c r="C838" s="10"/>
      <c r="D838" s="29"/>
      <c r="E838" s="29"/>
      <c r="F838" s="36"/>
      <c r="G838" s="324"/>
      <c r="H838" s="324"/>
      <c r="I838" s="324"/>
      <c r="J838" s="324"/>
      <c r="K838" s="324"/>
      <c r="L838" s="324"/>
      <c r="M838" s="324"/>
      <c r="N838" s="324"/>
      <c r="O838" s="324"/>
      <c r="P838" s="324"/>
      <c r="Q838" s="324"/>
      <c r="R838" s="324"/>
      <c r="S838" s="324"/>
      <c r="T838" s="324"/>
      <c r="U838" s="324"/>
      <c r="V838" s="324"/>
      <c r="W838" s="324"/>
      <c r="X838" s="324"/>
      <c r="Y838" s="324"/>
      <c r="Z838" s="324"/>
      <c r="AA838" s="324"/>
      <c r="AB838" s="324"/>
      <c r="AC838" s="324"/>
      <c r="AD838" s="324"/>
      <c r="AE838" s="324"/>
      <c r="AF838" s="324"/>
    </row>
    <row r="839" spans="3:32" s="294" customFormat="1">
      <c r="C839" s="10"/>
      <c r="D839" s="29"/>
      <c r="E839" s="29"/>
      <c r="F839" s="36"/>
      <c r="G839" s="324"/>
      <c r="H839" s="324"/>
      <c r="I839" s="324"/>
      <c r="J839" s="324"/>
      <c r="K839" s="324"/>
      <c r="L839" s="324"/>
      <c r="M839" s="324"/>
      <c r="N839" s="324"/>
      <c r="O839" s="324"/>
      <c r="P839" s="324"/>
      <c r="Q839" s="324"/>
      <c r="R839" s="324"/>
      <c r="S839" s="324"/>
      <c r="T839" s="324"/>
      <c r="U839" s="324"/>
      <c r="V839" s="324"/>
      <c r="W839" s="324"/>
      <c r="X839" s="324"/>
      <c r="Y839" s="324"/>
      <c r="Z839" s="324"/>
      <c r="AA839" s="324"/>
      <c r="AB839" s="324"/>
      <c r="AC839" s="324"/>
      <c r="AD839" s="324"/>
      <c r="AE839" s="324"/>
      <c r="AF839" s="324"/>
    </row>
    <row r="840" spans="3:32" s="294" customFormat="1">
      <c r="C840" s="10"/>
      <c r="D840" s="29"/>
      <c r="E840" s="29"/>
      <c r="F840" s="36"/>
      <c r="G840" s="324"/>
      <c r="H840" s="324"/>
      <c r="I840" s="324"/>
      <c r="J840" s="324"/>
      <c r="K840" s="324"/>
      <c r="L840" s="324"/>
      <c r="M840" s="324"/>
      <c r="N840" s="324"/>
      <c r="O840" s="324"/>
      <c r="P840" s="324"/>
      <c r="Q840" s="324"/>
      <c r="R840" s="324"/>
      <c r="S840" s="324"/>
      <c r="T840" s="324"/>
      <c r="U840" s="324"/>
      <c r="V840" s="324"/>
      <c r="W840" s="324"/>
      <c r="X840" s="324"/>
      <c r="Y840" s="324"/>
      <c r="Z840" s="324"/>
      <c r="AA840" s="324"/>
      <c r="AB840" s="324"/>
      <c r="AC840" s="324"/>
      <c r="AD840" s="324"/>
      <c r="AE840" s="324"/>
      <c r="AF840" s="324"/>
    </row>
    <row r="841" spans="3:32" s="294" customFormat="1">
      <c r="C841" s="10"/>
      <c r="D841" s="29"/>
      <c r="E841" s="29"/>
      <c r="F841" s="36"/>
      <c r="G841" s="324"/>
      <c r="H841" s="324"/>
      <c r="I841" s="324"/>
      <c r="J841" s="324"/>
      <c r="K841" s="324"/>
      <c r="L841" s="324"/>
      <c r="M841" s="324"/>
      <c r="N841" s="324"/>
      <c r="O841" s="324"/>
      <c r="P841" s="324"/>
      <c r="Q841" s="324"/>
      <c r="R841" s="324"/>
      <c r="S841" s="324"/>
      <c r="T841" s="324"/>
      <c r="U841" s="324"/>
      <c r="V841" s="324"/>
      <c r="W841" s="324"/>
      <c r="X841" s="324"/>
      <c r="Y841" s="324"/>
      <c r="Z841" s="324"/>
      <c r="AA841" s="324"/>
      <c r="AB841" s="324"/>
      <c r="AC841" s="324"/>
      <c r="AD841" s="324"/>
      <c r="AE841" s="324"/>
      <c r="AF841" s="324"/>
    </row>
    <row r="842" spans="3:32" s="294" customFormat="1">
      <c r="C842" s="10"/>
      <c r="D842" s="29"/>
      <c r="E842" s="29"/>
      <c r="F842" s="36"/>
      <c r="G842" s="324"/>
      <c r="H842" s="324"/>
      <c r="I842" s="324"/>
      <c r="J842" s="324"/>
      <c r="K842" s="324"/>
      <c r="L842" s="324"/>
      <c r="M842" s="324"/>
      <c r="N842" s="324"/>
      <c r="O842" s="324"/>
      <c r="P842" s="324"/>
      <c r="Q842" s="324"/>
      <c r="R842" s="324"/>
      <c r="S842" s="324"/>
      <c r="T842" s="324"/>
      <c r="U842" s="324"/>
      <c r="V842" s="324"/>
      <c r="W842" s="324"/>
      <c r="X842" s="324"/>
      <c r="Y842" s="324"/>
      <c r="Z842" s="324"/>
      <c r="AA842" s="324"/>
      <c r="AB842" s="324"/>
      <c r="AC842" s="324"/>
      <c r="AD842" s="324"/>
      <c r="AE842" s="324"/>
      <c r="AF842" s="324"/>
    </row>
    <row r="843" spans="3:32" s="294" customFormat="1">
      <c r="C843" s="10"/>
      <c r="D843" s="29"/>
      <c r="E843" s="29"/>
      <c r="F843" s="36"/>
      <c r="G843" s="324"/>
      <c r="H843" s="324"/>
      <c r="I843" s="324"/>
      <c r="J843" s="324"/>
      <c r="K843" s="324"/>
      <c r="L843" s="324"/>
      <c r="M843" s="324"/>
      <c r="N843" s="324"/>
      <c r="O843" s="324"/>
      <c r="P843" s="324"/>
      <c r="Q843" s="324"/>
      <c r="R843" s="324"/>
      <c r="S843" s="324"/>
      <c r="T843" s="324"/>
      <c r="U843" s="324"/>
      <c r="V843" s="324"/>
      <c r="W843" s="324"/>
      <c r="X843" s="324"/>
      <c r="Y843" s="324"/>
      <c r="Z843" s="324"/>
      <c r="AA843" s="324"/>
      <c r="AB843" s="324"/>
      <c r="AC843" s="324"/>
      <c r="AD843" s="324"/>
      <c r="AE843" s="324"/>
      <c r="AF843" s="324"/>
    </row>
    <row r="844" spans="3:32" s="294" customFormat="1">
      <c r="C844" s="10"/>
      <c r="D844" s="29"/>
      <c r="E844" s="29"/>
      <c r="F844" s="36"/>
      <c r="G844" s="324"/>
      <c r="H844" s="324"/>
      <c r="I844" s="324"/>
      <c r="J844" s="324"/>
      <c r="K844" s="324"/>
      <c r="L844" s="324"/>
      <c r="M844" s="324"/>
      <c r="N844" s="324"/>
      <c r="O844" s="324"/>
      <c r="P844" s="324"/>
      <c r="Q844" s="324"/>
      <c r="R844" s="324"/>
      <c r="S844" s="324"/>
      <c r="T844" s="324"/>
      <c r="U844" s="324"/>
      <c r="V844" s="324"/>
      <c r="W844" s="324"/>
      <c r="X844" s="324"/>
      <c r="Y844" s="324"/>
      <c r="Z844" s="324"/>
      <c r="AA844" s="324"/>
      <c r="AB844" s="324"/>
      <c r="AC844" s="324"/>
      <c r="AD844" s="324"/>
      <c r="AE844" s="324"/>
      <c r="AF844" s="324"/>
    </row>
    <row r="845" spans="3:32" s="294" customFormat="1">
      <c r="C845" s="10"/>
      <c r="D845" s="29"/>
      <c r="E845" s="29"/>
      <c r="F845" s="36"/>
      <c r="G845" s="324"/>
      <c r="H845" s="324"/>
      <c r="I845" s="324"/>
      <c r="J845" s="324"/>
      <c r="K845" s="324"/>
      <c r="L845" s="324"/>
      <c r="M845" s="324"/>
      <c r="N845" s="324"/>
      <c r="O845" s="324"/>
      <c r="P845" s="324"/>
      <c r="Q845" s="324"/>
      <c r="R845" s="324"/>
      <c r="S845" s="324"/>
      <c r="T845" s="324"/>
      <c r="U845" s="324"/>
      <c r="V845" s="324"/>
      <c r="W845" s="324"/>
      <c r="X845" s="324"/>
      <c r="Y845" s="324"/>
      <c r="Z845" s="324"/>
      <c r="AA845" s="324"/>
      <c r="AB845" s="324"/>
      <c r="AC845" s="324"/>
      <c r="AD845" s="324"/>
      <c r="AE845" s="324"/>
      <c r="AF845" s="324"/>
    </row>
    <row r="846" spans="3:32" s="294" customFormat="1">
      <c r="C846" s="10"/>
      <c r="D846" s="29"/>
      <c r="E846" s="29"/>
      <c r="F846" s="36"/>
      <c r="G846" s="324"/>
      <c r="H846" s="324"/>
      <c r="I846" s="324"/>
      <c r="J846" s="324"/>
      <c r="K846" s="324"/>
      <c r="L846" s="324"/>
      <c r="M846" s="324"/>
      <c r="N846" s="324"/>
      <c r="O846" s="324"/>
      <c r="P846" s="324"/>
      <c r="Q846" s="324"/>
      <c r="R846" s="324"/>
      <c r="S846" s="324"/>
      <c r="T846" s="324"/>
      <c r="U846" s="324"/>
      <c r="V846" s="324"/>
      <c r="W846" s="324"/>
      <c r="X846" s="324"/>
      <c r="Y846" s="324"/>
      <c r="Z846" s="324"/>
      <c r="AA846" s="324"/>
      <c r="AB846" s="324"/>
      <c r="AC846" s="324"/>
      <c r="AD846" s="324"/>
      <c r="AE846" s="324"/>
      <c r="AF846" s="324"/>
    </row>
    <row r="847" spans="3:32" s="294" customFormat="1">
      <c r="C847" s="10"/>
      <c r="D847" s="29"/>
      <c r="E847" s="29"/>
      <c r="F847" s="36"/>
      <c r="G847" s="324"/>
      <c r="H847" s="324"/>
      <c r="I847" s="324"/>
      <c r="J847" s="324"/>
      <c r="K847" s="324"/>
      <c r="L847" s="324"/>
      <c r="M847" s="324"/>
      <c r="N847" s="324"/>
      <c r="O847" s="324"/>
      <c r="P847" s="324"/>
      <c r="Q847" s="324"/>
      <c r="R847" s="324"/>
      <c r="S847" s="324"/>
      <c r="T847" s="324"/>
      <c r="U847" s="324"/>
      <c r="V847" s="324"/>
      <c r="W847" s="324"/>
      <c r="X847" s="324"/>
      <c r="Y847" s="324"/>
      <c r="Z847" s="324"/>
      <c r="AA847" s="324"/>
      <c r="AB847" s="324"/>
      <c r="AC847" s="324"/>
      <c r="AD847" s="324"/>
      <c r="AE847" s="324"/>
      <c r="AF847" s="324"/>
    </row>
    <row r="848" spans="3:32" s="294" customFormat="1">
      <c r="C848" s="10"/>
      <c r="D848" s="29"/>
      <c r="E848" s="29"/>
      <c r="F848" s="36"/>
      <c r="G848" s="324"/>
      <c r="H848" s="324"/>
      <c r="I848" s="324"/>
      <c r="J848" s="324"/>
      <c r="K848" s="324"/>
      <c r="L848" s="324"/>
      <c r="M848" s="324"/>
      <c r="N848" s="324"/>
      <c r="O848" s="324"/>
      <c r="P848" s="324"/>
      <c r="Q848" s="324"/>
      <c r="R848" s="324"/>
      <c r="S848" s="324"/>
      <c r="T848" s="324"/>
      <c r="U848" s="324"/>
      <c r="V848" s="324"/>
      <c r="W848" s="324"/>
      <c r="X848" s="324"/>
      <c r="Y848" s="324"/>
      <c r="Z848" s="324"/>
      <c r="AA848" s="324"/>
      <c r="AB848" s="324"/>
      <c r="AC848" s="324"/>
      <c r="AD848" s="324"/>
      <c r="AE848" s="324"/>
      <c r="AF848" s="324"/>
    </row>
    <row r="849" spans="3:32" s="294" customFormat="1">
      <c r="C849" s="10"/>
      <c r="D849" s="29"/>
      <c r="E849" s="29"/>
      <c r="F849" s="36"/>
      <c r="G849" s="324"/>
      <c r="H849" s="324"/>
      <c r="I849" s="324"/>
      <c r="J849" s="324"/>
      <c r="K849" s="324"/>
      <c r="L849" s="324"/>
      <c r="M849" s="324"/>
      <c r="N849" s="324"/>
      <c r="O849" s="324"/>
      <c r="P849" s="324"/>
      <c r="Q849" s="324"/>
      <c r="R849" s="324"/>
      <c r="S849" s="324"/>
      <c r="T849" s="324"/>
      <c r="U849" s="324"/>
      <c r="V849" s="324"/>
      <c r="W849" s="324"/>
      <c r="X849" s="324"/>
      <c r="Y849" s="324"/>
      <c r="Z849" s="324"/>
      <c r="AA849" s="324"/>
      <c r="AB849" s="324"/>
      <c r="AC849" s="324"/>
      <c r="AD849" s="324"/>
      <c r="AE849" s="324"/>
      <c r="AF849" s="324"/>
    </row>
    <row r="850" spans="3:32" s="294" customFormat="1">
      <c r="C850" s="10"/>
      <c r="D850" s="29"/>
      <c r="E850" s="29"/>
      <c r="F850" s="36"/>
      <c r="G850" s="324"/>
      <c r="H850" s="324"/>
      <c r="I850" s="324"/>
      <c r="J850" s="324"/>
      <c r="K850" s="324"/>
      <c r="L850" s="324"/>
      <c r="M850" s="324"/>
      <c r="N850" s="324"/>
      <c r="O850" s="324"/>
      <c r="P850" s="324"/>
      <c r="Q850" s="324"/>
      <c r="R850" s="324"/>
      <c r="S850" s="324"/>
      <c r="T850" s="324"/>
      <c r="U850" s="324"/>
      <c r="V850" s="324"/>
      <c r="W850" s="324"/>
      <c r="X850" s="324"/>
      <c r="Y850" s="324"/>
      <c r="Z850" s="324"/>
      <c r="AA850" s="324"/>
      <c r="AB850" s="324"/>
      <c r="AC850" s="324"/>
      <c r="AD850" s="324"/>
      <c r="AE850" s="324"/>
      <c r="AF850" s="324"/>
    </row>
    <row r="851" spans="3:32" s="294" customFormat="1">
      <c r="C851" s="10"/>
      <c r="D851" s="29"/>
      <c r="E851" s="29"/>
      <c r="F851" s="36"/>
      <c r="G851" s="324"/>
      <c r="H851" s="324"/>
      <c r="I851" s="324"/>
      <c r="J851" s="324"/>
      <c r="K851" s="324"/>
      <c r="L851" s="324"/>
      <c r="M851" s="324"/>
      <c r="N851" s="324"/>
      <c r="O851" s="324"/>
      <c r="P851" s="324"/>
      <c r="Q851" s="324"/>
      <c r="R851" s="324"/>
      <c r="S851" s="324"/>
      <c r="T851" s="324"/>
      <c r="U851" s="324"/>
      <c r="V851" s="324"/>
      <c r="W851" s="324"/>
      <c r="X851" s="324"/>
      <c r="Y851" s="324"/>
      <c r="Z851" s="324"/>
      <c r="AA851" s="324"/>
      <c r="AB851" s="324"/>
      <c r="AC851" s="324"/>
      <c r="AD851" s="324"/>
      <c r="AE851" s="324"/>
      <c r="AF851" s="324"/>
    </row>
    <row r="852" spans="3:32" s="294" customFormat="1">
      <c r="C852" s="10"/>
      <c r="D852" s="29"/>
      <c r="E852" s="29"/>
      <c r="F852" s="36"/>
      <c r="G852" s="324"/>
      <c r="H852" s="324"/>
      <c r="I852" s="324"/>
      <c r="J852" s="324"/>
      <c r="K852" s="324"/>
      <c r="L852" s="324"/>
      <c r="M852" s="324"/>
      <c r="N852" s="324"/>
      <c r="O852" s="324"/>
      <c r="P852" s="324"/>
      <c r="Q852" s="324"/>
      <c r="R852" s="324"/>
      <c r="S852" s="324"/>
      <c r="T852" s="324"/>
      <c r="U852" s="324"/>
      <c r="V852" s="324"/>
      <c r="W852" s="324"/>
      <c r="X852" s="324"/>
      <c r="Y852" s="324"/>
      <c r="Z852" s="324"/>
      <c r="AA852" s="324"/>
      <c r="AB852" s="324"/>
      <c r="AC852" s="324"/>
      <c r="AD852" s="324"/>
      <c r="AE852" s="324"/>
      <c r="AF852" s="324"/>
    </row>
    <row r="853" spans="3:32" s="294" customFormat="1">
      <c r="C853" s="10"/>
      <c r="D853" s="29"/>
      <c r="E853" s="29"/>
      <c r="F853" s="36"/>
      <c r="G853" s="324"/>
      <c r="H853" s="324"/>
      <c r="I853" s="324"/>
      <c r="J853" s="324"/>
      <c r="K853" s="324"/>
      <c r="L853" s="324"/>
      <c r="M853" s="324"/>
      <c r="N853" s="324"/>
      <c r="O853" s="324"/>
      <c r="P853" s="324"/>
      <c r="Q853" s="324"/>
      <c r="R853" s="324"/>
      <c r="S853" s="324"/>
      <c r="T853" s="324"/>
      <c r="U853" s="324"/>
      <c r="V853" s="324"/>
      <c r="W853" s="324"/>
      <c r="X853" s="324"/>
      <c r="Y853" s="324"/>
      <c r="Z853" s="324"/>
      <c r="AA853" s="324"/>
      <c r="AB853" s="324"/>
      <c r="AC853" s="324"/>
      <c r="AD853" s="324"/>
      <c r="AE853" s="324"/>
      <c r="AF853" s="324"/>
    </row>
    <row r="854" spans="3:32" s="294" customFormat="1">
      <c r="C854" s="10"/>
      <c r="D854" s="29"/>
      <c r="E854" s="29"/>
      <c r="F854" s="36"/>
      <c r="G854" s="324"/>
      <c r="H854" s="324"/>
      <c r="I854" s="324"/>
      <c r="J854" s="324"/>
      <c r="K854" s="324"/>
      <c r="L854" s="324"/>
      <c r="M854" s="324"/>
      <c r="N854" s="324"/>
      <c r="O854" s="324"/>
      <c r="P854" s="324"/>
      <c r="Q854" s="324"/>
      <c r="R854" s="324"/>
      <c r="S854" s="324"/>
      <c r="T854" s="324"/>
      <c r="U854" s="324"/>
      <c r="V854" s="324"/>
      <c r="W854" s="324"/>
      <c r="X854" s="324"/>
      <c r="Y854" s="324"/>
      <c r="Z854" s="324"/>
      <c r="AA854" s="324"/>
      <c r="AB854" s="324"/>
      <c r="AC854" s="324"/>
      <c r="AD854" s="324"/>
      <c r="AE854" s="324"/>
      <c r="AF854" s="324"/>
    </row>
    <row r="855" spans="3:32" s="294" customFormat="1">
      <c r="C855" s="10"/>
      <c r="D855" s="29"/>
      <c r="E855" s="29"/>
      <c r="F855" s="36"/>
      <c r="G855" s="324"/>
      <c r="H855" s="324"/>
      <c r="I855" s="324"/>
      <c r="J855" s="324"/>
      <c r="K855" s="324"/>
      <c r="L855" s="324"/>
      <c r="M855" s="324"/>
      <c r="N855" s="324"/>
      <c r="O855" s="324"/>
      <c r="P855" s="324"/>
      <c r="Q855" s="324"/>
      <c r="R855" s="324"/>
      <c r="S855" s="324"/>
      <c r="T855" s="324"/>
      <c r="U855" s="324"/>
      <c r="V855" s="324"/>
      <c r="W855" s="324"/>
      <c r="X855" s="324"/>
      <c r="Y855" s="324"/>
      <c r="Z855" s="324"/>
      <c r="AA855" s="324"/>
      <c r="AB855" s="324"/>
      <c r="AC855" s="324"/>
      <c r="AD855" s="324"/>
      <c r="AE855" s="324"/>
      <c r="AF855" s="324"/>
    </row>
    <row r="856" spans="3:32" s="294" customFormat="1">
      <c r="C856" s="10"/>
      <c r="D856" s="29"/>
      <c r="E856" s="29"/>
      <c r="F856" s="36"/>
      <c r="G856" s="324"/>
      <c r="H856" s="324"/>
      <c r="I856" s="324"/>
      <c r="J856" s="324"/>
      <c r="K856" s="324"/>
      <c r="L856" s="324"/>
      <c r="M856" s="324"/>
      <c r="N856" s="324"/>
      <c r="O856" s="324"/>
      <c r="P856" s="324"/>
      <c r="Q856" s="324"/>
      <c r="R856" s="324"/>
      <c r="S856" s="324"/>
      <c r="T856" s="324"/>
      <c r="U856" s="324"/>
      <c r="V856" s="324"/>
      <c r="W856" s="324"/>
      <c r="X856" s="324"/>
      <c r="Y856" s="324"/>
      <c r="Z856" s="324"/>
      <c r="AA856" s="324"/>
      <c r="AB856" s="324"/>
      <c r="AC856" s="324"/>
      <c r="AD856" s="324"/>
      <c r="AE856" s="324"/>
      <c r="AF856" s="324"/>
    </row>
    <row r="857" spans="3:32" s="294" customFormat="1">
      <c r="C857" s="10"/>
      <c r="D857" s="29"/>
      <c r="E857" s="29"/>
      <c r="F857" s="36"/>
      <c r="G857" s="324"/>
      <c r="H857" s="324"/>
      <c r="I857" s="324"/>
      <c r="J857" s="324"/>
      <c r="K857" s="324"/>
      <c r="L857" s="324"/>
      <c r="M857" s="324"/>
      <c r="N857" s="324"/>
      <c r="O857" s="324"/>
      <c r="P857" s="324"/>
      <c r="Q857" s="324"/>
      <c r="R857" s="324"/>
      <c r="S857" s="324"/>
      <c r="T857" s="324"/>
      <c r="U857" s="324"/>
      <c r="V857" s="324"/>
      <c r="W857" s="324"/>
      <c r="X857" s="324"/>
      <c r="Y857" s="324"/>
      <c r="Z857" s="324"/>
      <c r="AA857" s="324"/>
      <c r="AB857" s="324"/>
      <c r="AC857" s="324"/>
      <c r="AD857" s="324"/>
      <c r="AE857" s="324"/>
      <c r="AF857" s="324"/>
    </row>
    <row r="858" spans="3:32" s="294" customFormat="1">
      <c r="C858" s="10"/>
      <c r="D858" s="29"/>
      <c r="E858" s="29"/>
      <c r="F858" s="36"/>
      <c r="G858" s="324"/>
      <c r="H858" s="324"/>
      <c r="I858" s="324"/>
      <c r="J858" s="324"/>
      <c r="K858" s="324"/>
      <c r="L858" s="324"/>
      <c r="M858" s="324"/>
      <c r="N858" s="324"/>
      <c r="O858" s="324"/>
      <c r="P858" s="324"/>
      <c r="Q858" s="324"/>
      <c r="R858" s="324"/>
      <c r="S858" s="324"/>
      <c r="T858" s="324"/>
      <c r="U858" s="324"/>
      <c r="V858" s="324"/>
      <c r="W858" s="324"/>
      <c r="X858" s="324"/>
      <c r="Y858" s="324"/>
      <c r="Z858" s="324"/>
      <c r="AA858" s="324"/>
      <c r="AB858" s="324"/>
      <c r="AC858" s="324"/>
      <c r="AD858" s="324"/>
      <c r="AE858" s="324"/>
      <c r="AF858" s="324"/>
    </row>
    <row r="859" spans="3:32" s="294" customFormat="1">
      <c r="C859" s="10"/>
      <c r="D859" s="29"/>
      <c r="E859" s="29"/>
      <c r="F859" s="36"/>
      <c r="G859" s="324"/>
      <c r="H859" s="324"/>
      <c r="I859" s="324"/>
      <c r="J859" s="324"/>
      <c r="K859" s="324"/>
      <c r="L859" s="324"/>
      <c r="M859" s="324"/>
      <c r="N859" s="324"/>
      <c r="O859" s="324"/>
      <c r="P859" s="324"/>
      <c r="Q859" s="324"/>
      <c r="R859" s="324"/>
      <c r="S859" s="324"/>
      <c r="T859" s="324"/>
      <c r="U859" s="324"/>
      <c r="V859" s="324"/>
      <c r="W859" s="324"/>
      <c r="X859" s="324"/>
      <c r="Y859" s="324"/>
      <c r="Z859" s="324"/>
      <c r="AA859" s="324"/>
      <c r="AB859" s="324"/>
      <c r="AC859" s="324"/>
      <c r="AD859" s="324"/>
      <c r="AE859" s="324"/>
      <c r="AF859" s="324"/>
    </row>
    <row r="860" spans="3:32" s="294" customFormat="1">
      <c r="C860" s="10"/>
      <c r="D860" s="29"/>
      <c r="E860" s="29"/>
      <c r="F860" s="36"/>
      <c r="G860" s="324"/>
      <c r="H860" s="324"/>
      <c r="I860" s="324"/>
      <c r="J860" s="324"/>
      <c r="K860" s="324"/>
      <c r="L860" s="324"/>
      <c r="M860" s="324"/>
      <c r="N860" s="324"/>
      <c r="O860" s="324"/>
      <c r="P860" s="324"/>
      <c r="Q860" s="324"/>
      <c r="R860" s="324"/>
      <c r="S860" s="324"/>
      <c r="T860" s="324"/>
      <c r="U860" s="324"/>
      <c r="V860" s="324"/>
      <c r="W860" s="324"/>
      <c r="X860" s="324"/>
      <c r="Y860" s="324"/>
      <c r="Z860" s="324"/>
      <c r="AA860" s="324"/>
      <c r="AB860" s="324"/>
      <c r="AC860" s="324"/>
      <c r="AD860" s="324"/>
      <c r="AE860" s="324"/>
      <c r="AF860" s="324"/>
    </row>
    <row r="861" spans="3:32" s="294" customFormat="1">
      <c r="C861" s="10"/>
      <c r="D861" s="29"/>
      <c r="E861" s="29"/>
      <c r="F861" s="36"/>
      <c r="G861" s="324"/>
      <c r="H861" s="324"/>
      <c r="I861" s="324"/>
      <c r="J861" s="324"/>
      <c r="K861" s="324"/>
      <c r="L861" s="324"/>
      <c r="M861" s="324"/>
      <c r="N861" s="324"/>
      <c r="O861" s="324"/>
      <c r="P861" s="324"/>
      <c r="Q861" s="324"/>
      <c r="R861" s="324"/>
      <c r="S861" s="324"/>
      <c r="T861" s="324"/>
      <c r="U861" s="324"/>
      <c r="V861" s="324"/>
      <c r="W861" s="324"/>
      <c r="X861" s="324"/>
      <c r="Y861" s="324"/>
      <c r="Z861" s="324"/>
      <c r="AA861" s="324"/>
      <c r="AB861" s="324"/>
      <c r="AC861" s="324"/>
      <c r="AD861" s="324"/>
      <c r="AE861" s="324"/>
      <c r="AF861" s="324"/>
    </row>
    <row r="862" spans="3:32" s="294" customFormat="1">
      <c r="C862" s="10"/>
      <c r="D862" s="29"/>
      <c r="E862" s="29"/>
      <c r="F862" s="36"/>
      <c r="G862" s="324"/>
      <c r="H862" s="324"/>
      <c r="I862" s="324"/>
      <c r="J862" s="324"/>
      <c r="K862" s="324"/>
      <c r="L862" s="324"/>
      <c r="M862" s="324"/>
      <c r="N862" s="324"/>
      <c r="O862" s="324"/>
      <c r="P862" s="324"/>
      <c r="Q862" s="324"/>
      <c r="R862" s="324"/>
      <c r="S862" s="324"/>
      <c r="T862" s="324"/>
      <c r="U862" s="324"/>
      <c r="V862" s="324"/>
      <c r="W862" s="324"/>
      <c r="X862" s="324"/>
      <c r="Y862" s="324"/>
      <c r="Z862" s="324"/>
      <c r="AA862" s="324"/>
      <c r="AB862" s="324"/>
      <c r="AC862" s="324"/>
      <c r="AD862" s="324"/>
      <c r="AE862" s="324"/>
      <c r="AF862" s="324"/>
    </row>
    <row r="863" spans="3:32" s="294" customFormat="1">
      <c r="C863" s="10"/>
      <c r="D863" s="29"/>
      <c r="E863" s="29"/>
      <c r="F863" s="36"/>
      <c r="G863" s="324"/>
      <c r="H863" s="324"/>
      <c r="I863" s="324"/>
      <c r="J863" s="324"/>
      <c r="K863" s="324"/>
      <c r="L863" s="324"/>
      <c r="M863" s="324"/>
      <c r="N863" s="324"/>
      <c r="O863" s="324"/>
      <c r="P863" s="324"/>
      <c r="Q863" s="324"/>
      <c r="R863" s="324"/>
      <c r="S863" s="324"/>
      <c r="T863" s="324"/>
      <c r="U863" s="324"/>
      <c r="V863" s="324"/>
      <c r="W863" s="324"/>
      <c r="X863" s="324"/>
      <c r="Y863" s="324"/>
      <c r="Z863" s="324"/>
      <c r="AA863" s="324"/>
      <c r="AB863" s="324"/>
      <c r="AC863" s="324"/>
      <c r="AD863" s="324"/>
      <c r="AE863" s="324"/>
      <c r="AF863" s="324"/>
    </row>
    <row r="864" spans="3:32" s="294" customFormat="1">
      <c r="C864" s="10"/>
      <c r="D864" s="29"/>
      <c r="E864" s="29"/>
      <c r="F864" s="36"/>
      <c r="G864" s="324"/>
      <c r="H864" s="324"/>
      <c r="I864" s="324"/>
      <c r="J864" s="324"/>
      <c r="K864" s="324"/>
      <c r="L864" s="324"/>
      <c r="M864" s="324"/>
      <c r="N864" s="324"/>
      <c r="O864" s="324"/>
      <c r="P864" s="324"/>
      <c r="Q864" s="324"/>
      <c r="R864" s="324"/>
      <c r="S864" s="324"/>
      <c r="T864" s="324"/>
      <c r="U864" s="324"/>
      <c r="V864" s="324"/>
      <c r="W864" s="324"/>
      <c r="X864" s="324"/>
      <c r="Y864" s="324"/>
      <c r="Z864" s="324"/>
      <c r="AA864" s="324"/>
      <c r="AB864" s="324"/>
      <c r="AC864" s="324"/>
      <c r="AD864" s="324"/>
      <c r="AE864" s="324"/>
      <c r="AF864" s="324"/>
    </row>
    <row r="865" spans="3:32" s="294" customFormat="1">
      <c r="C865" s="10"/>
      <c r="D865" s="29"/>
      <c r="E865" s="29"/>
      <c r="F865" s="36"/>
      <c r="G865" s="324"/>
      <c r="H865" s="324"/>
      <c r="I865" s="324"/>
      <c r="J865" s="324"/>
      <c r="K865" s="324"/>
      <c r="L865" s="324"/>
      <c r="M865" s="324"/>
      <c r="N865" s="324"/>
      <c r="O865" s="324"/>
      <c r="P865" s="324"/>
      <c r="Q865" s="324"/>
      <c r="R865" s="324"/>
      <c r="S865" s="324"/>
      <c r="T865" s="324"/>
      <c r="U865" s="324"/>
      <c r="V865" s="324"/>
      <c r="W865" s="324"/>
      <c r="X865" s="324"/>
      <c r="Y865" s="324"/>
      <c r="Z865" s="324"/>
      <c r="AA865" s="324"/>
      <c r="AB865" s="324"/>
      <c r="AC865" s="324"/>
      <c r="AD865" s="324"/>
      <c r="AE865" s="324"/>
      <c r="AF865" s="324"/>
    </row>
    <row r="866" spans="3:32" s="294" customFormat="1">
      <c r="C866" s="10"/>
      <c r="D866" s="29"/>
      <c r="E866" s="29"/>
      <c r="F866" s="36"/>
      <c r="G866" s="324"/>
      <c r="H866" s="324"/>
      <c r="I866" s="324"/>
      <c r="J866" s="324"/>
      <c r="K866" s="324"/>
      <c r="L866" s="324"/>
      <c r="M866" s="324"/>
      <c r="N866" s="324"/>
      <c r="O866" s="324"/>
      <c r="P866" s="324"/>
      <c r="Q866" s="324"/>
      <c r="R866" s="324"/>
      <c r="S866" s="324"/>
      <c r="T866" s="324"/>
      <c r="U866" s="324"/>
      <c r="V866" s="324"/>
      <c r="W866" s="324"/>
      <c r="X866" s="324"/>
      <c r="Y866" s="324"/>
      <c r="Z866" s="324"/>
      <c r="AA866" s="324"/>
      <c r="AB866" s="324"/>
      <c r="AC866" s="324"/>
      <c r="AD866" s="324"/>
      <c r="AE866" s="324"/>
      <c r="AF866" s="324"/>
    </row>
    <row r="867" spans="3:32" s="294" customFormat="1">
      <c r="C867" s="10"/>
      <c r="D867" s="29"/>
      <c r="E867" s="29"/>
      <c r="F867" s="36"/>
      <c r="G867" s="324"/>
      <c r="H867" s="324"/>
      <c r="I867" s="324"/>
      <c r="J867" s="324"/>
      <c r="K867" s="324"/>
      <c r="L867" s="324"/>
      <c r="M867" s="324"/>
      <c r="N867" s="324"/>
      <c r="O867" s="324"/>
      <c r="P867" s="324"/>
      <c r="Q867" s="324"/>
      <c r="R867" s="324"/>
      <c r="S867" s="324"/>
      <c r="T867" s="324"/>
      <c r="U867" s="324"/>
      <c r="V867" s="324"/>
      <c r="W867" s="324"/>
      <c r="X867" s="324"/>
      <c r="Y867" s="324"/>
      <c r="Z867" s="324"/>
      <c r="AA867" s="324"/>
      <c r="AB867" s="324"/>
      <c r="AC867" s="324"/>
      <c r="AD867" s="324"/>
      <c r="AE867" s="324"/>
      <c r="AF867" s="324"/>
    </row>
    <row r="868" spans="3:32" s="294" customFormat="1">
      <c r="C868" s="10"/>
      <c r="D868" s="29"/>
      <c r="E868" s="29"/>
      <c r="F868" s="36"/>
      <c r="G868" s="324"/>
      <c r="H868" s="324"/>
      <c r="I868" s="324"/>
      <c r="J868" s="324"/>
      <c r="K868" s="324"/>
      <c r="L868" s="324"/>
      <c r="M868" s="324"/>
      <c r="N868" s="324"/>
      <c r="O868" s="324"/>
      <c r="P868" s="324"/>
      <c r="Q868" s="324"/>
      <c r="R868" s="324"/>
      <c r="S868" s="324"/>
      <c r="T868" s="324"/>
      <c r="U868" s="324"/>
      <c r="V868" s="324"/>
      <c r="W868" s="324"/>
      <c r="X868" s="324"/>
      <c r="Y868" s="324"/>
      <c r="Z868" s="324"/>
      <c r="AA868" s="324"/>
      <c r="AB868" s="324"/>
      <c r="AC868" s="324"/>
      <c r="AD868" s="324"/>
      <c r="AE868" s="324"/>
      <c r="AF868" s="324"/>
    </row>
    <row r="869" spans="3:32" s="294" customFormat="1">
      <c r="C869" s="10"/>
      <c r="D869" s="29"/>
      <c r="E869" s="29"/>
      <c r="F869" s="36"/>
      <c r="G869" s="324"/>
      <c r="H869" s="324"/>
      <c r="I869" s="324"/>
      <c r="J869" s="324"/>
      <c r="K869" s="324"/>
      <c r="L869" s="324"/>
      <c r="M869" s="324"/>
      <c r="N869" s="324"/>
      <c r="O869" s="324"/>
      <c r="P869" s="324"/>
      <c r="Q869" s="324"/>
      <c r="R869" s="324"/>
      <c r="S869" s="324"/>
      <c r="T869" s="324"/>
      <c r="U869" s="324"/>
      <c r="V869" s="324"/>
      <c r="W869" s="324"/>
      <c r="X869" s="324"/>
      <c r="Y869" s="324"/>
      <c r="Z869" s="324"/>
      <c r="AA869" s="324"/>
      <c r="AB869" s="324"/>
      <c r="AC869" s="324"/>
      <c r="AD869" s="324"/>
      <c r="AE869" s="324"/>
      <c r="AF869" s="324"/>
    </row>
    <row r="870" spans="3:32" s="294" customFormat="1">
      <c r="C870" s="10"/>
      <c r="D870" s="29"/>
      <c r="E870" s="29"/>
      <c r="F870" s="36"/>
      <c r="G870" s="324"/>
      <c r="H870" s="324"/>
      <c r="I870" s="324"/>
      <c r="J870" s="324"/>
      <c r="K870" s="324"/>
      <c r="L870" s="324"/>
      <c r="M870" s="324"/>
      <c r="N870" s="324"/>
      <c r="O870" s="324"/>
      <c r="P870" s="324"/>
      <c r="Q870" s="324"/>
      <c r="R870" s="324"/>
      <c r="S870" s="324"/>
      <c r="T870" s="324"/>
      <c r="U870" s="324"/>
      <c r="V870" s="324"/>
      <c r="W870" s="324"/>
      <c r="X870" s="324"/>
      <c r="Y870" s="324"/>
      <c r="Z870" s="324"/>
      <c r="AA870" s="324"/>
      <c r="AB870" s="324"/>
      <c r="AC870" s="324"/>
      <c r="AD870" s="324"/>
      <c r="AE870" s="324"/>
      <c r="AF870" s="324"/>
    </row>
    <row r="871" spans="3:32" s="294" customFormat="1">
      <c r="C871" s="10"/>
      <c r="D871" s="29"/>
      <c r="E871" s="29"/>
      <c r="F871" s="36"/>
      <c r="G871" s="324"/>
      <c r="H871" s="324"/>
      <c r="I871" s="324"/>
      <c r="J871" s="324"/>
      <c r="K871" s="324"/>
      <c r="L871" s="324"/>
      <c r="M871" s="324"/>
      <c r="N871" s="324"/>
      <c r="O871" s="324"/>
      <c r="P871" s="324"/>
      <c r="Q871" s="324"/>
      <c r="R871" s="324"/>
      <c r="S871" s="324"/>
      <c r="T871" s="324"/>
      <c r="U871" s="324"/>
      <c r="V871" s="324"/>
      <c r="W871" s="324"/>
      <c r="X871" s="324"/>
      <c r="Y871" s="324"/>
      <c r="Z871" s="324"/>
      <c r="AA871" s="324"/>
      <c r="AB871" s="324"/>
      <c r="AC871" s="324"/>
      <c r="AD871" s="324"/>
      <c r="AE871" s="324"/>
      <c r="AF871" s="324"/>
    </row>
    <row r="872" spans="3:32" s="294" customFormat="1">
      <c r="C872" s="10"/>
      <c r="D872" s="29"/>
      <c r="E872" s="29"/>
      <c r="F872" s="36"/>
      <c r="G872" s="324"/>
      <c r="H872" s="324"/>
      <c r="I872" s="324"/>
      <c r="J872" s="324"/>
      <c r="K872" s="324"/>
      <c r="L872" s="324"/>
      <c r="M872" s="324"/>
      <c r="N872" s="324"/>
      <c r="O872" s="324"/>
      <c r="P872" s="324"/>
      <c r="Q872" s="324"/>
      <c r="R872" s="324"/>
      <c r="S872" s="324"/>
      <c r="T872" s="324"/>
      <c r="U872" s="324"/>
      <c r="V872" s="324"/>
      <c r="W872" s="324"/>
      <c r="X872" s="324"/>
      <c r="Y872" s="324"/>
      <c r="Z872" s="324"/>
      <c r="AA872" s="324"/>
      <c r="AB872" s="324"/>
      <c r="AC872" s="324"/>
      <c r="AD872" s="324"/>
      <c r="AE872" s="324"/>
      <c r="AF872" s="324"/>
    </row>
    <row r="873" spans="3:32" s="294" customFormat="1">
      <c r="C873" s="10"/>
      <c r="D873" s="29"/>
      <c r="E873" s="29"/>
      <c r="F873" s="36"/>
      <c r="G873" s="324"/>
      <c r="H873" s="324"/>
      <c r="I873" s="324"/>
      <c r="J873" s="324"/>
      <c r="K873" s="324"/>
      <c r="L873" s="324"/>
      <c r="M873" s="324"/>
      <c r="N873" s="324"/>
      <c r="O873" s="324"/>
      <c r="P873" s="324"/>
      <c r="Q873" s="324"/>
      <c r="R873" s="324"/>
      <c r="S873" s="324"/>
      <c r="T873" s="324"/>
      <c r="U873" s="324"/>
      <c r="V873" s="324"/>
      <c r="W873" s="324"/>
      <c r="X873" s="324"/>
      <c r="Y873" s="324"/>
      <c r="Z873" s="324"/>
      <c r="AA873" s="324"/>
      <c r="AB873" s="324"/>
      <c r="AC873" s="324"/>
      <c r="AD873" s="324"/>
      <c r="AE873" s="324"/>
      <c r="AF873" s="324"/>
    </row>
    <row r="874" spans="3:32" s="294" customFormat="1">
      <c r="C874" s="10"/>
      <c r="D874" s="29"/>
      <c r="E874" s="29"/>
      <c r="F874" s="36"/>
      <c r="G874" s="324"/>
      <c r="H874" s="324"/>
      <c r="I874" s="324"/>
      <c r="J874" s="324"/>
      <c r="K874" s="324"/>
      <c r="L874" s="324"/>
      <c r="M874" s="324"/>
      <c r="N874" s="324"/>
      <c r="O874" s="324"/>
      <c r="P874" s="324"/>
      <c r="Q874" s="324"/>
      <c r="R874" s="324"/>
      <c r="S874" s="324"/>
      <c r="T874" s="324"/>
      <c r="U874" s="324"/>
      <c r="V874" s="324"/>
      <c r="W874" s="324"/>
      <c r="X874" s="324"/>
      <c r="Y874" s="324"/>
      <c r="Z874" s="324"/>
      <c r="AA874" s="324"/>
      <c r="AB874" s="324"/>
      <c r="AC874" s="324"/>
      <c r="AD874" s="324"/>
      <c r="AE874" s="324"/>
      <c r="AF874" s="324"/>
    </row>
    <row r="875" spans="3:32" s="294" customFormat="1">
      <c r="C875" s="10"/>
      <c r="D875" s="29"/>
      <c r="E875" s="29"/>
      <c r="F875" s="36"/>
      <c r="G875" s="324"/>
      <c r="H875" s="324"/>
      <c r="I875" s="324"/>
      <c r="J875" s="324"/>
      <c r="K875" s="324"/>
      <c r="L875" s="324"/>
      <c r="M875" s="324"/>
      <c r="N875" s="324"/>
      <c r="O875" s="324"/>
      <c r="P875" s="324"/>
      <c r="Q875" s="324"/>
      <c r="R875" s="324"/>
      <c r="S875" s="324"/>
      <c r="T875" s="324"/>
      <c r="U875" s="324"/>
      <c r="V875" s="324"/>
      <c r="W875" s="324"/>
      <c r="X875" s="324"/>
      <c r="Y875" s="324"/>
      <c r="Z875" s="324"/>
      <c r="AA875" s="324"/>
      <c r="AB875" s="324"/>
      <c r="AC875" s="324"/>
      <c r="AD875" s="324"/>
      <c r="AE875" s="324"/>
      <c r="AF875" s="324"/>
    </row>
    <row r="876" spans="3:32" s="294" customFormat="1">
      <c r="C876" s="10"/>
      <c r="D876" s="29"/>
      <c r="E876" s="29"/>
      <c r="F876" s="36"/>
      <c r="G876" s="324"/>
      <c r="H876" s="324"/>
      <c r="I876" s="324"/>
      <c r="J876" s="324"/>
      <c r="K876" s="324"/>
      <c r="L876" s="324"/>
      <c r="M876" s="324"/>
      <c r="N876" s="324"/>
      <c r="O876" s="324"/>
      <c r="P876" s="324"/>
      <c r="Q876" s="324"/>
      <c r="R876" s="324"/>
      <c r="S876" s="324"/>
      <c r="T876" s="324"/>
      <c r="U876" s="324"/>
      <c r="V876" s="324"/>
      <c r="W876" s="324"/>
      <c r="X876" s="324"/>
      <c r="Y876" s="324"/>
      <c r="Z876" s="324"/>
      <c r="AA876" s="324"/>
      <c r="AB876" s="324"/>
      <c r="AC876" s="324"/>
      <c r="AD876" s="324"/>
      <c r="AE876" s="324"/>
      <c r="AF876" s="324"/>
    </row>
    <row r="877" spans="3:32" s="294" customFormat="1">
      <c r="C877" s="10"/>
      <c r="D877" s="29"/>
      <c r="E877" s="29"/>
      <c r="F877" s="36"/>
      <c r="G877" s="324"/>
      <c r="H877" s="324"/>
      <c r="I877" s="324"/>
      <c r="J877" s="324"/>
      <c r="K877" s="324"/>
      <c r="L877" s="324"/>
      <c r="M877" s="324"/>
      <c r="N877" s="324"/>
      <c r="O877" s="324"/>
      <c r="P877" s="324"/>
      <c r="Q877" s="324"/>
      <c r="R877" s="324"/>
      <c r="S877" s="324"/>
      <c r="T877" s="324"/>
      <c r="U877" s="324"/>
      <c r="V877" s="324"/>
      <c r="W877" s="324"/>
      <c r="X877" s="324"/>
      <c r="Y877" s="324"/>
      <c r="Z877" s="324"/>
      <c r="AA877" s="324"/>
      <c r="AB877" s="324"/>
      <c r="AC877" s="324"/>
      <c r="AD877" s="324"/>
      <c r="AE877" s="324"/>
      <c r="AF877" s="324"/>
    </row>
    <row r="878" spans="3:32" s="294" customFormat="1">
      <c r="C878" s="10"/>
      <c r="D878" s="29"/>
      <c r="E878" s="29"/>
      <c r="F878" s="36"/>
      <c r="G878" s="324"/>
      <c r="H878" s="324"/>
      <c r="I878" s="324"/>
      <c r="J878" s="324"/>
      <c r="K878" s="324"/>
      <c r="L878" s="324"/>
      <c r="M878" s="324"/>
      <c r="N878" s="324"/>
      <c r="O878" s="324"/>
      <c r="P878" s="324"/>
      <c r="Q878" s="324"/>
      <c r="R878" s="324"/>
      <c r="S878" s="324"/>
      <c r="T878" s="324"/>
      <c r="U878" s="324"/>
      <c r="V878" s="324"/>
      <c r="W878" s="324"/>
      <c r="X878" s="324"/>
      <c r="Y878" s="324"/>
      <c r="Z878" s="324"/>
      <c r="AA878" s="324"/>
      <c r="AB878" s="324"/>
      <c r="AC878" s="324"/>
      <c r="AD878" s="324"/>
      <c r="AE878" s="324"/>
      <c r="AF878" s="324"/>
    </row>
    <row r="879" spans="3:32" s="294" customFormat="1">
      <c r="C879" s="10"/>
      <c r="D879" s="29"/>
      <c r="E879" s="29"/>
      <c r="F879" s="36"/>
      <c r="G879" s="324"/>
      <c r="H879" s="324"/>
      <c r="I879" s="324"/>
      <c r="J879" s="324"/>
      <c r="K879" s="324"/>
      <c r="L879" s="324"/>
      <c r="M879" s="324"/>
      <c r="N879" s="324"/>
      <c r="O879" s="324"/>
      <c r="P879" s="324"/>
      <c r="Q879" s="324"/>
      <c r="R879" s="324"/>
      <c r="S879" s="324"/>
      <c r="T879" s="324"/>
      <c r="U879" s="324"/>
      <c r="V879" s="324"/>
      <c r="W879" s="324"/>
      <c r="X879" s="324"/>
      <c r="Y879" s="324"/>
      <c r="Z879" s="324"/>
      <c r="AA879" s="324"/>
      <c r="AB879" s="324"/>
      <c r="AC879" s="324"/>
      <c r="AD879" s="324"/>
      <c r="AE879" s="324"/>
      <c r="AF879" s="324"/>
    </row>
    <row r="880" spans="3:32" s="294" customFormat="1">
      <c r="C880" s="10"/>
      <c r="D880" s="29"/>
      <c r="E880" s="29"/>
      <c r="F880" s="36"/>
      <c r="G880" s="324"/>
      <c r="H880" s="324"/>
      <c r="I880" s="324"/>
      <c r="J880" s="324"/>
      <c r="K880" s="324"/>
      <c r="L880" s="324"/>
      <c r="M880" s="324"/>
      <c r="N880" s="324"/>
      <c r="O880" s="324"/>
      <c r="P880" s="324"/>
      <c r="Q880" s="324"/>
      <c r="R880" s="324"/>
      <c r="S880" s="324"/>
      <c r="T880" s="324"/>
      <c r="U880" s="324"/>
      <c r="V880" s="324"/>
      <c r="W880" s="324"/>
      <c r="X880" s="324"/>
      <c r="Y880" s="324"/>
      <c r="Z880" s="324"/>
      <c r="AA880" s="324"/>
      <c r="AB880" s="324"/>
      <c r="AC880" s="324"/>
      <c r="AD880" s="324"/>
      <c r="AE880" s="324"/>
      <c r="AF880" s="324"/>
    </row>
    <row r="881" spans="3:32" s="294" customFormat="1">
      <c r="C881" s="10"/>
      <c r="D881" s="29"/>
      <c r="E881" s="29"/>
      <c r="F881" s="36"/>
      <c r="G881" s="324"/>
      <c r="H881" s="324"/>
      <c r="I881" s="324"/>
      <c r="J881" s="324"/>
      <c r="K881" s="324"/>
      <c r="L881" s="324"/>
      <c r="M881" s="324"/>
      <c r="N881" s="324"/>
      <c r="O881" s="324"/>
      <c r="P881" s="324"/>
      <c r="Q881" s="324"/>
      <c r="R881" s="324"/>
      <c r="S881" s="324"/>
      <c r="T881" s="324"/>
      <c r="U881" s="324"/>
      <c r="V881" s="324"/>
      <c r="W881" s="324"/>
      <c r="X881" s="324"/>
      <c r="Y881" s="324"/>
      <c r="Z881" s="324"/>
      <c r="AA881" s="324"/>
      <c r="AB881" s="324"/>
      <c r="AC881" s="324"/>
      <c r="AD881" s="324"/>
      <c r="AE881" s="324"/>
      <c r="AF881" s="324"/>
    </row>
    <row r="882" spans="3:32" s="294" customFormat="1">
      <c r="C882" s="10"/>
      <c r="D882" s="29"/>
      <c r="E882" s="29"/>
      <c r="F882" s="36"/>
      <c r="G882" s="324"/>
      <c r="H882" s="324"/>
      <c r="I882" s="324"/>
      <c r="J882" s="324"/>
      <c r="K882" s="324"/>
      <c r="L882" s="324"/>
      <c r="M882" s="324"/>
      <c r="N882" s="324"/>
      <c r="O882" s="324"/>
      <c r="P882" s="324"/>
      <c r="Q882" s="324"/>
      <c r="R882" s="324"/>
      <c r="S882" s="324"/>
      <c r="T882" s="324"/>
      <c r="U882" s="324"/>
      <c r="V882" s="324"/>
      <c r="W882" s="324"/>
      <c r="X882" s="324"/>
      <c r="Y882" s="324"/>
      <c r="Z882" s="324"/>
      <c r="AA882" s="324"/>
      <c r="AB882" s="324"/>
      <c r="AC882" s="324"/>
      <c r="AD882" s="324"/>
      <c r="AE882" s="324"/>
      <c r="AF882" s="324"/>
    </row>
    <row r="883" spans="3:32" s="294" customFormat="1">
      <c r="C883" s="10"/>
      <c r="D883" s="29"/>
      <c r="E883" s="29"/>
      <c r="F883" s="36"/>
      <c r="G883" s="324"/>
      <c r="H883" s="324"/>
      <c r="I883" s="324"/>
      <c r="J883" s="324"/>
      <c r="K883" s="324"/>
      <c r="L883" s="324"/>
      <c r="M883" s="324"/>
      <c r="N883" s="324"/>
      <c r="O883" s="324"/>
      <c r="P883" s="324"/>
      <c r="Q883" s="324"/>
      <c r="R883" s="324"/>
      <c r="S883" s="324"/>
      <c r="T883" s="324"/>
      <c r="U883" s="324"/>
      <c r="V883" s="324"/>
      <c r="W883" s="324"/>
      <c r="X883" s="324"/>
      <c r="Y883" s="324"/>
      <c r="Z883" s="324"/>
      <c r="AA883" s="324"/>
      <c r="AB883" s="324"/>
      <c r="AC883" s="324"/>
      <c r="AD883" s="324"/>
      <c r="AE883" s="324"/>
      <c r="AF883" s="324"/>
    </row>
    <row r="884" spans="3:32" s="294" customFormat="1">
      <c r="C884" s="10"/>
      <c r="D884" s="29"/>
      <c r="E884" s="29"/>
      <c r="F884" s="36"/>
      <c r="G884" s="324"/>
      <c r="H884" s="324"/>
      <c r="I884" s="324"/>
      <c r="J884" s="324"/>
      <c r="K884" s="324"/>
      <c r="L884" s="324"/>
      <c r="M884" s="324"/>
      <c r="N884" s="324"/>
      <c r="O884" s="324"/>
      <c r="P884" s="324"/>
      <c r="Q884" s="324"/>
      <c r="R884" s="324"/>
      <c r="S884" s="324"/>
      <c r="T884" s="324"/>
      <c r="U884" s="324"/>
      <c r="V884" s="324"/>
      <c r="W884" s="324"/>
      <c r="X884" s="324"/>
      <c r="Y884" s="324"/>
      <c r="Z884" s="324"/>
      <c r="AA884" s="324"/>
      <c r="AB884" s="324"/>
      <c r="AC884" s="324"/>
      <c r="AD884" s="324"/>
      <c r="AE884" s="324"/>
      <c r="AF884" s="324"/>
    </row>
    <row r="885" spans="3:32" s="294" customFormat="1">
      <c r="C885" s="10"/>
      <c r="D885" s="29"/>
      <c r="E885" s="29"/>
      <c r="F885" s="36"/>
      <c r="G885" s="324"/>
      <c r="H885" s="324"/>
      <c r="I885" s="324"/>
      <c r="J885" s="324"/>
      <c r="K885" s="324"/>
      <c r="L885" s="324"/>
      <c r="M885" s="324"/>
      <c r="N885" s="324"/>
      <c r="O885" s="324"/>
      <c r="P885" s="324"/>
      <c r="Q885" s="324"/>
      <c r="R885" s="324"/>
      <c r="S885" s="324"/>
      <c r="T885" s="324"/>
      <c r="U885" s="324"/>
      <c r="V885" s="324"/>
      <c r="W885" s="324"/>
      <c r="X885" s="324"/>
      <c r="Y885" s="324"/>
      <c r="Z885" s="324"/>
      <c r="AA885" s="324"/>
      <c r="AB885" s="324"/>
      <c r="AC885" s="324"/>
      <c r="AD885" s="324"/>
      <c r="AE885" s="324"/>
      <c r="AF885" s="324"/>
    </row>
    <row r="886" spans="3:32" s="294" customFormat="1">
      <c r="C886" s="10"/>
      <c r="D886" s="29"/>
      <c r="E886" s="29"/>
      <c r="F886" s="36"/>
      <c r="G886" s="324"/>
      <c r="H886" s="324"/>
      <c r="I886" s="324"/>
      <c r="J886" s="324"/>
      <c r="K886" s="324"/>
      <c r="L886" s="324"/>
      <c r="M886" s="324"/>
      <c r="N886" s="324"/>
      <c r="O886" s="324"/>
      <c r="P886" s="324"/>
      <c r="Q886" s="324"/>
      <c r="R886" s="324"/>
      <c r="S886" s="324"/>
      <c r="T886" s="324"/>
      <c r="U886" s="324"/>
      <c r="V886" s="324"/>
      <c r="W886" s="324"/>
      <c r="X886" s="324"/>
      <c r="Y886" s="324"/>
      <c r="Z886" s="324"/>
      <c r="AA886" s="324"/>
      <c r="AB886" s="324"/>
      <c r="AC886" s="324"/>
      <c r="AD886" s="324"/>
      <c r="AE886" s="324"/>
      <c r="AF886" s="324"/>
    </row>
    <row r="887" spans="3:32" s="294" customFormat="1">
      <c r="C887" s="10"/>
      <c r="D887" s="29"/>
      <c r="E887" s="29"/>
      <c r="F887" s="36"/>
      <c r="G887" s="324"/>
      <c r="H887" s="324"/>
      <c r="I887" s="324"/>
      <c r="J887" s="324"/>
      <c r="K887" s="324"/>
      <c r="L887" s="324"/>
      <c r="M887" s="324"/>
      <c r="N887" s="324"/>
      <c r="O887" s="324"/>
      <c r="P887" s="324"/>
      <c r="Q887" s="324"/>
      <c r="R887" s="324"/>
      <c r="S887" s="324"/>
      <c r="T887" s="324"/>
      <c r="U887" s="324"/>
      <c r="V887" s="324"/>
      <c r="W887" s="324"/>
      <c r="X887" s="324"/>
      <c r="Y887" s="324"/>
      <c r="Z887" s="324"/>
      <c r="AA887" s="324"/>
      <c r="AB887" s="324"/>
      <c r="AC887" s="324"/>
      <c r="AD887" s="324"/>
      <c r="AE887" s="324"/>
      <c r="AF887" s="324"/>
    </row>
    <row r="888" spans="3:32" s="294" customFormat="1">
      <c r="C888" s="10"/>
      <c r="D888" s="29"/>
      <c r="E888" s="29"/>
      <c r="F888" s="36"/>
      <c r="G888" s="324"/>
      <c r="H888" s="324"/>
      <c r="I888" s="324"/>
      <c r="J888" s="324"/>
      <c r="K888" s="324"/>
      <c r="L888" s="324"/>
      <c r="M888" s="324"/>
      <c r="N888" s="324"/>
      <c r="O888" s="324"/>
      <c r="P888" s="324"/>
      <c r="Q888" s="324"/>
      <c r="R888" s="324"/>
      <c r="S888" s="324"/>
      <c r="T888" s="324"/>
      <c r="U888" s="324"/>
      <c r="V888" s="324"/>
      <c r="W888" s="324"/>
      <c r="X888" s="324"/>
      <c r="Y888" s="324"/>
      <c r="Z888" s="324"/>
      <c r="AA888" s="324"/>
      <c r="AB888" s="324"/>
      <c r="AC888" s="324"/>
      <c r="AD888" s="324"/>
      <c r="AE888" s="324"/>
      <c r="AF888" s="324"/>
    </row>
    <row r="889" spans="3:32" s="294" customFormat="1">
      <c r="C889" s="10"/>
      <c r="D889" s="29"/>
      <c r="E889" s="29"/>
      <c r="F889" s="36"/>
      <c r="G889" s="324"/>
      <c r="H889" s="324"/>
      <c r="I889" s="324"/>
      <c r="J889" s="324"/>
      <c r="K889" s="324"/>
      <c r="L889" s="324"/>
      <c r="M889" s="324"/>
      <c r="N889" s="324"/>
      <c r="O889" s="324"/>
      <c r="P889" s="324"/>
      <c r="Q889" s="324"/>
      <c r="R889" s="324"/>
      <c r="S889" s="324"/>
      <c r="T889" s="324"/>
      <c r="U889" s="324"/>
      <c r="V889" s="324"/>
      <c r="W889" s="324"/>
      <c r="X889" s="324"/>
      <c r="Y889" s="324"/>
      <c r="Z889" s="324"/>
      <c r="AA889" s="324"/>
      <c r="AB889" s="324"/>
      <c r="AC889" s="324"/>
      <c r="AD889" s="324"/>
      <c r="AE889" s="324"/>
      <c r="AF889" s="324"/>
    </row>
    <row r="890" spans="3:32" s="294" customFormat="1">
      <c r="C890" s="10"/>
      <c r="D890" s="29"/>
      <c r="E890" s="29"/>
      <c r="F890" s="36"/>
      <c r="G890" s="324"/>
      <c r="H890" s="324"/>
      <c r="I890" s="324"/>
      <c r="J890" s="324"/>
      <c r="K890" s="324"/>
      <c r="L890" s="324"/>
      <c r="M890" s="324"/>
      <c r="N890" s="324"/>
      <c r="O890" s="324"/>
      <c r="P890" s="324"/>
      <c r="Q890" s="324"/>
      <c r="R890" s="324"/>
      <c r="S890" s="324"/>
      <c r="T890" s="324"/>
      <c r="U890" s="324"/>
      <c r="V890" s="324"/>
      <c r="W890" s="324"/>
      <c r="X890" s="324"/>
      <c r="Y890" s="324"/>
      <c r="Z890" s="324"/>
      <c r="AA890" s="324"/>
      <c r="AB890" s="324"/>
      <c r="AC890" s="324"/>
      <c r="AD890" s="324"/>
      <c r="AE890" s="324"/>
      <c r="AF890" s="324"/>
    </row>
    <row r="891" spans="3:32" s="294" customFormat="1">
      <c r="C891" s="10"/>
      <c r="D891" s="29"/>
      <c r="E891" s="29"/>
      <c r="F891" s="36"/>
      <c r="G891" s="324"/>
      <c r="H891" s="324"/>
      <c r="I891" s="324"/>
      <c r="J891" s="324"/>
      <c r="K891" s="324"/>
      <c r="L891" s="324"/>
      <c r="M891" s="324"/>
      <c r="N891" s="324"/>
      <c r="O891" s="324"/>
      <c r="P891" s="324"/>
      <c r="Q891" s="324"/>
      <c r="R891" s="324"/>
      <c r="S891" s="324"/>
      <c r="T891" s="324"/>
      <c r="U891" s="324"/>
      <c r="V891" s="324"/>
      <c r="W891" s="324"/>
      <c r="X891" s="324"/>
      <c r="Y891" s="324"/>
      <c r="Z891" s="324"/>
      <c r="AA891" s="324"/>
      <c r="AB891" s="324"/>
      <c r="AC891" s="324"/>
      <c r="AD891" s="324"/>
      <c r="AE891" s="324"/>
      <c r="AF891" s="324"/>
    </row>
    <row r="892" spans="3:32" s="294" customFormat="1">
      <c r="C892" s="10"/>
      <c r="D892" s="29"/>
      <c r="E892" s="29"/>
      <c r="F892" s="36"/>
      <c r="G892" s="324"/>
      <c r="H892" s="324"/>
      <c r="I892" s="324"/>
      <c r="J892" s="324"/>
      <c r="K892" s="324"/>
      <c r="L892" s="324"/>
      <c r="M892" s="324"/>
      <c r="N892" s="324"/>
      <c r="O892" s="324"/>
      <c r="P892" s="324"/>
      <c r="Q892" s="324"/>
      <c r="R892" s="324"/>
      <c r="S892" s="324"/>
      <c r="T892" s="324"/>
      <c r="U892" s="324"/>
      <c r="V892" s="324"/>
      <c r="W892" s="324"/>
      <c r="X892" s="324"/>
      <c r="Y892" s="324"/>
      <c r="Z892" s="324"/>
      <c r="AA892" s="324"/>
      <c r="AB892" s="324"/>
      <c r="AC892" s="324"/>
      <c r="AD892" s="324"/>
      <c r="AE892" s="324"/>
      <c r="AF892" s="324"/>
    </row>
    <row r="893" spans="3:32" s="294" customFormat="1">
      <c r="C893" s="10"/>
      <c r="D893" s="29"/>
      <c r="E893" s="29"/>
      <c r="F893" s="36"/>
      <c r="G893" s="324"/>
      <c r="H893" s="324"/>
      <c r="I893" s="324"/>
      <c r="J893" s="324"/>
      <c r="K893" s="324"/>
      <c r="L893" s="324"/>
      <c r="M893" s="324"/>
      <c r="N893" s="324"/>
      <c r="O893" s="324"/>
      <c r="P893" s="324"/>
      <c r="Q893" s="324"/>
      <c r="R893" s="324"/>
      <c r="S893" s="324"/>
      <c r="T893" s="324"/>
      <c r="U893" s="324"/>
      <c r="V893" s="324"/>
      <c r="W893" s="324"/>
      <c r="X893" s="324"/>
      <c r="Y893" s="324"/>
      <c r="Z893" s="324"/>
      <c r="AA893" s="324"/>
      <c r="AB893" s="324"/>
      <c r="AC893" s="324"/>
      <c r="AD893" s="324"/>
      <c r="AE893" s="324"/>
      <c r="AF893" s="324"/>
    </row>
    <row r="894" spans="3:32" s="294" customFormat="1">
      <c r="C894" s="10"/>
      <c r="D894" s="29"/>
      <c r="E894" s="29"/>
      <c r="F894" s="36"/>
      <c r="G894" s="324"/>
      <c r="H894" s="324"/>
      <c r="I894" s="324"/>
      <c r="J894" s="324"/>
      <c r="K894" s="324"/>
      <c r="L894" s="324"/>
      <c r="M894" s="324"/>
      <c r="N894" s="324"/>
      <c r="O894" s="324"/>
      <c r="P894" s="324"/>
      <c r="Q894" s="324"/>
      <c r="R894" s="324"/>
      <c r="S894" s="324"/>
      <c r="T894" s="324"/>
      <c r="U894" s="324"/>
      <c r="V894" s="324"/>
      <c r="W894" s="324"/>
      <c r="X894" s="324"/>
      <c r="Y894" s="324"/>
      <c r="Z894" s="324"/>
      <c r="AA894" s="324"/>
      <c r="AB894" s="324"/>
      <c r="AC894" s="324"/>
      <c r="AD894" s="324"/>
      <c r="AE894" s="324"/>
      <c r="AF894" s="324"/>
    </row>
    <row r="895" spans="3:32" s="294" customFormat="1">
      <c r="C895" s="10"/>
      <c r="D895" s="29"/>
      <c r="E895" s="29"/>
      <c r="F895" s="36"/>
      <c r="G895" s="324"/>
      <c r="H895" s="324"/>
      <c r="I895" s="324"/>
      <c r="J895" s="324"/>
      <c r="K895" s="324"/>
      <c r="L895" s="324"/>
      <c r="M895" s="324"/>
      <c r="N895" s="324"/>
      <c r="O895" s="324"/>
      <c r="P895" s="324"/>
      <c r="Q895" s="324"/>
      <c r="R895" s="324"/>
      <c r="S895" s="324"/>
      <c r="T895" s="324"/>
      <c r="U895" s="324"/>
      <c r="V895" s="324"/>
      <c r="W895" s="324"/>
      <c r="X895" s="324"/>
      <c r="Y895" s="324"/>
      <c r="Z895" s="324"/>
      <c r="AA895" s="324"/>
      <c r="AB895" s="324"/>
      <c r="AC895" s="324"/>
      <c r="AD895" s="324"/>
      <c r="AE895" s="324"/>
      <c r="AF895" s="324"/>
    </row>
    <row r="896" spans="3:32" s="294" customFormat="1">
      <c r="C896" s="10"/>
      <c r="D896" s="29"/>
      <c r="E896" s="29"/>
      <c r="F896" s="36"/>
      <c r="G896" s="324"/>
      <c r="H896" s="324"/>
      <c r="I896" s="324"/>
      <c r="J896" s="324"/>
      <c r="K896" s="324"/>
      <c r="L896" s="324"/>
      <c r="M896" s="324"/>
      <c r="N896" s="324"/>
      <c r="O896" s="324"/>
      <c r="P896" s="324"/>
      <c r="Q896" s="324"/>
      <c r="R896" s="324"/>
      <c r="S896" s="324"/>
      <c r="T896" s="324"/>
      <c r="U896" s="324"/>
      <c r="V896" s="324"/>
      <c r="W896" s="324"/>
      <c r="X896" s="324"/>
      <c r="Y896" s="324"/>
      <c r="Z896" s="324"/>
      <c r="AA896" s="324"/>
      <c r="AB896" s="324"/>
      <c r="AC896" s="324"/>
      <c r="AD896" s="324"/>
      <c r="AE896" s="324"/>
      <c r="AF896" s="324"/>
    </row>
    <row r="897" spans="3:32" s="294" customFormat="1">
      <c r="C897" s="10"/>
      <c r="D897" s="29"/>
      <c r="E897" s="29"/>
      <c r="F897" s="36"/>
      <c r="G897" s="324"/>
      <c r="H897" s="324"/>
      <c r="I897" s="324"/>
      <c r="J897" s="324"/>
      <c r="K897" s="324"/>
      <c r="L897" s="324"/>
      <c r="M897" s="324"/>
      <c r="N897" s="324"/>
      <c r="O897" s="324"/>
      <c r="P897" s="324"/>
      <c r="Q897" s="324"/>
      <c r="R897" s="324"/>
      <c r="S897" s="324"/>
      <c r="T897" s="324"/>
      <c r="U897" s="324"/>
      <c r="V897" s="324"/>
      <c r="W897" s="324"/>
      <c r="X897" s="324"/>
      <c r="Y897" s="324"/>
      <c r="Z897" s="324"/>
      <c r="AA897" s="324"/>
      <c r="AB897" s="324"/>
      <c r="AC897" s="324"/>
      <c r="AD897" s="324"/>
      <c r="AE897" s="324"/>
      <c r="AF897" s="324"/>
    </row>
    <row r="898" spans="3:32" s="294" customFormat="1">
      <c r="C898" s="10"/>
      <c r="D898" s="29"/>
      <c r="E898" s="29"/>
      <c r="F898" s="36"/>
      <c r="G898" s="324"/>
      <c r="H898" s="324"/>
      <c r="I898" s="324"/>
      <c r="J898" s="324"/>
      <c r="K898" s="324"/>
      <c r="L898" s="324"/>
      <c r="M898" s="324"/>
      <c r="N898" s="324"/>
      <c r="O898" s="324"/>
      <c r="P898" s="324"/>
      <c r="Q898" s="324"/>
      <c r="R898" s="324"/>
      <c r="S898" s="324"/>
      <c r="T898" s="324"/>
      <c r="U898" s="324"/>
      <c r="V898" s="324"/>
      <c r="W898" s="324"/>
      <c r="X898" s="324"/>
      <c r="Y898" s="324"/>
      <c r="Z898" s="324"/>
      <c r="AA898" s="324"/>
      <c r="AB898" s="324"/>
      <c r="AC898" s="324"/>
      <c r="AD898" s="324"/>
      <c r="AE898" s="324"/>
      <c r="AF898" s="324"/>
    </row>
    <row r="899" spans="3:32" s="294" customFormat="1">
      <c r="C899" s="10"/>
      <c r="D899" s="29"/>
      <c r="E899" s="29"/>
      <c r="F899" s="36"/>
      <c r="G899" s="324"/>
      <c r="H899" s="324"/>
      <c r="I899" s="324"/>
      <c r="J899" s="324"/>
      <c r="K899" s="324"/>
      <c r="L899" s="324"/>
      <c r="M899" s="324"/>
      <c r="N899" s="324"/>
      <c r="O899" s="324"/>
      <c r="P899" s="324"/>
      <c r="Q899" s="324"/>
      <c r="R899" s="324"/>
      <c r="S899" s="324"/>
      <c r="T899" s="324"/>
      <c r="U899" s="324"/>
      <c r="V899" s="324"/>
      <c r="W899" s="324"/>
      <c r="X899" s="324"/>
      <c r="Y899" s="324"/>
      <c r="Z899" s="324"/>
      <c r="AA899" s="324"/>
      <c r="AB899" s="324"/>
      <c r="AC899" s="324"/>
      <c r="AD899" s="324"/>
      <c r="AE899" s="324"/>
      <c r="AF899" s="324"/>
    </row>
    <row r="900" spans="3:32" s="294" customFormat="1">
      <c r="C900" s="10"/>
      <c r="D900" s="29"/>
      <c r="E900" s="29"/>
      <c r="F900" s="36"/>
      <c r="G900" s="324"/>
      <c r="H900" s="324"/>
      <c r="I900" s="324"/>
      <c r="J900" s="324"/>
      <c r="K900" s="324"/>
      <c r="L900" s="324"/>
      <c r="M900" s="324"/>
      <c r="N900" s="324"/>
      <c r="O900" s="324"/>
      <c r="P900" s="324"/>
      <c r="Q900" s="324"/>
      <c r="R900" s="324"/>
      <c r="S900" s="324"/>
      <c r="T900" s="324"/>
      <c r="U900" s="324"/>
      <c r="V900" s="324"/>
      <c r="W900" s="324"/>
      <c r="X900" s="324"/>
      <c r="Y900" s="324"/>
      <c r="Z900" s="324"/>
      <c r="AA900" s="324"/>
      <c r="AB900" s="324"/>
      <c r="AC900" s="324"/>
      <c r="AD900" s="324"/>
      <c r="AE900" s="324"/>
      <c r="AF900" s="324"/>
    </row>
    <row r="901" spans="3:32" s="294" customFormat="1">
      <c r="C901" s="10"/>
      <c r="D901" s="29"/>
      <c r="E901" s="29"/>
      <c r="F901" s="36"/>
      <c r="G901" s="324"/>
      <c r="H901" s="324"/>
      <c r="I901" s="324"/>
      <c r="J901" s="324"/>
      <c r="K901" s="324"/>
      <c r="L901" s="324"/>
      <c r="M901" s="324"/>
      <c r="N901" s="324"/>
      <c r="O901" s="324"/>
      <c r="P901" s="324"/>
      <c r="Q901" s="324"/>
      <c r="R901" s="324"/>
      <c r="S901" s="324"/>
      <c r="T901" s="324"/>
      <c r="U901" s="324"/>
      <c r="V901" s="324"/>
      <c r="W901" s="324"/>
      <c r="X901" s="324"/>
      <c r="Y901" s="324"/>
      <c r="Z901" s="324"/>
      <c r="AA901" s="324"/>
      <c r="AB901" s="324"/>
      <c r="AC901" s="324"/>
      <c r="AD901" s="324"/>
      <c r="AE901" s="324"/>
      <c r="AF901" s="324"/>
    </row>
    <row r="902" spans="3:32" s="294" customFormat="1">
      <c r="C902" s="10"/>
      <c r="D902" s="29"/>
      <c r="E902" s="29"/>
      <c r="F902" s="36"/>
      <c r="G902" s="324"/>
      <c r="H902" s="324"/>
      <c r="I902" s="324"/>
      <c r="J902" s="324"/>
      <c r="K902" s="324"/>
      <c r="L902" s="324"/>
      <c r="M902" s="324"/>
      <c r="N902" s="324"/>
      <c r="O902" s="324"/>
      <c r="P902" s="324"/>
      <c r="Q902" s="324"/>
      <c r="R902" s="324"/>
      <c r="S902" s="324"/>
      <c r="T902" s="324"/>
      <c r="U902" s="324"/>
      <c r="V902" s="324"/>
      <c r="W902" s="324"/>
      <c r="X902" s="324"/>
      <c r="Y902" s="324"/>
      <c r="Z902" s="324"/>
      <c r="AA902" s="324"/>
      <c r="AB902" s="324"/>
      <c r="AC902" s="324"/>
      <c r="AD902" s="324"/>
      <c r="AE902" s="324"/>
      <c r="AF902" s="324"/>
    </row>
    <row r="903" spans="3:32" s="294" customFormat="1">
      <c r="C903" s="10"/>
      <c r="D903" s="29"/>
      <c r="E903" s="29"/>
      <c r="F903" s="36"/>
      <c r="G903" s="324"/>
      <c r="H903" s="324"/>
      <c r="I903" s="324"/>
      <c r="J903" s="324"/>
      <c r="K903" s="324"/>
      <c r="L903" s="324"/>
      <c r="M903" s="324"/>
      <c r="N903" s="324"/>
      <c r="O903" s="324"/>
      <c r="P903" s="324"/>
      <c r="Q903" s="324"/>
      <c r="R903" s="324"/>
      <c r="S903" s="324"/>
      <c r="T903" s="324"/>
      <c r="U903" s="324"/>
      <c r="V903" s="324"/>
      <c r="W903" s="324"/>
      <c r="X903" s="324"/>
      <c r="Y903" s="324"/>
      <c r="Z903" s="324"/>
      <c r="AA903" s="324"/>
      <c r="AB903" s="324"/>
      <c r="AC903" s="324"/>
      <c r="AD903" s="324"/>
      <c r="AE903" s="324"/>
      <c r="AF903" s="324"/>
    </row>
    <row r="904" spans="3:32" s="294" customFormat="1">
      <c r="C904" s="10"/>
      <c r="D904" s="29"/>
      <c r="E904" s="29"/>
      <c r="F904" s="36"/>
      <c r="G904" s="324"/>
      <c r="H904" s="324"/>
      <c r="I904" s="324"/>
      <c r="J904" s="324"/>
      <c r="K904" s="324"/>
      <c r="L904" s="324"/>
      <c r="M904" s="324"/>
      <c r="N904" s="324"/>
      <c r="O904" s="324"/>
      <c r="P904" s="324"/>
      <c r="Q904" s="324"/>
      <c r="R904" s="324"/>
      <c r="S904" s="324"/>
      <c r="T904" s="324"/>
      <c r="U904" s="324"/>
      <c r="V904" s="324"/>
      <c r="W904" s="324"/>
      <c r="X904" s="324"/>
      <c r="Y904" s="324"/>
      <c r="Z904" s="324"/>
      <c r="AA904" s="324"/>
      <c r="AB904" s="324"/>
      <c r="AC904" s="324"/>
      <c r="AD904" s="324"/>
      <c r="AE904" s="324"/>
      <c r="AF904" s="324"/>
    </row>
    <row r="905" spans="3:32" s="294" customFormat="1">
      <c r="C905" s="10"/>
      <c r="D905" s="29"/>
      <c r="E905" s="29"/>
      <c r="F905" s="36"/>
      <c r="G905" s="324"/>
      <c r="H905" s="324"/>
      <c r="I905" s="324"/>
      <c r="J905" s="324"/>
      <c r="K905" s="324"/>
      <c r="L905" s="324"/>
      <c r="M905" s="324"/>
      <c r="N905" s="324"/>
      <c r="O905" s="324"/>
      <c r="P905" s="324"/>
      <c r="Q905" s="324"/>
      <c r="R905" s="324"/>
      <c r="S905" s="324"/>
      <c r="T905" s="324"/>
      <c r="U905" s="324"/>
      <c r="V905" s="324"/>
      <c r="W905" s="324"/>
      <c r="X905" s="324"/>
      <c r="Y905" s="324"/>
      <c r="Z905" s="324"/>
      <c r="AA905" s="324"/>
      <c r="AB905" s="324"/>
      <c r="AC905" s="324"/>
      <c r="AD905" s="324"/>
      <c r="AE905" s="324"/>
      <c r="AF905" s="324"/>
    </row>
    <row r="906" spans="3:32" s="294" customFormat="1">
      <c r="C906" s="10"/>
      <c r="D906" s="29"/>
      <c r="E906" s="29"/>
      <c r="F906" s="36"/>
      <c r="G906" s="324"/>
      <c r="H906" s="324"/>
      <c r="I906" s="324"/>
      <c r="J906" s="324"/>
      <c r="K906" s="324"/>
      <c r="L906" s="324"/>
      <c r="M906" s="324"/>
      <c r="N906" s="324"/>
      <c r="O906" s="324"/>
      <c r="P906" s="324"/>
      <c r="Q906" s="324"/>
      <c r="R906" s="324"/>
      <c r="S906" s="324"/>
      <c r="T906" s="324"/>
      <c r="U906" s="324"/>
      <c r="V906" s="324"/>
      <c r="W906" s="324"/>
      <c r="X906" s="324"/>
      <c r="Y906" s="324"/>
      <c r="Z906" s="324"/>
      <c r="AA906" s="324"/>
      <c r="AB906" s="324"/>
      <c r="AC906" s="324"/>
      <c r="AD906" s="324"/>
      <c r="AE906" s="324"/>
      <c r="AF906" s="324"/>
    </row>
    <row r="907" spans="3:32" s="294" customFormat="1">
      <c r="C907" s="10"/>
      <c r="D907" s="29"/>
      <c r="E907" s="29"/>
      <c r="F907" s="36"/>
      <c r="G907" s="324"/>
      <c r="H907" s="324"/>
      <c r="I907" s="324"/>
      <c r="J907" s="324"/>
      <c r="K907" s="324"/>
      <c r="L907" s="324"/>
      <c r="M907" s="324"/>
      <c r="N907" s="324"/>
      <c r="O907" s="324"/>
      <c r="P907" s="324"/>
      <c r="Q907" s="324"/>
      <c r="R907" s="324"/>
      <c r="S907" s="324"/>
      <c r="T907" s="324"/>
      <c r="U907" s="324"/>
      <c r="V907" s="324"/>
      <c r="W907" s="324"/>
      <c r="X907" s="324"/>
      <c r="Y907" s="324"/>
      <c r="Z907" s="324"/>
      <c r="AA907" s="324"/>
      <c r="AB907" s="324"/>
      <c r="AC907" s="324"/>
      <c r="AD907" s="324"/>
      <c r="AE907" s="324"/>
      <c r="AF907" s="324"/>
    </row>
    <row r="908" spans="3:32" s="294" customFormat="1">
      <c r="C908" s="10"/>
      <c r="D908" s="29"/>
      <c r="E908" s="29"/>
      <c r="F908" s="36"/>
      <c r="G908" s="324"/>
      <c r="H908" s="324"/>
      <c r="I908" s="324"/>
      <c r="J908" s="324"/>
      <c r="K908" s="324"/>
      <c r="L908" s="324"/>
      <c r="M908" s="324"/>
      <c r="N908" s="324"/>
      <c r="O908" s="324"/>
      <c r="P908" s="324"/>
      <c r="Q908" s="324"/>
      <c r="R908" s="324"/>
      <c r="S908" s="324"/>
      <c r="T908" s="324"/>
      <c r="U908" s="324"/>
      <c r="V908" s="324"/>
      <c r="W908" s="324"/>
      <c r="X908" s="324"/>
      <c r="Y908" s="324"/>
      <c r="Z908" s="324"/>
      <c r="AA908" s="324"/>
      <c r="AB908" s="324"/>
      <c r="AC908" s="324"/>
      <c r="AD908" s="324"/>
      <c r="AE908" s="324"/>
      <c r="AF908" s="324"/>
    </row>
    <row r="909" spans="3:32" s="294" customFormat="1">
      <c r="C909" s="10"/>
      <c r="D909" s="29"/>
      <c r="E909" s="29"/>
      <c r="F909" s="36"/>
      <c r="G909" s="324"/>
      <c r="H909" s="324"/>
      <c r="I909" s="324"/>
      <c r="J909" s="324"/>
      <c r="K909" s="324"/>
      <c r="L909" s="324"/>
      <c r="M909" s="324"/>
      <c r="N909" s="324"/>
      <c r="O909" s="324"/>
      <c r="P909" s="324"/>
      <c r="Q909" s="324"/>
      <c r="R909" s="324"/>
      <c r="S909" s="324"/>
      <c r="T909" s="324"/>
      <c r="U909" s="324"/>
      <c r="V909" s="324"/>
      <c r="W909" s="324"/>
      <c r="X909" s="324"/>
      <c r="Y909" s="324"/>
      <c r="Z909" s="324"/>
      <c r="AA909" s="324"/>
      <c r="AB909" s="324"/>
      <c r="AC909" s="324"/>
      <c r="AD909" s="324"/>
      <c r="AE909" s="324"/>
      <c r="AF909" s="324"/>
    </row>
    <row r="910" spans="3:32" s="294" customFormat="1">
      <c r="C910" s="10"/>
      <c r="D910" s="29"/>
      <c r="E910" s="29"/>
      <c r="F910" s="36"/>
      <c r="G910" s="324"/>
      <c r="H910" s="324"/>
      <c r="I910" s="324"/>
      <c r="J910" s="324"/>
      <c r="K910" s="324"/>
      <c r="L910" s="324"/>
      <c r="M910" s="324"/>
      <c r="N910" s="324"/>
      <c r="O910" s="324"/>
      <c r="P910" s="324"/>
      <c r="Q910" s="324"/>
      <c r="R910" s="324"/>
      <c r="S910" s="324"/>
      <c r="T910" s="324"/>
      <c r="U910" s="324"/>
      <c r="V910" s="324"/>
      <c r="W910" s="324"/>
      <c r="X910" s="324"/>
      <c r="Y910" s="324"/>
      <c r="Z910" s="324"/>
      <c r="AA910" s="324"/>
      <c r="AB910" s="324"/>
      <c r="AC910" s="324"/>
      <c r="AD910" s="324"/>
      <c r="AE910" s="324"/>
      <c r="AF910" s="324"/>
    </row>
    <row r="911" spans="3:32" s="294" customFormat="1">
      <c r="C911" s="10"/>
      <c r="D911" s="29"/>
      <c r="E911" s="29"/>
      <c r="F911" s="36"/>
      <c r="G911" s="324"/>
      <c r="H911" s="324"/>
      <c r="I911" s="324"/>
      <c r="J911" s="324"/>
      <c r="K911" s="324"/>
      <c r="L911" s="324"/>
      <c r="M911" s="324"/>
      <c r="N911" s="324"/>
      <c r="O911" s="324"/>
      <c r="P911" s="324"/>
      <c r="Q911" s="324"/>
      <c r="R911" s="324"/>
      <c r="S911" s="324"/>
      <c r="T911" s="324"/>
      <c r="U911" s="324"/>
      <c r="V911" s="324"/>
      <c r="W911" s="324"/>
      <c r="X911" s="324"/>
      <c r="Y911" s="324"/>
      <c r="Z911" s="324"/>
      <c r="AA911" s="324"/>
      <c r="AB911" s="324"/>
      <c r="AC911" s="324"/>
      <c r="AD911" s="324"/>
      <c r="AE911" s="324"/>
      <c r="AF911" s="324"/>
    </row>
    <row r="912" spans="3:32" s="294" customFormat="1">
      <c r="C912" s="10"/>
      <c r="D912" s="29"/>
      <c r="E912" s="29"/>
      <c r="F912" s="36"/>
      <c r="G912" s="324"/>
      <c r="H912" s="324"/>
      <c r="I912" s="324"/>
      <c r="J912" s="324"/>
      <c r="K912" s="324"/>
      <c r="L912" s="324"/>
      <c r="M912" s="324"/>
      <c r="N912" s="324"/>
      <c r="O912" s="324"/>
      <c r="P912" s="324"/>
      <c r="Q912" s="324"/>
      <c r="R912" s="324"/>
      <c r="S912" s="324"/>
      <c r="T912" s="324"/>
      <c r="U912" s="324"/>
      <c r="V912" s="324"/>
      <c r="W912" s="324"/>
      <c r="X912" s="324"/>
      <c r="Y912" s="324"/>
      <c r="Z912" s="324"/>
      <c r="AA912" s="324"/>
      <c r="AB912" s="324"/>
      <c r="AC912" s="324"/>
      <c r="AD912" s="324"/>
      <c r="AE912" s="324"/>
      <c r="AF912" s="324"/>
    </row>
    <row r="913" spans="3:32" s="294" customFormat="1">
      <c r="C913" s="10"/>
      <c r="D913" s="29"/>
      <c r="E913" s="29"/>
      <c r="F913" s="36"/>
      <c r="G913" s="324"/>
      <c r="H913" s="324"/>
      <c r="I913" s="324"/>
      <c r="J913" s="324"/>
      <c r="K913" s="324"/>
      <c r="L913" s="324"/>
      <c r="M913" s="324"/>
      <c r="N913" s="324"/>
      <c r="O913" s="324"/>
      <c r="P913" s="324"/>
      <c r="Q913" s="324"/>
      <c r="R913" s="324"/>
      <c r="S913" s="324"/>
      <c r="T913" s="324"/>
      <c r="U913" s="324"/>
      <c r="V913" s="324"/>
      <c r="W913" s="324"/>
      <c r="X913" s="324"/>
      <c r="Y913" s="324"/>
      <c r="Z913" s="324"/>
      <c r="AA913" s="324"/>
      <c r="AB913" s="324"/>
      <c r="AC913" s="324"/>
      <c r="AD913" s="324"/>
      <c r="AE913" s="324"/>
      <c r="AF913" s="324"/>
    </row>
    <row r="914" spans="3:32" s="294" customFormat="1">
      <c r="C914" s="10"/>
      <c r="D914" s="29"/>
      <c r="E914" s="29"/>
      <c r="F914" s="36"/>
      <c r="G914" s="324"/>
      <c r="H914" s="324"/>
      <c r="I914" s="324"/>
      <c r="J914" s="324"/>
      <c r="K914" s="324"/>
      <c r="L914" s="324"/>
      <c r="M914" s="324"/>
      <c r="N914" s="324"/>
      <c r="O914" s="324"/>
      <c r="P914" s="324"/>
      <c r="Q914" s="324"/>
      <c r="R914" s="324"/>
      <c r="S914" s="324"/>
      <c r="T914" s="324"/>
      <c r="U914" s="324"/>
      <c r="V914" s="324"/>
      <c r="W914" s="324"/>
      <c r="X914" s="324"/>
      <c r="Y914" s="324"/>
      <c r="Z914" s="324"/>
      <c r="AA914" s="324"/>
      <c r="AB914" s="324"/>
      <c r="AC914" s="324"/>
      <c r="AD914" s="324"/>
      <c r="AE914" s="324"/>
      <c r="AF914" s="324"/>
    </row>
    <row r="915" spans="3:32" s="294" customFormat="1">
      <c r="C915" s="10"/>
      <c r="D915" s="29"/>
      <c r="E915" s="29"/>
      <c r="F915" s="36"/>
      <c r="G915" s="324"/>
      <c r="H915" s="324"/>
      <c r="I915" s="324"/>
      <c r="J915" s="324"/>
      <c r="K915" s="324"/>
      <c r="L915" s="324"/>
      <c r="M915" s="324"/>
      <c r="N915" s="324"/>
      <c r="O915" s="324"/>
      <c r="P915" s="324"/>
      <c r="Q915" s="324"/>
      <c r="R915" s="324"/>
      <c r="S915" s="324"/>
      <c r="T915" s="324"/>
      <c r="U915" s="324"/>
      <c r="V915" s="324"/>
      <c r="W915" s="324"/>
      <c r="X915" s="324"/>
      <c r="Y915" s="324"/>
      <c r="Z915" s="324"/>
      <c r="AA915" s="324"/>
      <c r="AB915" s="324"/>
      <c r="AC915" s="324"/>
      <c r="AD915" s="324"/>
      <c r="AE915" s="324"/>
      <c r="AF915" s="324"/>
    </row>
    <row r="916" spans="3:32" s="294" customFormat="1">
      <c r="C916" s="10"/>
      <c r="D916" s="29"/>
      <c r="E916" s="29"/>
      <c r="F916" s="36"/>
      <c r="G916" s="324"/>
      <c r="H916" s="324"/>
      <c r="I916" s="324"/>
      <c r="J916" s="324"/>
      <c r="K916" s="324"/>
      <c r="L916" s="324"/>
      <c r="M916" s="324"/>
      <c r="N916" s="324"/>
      <c r="O916" s="324"/>
      <c r="P916" s="324"/>
      <c r="Q916" s="324"/>
      <c r="R916" s="324"/>
      <c r="S916" s="324"/>
      <c r="T916" s="324"/>
      <c r="U916" s="324"/>
      <c r="V916" s="324"/>
      <c r="W916" s="324"/>
      <c r="X916" s="324"/>
      <c r="Y916" s="324"/>
      <c r="Z916" s="324"/>
      <c r="AA916" s="324"/>
      <c r="AB916" s="324"/>
      <c r="AC916" s="324"/>
      <c r="AD916" s="324"/>
      <c r="AE916" s="324"/>
      <c r="AF916" s="324"/>
    </row>
    <row r="917" spans="3:32" s="294" customFormat="1">
      <c r="C917" s="10"/>
      <c r="D917" s="29"/>
      <c r="E917" s="29"/>
      <c r="F917" s="36"/>
      <c r="G917" s="324"/>
      <c r="H917" s="324"/>
      <c r="I917" s="324"/>
      <c r="J917" s="324"/>
      <c r="K917" s="324"/>
      <c r="L917" s="324"/>
      <c r="M917" s="324"/>
      <c r="N917" s="324"/>
      <c r="O917" s="324"/>
      <c r="P917" s="324"/>
      <c r="Q917" s="324"/>
      <c r="R917" s="324"/>
      <c r="S917" s="324"/>
      <c r="T917" s="324"/>
      <c r="U917" s="324"/>
      <c r="V917" s="324"/>
      <c r="W917" s="324"/>
      <c r="X917" s="324"/>
      <c r="Y917" s="324"/>
      <c r="Z917" s="324"/>
      <c r="AA917" s="324"/>
      <c r="AB917" s="324"/>
      <c r="AC917" s="324"/>
      <c r="AD917" s="324"/>
      <c r="AE917" s="324"/>
      <c r="AF917" s="324"/>
    </row>
    <row r="918" spans="3:32" s="294" customFormat="1">
      <c r="C918" s="10"/>
      <c r="D918" s="29"/>
      <c r="E918" s="29"/>
      <c r="F918" s="36"/>
      <c r="G918" s="324"/>
      <c r="H918" s="324"/>
      <c r="I918" s="324"/>
      <c r="J918" s="324"/>
      <c r="K918" s="324"/>
      <c r="L918" s="324"/>
      <c r="M918" s="324"/>
      <c r="N918" s="324"/>
      <c r="O918" s="324"/>
      <c r="P918" s="324"/>
      <c r="Q918" s="324"/>
      <c r="R918" s="324"/>
      <c r="S918" s="324"/>
      <c r="T918" s="324"/>
      <c r="U918" s="324"/>
      <c r="V918" s="324"/>
      <c r="W918" s="324"/>
      <c r="X918" s="324"/>
      <c r="Y918" s="324"/>
      <c r="Z918" s="324"/>
      <c r="AA918" s="324"/>
      <c r="AB918" s="324"/>
      <c r="AC918" s="324"/>
      <c r="AD918" s="324"/>
      <c r="AE918" s="324"/>
      <c r="AF918" s="324"/>
    </row>
    <row r="919" spans="3:32" s="294" customFormat="1">
      <c r="C919" s="10"/>
      <c r="D919" s="29"/>
      <c r="E919" s="29"/>
      <c r="F919" s="36"/>
      <c r="G919" s="324"/>
      <c r="H919" s="324"/>
      <c r="I919" s="324"/>
      <c r="J919" s="324"/>
      <c r="K919" s="324"/>
      <c r="L919" s="324"/>
      <c r="M919" s="324"/>
      <c r="N919" s="324"/>
      <c r="O919" s="324"/>
      <c r="P919" s="324"/>
      <c r="Q919" s="324"/>
      <c r="R919" s="324"/>
      <c r="S919" s="324"/>
      <c r="T919" s="324"/>
      <c r="U919" s="324"/>
      <c r="V919" s="324"/>
      <c r="W919" s="324"/>
      <c r="X919" s="324"/>
      <c r="Y919" s="324"/>
      <c r="Z919" s="324"/>
      <c r="AA919" s="324"/>
      <c r="AB919" s="324"/>
      <c r="AC919" s="324"/>
      <c r="AD919" s="324"/>
      <c r="AE919" s="324"/>
      <c r="AF919" s="324"/>
    </row>
    <row r="920" spans="3:32" s="294" customFormat="1">
      <c r="C920" s="10"/>
      <c r="D920" s="29"/>
      <c r="E920" s="29"/>
      <c r="F920" s="36"/>
      <c r="G920" s="324"/>
      <c r="H920" s="324"/>
      <c r="I920" s="324"/>
      <c r="J920" s="324"/>
      <c r="K920" s="324"/>
      <c r="L920" s="324"/>
      <c r="M920" s="324"/>
      <c r="N920" s="324"/>
      <c r="O920" s="324"/>
      <c r="P920" s="324"/>
      <c r="Q920" s="324"/>
      <c r="R920" s="324"/>
      <c r="S920" s="324"/>
      <c r="T920" s="324"/>
      <c r="U920" s="324"/>
      <c r="V920" s="324"/>
      <c r="W920" s="324"/>
      <c r="X920" s="324"/>
      <c r="Y920" s="324"/>
      <c r="Z920" s="324"/>
      <c r="AA920" s="324"/>
      <c r="AB920" s="324"/>
      <c r="AC920" s="324"/>
      <c r="AD920" s="324"/>
      <c r="AE920" s="324"/>
      <c r="AF920" s="324"/>
    </row>
    <row r="921" spans="3:32" s="294" customFormat="1">
      <c r="C921" s="10"/>
      <c r="D921" s="29"/>
      <c r="E921" s="29"/>
      <c r="F921" s="36"/>
      <c r="G921" s="324"/>
      <c r="H921" s="324"/>
      <c r="I921" s="324"/>
      <c r="J921" s="324"/>
      <c r="K921" s="324"/>
      <c r="L921" s="324"/>
      <c r="M921" s="324"/>
      <c r="N921" s="324"/>
      <c r="O921" s="324"/>
      <c r="P921" s="324"/>
      <c r="Q921" s="324"/>
      <c r="R921" s="324"/>
      <c r="S921" s="324"/>
      <c r="T921" s="324"/>
      <c r="U921" s="324"/>
      <c r="V921" s="324"/>
      <c r="W921" s="324"/>
      <c r="X921" s="324"/>
      <c r="Y921" s="324"/>
      <c r="Z921" s="324"/>
      <c r="AA921" s="324"/>
      <c r="AB921" s="324"/>
      <c r="AC921" s="324"/>
      <c r="AD921" s="324"/>
      <c r="AE921" s="324"/>
      <c r="AF921" s="324"/>
    </row>
    <row r="922" spans="3:32" s="294" customFormat="1">
      <c r="C922" s="10"/>
      <c r="D922" s="29"/>
      <c r="E922" s="29"/>
      <c r="F922" s="36"/>
      <c r="G922" s="324"/>
      <c r="H922" s="324"/>
      <c r="I922" s="324"/>
      <c r="J922" s="324"/>
      <c r="K922" s="324"/>
      <c r="L922" s="324"/>
      <c r="M922" s="324"/>
      <c r="N922" s="324"/>
      <c r="O922" s="324"/>
      <c r="P922" s="324"/>
      <c r="Q922" s="324"/>
      <c r="R922" s="324"/>
      <c r="S922" s="324"/>
      <c r="T922" s="324"/>
      <c r="U922" s="324"/>
      <c r="V922" s="324"/>
      <c r="W922" s="324"/>
      <c r="X922" s="324"/>
      <c r="Y922" s="324"/>
      <c r="Z922" s="324"/>
      <c r="AA922" s="324"/>
      <c r="AB922" s="324"/>
      <c r="AC922" s="324"/>
      <c r="AD922" s="324"/>
      <c r="AE922" s="324"/>
      <c r="AF922" s="324"/>
    </row>
    <row r="923" spans="3:32" s="294" customFormat="1">
      <c r="C923" s="10"/>
      <c r="D923" s="29"/>
      <c r="E923" s="29"/>
      <c r="F923" s="36"/>
      <c r="G923" s="324"/>
      <c r="H923" s="324"/>
      <c r="I923" s="324"/>
      <c r="J923" s="324"/>
      <c r="K923" s="324"/>
      <c r="L923" s="324"/>
      <c r="M923" s="324"/>
      <c r="N923" s="324"/>
      <c r="O923" s="324"/>
      <c r="P923" s="324"/>
      <c r="Q923" s="324"/>
      <c r="R923" s="324"/>
      <c r="S923" s="324"/>
      <c r="T923" s="324"/>
      <c r="U923" s="324"/>
      <c r="V923" s="324"/>
      <c r="W923" s="324"/>
      <c r="X923" s="324"/>
      <c r="Y923" s="324"/>
      <c r="Z923" s="324"/>
      <c r="AA923" s="324"/>
      <c r="AB923" s="324"/>
      <c r="AC923" s="324"/>
      <c r="AD923" s="324"/>
      <c r="AE923" s="324"/>
      <c r="AF923" s="324"/>
    </row>
    <row r="924" spans="3:32" s="294" customFormat="1">
      <c r="C924" s="10"/>
      <c r="D924" s="29"/>
      <c r="E924" s="29"/>
      <c r="F924" s="36"/>
      <c r="G924" s="324"/>
      <c r="H924" s="324"/>
      <c r="I924" s="324"/>
      <c r="J924" s="324"/>
      <c r="K924" s="324"/>
      <c r="L924" s="324"/>
      <c r="M924" s="324"/>
      <c r="N924" s="324"/>
      <c r="O924" s="324"/>
      <c r="P924" s="324"/>
      <c r="Q924" s="324"/>
      <c r="R924" s="324"/>
      <c r="S924" s="324"/>
      <c r="T924" s="324"/>
      <c r="U924" s="324"/>
      <c r="V924" s="324"/>
      <c r="W924" s="324"/>
      <c r="X924" s="324"/>
      <c r="Y924" s="324"/>
      <c r="Z924" s="324"/>
      <c r="AA924" s="324"/>
      <c r="AB924" s="324"/>
      <c r="AC924" s="324"/>
      <c r="AD924" s="324"/>
      <c r="AE924" s="324"/>
      <c r="AF924" s="324"/>
    </row>
    <row r="925" spans="3:32" s="294" customFormat="1">
      <c r="C925" s="10"/>
      <c r="D925" s="29"/>
      <c r="E925" s="29"/>
      <c r="F925" s="36"/>
      <c r="G925" s="324"/>
      <c r="H925" s="324"/>
      <c r="I925" s="324"/>
      <c r="J925" s="324"/>
      <c r="K925" s="324"/>
      <c r="L925" s="324"/>
      <c r="M925" s="324"/>
      <c r="N925" s="324"/>
      <c r="O925" s="324"/>
      <c r="P925" s="324"/>
      <c r="Q925" s="324"/>
      <c r="R925" s="324"/>
      <c r="S925" s="324"/>
      <c r="T925" s="324"/>
      <c r="U925" s="324"/>
      <c r="V925" s="324"/>
      <c r="W925" s="324"/>
      <c r="X925" s="324"/>
      <c r="Y925" s="324"/>
      <c r="Z925" s="324"/>
      <c r="AA925" s="324"/>
      <c r="AB925" s="324"/>
      <c r="AC925" s="324"/>
      <c r="AD925" s="324"/>
      <c r="AE925" s="324"/>
      <c r="AF925" s="324"/>
    </row>
    <row r="926" spans="3:32" s="294" customFormat="1">
      <c r="C926" s="10"/>
      <c r="D926" s="29"/>
      <c r="E926" s="29"/>
      <c r="F926" s="36"/>
      <c r="G926" s="324"/>
      <c r="H926" s="324"/>
      <c r="I926" s="324"/>
      <c r="J926" s="324"/>
      <c r="K926" s="324"/>
      <c r="L926" s="324"/>
      <c r="M926" s="324"/>
      <c r="N926" s="324"/>
      <c r="O926" s="324"/>
      <c r="P926" s="324"/>
      <c r="Q926" s="324"/>
      <c r="R926" s="324"/>
      <c r="S926" s="324"/>
      <c r="T926" s="324"/>
      <c r="U926" s="324"/>
      <c r="V926" s="324"/>
      <c r="W926" s="324"/>
      <c r="X926" s="324"/>
      <c r="Y926" s="324"/>
      <c r="Z926" s="324"/>
      <c r="AA926" s="324"/>
      <c r="AB926" s="324"/>
      <c r="AC926" s="324"/>
      <c r="AD926" s="324"/>
      <c r="AE926" s="324"/>
      <c r="AF926" s="324"/>
    </row>
    <row r="927" spans="3:32" s="294" customFormat="1">
      <c r="C927" s="10"/>
      <c r="D927" s="29"/>
      <c r="E927" s="29"/>
      <c r="F927" s="36"/>
      <c r="G927" s="324"/>
      <c r="H927" s="324"/>
      <c r="I927" s="324"/>
      <c r="J927" s="324"/>
      <c r="K927" s="324"/>
      <c r="L927" s="324"/>
      <c r="M927" s="324"/>
      <c r="N927" s="324"/>
      <c r="O927" s="324"/>
      <c r="P927" s="324"/>
      <c r="Q927" s="324"/>
      <c r="R927" s="324"/>
      <c r="S927" s="324"/>
      <c r="T927" s="324"/>
      <c r="U927" s="324"/>
      <c r="V927" s="324"/>
      <c r="W927" s="324"/>
      <c r="X927" s="324"/>
      <c r="Y927" s="324"/>
      <c r="Z927" s="324"/>
      <c r="AA927" s="324"/>
      <c r="AB927" s="324"/>
      <c r="AC927" s="324"/>
      <c r="AD927" s="324"/>
      <c r="AE927" s="324"/>
      <c r="AF927" s="324"/>
    </row>
    <row r="928" spans="3:32" s="294" customFormat="1">
      <c r="C928" s="10"/>
      <c r="D928" s="29"/>
      <c r="E928" s="29"/>
      <c r="F928" s="36"/>
      <c r="G928" s="324"/>
      <c r="H928" s="324"/>
      <c r="I928" s="324"/>
      <c r="J928" s="324"/>
      <c r="K928" s="324"/>
      <c r="L928" s="324"/>
      <c r="M928" s="324"/>
      <c r="N928" s="324"/>
      <c r="O928" s="324"/>
      <c r="P928" s="324"/>
      <c r="Q928" s="324"/>
      <c r="R928" s="324"/>
      <c r="S928" s="324"/>
      <c r="T928" s="324"/>
      <c r="U928" s="324"/>
      <c r="V928" s="324"/>
      <c r="W928" s="324"/>
      <c r="X928" s="324"/>
      <c r="Y928" s="324"/>
      <c r="Z928" s="324"/>
      <c r="AA928" s="324"/>
      <c r="AB928" s="324"/>
      <c r="AC928" s="324"/>
      <c r="AD928" s="324"/>
      <c r="AE928" s="324"/>
      <c r="AF928" s="324"/>
    </row>
    <row r="929" spans="3:32" s="294" customFormat="1">
      <c r="C929" s="10"/>
      <c r="D929" s="29"/>
      <c r="E929" s="29"/>
      <c r="F929" s="36"/>
      <c r="G929" s="324"/>
      <c r="H929" s="324"/>
      <c r="I929" s="324"/>
      <c r="J929" s="324"/>
      <c r="K929" s="324"/>
      <c r="L929" s="324"/>
      <c r="M929" s="324"/>
      <c r="N929" s="324"/>
      <c r="O929" s="324"/>
      <c r="P929" s="324"/>
      <c r="Q929" s="324"/>
      <c r="R929" s="324"/>
      <c r="S929" s="324"/>
      <c r="T929" s="324"/>
      <c r="U929" s="324"/>
      <c r="V929" s="324"/>
      <c r="W929" s="324"/>
      <c r="X929" s="324"/>
      <c r="Y929" s="324"/>
      <c r="Z929" s="324"/>
      <c r="AA929" s="324"/>
      <c r="AB929" s="324"/>
      <c r="AC929" s="324"/>
      <c r="AD929" s="324"/>
      <c r="AE929" s="324"/>
      <c r="AF929" s="324"/>
    </row>
    <row r="930" spans="3:32" s="294" customFormat="1">
      <c r="C930" s="10"/>
      <c r="D930" s="29"/>
      <c r="E930" s="29"/>
      <c r="F930" s="36"/>
      <c r="G930" s="324"/>
      <c r="H930" s="324"/>
      <c r="I930" s="324"/>
      <c r="J930" s="324"/>
      <c r="K930" s="324"/>
      <c r="L930" s="324"/>
      <c r="M930" s="324"/>
      <c r="N930" s="324"/>
      <c r="O930" s="324"/>
      <c r="P930" s="324"/>
      <c r="Q930" s="324"/>
      <c r="R930" s="324"/>
      <c r="S930" s="324"/>
      <c r="T930" s="324"/>
      <c r="U930" s="324"/>
      <c r="V930" s="324"/>
      <c r="W930" s="324"/>
      <c r="X930" s="324"/>
      <c r="Y930" s="324"/>
      <c r="Z930" s="324"/>
      <c r="AA930" s="324"/>
      <c r="AB930" s="324"/>
      <c r="AC930" s="324"/>
      <c r="AD930" s="324"/>
      <c r="AE930" s="324"/>
      <c r="AF930" s="324"/>
    </row>
    <row r="931" spans="3:32" s="294" customFormat="1">
      <c r="C931" s="10"/>
      <c r="D931" s="29"/>
      <c r="E931" s="29"/>
      <c r="F931" s="36"/>
      <c r="G931" s="324"/>
      <c r="H931" s="324"/>
      <c r="I931" s="324"/>
      <c r="J931" s="324"/>
      <c r="K931" s="324"/>
      <c r="L931" s="324"/>
      <c r="M931" s="324"/>
      <c r="N931" s="324"/>
      <c r="O931" s="324"/>
      <c r="P931" s="324"/>
      <c r="Q931" s="324"/>
      <c r="R931" s="324"/>
      <c r="S931" s="324"/>
      <c r="T931" s="324"/>
      <c r="U931" s="324"/>
      <c r="V931" s="324"/>
      <c r="W931" s="324"/>
      <c r="X931" s="324"/>
      <c r="Y931" s="324"/>
      <c r="Z931" s="324"/>
      <c r="AA931" s="324"/>
      <c r="AB931" s="324"/>
      <c r="AC931" s="324"/>
      <c r="AD931" s="324"/>
      <c r="AE931" s="324"/>
      <c r="AF931" s="324"/>
    </row>
    <row r="932" spans="3:32" s="294" customFormat="1">
      <c r="C932" s="10"/>
      <c r="D932" s="29"/>
      <c r="E932" s="29"/>
      <c r="F932" s="36"/>
      <c r="G932" s="324"/>
      <c r="H932" s="324"/>
      <c r="I932" s="324"/>
      <c r="J932" s="324"/>
      <c r="K932" s="324"/>
      <c r="L932" s="324"/>
      <c r="M932" s="324"/>
      <c r="N932" s="324"/>
      <c r="O932" s="324"/>
      <c r="P932" s="324"/>
      <c r="Q932" s="324"/>
      <c r="R932" s="324"/>
      <c r="S932" s="324"/>
      <c r="T932" s="324"/>
      <c r="U932" s="324"/>
      <c r="V932" s="324"/>
      <c r="W932" s="324"/>
      <c r="X932" s="324"/>
      <c r="Y932" s="324"/>
      <c r="Z932" s="324"/>
      <c r="AA932" s="324"/>
      <c r="AB932" s="324"/>
      <c r="AC932" s="324"/>
      <c r="AD932" s="324"/>
      <c r="AE932" s="324"/>
      <c r="AF932" s="324"/>
    </row>
    <row r="933" spans="3:32" s="294" customFormat="1">
      <c r="C933" s="10"/>
      <c r="D933" s="29"/>
      <c r="E933" s="29"/>
      <c r="F933" s="36"/>
      <c r="G933" s="324"/>
      <c r="H933" s="324"/>
      <c r="I933" s="324"/>
      <c r="J933" s="324"/>
      <c r="K933" s="324"/>
      <c r="L933" s="324"/>
      <c r="M933" s="324"/>
      <c r="N933" s="324"/>
      <c r="O933" s="324"/>
      <c r="P933" s="324"/>
      <c r="Q933" s="324"/>
      <c r="R933" s="324"/>
      <c r="S933" s="324"/>
      <c r="T933" s="324"/>
      <c r="U933" s="324"/>
      <c r="V933" s="324"/>
      <c r="W933" s="324"/>
      <c r="X933" s="324"/>
      <c r="Y933" s="324"/>
      <c r="Z933" s="324"/>
      <c r="AA933" s="324"/>
      <c r="AB933" s="324"/>
      <c r="AC933" s="324"/>
      <c r="AD933" s="324"/>
      <c r="AE933" s="324"/>
      <c r="AF933" s="324"/>
    </row>
    <row r="934" spans="3:32" s="294" customFormat="1">
      <c r="C934" s="10"/>
      <c r="D934" s="29"/>
      <c r="E934" s="29"/>
      <c r="F934" s="36"/>
      <c r="G934" s="324"/>
      <c r="H934" s="324"/>
      <c r="I934" s="324"/>
      <c r="J934" s="324"/>
      <c r="K934" s="324"/>
      <c r="L934" s="324"/>
      <c r="M934" s="324"/>
      <c r="N934" s="324"/>
      <c r="O934" s="324"/>
      <c r="P934" s="324"/>
      <c r="Q934" s="324"/>
      <c r="R934" s="324"/>
      <c r="S934" s="324"/>
      <c r="T934" s="324"/>
      <c r="U934" s="324"/>
      <c r="V934" s="324"/>
      <c r="W934" s="324"/>
      <c r="X934" s="324"/>
      <c r="Y934" s="324"/>
      <c r="Z934" s="324"/>
      <c r="AA934" s="324"/>
      <c r="AB934" s="324"/>
      <c r="AC934" s="324"/>
      <c r="AD934" s="324"/>
      <c r="AE934" s="324"/>
      <c r="AF934" s="324"/>
    </row>
    <row r="935" spans="3:32" s="294" customFormat="1">
      <c r="C935" s="10"/>
      <c r="D935" s="29"/>
      <c r="E935" s="29"/>
      <c r="F935" s="36"/>
      <c r="G935" s="324"/>
      <c r="H935" s="324"/>
      <c r="I935" s="324"/>
      <c r="J935" s="324"/>
      <c r="K935" s="324"/>
      <c r="L935" s="324"/>
      <c r="M935" s="324"/>
      <c r="N935" s="324"/>
      <c r="O935" s="324"/>
      <c r="P935" s="324"/>
      <c r="Q935" s="324"/>
      <c r="R935" s="324"/>
      <c r="S935" s="324"/>
      <c r="T935" s="324"/>
      <c r="U935" s="324"/>
      <c r="V935" s="324"/>
      <c r="W935" s="324"/>
      <c r="X935" s="324"/>
      <c r="Y935" s="324"/>
      <c r="Z935" s="324"/>
      <c r="AA935" s="324"/>
      <c r="AB935" s="324"/>
      <c r="AC935" s="324"/>
      <c r="AD935" s="324"/>
      <c r="AE935" s="324"/>
      <c r="AF935" s="324"/>
    </row>
    <row r="936" spans="3:32" s="294" customFormat="1">
      <c r="C936" s="10"/>
      <c r="D936" s="29"/>
      <c r="E936" s="29"/>
      <c r="F936" s="36"/>
      <c r="G936" s="324"/>
      <c r="H936" s="324"/>
      <c r="I936" s="324"/>
      <c r="J936" s="324"/>
      <c r="K936" s="324"/>
      <c r="L936" s="324"/>
      <c r="M936" s="324"/>
      <c r="N936" s="324"/>
      <c r="O936" s="324"/>
      <c r="P936" s="324"/>
      <c r="Q936" s="324"/>
      <c r="R936" s="324"/>
      <c r="S936" s="324"/>
      <c r="T936" s="324"/>
      <c r="U936" s="324"/>
      <c r="V936" s="324"/>
      <c r="W936" s="324"/>
      <c r="X936" s="324"/>
      <c r="Y936" s="324"/>
      <c r="Z936" s="324"/>
      <c r="AA936" s="324"/>
      <c r="AB936" s="324"/>
      <c r="AC936" s="324"/>
      <c r="AD936" s="324"/>
      <c r="AE936" s="324"/>
      <c r="AF936" s="324"/>
    </row>
    <row r="937" spans="3:32" s="294" customFormat="1">
      <c r="C937" s="10"/>
      <c r="D937" s="29"/>
      <c r="E937" s="29"/>
      <c r="F937" s="36"/>
      <c r="G937" s="324"/>
      <c r="H937" s="324"/>
      <c r="I937" s="324"/>
      <c r="J937" s="324"/>
      <c r="K937" s="324"/>
      <c r="L937" s="324"/>
      <c r="M937" s="324"/>
      <c r="N937" s="324"/>
      <c r="O937" s="324"/>
      <c r="P937" s="324"/>
      <c r="Q937" s="324"/>
      <c r="R937" s="324"/>
      <c r="S937" s="324"/>
      <c r="T937" s="324"/>
      <c r="U937" s="324"/>
      <c r="V937" s="324"/>
      <c r="W937" s="324"/>
      <c r="X937" s="324"/>
      <c r="Y937" s="324"/>
      <c r="Z937" s="324"/>
      <c r="AA937" s="324"/>
      <c r="AB937" s="324"/>
      <c r="AC937" s="324"/>
      <c r="AD937" s="324"/>
      <c r="AE937" s="324"/>
      <c r="AF937" s="324"/>
    </row>
    <row r="938" spans="3:32" s="294" customFormat="1">
      <c r="C938" s="10"/>
      <c r="D938" s="29"/>
      <c r="E938" s="29"/>
      <c r="F938" s="36"/>
      <c r="G938" s="324"/>
      <c r="H938" s="324"/>
      <c r="I938" s="324"/>
      <c r="J938" s="324"/>
      <c r="K938" s="324"/>
      <c r="L938" s="324"/>
      <c r="M938" s="324"/>
      <c r="N938" s="324"/>
      <c r="O938" s="324"/>
      <c r="P938" s="324"/>
      <c r="Q938" s="324"/>
      <c r="R938" s="324"/>
      <c r="S938" s="324"/>
      <c r="T938" s="324"/>
      <c r="U938" s="324"/>
      <c r="V938" s="324"/>
      <c r="W938" s="324"/>
      <c r="X938" s="324"/>
      <c r="Y938" s="324"/>
      <c r="Z938" s="324"/>
      <c r="AA938" s="324"/>
      <c r="AB938" s="324"/>
      <c r="AC938" s="324"/>
      <c r="AD938" s="324"/>
      <c r="AE938" s="324"/>
      <c r="AF938" s="324"/>
    </row>
    <row r="939" spans="3:32" s="294" customFormat="1">
      <c r="C939" s="10"/>
      <c r="D939" s="29"/>
      <c r="E939" s="29"/>
      <c r="F939" s="36"/>
      <c r="G939" s="324"/>
      <c r="H939" s="324"/>
      <c r="I939" s="324"/>
      <c r="J939" s="324"/>
      <c r="K939" s="324"/>
      <c r="L939" s="324"/>
      <c r="M939" s="324"/>
      <c r="N939" s="324"/>
      <c r="O939" s="324"/>
      <c r="P939" s="324"/>
      <c r="Q939" s="324"/>
      <c r="R939" s="324"/>
      <c r="S939" s="324"/>
      <c r="T939" s="324"/>
      <c r="U939" s="324"/>
      <c r="V939" s="324"/>
      <c r="W939" s="324"/>
      <c r="X939" s="324"/>
      <c r="Y939" s="324"/>
      <c r="Z939" s="324"/>
      <c r="AA939" s="324"/>
      <c r="AB939" s="324"/>
      <c r="AC939" s="324"/>
      <c r="AD939" s="324"/>
      <c r="AE939" s="324"/>
      <c r="AF939" s="324"/>
    </row>
    <row r="940" spans="3:32" s="294" customFormat="1">
      <c r="C940" s="10"/>
      <c r="D940" s="29"/>
      <c r="E940" s="29"/>
      <c r="F940" s="36"/>
      <c r="G940" s="324"/>
      <c r="H940" s="324"/>
      <c r="I940" s="324"/>
      <c r="J940" s="324"/>
      <c r="K940" s="324"/>
      <c r="L940" s="324"/>
      <c r="M940" s="324"/>
      <c r="N940" s="324"/>
      <c r="O940" s="324"/>
      <c r="P940" s="324"/>
      <c r="Q940" s="324"/>
      <c r="R940" s="324"/>
      <c r="S940" s="324"/>
      <c r="T940" s="324"/>
      <c r="U940" s="324"/>
      <c r="V940" s="324"/>
      <c r="W940" s="324"/>
      <c r="X940" s="324"/>
      <c r="Y940" s="324"/>
      <c r="Z940" s="324"/>
      <c r="AA940" s="324"/>
      <c r="AB940" s="324"/>
      <c r="AC940" s="324"/>
      <c r="AD940" s="324"/>
      <c r="AE940" s="324"/>
      <c r="AF940" s="324"/>
    </row>
    <row r="941" spans="3:32" s="294" customFormat="1">
      <c r="C941" s="10"/>
      <c r="D941" s="29"/>
      <c r="E941" s="29"/>
      <c r="F941" s="36"/>
      <c r="G941" s="324"/>
      <c r="H941" s="324"/>
      <c r="I941" s="324"/>
      <c r="J941" s="324"/>
      <c r="K941" s="324"/>
      <c r="L941" s="324"/>
      <c r="M941" s="324"/>
      <c r="N941" s="324"/>
      <c r="O941" s="324"/>
      <c r="P941" s="324"/>
      <c r="Q941" s="324"/>
      <c r="R941" s="324"/>
      <c r="S941" s="324"/>
      <c r="T941" s="324"/>
      <c r="U941" s="324"/>
      <c r="V941" s="324"/>
      <c r="W941" s="324"/>
      <c r="X941" s="324"/>
      <c r="Y941" s="324"/>
      <c r="Z941" s="324"/>
      <c r="AA941" s="324"/>
      <c r="AB941" s="324"/>
      <c r="AC941" s="324"/>
      <c r="AD941" s="324"/>
      <c r="AE941" s="324"/>
      <c r="AF941" s="324"/>
    </row>
    <row r="942" spans="3:32" s="294" customFormat="1">
      <c r="C942" s="10"/>
      <c r="D942" s="29"/>
      <c r="E942" s="29"/>
      <c r="F942" s="36"/>
      <c r="G942" s="324"/>
      <c r="H942" s="324"/>
      <c r="I942" s="324"/>
      <c r="J942" s="324"/>
      <c r="K942" s="324"/>
      <c r="L942" s="324"/>
      <c r="M942" s="324"/>
      <c r="N942" s="324"/>
      <c r="O942" s="324"/>
      <c r="P942" s="324"/>
      <c r="Q942" s="324"/>
      <c r="R942" s="324"/>
      <c r="S942" s="324"/>
      <c r="T942" s="324"/>
      <c r="U942" s="324"/>
      <c r="V942" s="324"/>
      <c r="W942" s="324"/>
      <c r="X942" s="324"/>
      <c r="Y942" s="324"/>
      <c r="Z942" s="324"/>
      <c r="AA942" s="324"/>
      <c r="AB942" s="324"/>
      <c r="AC942" s="324"/>
      <c r="AD942" s="324"/>
      <c r="AE942" s="324"/>
      <c r="AF942" s="324"/>
    </row>
    <row r="943" spans="3:32" s="294" customFormat="1">
      <c r="C943" s="10"/>
      <c r="D943" s="29"/>
      <c r="E943" s="29"/>
      <c r="F943" s="36"/>
      <c r="G943" s="324"/>
      <c r="H943" s="324"/>
      <c r="I943" s="324"/>
      <c r="J943" s="324"/>
      <c r="K943" s="324"/>
      <c r="L943" s="324"/>
      <c r="M943" s="324"/>
      <c r="N943" s="324"/>
      <c r="O943" s="324"/>
      <c r="P943" s="324"/>
      <c r="Q943" s="324"/>
      <c r="R943" s="324"/>
      <c r="S943" s="324"/>
      <c r="T943" s="324"/>
      <c r="U943" s="324"/>
      <c r="V943" s="324"/>
      <c r="W943" s="324"/>
      <c r="X943" s="324"/>
      <c r="Y943" s="324"/>
      <c r="Z943" s="324"/>
      <c r="AA943" s="324"/>
      <c r="AB943" s="324"/>
      <c r="AC943" s="324"/>
      <c r="AD943" s="324"/>
      <c r="AE943" s="324"/>
      <c r="AF943" s="324"/>
    </row>
    <row r="944" spans="3:32" s="294" customFormat="1">
      <c r="C944" s="10"/>
      <c r="D944" s="29"/>
      <c r="E944" s="29"/>
      <c r="F944" s="36"/>
      <c r="G944" s="324"/>
      <c r="H944" s="324"/>
      <c r="I944" s="324"/>
      <c r="J944" s="324"/>
      <c r="K944" s="324"/>
      <c r="L944" s="324"/>
      <c r="M944" s="324"/>
      <c r="N944" s="324"/>
      <c r="O944" s="324"/>
      <c r="P944" s="324"/>
      <c r="Q944" s="324"/>
      <c r="R944" s="324"/>
      <c r="S944" s="324"/>
      <c r="T944" s="324"/>
      <c r="U944" s="324"/>
      <c r="V944" s="324"/>
      <c r="W944" s="324"/>
      <c r="X944" s="324"/>
      <c r="Y944" s="324"/>
      <c r="Z944" s="324"/>
      <c r="AA944" s="324"/>
      <c r="AB944" s="324"/>
      <c r="AC944" s="324"/>
      <c r="AD944" s="324"/>
      <c r="AE944" s="324"/>
      <c r="AF944" s="324"/>
    </row>
    <row r="945" spans="3:32" s="294" customFormat="1">
      <c r="C945" s="10"/>
      <c r="D945" s="29"/>
      <c r="E945" s="29"/>
      <c r="F945" s="36"/>
      <c r="G945" s="324"/>
      <c r="H945" s="324"/>
      <c r="I945" s="324"/>
      <c r="J945" s="324"/>
      <c r="K945" s="324"/>
      <c r="L945" s="324"/>
      <c r="M945" s="324"/>
      <c r="N945" s="324"/>
      <c r="O945" s="324"/>
      <c r="P945" s="324"/>
      <c r="Q945" s="324"/>
      <c r="R945" s="324"/>
      <c r="S945" s="324"/>
      <c r="T945" s="324"/>
      <c r="U945" s="324"/>
      <c r="V945" s="324"/>
      <c r="W945" s="324"/>
      <c r="X945" s="324"/>
      <c r="Y945" s="324"/>
      <c r="Z945" s="324"/>
      <c r="AA945" s="324"/>
      <c r="AB945" s="324"/>
      <c r="AC945" s="324"/>
      <c r="AD945" s="324"/>
      <c r="AE945" s="324"/>
      <c r="AF945" s="324"/>
    </row>
    <row r="946" spans="3:32" s="294" customFormat="1">
      <c r="C946" s="10"/>
      <c r="D946" s="29"/>
      <c r="E946" s="29"/>
      <c r="F946" s="36"/>
      <c r="G946" s="324"/>
      <c r="H946" s="324"/>
      <c r="I946" s="324"/>
      <c r="J946" s="324"/>
      <c r="K946" s="324"/>
      <c r="L946" s="324"/>
      <c r="M946" s="324"/>
      <c r="N946" s="324"/>
      <c r="O946" s="324"/>
      <c r="P946" s="324"/>
      <c r="Q946" s="324"/>
      <c r="R946" s="324"/>
      <c r="S946" s="324"/>
      <c r="T946" s="324"/>
      <c r="U946" s="324"/>
      <c r="V946" s="324"/>
      <c r="W946" s="324"/>
      <c r="X946" s="324"/>
      <c r="Y946" s="324"/>
      <c r="Z946" s="324"/>
      <c r="AA946" s="324"/>
      <c r="AB946" s="324"/>
      <c r="AC946" s="324"/>
      <c r="AD946" s="324"/>
      <c r="AE946" s="324"/>
      <c r="AF946" s="324"/>
    </row>
    <row r="947" spans="3:32" s="294" customFormat="1">
      <c r="C947" s="10"/>
      <c r="D947" s="29"/>
      <c r="E947" s="29"/>
      <c r="F947" s="36"/>
      <c r="G947" s="324"/>
      <c r="H947" s="324"/>
      <c r="I947" s="324"/>
      <c r="J947" s="324"/>
      <c r="K947" s="324"/>
      <c r="L947" s="324"/>
      <c r="M947" s="324"/>
      <c r="N947" s="324"/>
      <c r="O947" s="324"/>
      <c r="P947" s="324"/>
      <c r="Q947" s="324"/>
      <c r="R947" s="324"/>
      <c r="S947" s="324"/>
      <c r="T947" s="324"/>
      <c r="U947" s="324"/>
      <c r="V947" s="324"/>
      <c r="W947" s="324"/>
      <c r="X947" s="324"/>
      <c r="Y947" s="324"/>
      <c r="Z947" s="324"/>
      <c r="AA947" s="324"/>
      <c r="AB947" s="324"/>
      <c r="AC947" s="324"/>
      <c r="AD947" s="324"/>
      <c r="AE947" s="324"/>
      <c r="AF947" s="324"/>
    </row>
    <row r="948" spans="3:32" s="294" customFormat="1">
      <c r="C948" s="10"/>
      <c r="D948" s="29"/>
      <c r="E948" s="29"/>
      <c r="F948" s="36"/>
      <c r="G948" s="324"/>
      <c r="H948" s="324"/>
      <c r="I948" s="324"/>
      <c r="J948" s="324"/>
      <c r="K948" s="324"/>
      <c r="L948" s="324"/>
      <c r="M948" s="324"/>
      <c r="N948" s="324"/>
      <c r="O948" s="324"/>
      <c r="P948" s="324"/>
      <c r="Q948" s="324"/>
      <c r="R948" s="324"/>
      <c r="S948" s="324"/>
      <c r="T948" s="324"/>
      <c r="U948" s="324"/>
      <c r="V948" s="324"/>
      <c r="W948" s="324"/>
      <c r="X948" s="324"/>
      <c r="Y948" s="324"/>
      <c r="Z948" s="324"/>
      <c r="AA948" s="324"/>
      <c r="AB948" s="324"/>
      <c r="AC948" s="324"/>
      <c r="AD948" s="324"/>
      <c r="AE948" s="324"/>
      <c r="AF948" s="324"/>
    </row>
    <row r="949" spans="3:32" s="294" customFormat="1">
      <c r="C949" s="10"/>
      <c r="D949" s="29"/>
      <c r="E949" s="29"/>
      <c r="F949" s="36"/>
      <c r="G949" s="324"/>
      <c r="H949" s="324"/>
      <c r="I949" s="324"/>
      <c r="J949" s="324"/>
      <c r="K949" s="324"/>
      <c r="L949" s="324"/>
      <c r="M949" s="324"/>
      <c r="N949" s="324"/>
      <c r="O949" s="324"/>
      <c r="P949" s="324"/>
      <c r="Q949" s="324"/>
      <c r="R949" s="324"/>
      <c r="S949" s="324"/>
      <c r="T949" s="324"/>
      <c r="U949" s="324"/>
      <c r="V949" s="324"/>
      <c r="W949" s="324"/>
      <c r="X949" s="324"/>
      <c r="Y949" s="324"/>
      <c r="Z949" s="324"/>
      <c r="AA949" s="324"/>
      <c r="AB949" s="324"/>
      <c r="AC949" s="324"/>
      <c r="AD949" s="324"/>
      <c r="AE949" s="324"/>
      <c r="AF949" s="324"/>
    </row>
    <row r="950" spans="3:32" s="294" customFormat="1">
      <c r="C950" s="10"/>
      <c r="D950" s="29"/>
      <c r="E950" s="29"/>
      <c r="F950" s="36"/>
      <c r="G950" s="324"/>
      <c r="H950" s="324"/>
      <c r="I950" s="324"/>
      <c r="J950" s="324"/>
      <c r="K950" s="324"/>
      <c r="L950" s="324"/>
      <c r="M950" s="324"/>
      <c r="N950" s="324"/>
      <c r="O950" s="324"/>
      <c r="P950" s="324"/>
      <c r="Q950" s="324"/>
      <c r="R950" s="324"/>
      <c r="S950" s="324"/>
      <c r="T950" s="324"/>
      <c r="U950" s="324"/>
      <c r="V950" s="324"/>
      <c r="W950" s="324"/>
      <c r="X950" s="324"/>
      <c r="Y950" s="324"/>
      <c r="Z950" s="324"/>
      <c r="AA950" s="324"/>
      <c r="AB950" s="324"/>
      <c r="AC950" s="324"/>
      <c r="AD950" s="324"/>
      <c r="AE950" s="324"/>
      <c r="AF950" s="324"/>
    </row>
    <row r="951" spans="3:32" s="294" customFormat="1">
      <c r="C951" s="10"/>
      <c r="D951" s="29"/>
      <c r="E951" s="29"/>
      <c r="F951" s="36"/>
      <c r="G951" s="324"/>
      <c r="H951" s="324"/>
      <c r="I951" s="324"/>
      <c r="J951" s="324"/>
      <c r="K951" s="324"/>
      <c r="L951" s="324"/>
      <c r="M951" s="324"/>
      <c r="N951" s="324"/>
      <c r="O951" s="324"/>
      <c r="P951" s="324"/>
      <c r="Q951" s="324"/>
      <c r="R951" s="324"/>
      <c r="S951" s="324"/>
      <c r="T951" s="324"/>
      <c r="U951" s="324"/>
      <c r="V951" s="324"/>
      <c r="W951" s="324"/>
      <c r="X951" s="324"/>
      <c r="Y951" s="324"/>
      <c r="Z951" s="324"/>
      <c r="AA951" s="324"/>
      <c r="AB951" s="324"/>
      <c r="AC951" s="324"/>
      <c r="AD951" s="324"/>
      <c r="AE951" s="324"/>
      <c r="AF951" s="324"/>
    </row>
    <row r="952" spans="3:32" s="294" customFormat="1">
      <c r="C952" s="10"/>
      <c r="D952" s="29"/>
      <c r="E952" s="29"/>
      <c r="F952" s="36"/>
      <c r="G952" s="324"/>
      <c r="H952" s="324"/>
      <c r="I952" s="324"/>
      <c r="J952" s="324"/>
      <c r="K952" s="324"/>
      <c r="L952" s="324"/>
      <c r="M952" s="324"/>
      <c r="N952" s="324"/>
      <c r="O952" s="324"/>
      <c r="P952" s="324"/>
      <c r="Q952" s="324"/>
      <c r="R952" s="324"/>
      <c r="S952" s="324"/>
      <c r="T952" s="324"/>
      <c r="U952" s="324"/>
      <c r="V952" s="324"/>
      <c r="W952" s="324"/>
      <c r="X952" s="324"/>
      <c r="Y952" s="324"/>
      <c r="Z952" s="324"/>
      <c r="AA952" s="324"/>
      <c r="AB952" s="324"/>
      <c r="AC952" s="324"/>
      <c r="AD952" s="324"/>
      <c r="AE952" s="324"/>
      <c r="AF952" s="324"/>
    </row>
    <row r="953" spans="3:32" s="294" customFormat="1">
      <c r="C953" s="10"/>
      <c r="D953" s="29"/>
      <c r="E953" s="29"/>
      <c r="F953" s="36"/>
      <c r="G953" s="324"/>
      <c r="H953" s="324"/>
      <c r="I953" s="324"/>
      <c r="J953" s="324"/>
      <c r="K953" s="324"/>
      <c r="L953" s="324"/>
      <c r="M953" s="324"/>
      <c r="N953" s="324"/>
      <c r="O953" s="324"/>
      <c r="P953" s="324"/>
      <c r="Q953" s="324"/>
      <c r="R953" s="324"/>
      <c r="S953" s="324"/>
      <c r="T953" s="324"/>
      <c r="U953" s="324"/>
      <c r="V953" s="324"/>
      <c r="W953" s="324"/>
      <c r="X953" s="324"/>
      <c r="Y953" s="324"/>
      <c r="Z953" s="324"/>
      <c r="AA953" s="324"/>
      <c r="AB953" s="324"/>
      <c r="AC953" s="324"/>
      <c r="AD953" s="324"/>
      <c r="AE953" s="324"/>
      <c r="AF953" s="324"/>
    </row>
    <row r="954" spans="3:32" s="294" customFormat="1">
      <c r="C954" s="10"/>
      <c r="D954" s="29"/>
      <c r="E954" s="29"/>
      <c r="F954" s="36"/>
      <c r="G954" s="324"/>
      <c r="H954" s="324"/>
      <c r="I954" s="324"/>
      <c r="J954" s="324"/>
      <c r="K954" s="324"/>
      <c r="L954" s="324"/>
      <c r="M954" s="324"/>
      <c r="N954" s="324"/>
      <c r="O954" s="324"/>
      <c r="P954" s="324"/>
      <c r="Q954" s="324"/>
      <c r="R954" s="324"/>
      <c r="S954" s="324"/>
      <c r="T954" s="324"/>
      <c r="U954" s="324"/>
      <c r="V954" s="324"/>
      <c r="W954" s="324"/>
      <c r="X954" s="324"/>
      <c r="Y954" s="324"/>
      <c r="Z954" s="324"/>
      <c r="AA954" s="324"/>
      <c r="AB954" s="324"/>
      <c r="AC954" s="324"/>
      <c r="AD954" s="324"/>
      <c r="AE954" s="324"/>
      <c r="AF954" s="324"/>
    </row>
    <row r="955" spans="3:32" s="294" customFormat="1">
      <c r="C955" s="10"/>
      <c r="D955" s="29"/>
      <c r="E955" s="29"/>
      <c r="F955" s="36"/>
      <c r="G955" s="324"/>
      <c r="H955" s="324"/>
      <c r="I955" s="324"/>
      <c r="J955" s="324"/>
      <c r="K955" s="324"/>
      <c r="L955" s="324"/>
      <c r="M955" s="324"/>
      <c r="N955" s="324"/>
      <c r="O955" s="324"/>
      <c r="P955" s="324"/>
      <c r="Q955" s="324"/>
      <c r="R955" s="324"/>
      <c r="S955" s="324"/>
      <c r="T955" s="324"/>
      <c r="U955" s="324"/>
      <c r="V955" s="324"/>
      <c r="W955" s="324"/>
      <c r="X955" s="324"/>
      <c r="Y955" s="324"/>
      <c r="Z955" s="324"/>
      <c r="AA955" s="324"/>
      <c r="AB955" s="324"/>
      <c r="AC955" s="324"/>
      <c r="AD955" s="324"/>
      <c r="AE955" s="324"/>
      <c r="AF955" s="324"/>
    </row>
    <row r="956" spans="3:32" s="294" customFormat="1">
      <c r="C956" s="10"/>
      <c r="D956" s="29"/>
      <c r="E956" s="29"/>
      <c r="F956" s="36"/>
      <c r="G956" s="324"/>
      <c r="H956" s="324"/>
      <c r="I956" s="324"/>
      <c r="J956" s="324"/>
      <c r="K956" s="324"/>
      <c r="L956" s="324"/>
      <c r="M956" s="324"/>
      <c r="N956" s="324"/>
      <c r="O956" s="324"/>
      <c r="P956" s="324"/>
      <c r="Q956" s="324"/>
      <c r="R956" s="324"/>
      <c r="S956" s="324"/>
      <c r="T956" s="324"/>
      <c r="U956" s="324"/>
      <c r="V956" s="324"/>
      <c r="W956" s="324"/>
      <c r="X956" s="324"/>
      <c r="Y956" s="324"/>
      <c r="Z956" s="324"/>
      <c r="AA956" s="324"/>
      <c r="AB956" s="324"/>
      <c r="AC956" s="324"/>
      <c r="AD956" s="324"/>
      <c r="AE956" s="324"/>
      <c r="AF956" s="324"/>
    </row>
    <row r="957" spans="3:32" s="294" customFormat="1">
      <c r="C957" s="10"/>
      <c r="D957" s="29"/>
      <c r="E957" s="29"/>
      <c r="F957" s="36"/>
      <c r="G957" s="324"/>
      <c r="H957" s="324"/>
      <c r="I957" s="324"/>
      <c r="J957" s="324"/>
      <c r="K957" s="324"/>
      <c r="L957" s="324"/>
      <c r="M957" s="324"/>
      <c r="N957" s="324"/>
      <c r="O957" s="324"/>
      <c r="P957" s="324"/>
      <c r="Q957" s="324"/>
      <c r="R957" s="324"/>
      <c r="S957" s="324"/>
      <c r="T957" s="324"/>
      <c r="U957" s="324"/>
      <c r="V957" s="324"/>
      <c r="W957" s="324"/>
      <c r="X957" s="324"/>
      <c r="Y957" s="324"/>
      <c r="Z957" s="324"/>
      <c r="AA957" s="324"/>
      <c r="AB957" s="324"/>
      <c r="AC957" s="324"/>
      <c r="AD957" s="324"/>
      <c r="AE957" s="324"/>
      <c r="AF957" s="324"/>
    </row>
    <row r="958" spans="3:32" s="294" customFormat="1">
      <c r="C958" s="10"/>
      <c r="D958" s="29"/>
      <c r="E958" s="29"/>
      <c r="F958" s="36"/>
      <c r="G958" s="324"/>
      <c r="H958" s="324"/>
      <c r="I958" s="324"/>
      <c r="J958" s="324"/>
      <c r="K958" s="324"/>
      <c r="L958" s="324"/>
      <c r="M958" s="324"/>
      <c r="N958" s="324"/>
      <c r="O958" s="324"/>
      <c r="P958" s="324"/>
      <c r="Q958" s="324"/>
      <c r="R958" s="324"/>
      <c r="S958" s="324"/>
      <c r="T958" s="324"/>
      <c r="U958" s="324"/>
      <c r="V958" s="324"/>
      <c r="W958" s="324"/>
      <c r="X958" s="324"/>
      <c r="Y958" s="324"/>
      <c r="Z958" s="324"/>
      <c r="AA958" s="324"/>
      <c r="AB958" s="324"/>
      <c r="AC958" s="324"/>
      <c r="AD958" s="324"/>
      <c r="AE958" s="324"/>
      <c r="AF958" s="324"/>
    </row>
    <row r="959" spans="3:32" s="294" customFormat="1">
      <c r="C959" s="10"/>
      <c r="D959" s="29"/>
      <c r="E959" s="29"/>
      <c r="F959" s="36"/>
      <c r="G959" s="324"/>
      <c r="H959" s="324"/>
      <c r="I959" s="324"/>
      <c r="J959" s="324"/>
      <c r="K959" s="324"/>
      <c r="L959" s="324"/>
      <c r="M959" s="324"/>
      <c r="N959" s="324"/>
      <c r="O959" s="324"/>
      <c r="P959" s="324"/>
      <c r="Q959" s="324"/>
      <c r="R959" s="324"/>
      <c r="S959" s="324"/>
      <c r="T959" s="324"/>
      <c r="U959" s="324"/>
      <c r="V959" s="324"/>
      <c r="W959" s="324"/>
      <c r="X959" s="324"/>
      <c r="Y959" s="324"/>
      <c r="Z959" s="324"/>
      <c r="AA959" s="324"/>
      <c r="AB959" s="324"/>
      <c r="AC959" s="324"/>
      <c r="AD959" s="324"/>
      <c r="AE959" s="324"/>
      <c r="AF959" s="324"/>
    </row>
    <row r="960" spans="3:32" s="294" customFormat="1">
      <c r="C960" s="10"/>
      <c r="D960" s="29"/>
      <c r="E960" s="29"/>
      <c r="F960" s="36"/>
      <c r="G960" s="324"/>
      <c r="H960" s="324"/>
      <c r="I960" s="324"/>
      <c r="J960" s="324"/>
      <c r="K960" s="324"/>
      <c r="L960" s="324"/>
      <c r="M960" s="324"/>
      <c r="N960" s="324"/>
      <c r="O960" s="324"/>
      <c r="P960" s="324"/>
      <c r="Q960" s="324"/>
      <c r="R960" s="324"/>
      <c r="S960" s="324"/>
      <c r="T960" s="324"/>
      <c r="U960" s="324"/>
      <c r="V960" s="324"/>
      <c r="W960" s="324"/>
      <c r="X960" s="324"/>
      <c r="Y960" s="324"/>
      <c r="Z960" s="324"/>
      <c r="AA960" s="324"/>
      <c r="AB960" s="324"/>
      <c r="AC960" s="324"/>
      <c r="AD960" s="324"/>
      <c r="AE960" s="324"/>
      <c r="AF960" s="324"/>
    </row>
    <row r="961" spans="3:32" s="294" customFormat="1">
      <c r="C961" s="10"/>
      <c r="D961" s="29"/>
      <c r="E961" s="29"/>
      <c r="F961" s="36"/>
      <c r="G961" s="324"/>
      <c r="H961" s="324"/>
      <c r="I961" s="324"/>
      <c r="J961" s="324"/>
      <c r="K961" s="324"/>
      <c r="L961" s="324"/>
      <c r="M961" s="324"/>
      <c r="N961" s="324"/>
      <c r="O961" s="324"/>
      <c r="P961" s="324"/>
      <c r="Q961" s="324"/>
      <c r="R961" s="324"/>
      <c r="S961" s="324"/>
      <c r="T961" s="324"/>
      <c r="U961" s="324"/>
      <c r="V961" s="324"/>
      <c r="W961" s="324"/>
      <c r="X961" s="324"/>
      <c r="Y961" s="324"/>
      <c r="Z961" s="324"/>
      <c r="AA961" s="324"/>
      <c r="AB961" s="324"/>
      <c r="AC961" s="324"/>
      <c r="AD961" s="324"/>
      <c r="AE961" s="324"/>
      <c r="AF961" s="324"/>
    </row>
    <row r="962" spans="3:32" s="294" customFormat="1">
      <c r="C962" s="10"/>
      <c r="D962" s="29"/>
      <c r="E962" s="29"/>
      <c r="F962" s="36"/>
      <c r="G962" s="324"/>
      <c r="H962" s="324"/>
      <c r="I962" s="324"/>
      <c r="J962" s="324"/>
      <c r="K962" s="324"/>
      <c r="L962" s="324"/>
      <c r="M962" s="324"/>
      <c r="N962" s="324"/>
      <c r="O962" s="324"/>
      <c r="P962" s="324"/>
      <c r="Q962" s="324"/>
      <c r="R962" s="324"/>
      <c r="S962" s="324"/>
      <c r="T962" s="324"/>
      <c r="U962" s="324"/>
      <c r="V962" s="324"/>
      <c r="W962" s="324"/>
      <c r="X962" s="324"/>
      <c r="Y962" s="324"/>
      <c r="Z962" s="324"/>
      <c r="AA962" s="324"/>
      <c r="AB962" s="324"/>
      <c r="AC962" s="324"/>
      <c r="AD962" s="324"/>
      <c r="AE962" s="324"/>
      <c r="AF962" s="324"/>
    </row>
    <row r="963" spans="3:32" s="294" customFormat="1">
      <c r="C963" s="10"/>
      <c r="D963" s="29"/>
      <c r="E963" s="29"/>
      <c r="F963" s="36"/>
      <c r="G963" s="324"/>
      <c r="H963" s="324"/>
      <c r="I963" s="324"/>
      <c r="J963" s="324"/>
      <c r="K963" s="324"/>
      <c r="L963" s="324"/>
      <c r="M963" s="324"/>
      <c r="N963" s="324"/>
      <c r="O963" s="324"/>
      <c r="P963" s="324"/>
      <c r="Q963" s="324"/>
      <c r="R963" s="324"/>
      <c r="S963" s="324"/>
      <c r="T963" s="324"/>
      <c r="U963" s="324"/>
      <c r="V963" s="324"/>
      <c r="W963" s="324"/>
      <c r="X963" s="324"/>
      <c r="Y963" s="324"/>
      <c r="Z963" s="324"/>
      <c r="AA963" s="324"/>
      <c r="AB963" s="324"/>
      <c r="AC963" s="324"/>
      <c r="AD963" s="324"/>
      <c r="AE963" s="324"/>
      <c r="AF963" s="324"/>
    </row>
    <row r="964" spans="3:32" s="294" customFormat="1">
      <c r="C964" s="10"/>
      <c r="D964" s="29"/>
      <c r="E964" s="29"/>
      <c r="F964" s="36"/>
      <c r="G964" s="324"/>
      <c r="H964" s="324"/>
      <c r="I964" s="324"/>
      <c r="J964" s="324"/>
      <c r="K964" s="324"/>
      <c r="L964" s="324"/>
      <c r="M964" s="324"/>
      <c r="N964" s="324"/>
      <c r="O964" s="324"/>
      <c r="P964" s="324"/>
      <c r="Q964" s="324"/>
      <c r="R964" s="324"/>
      <c r="S964" s="324"/>
      <c r="T964" s="324"/>
      <c r="U964" s="324"/>
      <c r="V964" s="324"/>
      <c r="W964" s="324"/>
      <c r="X964" s="324"/>
      <c r="Y964" s="324"/>
      <c r="Z964" s="324"/>
      <c r="AA964" s="324"/>
      <c r="AB964" s="324"/>
      <c r="AC964" s="324"/>
      <c r="AD964" s="324"/>
      <c r="AE964" s="324"/>
      <c r="AF964" s="324"/>
    </row>
    <row r="965" spans="3:32" s="294" customFormat="1">
      <c r="C965" s="10"/>
      <c r="D965" s="29"/>
      <c r="E965" s="29"/>
      <c r="F965" s="36"/>
      <c r="G965" s="324"/>
      <c r="H965" s="324"/>
      <c r="I965" s="324"/>
      <c r="J965" s="324"/>
      <c r="K965" s="324"/>
      <c r="L965" s="324"/>
      <c r="M965" s="324"/>
      <c r="N965" s="324"/>
      <c r="O965" s="324"/>
      <c r="P965" s="324"/>
      <c r="Q965" s="324"/>
      <c r="R965" s="324"/>
      <c r="S965" s="324"/>
      <c r="T965" s="324"/>
      <c r="U965" s="324"/>
      <c r="V965" s="324"/>
      <c r="W965" s="324"/>
      <c r="X965" s="324"/>
      <c r="Y965" s="324"/>
      <c r="Z965" s="324"/>
      <c r="AA965" s="324"/>
      <c r="AB965" s="324"/>
      <c r="AC965" s="324"/>
      <c r="AD965" s="324"/>
      <c r="AE965" s="324"/>
      <c r="AF965" s="324"/>
    </row>
    <row r="966" spans="3:32" s="294" customFormat="1">
      <c r="C966" s="10"/>
      <c r="D966" s="29"/>
      <c r="E966" s="29"/>
      <c r="F966" s="36"/>
      <c r="G966" s="324"/>
      <c r="H966" s="324"/>
      <c r="I966" s="324"/>
      <c r="J966" s="324"/>
      <c r="K966" s="324"/>
      <c r="L966" s="324"/>
      <c r="M966" s="324"/>
      <c r="N966" s="324"/>
      <c r="O966" s="324"/>
      <c r="P966" s="324"/>
      <c r="Q966" s="324"/>
      <c r="R966" s="324"/>
      <c r="S966" s="324"/>
      <c r="T966" s="324"/>
      <c r="U966" s="324"/>
      <c r="V966" s="324"/>
      <c r="W966" s="324"/>
      <c r="X966" s="324"/>
      <c r="Y966" s="324"/>
      <c r="Z966" s="324"/>
      <c r="AA966" s="324"/>
      <c r="AB966" s="324"/>
      <c r="AC966" s="324"/>
      <c r="AD966" s="324"/>
      <c r="AE966" s="324"/>
      <c r="AF966" s="324"/>
    </row>
    <row r="967" spans="3:32" s="294" customFormat="1">
      <c r="C967" s="10"/>
      <c r="D967" s="29"/>
      <c r="E967" s="29"/>
      <c r="F967" s="36"/>
      <c r="G967" s="324"/>
      <c r="H967" s="324"/>
      <c r="I967" s="324"/>
      <c r="J967" s="324"/>
      <c r="K967" s="324"/>
      <c r="L967" s="324"/>
      <c r="M967" s="324"/>
      <c r="N967" s="324"/>
      <c r="O967" s="324"/>
      <c r="P967" s="324"/>
      <c r="Q967" s="324"/>
      <c r="R967" s="324"/>
      <c r="S967" s="324"/>
      <c r="T967" s="324"/>
      <c r="U967" s="324"/>
      <c r="V967" s="324"/>
      <c r="W967" s="324"/>
      <c r="X967" s="324"/>
      <c r="Y967" s="324"/>
      <c r="Z967" s="324"/>
      <c r="AA967" s="324"/>
      <c r="AB967" s="324"/>
      <c r="AC967" s="324"/>
      <c r="AD967" s="324"/>
      <c r="AE967" s="324"/>
      <c r="AF967" s="324"/>
    </row>
    <row r="968" spans="3:32" s="294" customFormat="1">
      <c r="C968" s="10"/>
      <c r="D968" s="29"/>
      <c r="E968" s="29"/>
      <c r="F968" s="36"/>
      <c r="G968" s="324"/>
      <c r="H968" s="324"/>
      <c r="I968" s="324"/>
      <c r="J968" s="324"/>
      <c r="K968" s="324"/>
      <c r="L968" s="324"/>
      <c r="M968" s="324"/>
      <c r="N968" s="324"/>
      <c r="O968" s="324"/>
      <c r="P968" s="324"/>
      <c r="Q968" s="324"/>
      <c r="R968" s="324"/>
      <c r="S968" s="324"/>
      <c r="T968" s="324"/>
      <c r="U968" s="324"/>
      <c r="V968" s="324"/>
      <c r="W968" s="324"/>
      <c r="X968" s="324"/>
      <c r="Y968" s="324"/>
      <c r="Z968" s="324"/>
      <c r="AA968" s="324"/>
      <c r="AB968" s="324"/>
      <c r="AC968" s="324"/>
      <c r="AD968" s="324"/>
      <c r="AE968" s="324"/>
      <c r="AF968" s="324"/>
    </row>
    <row r="969" spans="3:32" s="294" customFormat="1">
      <c r="C969" s="10"/>
      <c r="D969" s="29"/>
      <c r="E969" s="29"/>
      <c r="F969" s="36"/>
      <c r="G969" s="324"/>
      <c r="H969" s="324"/>
      <c r="I969" s="324"/>
      <c r="J969" s="324"/>
      <c r="K969" s="324"/>
      <c r="L969" s="324"/>
      <c r="M969" s="324"/>
      <c r="N969" s="324"/>
      <c r="O969" s="324"/>
      <c r="P969" s="324"/>
      <c r="Q969" s="324"/>
      <c r="R969" s="324"/>
      <c r="S969" s="324"/>
      <c r="T969" s="324"/>
      <c r="U969" s="324"/>
      <c r="V969" s="324"/>
      <c r="W969" s="324"/>
      <c r="X969" s="324"/>
      <c r="Y969" s="324"/>
      <c r="Z969" s="324"/>
      <c r="AA969" s="324"/>
      <c r="AB969" s="324"/>
      <c r="AC969" s="324"/>
      <c r="AD969" s="324"/>
      <c r="AE969" s="324"/>
      <c r="AF969" s="324"/>
    </row>
    <row r="970" spans="3:32" s="294" customFormat="1">
      <c r="C970" s="10"/>
      <c r="D970" s="29"/>
      <c r="E970" s="29"/>
      <c r="F970" s="36"/>
      <c r="G970" s="324"/>
      <c r="H970" s="324"/>
      <c r="I970" s="324"/>
      <c r="J970" s="324"/>
      <c r="K970" s="324"/>
      <c r="L970" s="324"/>
      <c r="M970" s="324"/>
      <c r="N970" s="324"/>
      <c r="O970" s="324"/>
      <c r="P970" s="324"/>
      <c r="Q970" s="324"/>
      <c r="R970" s="324"/>
      <c r="S970" s="324"/>
      <c r="T970" s="324"/>
      <c r="U970" s="324"/>
      <c r="V970" s="324"/>
      <c r="W970" s="324"/>
      <c r="X970" s="324"/>
      <c r="Y970" s="324"/>
      <c r="Z970" s="324"/>
      <c r="AA970" s="324"/>
      <c r="AB970" s="324"/>
      <c r="AC970" s="324"/>
      <c r="AD970" s="324"/>
      <c r="AE970" s="324"/>
      <c r="AF970" s="324"/>
    </row>
    <row r="971" spans="3:32" s="294" customFormat="1">
      <c r="C971" s="10"/>
      <c r="D971" s="29"/>
      <c r="E971" s="29"/>
      <c r="F971" s="36"/>
      <c r="G971" s="324"/>
      <c r="H971" s="324"/>
      <c r="I971" s="324"/>
      <c r="J971" s="324"/>
      <c r="K971" s="324"/>
      <c r="L971" s="324"/>
      <c r="M971" s="324"/>
      <c r="N971" s="324"/>
      <c r="O971" s="324"/>
      <c r="P971" s="324"/>
      <c r="Q971" s="324"/>
      <c r="R971" s="324"/>
      <c r="S971" s="324"/>
      <c r="T971" s="324"/>
      <c r="U971" s="324"/>
      <c r="V971" s="324"/>
      <c r="W971" s="324"/>
      <c r="X971" s="324"/>
      <c r="Y971" s="324"/>
      <c r="Z971" s="324"/>
      <c r="AA971" s="324"/>
      <c r="AB971" s="324"/>
      <c r="AC971" s="324"/>
      <c r="AD971" s="324"/>
      <c r="AE971" s="324"/>
      <c r="AF971" s="324"/>
    </row>
    <row r="972" spans="3:32" s="294" customFormat="1">
      <c r="C972" s="10"/>
      <c r="D972" s="29"/>
      <c r="E972" s="29"/>
      <c r="F972" s="36"/>
      <c r="G972" s="324"/>
      <c r="H972" s="324"/>
      <c r="I972" s="324"/>
      <c r="J972" s="324"/>
      <c r="K972" s="324"/>
      <c r="L972" s="324"/>
      <c r="M972" s="324"/>
      <c r="N972" s="324"/>
      <c r="O972" s="324"/>
      <c r="P972" s="324"/>
      <c r="Q972" s="324"/>
      <c r="R972" s="324"/>
      <c r="S972" s="324"/>
      <c r="T972" s="324"/>
      <c r="U972" s="324"/>
      <c r="V972" s="324"/>
      <c r="W972" s="324"/>
      <c r="X972" s="324"/>
      <c r="Y972" s="324"/>
      <c r="Z972" s="324"/>
      <c r="AA972" s="324"/>
      <c r="AB972" s="324"/>
      <c r="AC972" s="324"/>
      <c r="AD972" s="324"/>
      <c r="AE972" s="324"/>
      <c r="AF972" s="324"/>
    </row>
    <row r="973" spans="3:32" s="294" customFormat="1">
      <c r="C973" s="10"/>
      <c r="D973" s="29"/>
      <c r="E973" s="29"/>
      <c r="F973" s="36"/>
      <c r="G973" s="324"/>
      <c r="H973" s="324"/>
      <c r="I973" s="324"/>
      <c r="J973" s="324"/>
      <c r="K973" s="324"/>
      <c r="L973" s="324"/>
      <c r="M973" s="324"/>
      <c r="N973" s="324"/>
      <c r="O973" s="324"/>
      <c r="P973" s="324"/>
      <c r="Q973" s="324"/>
      <c r="R973" s="324"/>
      <c r="S973" s="324"/>
      <c r="T973" s="324"/>
      <c r="U973" s="324"/>
      <c r="V973" s="324"/>
      <c r="W973" s="324"/>
      <c r="X973" s="324"/>
      <c r="Y973" s="324"/>
      <c r="Z973" s="324"/>
      <c r="AA973" s="324"/>
      <c r="AB973" s="324"/>
      <c r="AC973" s="324"/>
      <c r="AD973" s="324"/>
      <c r="AE973" s="324"/>
      <c r="AF973" s="324"/>
    </row>
    <row r="974" spans="3:32" s="294" customFormat="1">
      <c r="C974" s="10"/>
      <c r="D974" s="29"/>
      <c r="E974" s="29"/>
      <c r="F974" s="36"/>
      <c r="G974" s="324"/>
      <c r="H974" s="324"/>
      <c r="I974" s="324"/>
      <c r="J974" s="324"/>
      <c r="K974" s="324"/>
      <c r="L974" s="324"/>
      <c r="M974" s="324"/>
      <c r="N974" s="324"/>
      <c r="O974" s="324"/>
      <c r="P974" s="324"/>
      <c r="Q974" s="324"/>
      <c r="R974" s="324"/>
      <c r="S974" s="324"/>
      <c r="T974" s="324"/>
      <c r="U974" s="324"/>
      <c r="V974" s="324"/>
      <c r="W974" s="324"/>
      <c r="X974" s="324"/>
      <c r="Y974" s="324"/>
      <c r="Z974" s="324"/>
      <c r="AA974" s="324"/>
      <c r="AB974" s="324"/>
      <c r="AC974" s="324"/>
      <c r="AD974" s="324"/>
      <c r="AE974" s="324"/>
      <c r="AF974" s="324"/>
    </row>
    <row r="975" spans="3:32" s="294" customFormat="1">
      <c r="C975" s="10"/>
      <c r="D975" s="29"/>
      <c r="E975" s="29"/>
      <c r="F975" s="36"/>
      <c r="G975" s="324"/>
      <c r="H975" s="324"/>
      <c r="I975" s="324"/>
      <c r="J975" s="324"/>
      <c r="K975" s="324"/>
      <c r="L975" s="324"/>
      <c r="M975" s="324"/>
      <c r="N975" s="324"/>
      <c r="O975" s="324"/>
      <c r="P975" s="324"/>
      <c r="Q975" s="324"/>
      <c r="R975" s="324"/>
      <c r="S975" s="324"/>
      <c r="T975" s="324"/>
      <c r="U975" s="324"/>
      <c r="V975" s="324"/>
      <c r="W975" s="324"/>
      <c r="X975" s="324"/>
      <c r="Y975" s="324"/>
      <c r="Z975" s="324"/>
      <c r="AA975" s="324"/>
      <c r="AB975" s="324"/>
      <c r="AC975" s="324"/>
      <c r="AD975" s="324"/>
      <c r="AE975" s="324"/>
      <c r="AF975" s="324"/>
    </row>
    <row r="976" spans="3:32" s="294" customFormat="1">
      <c r="C976" s="10"/>
      <c r="D976" s="29"/>
      <c r="E976" s="29"/>
      <c r="F976" s="36"/>
      <c r="G976" s="324"/>
      <c r="H976" s="324"/>
      <c r="I976" s="324"/>
      <c r="J976" s="324"/>
      <c r="K976" s="324"/>
      <c r="L976" s="324"/>
      <c r="M976" s="324"/>
      <c r="N976" s="324"/>
      <c r="O976" s="324"/>
      <c r="P976" s="324"/>
      <c r="Q976" s="324"/>
      <c r="R976" s="324"/>
      <c r="S976" s="324"/>
      <c r="T976" s="324"/>
      <c r="U976" s="324"/>
      <c r="V976" s="324"/>
      <c r="W976" s="324"/>
      <c r="X976" s="324"/>
      <c r="Y976" s="324"/>
      <c r="Z976" s="324"/>
      <c r="AA976" s="324"/>
      <c r="AB976" s="324"/>
      <c r="AC976" s="324"/>
      <c r="AD976" s="324"/>
      <c r="AE976" s="324"/>
      <c r="AF976" s="324"/>
    </row>
    <row r="977" spans="3:32" s="294" customFormat="1">
      <c r="C977" s="10"/>
      <c r="D977" s="29"/>
      <c r="E977" s="29"/>
      <c r="F977" s="36"/>
      <c r="G977" s="324"/>
      <c r="H977" s="324"/>
      <c r="I977" s="324"/>
      <c r="J977" s="324"/>
      <c r="K977" s="324"/>
      <c r="L977" s="324"/>
      <c r="M977" s="324"/>
      <c r="N977" s="324"/>
      <c r="O977" s="324"/>
      <c r="P977" s="324"/>
      <c r="Q977" s="324"/>
      <c r="R977" s="324"/>
      <c r="S977" s="324"/>
      <c r="T977" s="324"/>
      <c r="U977" s="324"/>
      <c r="V977" s="324"/>
      <c r="W977" s="324"/>
      <c r="X977" s="324"/>
      <c r="Y977" s="324"/>
      <c r="Z977" s="324"/>
      <c r="AA977" s="324"/>
      <c r="AB977" s="324"/>
      <c r="AC977" s="324"/>
      <c r="AD977" s="324"/>
      <c r="AE977" s="324"/>
      <c r="AF977" s="324"/>
    </row>
    <row r="978" spans="3:32" s="294" customFormat="1">
      <c r="C978" s="10"/>
      <c r="D978" s="29"/>
      <c r="E978" s="29"/>
      <c r="F978" s="36"/>
      <c r="G978" s="324"/>
      <c r="H978" s="324"/>
      <c r="I978" s="324"/>
      <c r="J978" s="324"/>
      <c r="K978" s="324"/>
      <c r="L978" s="324"/>
      <c r="M978" s="324"/>
      <c r="N978" s="324"/>
      <c r="O978" s="324"/>
      <c r="P978" s="324"/>
      <c r="Q978" s="324"/>
      <c r="R978" s="324"/>
      <c r="S978" s="324"/>
      <c r="T978" s="324"/>
      <c r="U978" s="324"/>
      <c r="V978" s="324"/>
      <c r="W978" s="324"/>
      <c r="X978" s="324"/>
      <c r="Y978" s="324"/>
      <c r="Z978" s="324"/>
      <c r="AA978" s="324"/>
      <c r="AB978" s="324"/>
      <c r="AC978" s="324"/>
      <c r="AD978" s="324"/>
      <c r="AE978" s="324"/>
      <c r="AF978" s="324"/>
    </row>
    <row r="979" spans="3:32" s="294" customFormat="1">
      <c r="C979" s="10"/>
      <c r="D979" s="29"/>
      <c r="E979" s="29"/>
      <c r="F979" s="36"/>
      <c r="G979" s="324"/>
      <c r="H979" s="324"/>
      <c r="I979" s="324"/>
      <c r="J979" s="324"/>
      <c r="K979" s="324"/>
      <c r="L979" s="324"/>
      <c r="M979" s="324"/>
      <c r="N979" s="324"/>
      <c r="O979" s="324"/>
      <c r="P979" s="324"/>
      <c r="Q979" s="324"/>
      <c r="R979" s="324"/>
      <c r="S979" s="324"/>
      <c r="T979" s="324"/>
      <c r="U979" s="324"/>
      <c r="V979" s="324"/>
      <c r="W979" s="324"/>
      <c r="X979" s="324"/>
      <c r="Y979" s="324"/>
      <c r="Z979" s="324"/>
      <c r="AA979" s="324"/>
      <c r="AB979" s="324"/>
      <c r="AC979" s="324"/>
      <c r="AD979" s="324"/>
      <c r="AE979" s="324"/>
      <c r="AF979" s="324"/>
    </row>
    <row r="980" spans="3:32" s="294" customFormat="1">
      <c r="C980" s="10"/>
      <c r="D980" s="29"/>
      <c r="E980" s="29"/>
      <c r="F980" s="36"/>
      <c r="G980" s="324"/>
      <c r="H980" s="324"/>
      <c r="I980" s="324"/>
      <c r="J980" s="324"/>
      <c r="K980" s="324"/>
      <c r="L980" s="324"/>
      <c r="M980" s="324"/>
      <c r="N980" s="324"/>
      <c r="O980" s="324"/>
      <c r="P980" s="324"/>
      <c r="Q980" s="324"/>
      <c r="R980" s="324"/>
      <c r="S980" s="324"/>
      <c r="T980" s="324"/>
      <c r="U980" s="324"/>
      <c r="V980" s="324"/>
      <c r="W980" s="324"/>
      <c r="X980" s="324"/>
      <c r="Y980" s="324"/>
      <c r="Z980" s="324"/>
      <c r="AA980" s="324"/>
      <c r="AB980" s="324"/>
      <c r="AC980" s="324"/>
      <c r="AD980" s="324"/>
      <c r="AE980" s="324"/>
      <c r="AF980" s="324"/>
    </row>
    <row r="981" spans="3:32" s="294" customFormat="1">
      <c r="C981" s="10"/>
      <c r="D981" s="29"/>
      <c r="E981" s="29"/>
      <c r="F981" s="36"/>
      <c r="G981" s="324"/>
      <c r="H981" s="324"/>
      <c r="I981" s="324"/>
      <c r="J981" s="324"/>
      <c r="K981" s="324"/>
      <c r="L981" s="324"/>
      <c r="M981" s="324"/>
      <c r="N981" s="324"/>
      <c r="O981" s="324"/>
      <c r="P981" s="324"/>
      <c r="Q981" s="324"/>
      <c r="R981" s="324"/>
      <c r="S981" s="324"/>
      <c r="T981" s="324"/>
      <c r="U981" s="324"/>
      <c r="V981" s="324"/>
      <c r="W981" s="324"/>
      <c r="X981" s="324"/>
      <c r="Y981" s="324"/>
      <c r="Z981" s="324"/>
      <c r="AA981" s="324"/>
      <c r="AB981" s="324"/>
      <c r="AC981" s="324"/>
      <c r="AD981" s="324"/>
      <c r="AE981" s="324"/>
      <c r="AF981" s="324"/>
    </row>
    <row r="982" spans="3:32" s="294" customFormat="1">
      <c r="C982" s="10"/>
      <c r="D982" s="29"/>
      <c r="E982" s="29"/>
      <c r="F982" s="36"/>
      <c r="G982" s="324"/>
      <c r="H982" s="324"/>
      <c r="I982" s="324"/>
      <c r="J982" s="324"/>
      <c r="K982" s="324"/>
      <c r="L982" s="324"/>
      <c r="M982" s="324"/>
      <c r="N982" s="324"/>
      <c r="O982" s="324"/>
      <c r="P982" s="324"/>
      <c r="Q982" s="324"/>
      <c r="R982" s="324"/>
      <c r="S982" s="324"/>
      <c r="T982" s="324"/>
      <c r="U982" s="324"/>
      <c r="V982" s="324"/>
      <c r="W982" s="324"/>
      <c r="X982" s="324"/>
      <c r="Y982" s="324"/>
      <c r="Z982" s="324"/>
      <c r="AA982" s="324"/>
      <c r="AB982" s="324"/>
      <c r="AC982" s="324"/>
      <c r="AD982" s="324"/>
      <c r="AE982" s="324"/>
      <c r="AF982" s="324"/>
    </row>
    <row r="983" spans="3:32" s="294" customFormat="1">
      <c r="C983" s="10"/>
      <c r="D983" s="29"/>
      <c r="E983" s="29"/>
      <c r="F983" s="36"/>
      <c r="G983" s="324"/>
      <c r="H983" s="324"/>
      <c r="I983" s="324"/>
      <c r="J983" s="324"/>
      <c r="K983" s="324"/>
      <c r="L983" s="324"/>
      <c r="M983" s="324"/>
      <c r="N983" s="324"/>
      <c r="O983" s="324"/>
      <c r="P983" s="324"/>
      <c r="Q983" s="324"/>
      <c r="R983" s="324"/>
      <c r="S983" s="324"/>
      <c r="T983" s="324"/>
      <c r="U983" s="324"/>
      <c r="V983" s="324"/>
      <c r="W983" s="324"/>
      <c r="X983" s="324"/>
      <c r="Y983" s="324"/>
      <c r="Z983" s="324"/>
      <c r="AA983" s="324"/>
      <c r="AB983" s="324"/>
      <c r="AC983" s="324"/>
      <c r="AD983" s="324"/>
      <c r="AE983" s="324"/>
      <c r="AF983" s="324"/>
    </row>
    <row r="984" spans="3:32" s="294" customFormat="1">
      <c r="C984" s="10"/>
      <c r="D984" s="29"/>
      <c r="E984" s="29"/>
      <c r="F984" s="36"/>
      <c r="G984" s="324"/>
      <c r="H984" s="324"/>
      <c r="I984" s="324"/>
      <c r="J984" s="324"/>
      <c r="K984" s="324"/>
      <c r="L984" s="324"/>
      <c r="M984" s="324"/>
      <c r="N984" s="324"/>
      <c r="O984" s="324"/>
      <c r="P984" s="324"/>
      <c r="Q984" s="324"/>
      <c r="R984" s="324"/>
      <c r="S984" s="324"/>
      <c r="T984" s="324"/>
      <c r="U984" s="324"/>
      <c r="V984" s="324"/>
      <c r="W984" s="324"/>
      <c r="X984" s="324"/>
      <c r="Y984" s="324"/>
      <c r="Z984" s="324"/>
      <c r="AA984" s="324"/>
      <c r="AB984" s="324"/>
      <c r="AC984" s="324"/>
      <c r="AD984" s="324"/>
      <c r="AE984" s="324"/>
      <c r="AF984" s="324"/>
    </row>
    <row r="985" spans="3:32" s="294" customFormat="1">
      <c r="C985" s="10"/>
      <c r="D985" s="29"/>
      <c r="E985" s="29"/>
      <c r="F985" s="36"/>
      <c r="G985" s="324"/>
      <c r="H985" s="324"/>
      <c r="I985" s="324"/>
      <c r="J985" s="324"/>
      <c r="K985" s="324"/>
      <c r="L985" s="324"/>
      <c r="M985" s="324"/>
      <c r="N985" s="324"/>
      <c r="O985" s="324"/>
      <c r="P985" s="324"/>
      <c r="Q985" s="324"/>
      <c r="R985" s="324"/>
      <c r="S985" s="324"/>
      <c r="T985" s="324"/>
      <c r="U985" s="324"/>
      <c r="V985" s="324"/>
      <c r="W985" s="324"/>
      <c r="X985" s="324"/>
      <c r="Y985" s="324"/>
      <c r="Z985" s="324"/>
      <c r="AA985" s="324"/>
      <c r="AB985" s="324"/>
      <c r="AC985" s="324"/>
      <c r="AD985" s="324"/>
      <c r="AE985" s="324"/>
      <c r="AF985" s="324"/>
    </row>
    <row r="986" spans="3:32" s="294" customFormat="1">
      <c r="C986" s="10"/>
      <c r="D986" s="29"/>
      <c r="E986" s="29"/>
      <c r="F986" s="36"/>
      <c r="G986" s="324"/>
      <c r="H986" s="324"/>
      <c r="I986" s="324"/>
      <c r="J986" s="324"/>
      <c r="K986" s="324"/>
      <c r="L986" s="324"/>
      <c r="M986" s="324"/>
      <c r="N986" s="324"/>
      <c r="O986" s="324"/>
      <c r="P986" s="324"/>
      <c r="Q986" s="324"/>
      <c r="R986" s="324"/>
      <c r="S986" s="324"/>
      <c r="T986" s="324"/>
      <c r="U986" s="324"/>
      <c r="V986" s="324"/>
      <c r="W986" s="324"/>
      <c r="X986" s="324"/>
      <c r="Y986" s="324"/>
      <c r="Z986" s="324"/>
      <c r="AA986" s="324"/>
      <c r="AB986" s="324"/>
      <c r="AC986" s="324"/>
      <c r="AD986" s="324"/>
      <c r="AE986" s="324"/>
      <c r="AF986" s="324"/>
    </row>
    <row r="987" spans="3:32" s="294" customFormat="1">
      <c r="C987" s="10"/>
      <c r="D987" s="29"/>
      <c r="E987" s="29"/>
      <c r="F987" s="36"/>
      <c r="G987" s="324"/>
      <c r="H987" s="324"/>
      <c r="I987" s="324"/>
      <c r="J987" s="324"/>
      <c r="K987" s="324"/>
      <c r="L987" s="324"/>
      <c r="M987" s="324"/>
      <c r="N987" s="324"/>
      <c r="O987" s="324"/>
      <c r="P987" s="324"/>
      <c r="Q987" s="324"/>
      <c r="R987" s="324"/>
      <c r="S987" s="324"/>
      <c r="T987" s="324"/>
      <c r="U987" s="324"/>
      <c r="V987" s="324"/>
      <c r="W987" s="324"/>
      <c r="X987" s="324"/>
      <c r="Y987" s="324"/>
      <c r="Z987" s="324"/>
      <c r="AA987" s="324"/>
      <c r="AB987" s="324"/>
      <c r="AC987" s="324"/>
      <c r="AD987" s="324"/>
      <c r="AE987" s="324"/>
      <c r="AF987" s="324"/>
    </row>
    <row r="988" spans="3:32" s="294" customFormat="1">
      <c r="C988" s="10"/>
      <c r="D988" s="29"/>
      <c r="E988" s="29"/>
      <c r="F988" s="36"/>
      <c r="G988" s="324"/>
      <c r="H988" s="324"/>
      <c r="I988" s="324"/>
      <c r="J988" s="324"/>
      <c r="K988" s="324"/>
      <c r="L988" s="324"/>
      <c r="M988" s="324"/>
      <c r="N988" s="324"/>
      <c r="O988" s="324"/>
      <c r="P988" s="324"/>
      <c r="Q988" s="324"/>
      <c r="R988" s="324"/>
      <c r="S988" s="324"/>
      <c r="T988" s="324"/>
      <c r="U988" s="324"/>
      <c r="V988" s="324"/>
      <c r="W988" s="324"/>
      <c r="X988" s="324"/>
      <c r="Y988" s="324"/>
      <c r="Z988" s="324"/>
      <c r="AA988" s="324"/>
      <c r="AB988" s="324"/>
      <c r="AC988" s="324"/>
      <c r="AD988" s="324"/>
      <c r="AE988" s="324"/>
      <c r="AF988" s="324"/>
    </row>
    <row r="989" spans="3:32" s="294" customFormat="1">
      <c r="C989" s="10"/>
      <c r="D989" s="29"/>
      <c r="E989" s="29"/>
      <c r="F989" s="36"/>
      <c r="G989" s="324"/>
      <c r="H989" s="324"/>
      <c r="I989" s="324"/>
      <c r="J989" s="324"/>
      <c r="K989" s="324"/>
      <c r="L989" s="324"/>
      <c r="M989" s="324"/>
      <c r="N989" s="324"/>
      <c r="O989" s="324"/>
      <c r="P989" s="324"/>
      <c r="Q989" s="324"/>
      <c r="R989" s="324"/>
      <c r="S989" s="324"/>
      <c r="T989" s="324"/>
      <c r="U989" s="324"/>
      <c r="V989" s="324"/>
      <c r="W989" s="324"/>
      <c r="X989" s="324"/>
      <c r="Y989" s="324"/>
      <c r="Z989" s="324"/>
      <c r="AA989" s="324"/>
      <c r="AB989" s="324"/>
      <c r="AC989" s="324"/>
      <c r="AD989" s="324"/>
      <c r="AE989" s="324"/>
      <c r="AF989" s="324"/>
    </row>
    <row r="990" spans="3:32" s="294" customFormat="1">
      <c r="C990" s="10"/>
      <c r="D990" s="29"/>
      <c r="E990" s="29"/>
      <c r="F990" s="36"/>
      <c r="G990" s="324"/>
      <c r="H990" s="324"/>
      <c r="I990" s="324"/>
      <c r="J990" s="324"/>
      <c r="K990" s="324"/>
      <c r="L990" s="324"/>
      <c r="M990" s="324"/>
      <c r="N990" s="324"/>
      <c r="O990" s="324"/>
      <c r="P990" s="324"/>
      <c r="Q990" s="324"/>
      <c r="R990" s="324"/>
      <c r="S990" s="324"/>
      <c r="T990" s="324"/>
      <c r="U990" s="324"/>
      <c r="V990" s="324"/>
      <c r="W990" s="324"/>
      <c r="X990" s="324"/>
      <c r="Y990" s="324"/>
      <c r="Z990" s="324"/>
      <c r="AA990" s="324"/>
      <c r="AB990" s="324"/>
      <c r="AC990" s="324"/>
      <c r="AD990" s="324"/>
      <c r="AE990" s="324"/>
      <c r="AF990" s="324"/>
    </row>
    <row r="991" spans="3:32" s="294" customFormat="1">
      <c r="C991" s="10"/>
      <c r="D991" s="29"/>
      <c r="E991" s="29"/>
      <c r="F991" s="36"/>
      <c r="G991" s="324"/>
      <c r="H991" s="324"/>
      <c r="I991" s="324"/>
      <c r="J991" s="324"/>
      <c r="K991" s="324"/>
      <c r="L991" s="324"/>
      <c r="M991" s="324"/>
      <c r="N991" s="324"/>
      <c r="O991" s="324"/>
      <c r="P991" s="324"/>
      <c r="Q991" s="324"/>
      <c r="R991" s="324"/>
      <c r="S991" s="324"/>
      <c r="T991" s="324"/>
      <c r="U991" s="324"/>
      <c r="V991" s="324"/>
      <c r="W991" s="324"/>
      <c r="X991" s="324"/>
      <c r="Y991" s="324"/>
      <c r="Z991" s="324"/>
      <c r="AA991" s="324"/>
      <c r="AB991" s="324"/>
      <c r="AC991" s="324"/>
      <c r="AD991" s="324"/>
      <c r="AE991" s="324"/>
      <c r="AF991" s="324"/>
    </row>
    <row r="992" spans="3:32" s="294" customFormat="1">
      <c r="C992" s="10"/>
      <c r="D992" s="29"/>
      <c r="E992" s="29"/>
      <c r="F992" s="36"/>
      <c r="G992" s="324"/>
      <c r="H992" s="324"/>
      <c r="I992" s="324"/>
      <c r="J992" s="324"/>
      <c r="K992" s="324"/>
      <c r="L992" s="324"/>
      <c r="M992" s="324"/>
      <c r="N992" s="324"/>
      <c r="O992" s="324"/>
      <c r="P992" s="324"/>
      <c r="Q992" s="324"/>
      <c r="R992" s="324"/>
      <c r="S992" s="324"/>
      <c r="T992" s="324"/>
      <c r="U992" s="324"/>
      <c r="V992" s="324"/>
      <c r="W992" s="324"/>
      <c r="X992" s="324"/>
      <c r="Y992" s="324"/>
      <c r="Z992" s="324"/>
      <c r="AA992" s="324"/>
      <c r="AB992" s="324"/>
      <c r="AC992" s="324"/>
      <c r="AD992" s="324"/>
      <c r="AE992" s="324"/>
      <c r="AF992" s="324"/>
    </row>
    <row r="993" spans="3:32" s="294" customFormat="1">
      <c r="C993" s="10"/>
      <c r="D993" s="29"/>
      <c r="E993" s="29"/>
      <c r="F993" s="36"/>
      <c r="G993" s="324"/>
      <c r="H993" s="324"/>
      <c r="I993" s="324"/>
      <c r="J993" s="324"/>
      <c r="K993" s="324"/>
      <c r="L993" s="324"/>
      <c r="M993" s="324"/>
      <c r="N993" s="324"/>
      <c r="O993" s="324"/>
      <c r="P993" s="324"/>
      <c r="Q993" s="324"/>
      <c r="R993" s="324"/>
      <c r="S993" s="324"/>
      <c r="T993" s="324"/>
      <c r="U993" s="324"/>
      <c r="V993" s="324"/>
      <c r="W993" s="324"/>
      <c r="X993" s="324"/>
      <c r="Y993" s="324"/>
      <c r="Z993" s="324"/>
      <c r="AA993" s="324"/>
      <c r="AB993" s="324"/>
      <c r="AC993" s="324"/>
      <c r="AD993" s="324"/>
      <c r="AE993" s="324"/>
      <c r="AF993" s="324"/>
    </row>
    <row r="994" spans="3:32" s="294" customFormat="1">
      <c r="C994" s="10"/>
      <c r="D994" s="29"/>
      <c r="E994" s="29"/>
      <c r="F994" s="36"/>
      <c r="G994" s="324"/>
      <c r="H994" s="324"/>
      <c r="I994" s="324"/>
      <c r="J994" s="324"/>
      <c r="K994" s="324"/>
      <c r="L994" s="324"/>
      <c r="M994" s="324"/>
      <c r="N994" s="324"/>
      <c r="O994" s="324"/>
      <c r="P994" s="324"/>
      <c r="Q994" s="324"/>
      <c r="R994" s="324"/>
      <c r="S994" s="324"/>
      <c r="T994" s="324"/>
      <c r="U994" s="324"/>
      <c r="V994" s="324"/>
      <c r="W994" s="324"/>
      <c r="X994" s="324"/>
      <c r="Y994" s="324"/>
      <c r="Z994" s="324"/>
      <c r="AA994" s="324"/>
      <c r="AB994" s="324"/>
      <c r="AC994" s="324"/>
      <c r="AD994" s="324"/>
      <c r="AE994" s="324"/>
      <c r="AF994" s="324"/>
    </row>
    <row r="995" spans="3:32" s="294" customFormat="1">
      <c r="C995" s="10"/>
      <c r="D995" s="29"/>
      <c r="E995" s="29"/>
      <c r="F995" s="36"/>
      <c r="G995" s="324"/>
      <c r="H995" s="324"/>
      <c r="I995" s="324"/>
      <c r="J995" s="324"/>
      <c r="K995" s="324"/>
      <c r="L995" s="324"/>
      <c r="M995" s="324"/>
      <c r="N995" s="324"/>
      <c r="O995" s="324"/>
      <c r="P995" s="324"/>
      <c r="Q995" s="324"/>
      <c r="R995" s="324"/>
      <c r="S995" s="324"/>
      <c r="T995" s="324"/>
      <c r="U995" s="324"/>
      <c r="V995" s="324"/>
      <c r="W995" s="324"/>
      <c r="X995" s="324"/>
      <c r="Y995" s="324"/>
      <c r="Z995" s="324"/>
      <c r="AA995" s="324"/>
      <c r="AB995" s="324"/>
      <c r="AC995" s="324"/>
      <c r="AD995" s="324"/>
      <c r="AE995" s="324"/>
      <c r="AF995" s="324"/>
    </row>
    <row r="996" spans="3:32" s="294" customFormat="1">
      <c r="C996" s="10"/>
      <c r="D996" s="29"/>
      <c r="E996" s="29"/>
      <c r="F996" s="36"/>
      <c r="G996" s="324"/>
      <c r="H996" s="324"/>
      <c r="I996" s="324"/>
      <c r="J996" s="324"/>
      <c r="K996" s="324"/>
      <c r="L996" s="324"/>
      <c r="M996" s="324"/>
      <c r="N996" s="324"/>
      <c r="O996" s="324"/>
      <c r="P996" s="324"/>
      <c r="Q996" s="324"/>
      <c r="R996" s="324"/>
      <c r="S996" s="324"/>
      <c r="T996" s="324"/>
      <c r="U996" s="324"/>
      <c r="V996" s="324"/>
      <c r="W996" s="324"/>
      <c r="X996" s="324"/>
      <c r="Y996" s="324"/>
      <c r="Z996" s="324"/>
      <c r="AA996" s="324"/>
      <c r="AB996" s="324"/>
      <c r="AC996" s="324"/>
      <c r="AD996" s="324"/>
      <c r="AE996" s="324"/>
      <c r="AF996" s="324"/>
    </row>
    <row r="997" spans="3:32" s="294" customFormat="1">
      <c r="C997" s="10"/>
      <c r="D997" s="29"/>
      <c r="E997" s="29"/>
      <c r="F997" s="36"/>
      <c r="G997" s="324"/>
      <c r="H997" s="324"/>
      <c r="I997" s="324"/>
      <c r="J997" s="324"/>
      <c r="K997" s="324"/>
      <c r="L997" s="324"/>
      <c r="M997" s="324"/>
      <c r="N997" s="324"/>
      <c r="O997" s="324"/>
      <c r="P997" s="324"/>
      <c r="Q997" s="324"/>
      <c r="R997" s="324"/>
      <c r="S997" s="324"/>
      <c r="T997" s="324"/>
      <c r="U997" s="324"/>
      <c r="V997" s="324"/>
      <c r="W997" s="324"/>
      <c r="X997" s="324"/>
      <c r="Y997" s="324"/>
      <c r="Z997" s="324"/>
      <c r="AA997" s="324"/>
      <c r="AB997" s="324"/>
      <c r="AC997" s="324"/>
      <c r="AD997" s="324"/>
      <c r="AE997" s="324"/>
      <c r="AF997" s="324"/>
    </row>
    <row r="998" spans="3:32" s="294" customFormat="1">
      <c r="C998" s="10"/>
      <c r="D998" s="29"/>
      <c r="E998" s="29"/>
      <c r="F998" s="36"/>
      <c r="G998" s="324"/>
      <c r="H998" s="324"/>
      <c r="I998" s="324"/>
      <c r="J998" s="324"/>
      <c r="K998" s="324"/>
      <c r="L998" s="324"/>
      <c r="M998" s="324"/>
      <c r="N998" s="324"/>
      <c r="O998" s="324"/>
      <c r="P998" s="324"/>
      <c r="Q998" s="324"/>
      <c r="R998" s="324"/>
      <c r="S998" s="324"/>
      <c r="T998" s="324"/>
      <c r="U998" s="324"/>
      <c r="V998" s="324"/>
      <c r="W998" s="324"/>
      <c r="X998" s="324"/>
      <c r="Y998" s="324"/>
      <c r="Z998" s="324"/>
      <c r="AA998" s="324"/>
      <c r="AB998" s="324"/>
      <c r="AC998" s="324"/>
      <c r="AD998" s="324"/>
      <c r="AE998" s="324"/>
      <c r="AF998" s="324"/>
    </row>
    <row r="999" spans="3:32" s="294" customFormat="1">
      <c r="C999" s="10"/>
      <c r="D999" s="29"/>
      <c r="E999" s="29"/>
      <c r="F999" s="36"/>
      <c r="G999" s="324"/>
      <c r="H999" s="324"/>
      <c r="I999" s="324"/>
      <c r="J999" s="324"/>
      <c r="K999" s="324"/>
      <c r="L999" s="324"/>
      <c r="M999" s="324"/>
      <c r="N999" s="324"/>
      <c r="O999" s="324"/>
      <c r="P999" s="324"/>
      <c r="Q999" s="324"/>
      <c r="R999" s="324"/>
      <c r="S999" s="324"/>
      <c r="T999" s="324"/>
      <c r="U999" s="324"/>
      <c r="V999" s="324"/>
      <c r="W999" s="324"/>
      <c r="X999" s="324"/>
      <c r="Y999" s="324"/>
      <c r="Z999" s="324"/>
      <c r="AA999" s="324"/>
      <c r="AB999" s="324"/>
      <c r="AC999" s="324"/>
      <c r="AD999" s="324"/>
      <c r="AE999" s="324"/>
      <c r="AF999" s="324"/>
    </row>
    <row r="1000" spans="3:32" s="294" customFormat="1">
      <c r="C1000" s="10"/>
      <c r="D1000" s="29"/>
      <c r="E1000" s="29"/>
      <c r="F1000" s="36"/>
      <c r="G1000" s="324"/>
      <c r="H1000" s="324"/>
      <c r="I1000" s="324"/>
      <c r="J1000" s="324"/>
      <c r="K1000" s="324"/>
      <c r="L1000" s="324"/>
      <c r="M1000" s="324"/>
      <c r="N1000" s="324"/>
      <c r="O1000" s="324"/>
      <c r="P1000" s="324"/>
      <c r="Q1000" s="324"/>
      <c r="R1000" s="324"/>
      <c r="S1000" s="324"/>
      <c r="T1000" s="324"/>
      <c r="U1000" s="324"/>
      <c r="V1000" s="324"/>
      <c r="W1000" s="324"/>
      <c r="X1000" s="324"/>
      <c r="Y1000" s="324"/>
      <c r="Z1000" s="324"/>
      <c r="AA1000" s="324"/>
      <c r="AB1000" s="324"/>
      <c r="AC1000" s="324"/>
      <c r="AD1000" s="324"/>
      <c r="AE1000" s="324"/>
      <c r="AF1000" s="324"/>
    </row>
    <row r="1001" spans="3:32" s="294" customFormat="1">
      <c r="C1001" s="10"/>
      <c r="D1001" s="29"/>
      <c r="E1001" s="29"/>
      <c r="F1001" s="36"/>
      <c r="G1001" s="324"/>
      <c r="H1001" s="324"/>
      <c r="I1001" s="324"/>
      <c r="J1001" s="324"/>
      <c r="K1001" s="324"/>
      <c r="L1001" s="324"/>
      <c r="M1001" s="324"/>
      <c r="N1001" s="324"/>
      <c r="O1001" s="324"/>
      <c r="P1001" s="324"/>
      <c r="Q1001" s="324"/>
      <c r="R1001" s="324"/>
      <c r="S1001" s="324"/>
      <c r="T1001" s="324"/>
      <c r="U1001" s="324"/>
      <c r="V1001" s="324"/>
      <c r="W1001" s="324"/>
      <c r="X1001" s="324"/>
      <c r="Y1001" s="324"/>
      <c r="Z1001" s="324"/>
      <c r="AA1001" s="324"/>
      <c r="AB1001" s="324"/>
      <c r="AC1001" s="324"/>
      <c r="AD1001" s="324"/>
      <c r="AE1001" s="324"/>
      <c r="AF1001" s="324"/>
    </row>
    <row r="1002" spans="3:32" s="294" customFormat="1">
      <c r="C1002" s="10"/>
      <c r="D1002" s="29"/>
      <c r="E1002" s="29"/>
      <c r="F1002" s="36"/>
      <c r="G1002" s="324"/>
      <c r="H1002" s="324"/>
      <c r="I1002" s="324"/>
      <c r="J1002" s="324"/>
      <c r="K1002" s="324"/>
      <c r="L1002" s="324"/>
      <c r="M1002" s="324"/>
      <c r="N1002" s="324"/>
      <c r="O1002" s="324"/>
      <c r="P1002" s="324"/>
      <c r="Q1002" s="324"/>
      <c r="R1002" s="324"/>
      <c r="S1002" s="324"/>
      <c r="T1002" s="324"/>
      <c r="U1002" s="324"/>
      <c r="V1002" s="324"/>
      <c r="W1002" s="324"/>
      <c r="X1002" s="324"/>
      <c r="Y1002" s="324"/>
      <c r="Z1002" s="324"/>
      <c r="AA1002" s="324"/>
      <c r="AB1002" s="324"/>
      <c r="AC1002" s="324"/>
      <c r="AD1002" s="324"/>
      <c r="AE1002" s="324"/>
      <c r="AF1002" s="324"/>
    </row>
    <row r="1003" spans="3:32" s="294" customFormat="1">
      <c r="C1003" s="10"/>
      <c r="D1003" s="29"/>
      <c r="E1003" s="29"/>
      <c r="F1003" s="36"/>
      <c r="G1003" s="324"/>
      <c r="H1003" s="324"/>
      <c r="I1003" s="324"/>
      <c r="J1003" s="324"/>
      <c r="K1003" s="324"/>
      <c r="L1003" s="324"/>
      <c r="M1003" s="324"/>
      <c r="N1003" s="324"/>
      <c r="O1003" s="324"/>
      <c r="P1003" s="324"/>
      <c r="Q1003" s="324"/>
      <c r="R1003" s="324"/>
      <c r="S1003" s="324"/>
      <c r="T1003" s="324"/>
      <c r="U1003" s="324"/>
      <c r="V1003" s="324"/>
      <c r="W1003" s="324"/>
      <c r="X1003" s="324"/>
      <c r="Y1003" s="324"/>
      <c r="Z1003" s="324"/>
      <c r="AA1003" s="324"/>
      <c r="AB1003" s="324"/>
      <c r="AC1003" s="324"/>
      <c r="AD1003" s="324"/>
      <c r="AE1003" s="324"/>
      <c r="AF1003" s="324"/>
    </row>
    <row r="1004" spans="3:32" s="294" customFormat="1">
      <c r="C1004" s="10"/>
      <c r="D1004" s="29"/>
      <c r="E1004" s="29"/>
      <c r="F1004" s="36"/>
      <c r="G1004" s="324"/>
      <c r="H1004" s="324"/>
      <c r="I1004" s="324"/>
      <c r="J1004" s="324"/>
      <c r="K1004" s="324"/>
      <c r="L1004" s="324"/>
      <c r="M1004" s="324"/>
      <c r="N1004" s="324"/>
      <c r="O1004" s="324"/>
      <c r="P1004" s="324"/>
      <c r="Q1004" s="324"/>
      <c r="R1004" s="324"/>
      <c r="S1004" s="324"/>
      <c r="T1004" s="324"/>
      <c r="U1004" s="324"/>
      <c r="V1004" s="324"/>
      <c r="W1004" s="324"/>
      <c r="X1004" s="324"/>
      <c r="Y1004" s="324"/>
      <c r="Z1004" s="324"/>
      <c r="AA1004" s="324"/>
      <c r="AB1004" s="324"/>
      <c r="AC1004" s="324"/>
      <c r="AD1004" s="324"/>
      <c r="AE1004" s="324"/>
      <c r="AF1004" s="324"/>
    </row>
    <row r="1005" spans="3:32" s="294" customFormat="1">
      <c r="C1005" s="10"/>
      <c r="D1005" s="29"/>
      <c r="E1005" s="29"/>
      <c r="F1005" s="36"/>
      <c r="G1005" s="324"/>
      <c r="H1005" s="324"/>
      <c r="I1005" s="324"/>
      <c r="J1005" s="324"/>
      <c r="K1005" s="324"/>
      <c r="L1005" s="324"/>
      <c r="M1005" s="324"/>
      <c r="N1005" s="324"/>
      <c r="O1005" s="324"/>
      <c r="P1005" s="324"/>
      <c r="Q1005" s="324"/>
      <c r="R1005" s="324"/>
      <c r="S1005" s="324"/>
      <c r="T1005" s="324"/>
      <c r="U1005" s="324"/>
      <c r="V1005" s="324"/>
      <c r="W1005" s="324"/>
      <c r="X1005" s="324"/>
      <c r="Y1005" s="324"/>
      <c r="Z1005" s="324"/>
      <c r="AA1005" s="324"/>
      <c r="AB1005" s="324"/>
      <c r="AC1005" s="324"/>
      <c r="AD1005" s="324"/>
      <c r="AE1005" s="324"/>
      <c r="AF1005" s="324"/>
    </row>
    <row r="1006" spans="3:32" s="294" customFormat="1">
      <c r="C1006" s="10"/>
      <c r="D1006" s="29"/>
      <c r="E1006" s="29"/>
      <c r="F1006" s="36"/>
      <c r="G1006" s="324"/>
      <c r="H1006" s="324"/>
      <c r="I1006" s="324"/>
      <c r="J1006" s="324"/>
      <c r="K1006" s="324"/>
      <c r="L1006" s="324"/>
      <c r="M1006" s="324"/>
      <c r="N1006" s="324"/>
      <c r="O1006" s="324"/>
      <c r="P1006" s="324"/>
      <c r="Q1006" s="324"/>
      <c r="R1006" s="324"/>
      <c r="S1006" s="324"/>
      <c r="T1006" s="324"/>
      <c r="U1006" s="324"/>
      <c r="V1006" s="324"/>
      <c r="W1006" s="324"/>
      <c r="X1006" s="324"/>
      <c r="Y1006" s="324"/>
      <c r="Z1006" s="324"/>
      <c r="AA1006" s="324"/>
      <c r="AB1006" s="324"/>
      <c r="AC1006" s="324"/>
      <c r="AD1006" s="324"/>
      <c r="AE1006" s="324"/>
      <c r="AF1006" s="324"/>
    </row>
    <row r="1007" spans="3:32" s="294" customFormat="1">
      <c r="C1007" s="10"/>
      <c r="D1007" s="29"/>
      <c r="E1007" s="29"/>
      <c r="F1007" s="36"/>
      <c r="G1007" s="324"/>
      <c r="H1007" s="324"/>
      <c r="I1007" s="324"/>
      <c r="J1007" s="324"/>
      <c r="K1007" s="324"/>
      <c r="L1007" s="324"/>
      <c r="M1007" s="324"/>
      <c r="N1007" s="324"/>
      <c r="O1007" s="324"/>
      <c r="P1007" s="324"/>
      <c r="Q1007" s="324"/>
      <c r="R1007" s="324"/>
      <c r="S1007" s="324"/>
      <c r="T1007" s="324"/>
      <c r="U1007" s="324"/>
      <c r="V1007" s="324"/>
      <c r="W1007" s="324"/>
      <c r="X1007" s="324"/>
      <c r="Y1007" s="324"/>
      <c r="Z1007" s="324"/>
      <c r="AA1007" s="324"/>
      <c r="AB1007" s="324"/>
      <c r="AC1007" s="324"/>
      <c r="AD1007" s="324"/>
      <c r="AE1007" s="324"/>
      <c r="AF1007" s="324"/>
    </row>
    <row r="1008" spans="3:32" s="294" customFormat="1">
      <c r="C1008" s="10"/>
      <c r="D1008" s="29"/>
      <c r="E1008" s="29"/>
      <c r="F1008" s="36"/>
      <c r="G1008" s="324"/>
      <c r="H1008" s="324"/>
      <c r="I1008" s="324"/>
      <c r="J1008" s="324"/>
      <c r="K1008" s="324"/>
      <c r="L1008" s="324"/>
      <c r="M1008" s="324"/>
      <c r="N1008" s="324"/>
      <c r="O1008" s="324"/>
      <c r="P1008" s="324"/>
      <c r="Q1008" s="324"/>
      <c r="R1008" s="324"/>
      <c r="S1008" s="324"/>
      <c r="T1008" s="324"/>
      <c r="U1008" s="324"/>
      <c r="V1008" s="324"/>
      <c r="W1008" s="324"/>
      <c r="X1008" s="324"/>
      <c r="Y1008" s="324"/>
      <c r="Z1008" s="324"/>
      <c r="AA1008" s="324"/>
      <c r="AB1008" s="324"/>
      <c r="AC1008" s="324"/>
      <c r="AD1008" s="324"/>
      <c r="AE1008" s="324"/>
      <c r="AF1008" s="324"/>
    </row>
    <row r="1009" spans="3:32" s="294" customFormat="1">
      <c r="C1009" s="10"/>
      <c r="D1009" s="29"/>
      <c r="E1009" s="29"/>
      <c r="F1009" s="36"/>
      <c r="G1009" s="324"/>
      <c r="H1009" s="324"/>
      <c r="I1009" s="324"/>
      <c r="J1009" s="324"/>
      <c r="K1009" s="324"/>
      <c r="L1009" s="324"/>
      <c r="M1009" s="324"/>
      <c r="N1009" s="324"/>
      <c r="O1009" s="324"/>
      <c r="P1009" s="324"/>
      <c r="Q1009" s="324"/>
      <c r="R1009" s="324"/>
      <c r="S1009" s="324"/>
      <c r="T1009" s="324"/>
      <c r="U1009" s="324"/>
      <c r="V1009" s="324"/>
      <c r="W1009" s="324"/>
      <c r="X1009" s="324"/>
      <c r="Y1009" s="324"/>
      <c r="Z1009" s="324"/>
      <c r="AA1009" s="324"/>
      <c r="AB1009" s="324"/>
      <c r="AC1009" s="324"/>
      <c r="AD1009" s="324"/>
      <c r="AE1009" s="324"/>
      <c r="AF1009" s="324"/>
    </row>
    <row r="1010" spans="3:32" s="294" customFormat="1">
      <c r="C1010" s="10"/>
      <c r="D1010" s="29"/>
      <c r="E1010" s="29"/>
      <c r="F1010" s="36"/>
      <c r="G1010" s="324"/>
      <c r="H1010" s="324"/>
      <c r="I1010" s="324"/>
      <c r="J1010" s="324"/>
      <c r="K1010" s="324"/>
      <c r="L1010" s="324"/>
      <c r="M1010" s="324"/>
      <c r="N1010" s="324"/>
      <c r="O1010" s="324"/>
      <c r="P1010" s="324"/>
      <c r="Q1010" s="324"/>
      <c r="R1010" s="324"/>
      <c r="S1010" s="324"/>
      <c r="T1010" s="324"/>
      <c r="U1010" s="324"/>
      <c r="V1010" s="324"/>
      <c r="W1010" s="324"/>
      <c r="X1010" s="324"/>
      <c r="Y1010" s="324"/>
      <c r="Z1010" s="324"/>
      <c r="AA1010" s="324"/>
      <c r="AB1010" s="324"/>
      <c r="AC1010" s="324"/>
      <c r="AD1010" s="324"/>
      <c r="AE1010" s="324"/>
      <c r="AF1010" s="324"/>
    </row>
    <row r="1011" spans="3:32" s="294" customFormat="1">
      <c r="C1011" s="10"/>
      <c r="D1011" s="29"/>
      <c r="E1011" s="29"/>
      <c r="F1011" s="36"/>
      <c r="G1011" s="324"/>
      <c r="H1011" s="324"/>
      <c r="I1011" s="324"/>
      <c r="J1011" s="324"/>
      <c r="K1011" s="324"/>
      <c r="L1011" s="324"/>
      <c r="M1011" s="324"/>
      <c r="N1011" s="324"/>
      <c r="O1011" s="324"/>
      <c r="P1011" s="324"/>
      <c r="Q1011" s="324"/>
      <c r="R1011" s="324"/>
      <c r="S1011" s="324"/>
      <c r="T1011" s="324"/>
      <c r="U1011" s="324"/>
      <c r="V1011" s="324"/>
      <c r="W1011" s="324"/>
      <c r="X1011" s="324"/>
      <c r="Y1011" s="324"/>
      <c r="Z1011" s="324"/>
      <c r="AA1011" s="324"/>
      <c r="AB1011" s="324"/>
      <c r="AC1011" s="324"/>
      <c r="AD1011" s="324"/>
      <c r="AE1011" s="324"/>
      <c r="AF1011" s="324"/>
    </row>
    <row r="1012" spans="3:32" s="294" customFormat="1">
      <c r="C1012" s="10"/>
      <c r="D1012" s="29"/>
      <c r="E1012" s="29"/>
      <c r="F1012" s="36"/>
      <c r="G1012" s="324"/>
      <c r="H1012" s="324"/>
      <c r="I1012" s="324"/>
      <c r="J1012" s="324"/>
      <c r="K1012" s="324"/>
      <c r="L1012" s="324"/>
      <c r="M1012" s="324"/>
      <c r="N1012" s="324"/>
      <c r="O1012" s="324"/>
      <c r="P1012" s="324"/>
      <c r="Q1012" s="324"/>
      <c r="R1012" s="324"/>
      <c r="S1012" s="324"/>
      <c r="T1012" s="324"/>
      <c r="U1012" s="324"/>
      <c r="V1012" s="324"/>
      <c r="W1012" s="324"/>
      <c r="X1012" s="324"/>
      <c r="Y1012" s="324"/>
      <c r="Z1012" s="324"/>
      <c r="AA1012" s="324"/>
      <c r="AB1012" s="324"/>
      <c r="AC1012" s="324"/>
      <c r="AD1012" s="324"/>
      <c r="AE1012" s="324"/>
      <c r="AF1012" s="324"/>
    </row>
    <row r="1013" spans="3:32" s="294" customFormat="1">
      <c r="C1013" s="10"/>
      <c r="D1013" s="29"/>
      <c r="E1013" s="29"/>
      <c r="F1013" s="36"/>
      <c r="G1013" s="324"/>
      <c r="H1013" s="324"/>
      <c r="I1013" s="324"/>
      <c r="J1013" s="324"/>
      <c r="K1013" s="324"/>
      <c r="L1013" s="324"/>
      <c r="M1013" s="324"/>
      <c r="N1013" s="324"/>
      <c r="O1013" s="324"/>
      <c r="P1013" s="324"/>
      <c r="Q1013" s="324"/>
      <c r="R1013" s="324"/>
      <c r="S1013" s="324"/>
      <c r="T1013" s="324"/>
      <c r="U1013" s="324"/>
      <c r="V1013" s="324"/>
      <c r="W1013" s="324"/>
      <c r="X1013" s="324"/>
      <c r="Y1013" s="324"/>
      <c r="Z1013" s="324"/>
      <c r="AA1013" s="324"/>
      <c r="AB1013" s="324"/>
      <c r="AC1013" s="324"/>
      <c r="AD1013" s="324"/>
      <c r="AE1013" s="324"/>
      <c r="AF1013" s="324"/>
    </row>
    <row r="1014" spans="3:32" s="294" customFormat="1">
      <c r="C1014" s="10"/>
      <c r="D1014" s="29"/>
      <c r="E1014" s="29"/>
      <c r="F1014" s="36"/>
      <c r="G1014" s="324"/>
      <c r="H1014" s="324"/>
      <c r="I1014" s="324"/>
      <c r="J1014" s="324"/>
      <c r="K1014" s="324"/>
      <c r="L1014" s="324"/>
      <c r="M1014" s="324"/>
      <c r="N1014" s="324"/>
      <c r="O1014" s="324"/>
      <c r="P1014" s="324"/>
      <c r="Q1014" s="324"/>
      <c r="R1014" s="324"/>
      <c r="S1014" s="324"/>
      <c r="T1014" s="324"/>
      <c r="U1014" s="324"/>
      <c r="V1014" s="324"/>
      <c r="W1014" s="324"/>
      <c r="X1014" s="324"/>
      <c r="Y1014" s="324"/>
      <c r="Z1014" s="324"/>
      <c r="AA1014" s="324"/>
      <c r="AB1014" s="324"/>
      <c r="AC1014" s="324"/>
      <c r="AD1014" s="324"/>
      <c r="AE1014" s="324"/>
      <c r="AF1014" s="324"/>
    </row>
    <row r="1015" spans="3:32" s="294" customFormat="1">
      <c r="C1015" s="10"/>
      <c r="D1015" s="29"/>
      <c r="E1015" s="29"/>
      <c r="F1015" s="36"/>
      <c r="G1015" s="324"/>
      <c r="H1015" s="324"/>
      <c r="I1015" s="324"/>
      <c r="J1015" s="324"/>
      <c r="K1015" s="324"/>
      <c r="L1015" s="324"/>
      <c r="M1015" s="324"/>
      <c r="N1015" s="324"/>
      <c r="O1015" s="324"/>
      <c r="P1015" s="324"/>
      <c r="Q1015" s="324"/>
      <c r="R1015" s="324"/>
      <c r="S1015" s="324"/>
      <c r="T1015" s="324"/>
      <c r="U1015" s="324"/>
      <c r="V1015" s="324"/>
      <c r="W1015" s="324"/>
      <c r="X1015" s="324"/>
      <c r="Y1015" s="324"/>
      <c r="Z1015" s="324"/>
      <c r="AA1015" s="324"/>
      <c r="AB1015" s="324"/>
      <c r="AC1015" s="324"/>
      <c r="AD1015" s="324"/>
      <c r="AE1015" s="324"/>
      <c r="AF1015" s="324"/>
    </row>
    <row r="1016" spans="3:32" s="294" customFormat="1">
      <c r="C1016" s="10"/>
      <c r="D1016" s="29"/>
      <c r="E1016" s="29"/>
      <c r="F1016" s="36"/>
      <c r="G1016" s="324"/>
      <c r="H1016" s="324"/>
      <c r="I1016" s="324"/>
      <c r="J1016" s="324"/>
      <c r="K1016" s="324"/>
      <c r="L1016" s="324"/>
      <c r="M1016" s="324"/>
      <c r="N1016" s="324"/>
      <c r="O1016" s="324"/>
      <c r="P1016" s="324"/>
      <c r="Q1016" s="324"/>
      <c r="R1016" s="324"/>
      <c r="S1016" s="324"/>
      <c r="T1016" s="324"/>
      <c r="U1016" s="324"/>
      <c r="V1016" s="324"/>
      <c r="W1016" s="324"/>
      <c r="X1016" s="324"/>
      <c r="Y1016" s="324"/>
      <c r="Z1016" s="324"/>
      <c r="AA1016" s="324"/>
      <c r="AB1016" s="324"/>
      <c r="AC1016" s="324"/>
      <c r="AD1016" s="324"/>
      <c r="AE1016" s="324"/>
      <c r="AF1016" s="324"/>
    </row>
    <row r="1017" spans="3:32" s="294" customFormat="1">
      <c r="C1017" s="10"/>
      <c r="D1017" s="29"/>
      <c r="E1017" s="29"/>
      <c r="F1017" s="36"/>
      <c r="G1017" s="324"/>
      <c r="H1017" s="324"/>
      <c r="I1017" s="324"/>
      <c r="J1017" s="324"/>
      <c r="K1017" s="324"/>
      <c r="L1017" s="324"/>
      <c r="M1017" s="324"/>
      <c r="N1017" s="324"/>
      <c r="O1017" s="324"/>
      <c r="P1017" s="324"/>
      <c r="Q1017" s="324"/>
      <c r="R1017" s="324"/>
      <c r="S1017" s="324"/>
      <c r="T1017" s="324"/>
      <c r="U1017" s="324"/>
      <c r="V1017" s="324"/>
      <c r="W1017" s="324"/>
      <c r="X1017" s="324"/>
      <c r="Y1017" s="324"/>
      <c r="Z1017" s="324"/>
      <c r="AA1017" s="324"/>
      <c r="AB1017" s="324"/>
      <c r="AC1017" s="324"/>
      <c r="AD1017" s="324"/>
      <c r="AE1017" s="324"/>
      <c r="AF1017" s="324"/>
    </row>
    <row r="1018" spans="3:32" s="294" customFormat="1">
      <c r="C1018" s="10"/>
      <c r="D1018" s="29"/>
      <c r="E1018" s="29"/>
      <c r="F1018" s="36"/>
      <c r="G1018" s="324"/>
      <c r="H1018" s="324"/>
      <c r="I1018" s="324"/>
      <c r="J1018" s="324"/>
      <c r="K1018" s="324"/>
      <c r="L1018" s="324"/>
      <c r="M1018" s="324"/>
      <c r="N1018" s="324"/>
      <c r="O1018" s="324"/>
      <c r="P1018" s="324"/>
      <c r="Q1018" s="324"/>
      <c r="R1018" s="324"/>
      <c r="S1018" s="324"/>
      <c r="T1018" s="324"/>
      <c r="U1018" s="324"/>
      <c r="V1018" s="324"/>
      <c r="W1018" s="324"/>
      <c r="X1018" s="324"/>
      <c r="Y1018" s="324"/>
      <c r="Z1018" s="324"/>
      <c r="AA1018" s="324"/>
      <c r="AB1018" s="324"/>
      <c r="AC1018" s="324"/>
      <c r="AD1018" s="324"/>
      <c r="AE1018" s="324"/>
      <c r="AF1018" s="324"/>
    </row>
    <row r="1019" spans="3:32" s="294" customFormat="1">
      <c r="C1019" s="10"/>
      <c r="D1019" s="29"/>
      <c r="E1019" s="29"/>
      <c r="F1019" s="36"/>
      <c r="G1019" s="324"/>
      <c r="H1019" s="324"/>
      <c r="I1019" s="324"/>
      <c r="J1019" s="324"/>
      <c r="K1019" s="324"/>
      <c r="L1019" s="324"/>
      <c r="M1019" s="324"/>
      <c r="N1019" s="324"/>
      <c r="O1019" s="324"/>
      <c r="P1019" s="324"/>
      <c r="Q1019" s="324"/>
      <c r="R1019" s="324"/>
      <c r="S1019" s="324"/>
      <c r="T1019" s="324"/>
      <c r="U1019" s="324"/>
      <c r="V1019" s="324"/>
      <c r="W1019" s="324"/>
      <c r="X1019" s="324"/>
      <c r="Y1019" s="324"/>
      <c r="Z1019" s="324"/>
      <c r="AA1019" s="324"/>
      <c r="AB1019" s="324"/>
      <c r="AC1019" s="324"/>
      <c r="AD1019" s="324"/>
      <c r="AE1019" s="324"/>
      <c r="AF1019" s="324"/>
    </row>
    <row r="1020" spans="3:32" s="294" customFormat="1">
      <c r="C1020" s="10"/>
      <c r="D1020" s="29"/>
      <c r="E1020" s="29"/>
      <c r="F1020" s="36"/>
      <c r="G1020" s="324"/>
      <c r="H1020" s="324"/>
      <c r="I1020" s="324"/>
      <c r="J1020" s="324"/>
      <c r="K1020" s="324"/>
      <c r="L1020" s="324"/>
      <c r="M1020" s="324"/>
      <c r="N1020" s="324"/>
      <c r="O1020" s="324"/>
      <c r="P1020" s="324"/>
      <c r="Q1020" s="324"/>
      <c r="R1020" s="324"/>
      <c r="S1020" s="324"/>
      <c r="T1020" s="324"/>
      <c r="U1020" s="324"/>
      <c r="V1020" s="324"/>
      <c r="W1020" s="324"/>
      <c r="X1020" s="324"/>
      <c r="Y1020" s="324"/>
      <c r="Z1020" s="324"/>
      <c r="AA1020" s="324"/>
      <c r="AB1020" s="324"/>
      <c r="AC1020" s="324"/>
      <c r="AD1020" s="324"/>
      <c r="AE1020" s="324"/>
      <c r="AF1020" s="324"/>
    </row>
    <row r="1021" spans="3:32" s="294" customFormat="1">
      <c r="C1021" s="10"/>
      <c r="D1021" s="29"/>
      <c r="E1021" s="29"/>
      <c r="F1021" s="36"/>
      <c r="G1021" s="324"/>
      <c r="H1021" s="324"/>
      <c r="I1021" s="324"/>
      <c r="J1021" s="324"/>
      <c r="K1021" s="324"/>
      <c r="L1021" s="324"/>
      <c r="M1021" s="324"/>
      <c r="N1021" s="324"/>
      <c r="O1021" s="324"/>
      <c r="P1021" s="324"/>
      <c r="Q1021" s="324"/>
      <c r="R1021" s="324"/>
      <c r="S1021" s="324"/>
      <c r="T1021" s="324"/>
      <c r="U1021" s="324"/>
      <c r="V1021" s="324"/>
      <c r="W1021" s="324"/>
      <c r="X1021" s="324"/>
      <c r="Y1021" s="324"/>
      <c r="Z1021" s="324"/>
      <c r="AA1021" s="324"/>
      <c r="AB1021" s="324"/>
      <c r="AC1021" s="324"/>
      <c r="AD1021" s="324"/>
      <c r="AE1021" s="324"/>
      <c r="AF1021" s="324"/>
    </row>
    <row r="1022" spans="3:32" s="294" customFormat="1">
      <c r="C1022" s="10"/>
      <c r="D1022" s="29"/>
      <c r="E1022" s="29"/>
      <c r="F1022" s="36"/>
      <c r="G1022" s="324"/>
      <c r="H1022" s="324"/>
      <c r="I1022" s="324"/>
      <c r="J1022" s="324"/>
      <c r="K1022" s="324"/>
      <c r="L1022" s="324"/>
      <c r="M1022" s="324"/>
      <c r="N1022" s="324"/>
      <c r="O1022" s="324"/>
      <c r="P1022" s="324"/>
      <c r="Q1022" s="324"/>
      <c r="R1022" s="324"/>
      <c r="S1022" s="324"/>
      <c r="T1022" s="324"/>
      <c r="U1022" s="324"/>
      <c r="V1022" s="324"/>
      <c r="W1022" s="324"/>
      <c r="X1022" s="324"/>
      <c r="Y1022" s="324"/>
      <c r="Z1022" s="324"/>
      <c r="AA1022" s="324"/>
      <c r="AB1022" s="324"/>
      <c r="AC1022" s="324"/>
      <c r="AD1022" s="324"/>
      <c r="AE1022" s="324"/>
      <c r="AF1022" s="324"/>
    </row>
    <row r="1023" spans="3:32" s="294" customFormat="1">
      <c r="C1023" s="10"/>
      <c r="D1023" s="29"/>
      <c r="E1023" s="29"/>
      <c r="F1023" s="36"/>
      <c r="G1023" s="324"/>
      <c r="H1023" s="324"/>
      <c r="I1023" s="324"/>
      <c r="J1023" s="324"/>
      <c r="K1023" s="324"/>
      <c r="L1023" s="324"/>
      <c r="M1023" s="324"/>
      <c r="N1023" s="324"/>
      <c r="O1023" s="324"/>
      <c r="P1023" s="324"/>
      <c r="Q1023" s="324"/>
      <c r="R1023" s="324"/>
      <c r="S1023" s="324"/>
      <c r="T1023" s="324"/>
      <c r="U1023" s="324"/>
      <c r="V1023" s="324"/>
      <c r="W1023" s="324"/>
      <c r="X1023" s="324"/>
      <c r="Y1023" s="324"/>
      <c r="Z1023" s="324"/>
      <c r="AA1023" s="324"/>
      <c r="AB1023" s="324"/>
      <c r="AC1023" s="324"/>
      <c r="AD1023" s="324"/>
      <c r="AE1023" s="324"/>
      <c r="AF1023" s="324"/>
    </row>
    <row r="1024" spans="3:32" s="294" customFormat="1">
      <c r="C1024" s="10"/>
      <c r="D1024" s="29"/>
      <c r="E1024" s="29"/>
      <c r="F1024" s="36"/>
      <c r="G1024" s="324"/>
      <c r="H1024" s="324"/>
      <c r="I1024" s="324"/>
      <c r="J1024" s="324"/>
      <c r="K1024" s="324"/>
      <c r="L1024" s="324"/>
      <c r="M1024" s="324"/>
      <c r="N1024" s="324"/>
      <c r="O1024" s="324"/>
      <c r="P1024" s="324"/>
      <c r="Q1024" s="324"/>
      <c r="R1024" s="324"/>
      <c r="S1024" s="324"/>
      <c r="T1024" s="324"/>
      <c r="U1024" s="324"/>
      <c r="V1024" s="324"/>
      <c r="W1024" s="324"/>
      <c r="X1024" s="324"/>
      <c r="Y1024" s="324"/>
      <c r="Z1024" s="324"/>
      <c r="AA1024" s="324"/>
      <c r="AB1024" s="324"/>
      <c r="AC1024" s="324"/>
      <c r="AD1024" s="324"/>
      <c r="AE1024" s="324"/>
      <c r="AF1024" s="324"/>
    </row>
    <row r="1025" spans="3:32" s="294" customFormat="1">
      <c r="C1025" s="10"/>
      <c r="D1025" s="29"/>
      <c r="E1025" s="29"/>
      <c r="F1025" s="36"/>
      <c r="G1025" s="324"/>
      <c r="H1025" s="324"/>
      <c r="I1025" s="324"/>
      <c r="J1025" s="324"/>
      <c r="K1025" s="324"/>
      <c r="L1025" s="324"/>
      <c r="M1025" s="324"/>
      <c r="N1025" s="324"/>
      <c r="O1025" s="324"/>
      <c r="P1025" s="324"/>
      <c r="Q1025" s="324"/>
      <c r="R1025" s="324"/>
      <c r="S1025" s="324"/>
      <c r="T1025" s="324"/>
      <c r="U1025" s="324"/>
      <c r="V1025" s="324"/>
      <c r="W1025" s="324"/>
      <c r="X1025" s="324"/>
      <c r="Y1025" s="324"/>
      <c r="Z1025" s="324"/>
      <c r="AA1025" s="324"/>
      <c r="AB1025" s="324"/>
      <c r="AC1025" s="324"/>
      <c r="AD1025" s="324"/>
      <c r="AE1025" s="324"/>
      <c r="AF1025" s="324"/>
    </row>
    <row r="1026" spans="3:32" s="294" customFormat="1">
      <c r="C1026" s="10"/>
      <c r="D1026" s="29"/>
      <c r="E1026" s="29"/>
      <c r="F1026" s="36"/>
      <c r="G1026" s="324"/>
      <c r="H1026" s="324"/>
      <c r="I1026" s="324"/>
      <c r="J1026" s="324"/>
      <c r="K1026" s="324"/>
      <c r="L1026" s="324"/>
      <c r="M1026" s="324"/>
      <c r="N1026" s="324"/>
      <c r="O1026" s="324"/>
      <c r="P1026" s="324"/>
      <c r="Q1026" s="324"/>
      <c r="R1026" s="324"/>
      <c r="S1026" s="324"/>
      <c r="T1026" s="324"/>
      <c r="U1026" s="324"/>
      <c r="V1026" s="324"/>
      <c r="W1026" s="324"/>
      <c r="X1026" s="324"/>
      <c r="Y1026" s="324"/>
      <c r="Z1026" s="324"/>
      <c r="AA1026" s="324"/>
      <c r="AB1026" s="324"/>
      <c r="AC1026" s="324"/>
      <c r="AD1026" s="324"/>
      <c r="AE1026" s="324"/>
      <c r="AF1026" s="324"/>
    </row>
    <row r="1027" spans="3:32" s="294" customFormat="1">
      <c r="C1027" s="10"/>
      <c r="D1027" s="29"/>
      <c r="E1027" s="29"/>
      <c r="F1027" s="36"/>
      <c r="G1027" s="324"/>
      <c r="H1027" s="324"/>
      <c r="I1027" s="324"/>
      <c r="J1027" s="324"/>
      <c r="K1027" s="324"/>
      <c r="L1027" s="324"/>
      <c r="M1027" s="324"/>
      <c r="N1027" s="324"/>
      <c r="O1027" s="324"/>
      <c r="P1027" s="324"/>
      <c r="Q1027" s="324"/>
      <c r="R1027" s="324"/>
      <c r="S1027" s="324"/>
      <c r="T1027" s="324"/>
      <c r="U1027" s="324"/>
      <c r="V1027" s="324"/>
      <c r="W1027" s="324"/>
      <c r="X1027" s="324"/>
      <c r="Y1027" s="324"/>
      <c r="Z1027" s="324"/>
      <c r="AA1027" s="324"/>
      <c r="AB1027" s="324"/>
      <c r="AC1027" s="324"/>
      <c r="AD1027" s="324"/>
      <c r="AE1027" s="324"/>
      <c r="AF1027" s="324"/>
    </row>
    <row r="1028" spans="3:32" s="294" customFormat="1">
      <c r="C1028" s="10"/>
      <c r="D1028" s="29"/>
      <c r="E1028" s="29"/>
      <c r="F1028" s="36"/>
      <c r="G1028" s="324"/>
      <c r="H1028" s="324"/>
      <c r="I1028" s="324"/>
      <c r="J1028" s="324"/>
      <c r="K1028" s="324"/>
      <c r="L1028" s="324"/>
      <c r="M1028" s="324"/>
      <c r="N1028" s="324"/>
      <c r="O1028" s="324"/>
      <c r="P1028" s="324"/>
      <c r="Q1028" s="324"/>
      <c r="R1028" s="324"/>
      <c r="S1028" s="324"/>
      <c r="T1028" s="324"/>
      <c r="U1028" s="324"/>
      <c r="V1028" s="324"/>
      <c r="W1028" s="324"/>
      <c r="X1028" s="324"/>
      <c r="Y1028" s="324"/>
      <c r="Z1028" s="324"/>
      <c r="AA1028" s="324"/>
      <c r="AB1028" s="324"/>
      <c r="AC1028" s="324"/>
      <c r="AD1028" s="324"/>
      <c r="AE1028" s="324"/>
      <c r="AF1028" s="324"/>
    </row>
    <row r="1029" spans="3:32" s="294" customFormat="1">
      <c r="C1029" s="10"/>
      <c r="D1029" s="29"/>
      <c r="E1029" s="29"/>
      <c r="F1029" s="36"/>
      <c r="G1029" s="324"/>
      <c r="H1029" s="324"/>
      <c r="I1029" s="324"/>
      <c r="J1029" s="324"/>
      <c r="K1029" s="324"/>
      <c r="L1029" s="324"/>
      <c r="M1029" s="324"/>
      <c r="N1029" s="324"/>
      <c r="O1029" s="324"/>
      <c r="P1029" s="324"/>
      <c r="Q1029" s="324"/>
      <c r="R1029" s="324"/>
      <c r="S1029" s="324"/>
      <c r="T1029" s="324"/>
      <c r="U1029" s="324"/>
      <c r="V1029" s="324"/>
      <c r="W1029" s="324"/>
      <c r="X1029" s="324"/>
      <c r="Y1029" s="324"/>
      <c r="Z1029" s="324"/>
      <c r="AA1029" s="324"/>
      <c r="AB1029" s="324"/>
      <c r="AC1029" s="324"/>
      <c r="AD1029" s="324"/>
      <c r="AE1029" s="324"/>
      <c r="AF1029" s="324"/>
    </row>
    <row r="1030" spans="3:32" s="294" customFormat="1">
      <c r="C1030" s="10"/>
      <c r="D1030" s="29"/>
      <c r="E1030" s="29"/>
      <c r="F1030" s="36"/>
      <c r="G1030" s="324"/>
      <c r="H1030" s="324"/>
      <c r="I1030" s="324"/>
      <c r="J1030" s="324"/>
      <c r="K1030" s="324"/>
      <c r="L1030" s="324"/>
      <c r="M1030" s="324"/>
      <c r="N1030" s="324"/>
      <c r="O1030" s="324"/>
      <c r="P1030" s="324"/>
      <c r="Q1030" s="324"/>
      <c r="R1030" s="324"/>
      <c r="S1030" s="324"/>
      <c r="T1030" s="324"/>
      <c r="U1030" s="324"/>
      <c r="V1030" s="324"/>
      <c r="W1030" s="324"/>
      <c r="X1030" s="324"/>
      <c r="Y1030" s="324"/>
      <c r="Z1030" s="324"/>
      <c r="AA1030" s="324"/>
      <c r="AB1030" s="324"/>
      <c r="AC1030" s="324"/>
      <c r="AD1030" s="324"/>
      <c r="AE1030" s="324"/>
      <c r="AF1030" s="324"/>
    </row>
    <row r="1031" spans="3:32" s="294" customFormat="1">
      <c r="C1031" s="10"/>
      <c r="D1031" s="29"/>
      <c r="E1031" s="29"/>
      <c r="F1031" s="36"/>
      <c r="G1031" s="324"/>
      <c r="H1031" s="324"/>
      <c r="I1031" s="324"/>
      <c r="J1031" s="324"/>
      <c r="K1031" s="324"/>
      <c r="L1031" s="324"/>
      <c r="M1031" s="324"/>
      <c r="N1031" s="324"/>
      <c r="O1031" s="324"/>
      <c r="P1031" s="324"/>
      <c r="Q1031" s="324"/>
      <c r="R1031" s="324"/>
      <c r="S1031" s="324"/>
      <c r="T1031" s="324"/>
      <c r="U1031" s="324"/>
      <c r="V1031" s="324"/>
      <c r="W1031" s="324"/>
      <c r="X1031" s="324"/>
      <c r="Y1031" s="324"/>
      <c r="Z1031" s="324"/>
      <c r="AA1031" s="324"/>
      <c r="AB1031" s="324"/>
      <c r="AC1031" s="324"/>
      <c r="AD1031" s="324"/>
      <c r="AE1031" s="324"/>
      <c r="AF1031" s="324"/>
    </row>
    <row r="1032" spans="3:32" s="294" customFormat="1">
      <c r="C1032" s="10"/>
      <c r="D1032" s="29"/>
      <c r="E1032" s="29"/>
      <c r="F1032" s="36"/>
      <c r="G1032" s="324"/>
      <c r="H1032" s="324"/>
      <c r="I1032" s="324"/>
      <c r="J1032" s="324"/>
      <c r="K1032" s="324"/>
      <c r="L1032" s="324"/>
      <c r="M1032" s="324"/>
      <c r="N1032" s="324"/>
      <c r="O1032" s="324"/>
      <c r="P1032" s="324"/>
      <c r="Q1032" s="324"/>
      <c r="R1032" s="324"/>
      <c r="S1032" s="324"/>
      <c r="T1032" s="324"/>
      <c r="U1032" s="324"/>
      <c r="V1032" s="324"/>
      <c r="W1032" s="324"/>
      <c r="X1032" s="324"/>
      <c r="Y1032" s="324"/>
      <c r="Z1032" s="324"/>
      <c r="AA1032" s="324"/>
      <c r="AB1032" s="324"/>
      <c r="AC1032" s="324"/>
      <c r="AD1032" s="324"/>
      <c r="AE1032" s="324"/>
      <c r="AF1032" s="324"/>
    </row>
  </sheetData>
  <pageMargins left="0.7" right="0.7" top="0.78740157499999996" bottom="0.78740157499999996" header="0.3" footer="0.3"/>
  <pageSetup paperSize="9" orientation="portrait" horizontalDpi="1200" verticalDpi="1200"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4">
    <tabColor rgb="FF00B0F0"/>
  </sheetPr>
  <dimension ref="B1:AE59"/>
  <sheetViews>
    <sheetView tabSelected="1" zoomScaleNormal="100" workbookViewId="0">
      <selection activeCell="Q14" sqref="Q14"/>
    </sheetView>
  </sheetViews>
  <sheetFormatPr defaultColWidth="11.44140625" defaultRowHeight="13.8"/>
  <cols>
    <col min="1" max="1" width="3.88671875" style="554" customWidth="1"/>
    <col min="2" max="2" width="2" style="556" customWidth="1"/>
    <col min="3" max="3" width="11.44140625" style="556"/>
    <col min="4" max="4" width="22.33203125" style="556" customWidth="1"/>
    <col min="5" max="5" width="17" style="556" customWidth="1"/>
    <col min="6" max="7" width="18" style="556" customWidth="1"/>
    <col min="8" max="9" width="22" style="554" customWidth="1"/>
    <col min="10" max="10" width="25.77734375" style="554" customWidth="1"/>
    <col min="11" max="16" width="8.5546875" style="554" customWidth="1"/>
    <col min="17" max="18" width="6.6640625" style="554" bestFit="1" customWidth="1"/>
    <col min="19" max="31" width="5" style="554" bestFit="1" customWidth="1"/>
    <col min="32" max="16384" width="11.44140625" style="554"/>
  </cols>
  <sheetData>
    <row r="1" spans="2:31">
      <c r="B1" s="1012" t="s">
        <v>774</v>
      </c>
      <c r="C1" s="1013"/>
      <c r="D1" s="1013"/>
      <c r="E1" s="1013"/>
      <c r="F1" s="1013"/>
      <c r="G1" s="1013"/>
      <c r="H1" s="1014"/>
      <c r="I1" s="1014"/>
      <c r="J1" s="1014"/>
    </row>
    <row r="2" spans="2:31">
      <c r="B2" s="934"/>
      <c r="C2" s="934"/>
      <c r="D2" s="934"/>
      <c r="E2" s="934"/>
      <c r="F2" s="935"/>
      <c r="G2" s="935"/>
      <c r="H2" s="935"/>
      <c r="I2" s="935"/>
      <c r="J2" s="934"/>
      <c r="K2" s="934"/>
      <c r="L2" s="934"/>
      <c r="M2" s="934"/>
      <c r="N2" s="934"/>
      <c r="O2" s="934"/>
      <c r="P2" s="934"/>
      <c r="Q2" s="934"/>
      <c r="R2" s="934"/>
      <c r="S2" s="934"/>
      <c r="T2" s="934"/>
      <c r="U2" s="934"/>
      <c r="V2" s="934"/>
      <c r="W2" s="934"/>
      <c r="X2" s="934"/>
      <c r="Y2" s="934"/>
      <c r="Z2" s="934"/>
      <c r="AA2" s="934"/>
      <c r="AB2" s="934"/>
      <c r="AC2" s="934"/>
      <c r="AD2" s="934"/>
      <c r="AE2" s="934"/>
    </row>
    <row r="3" spans="2:31">
      <c r="B3" s="934"/>
      <c r="C3" s="934"/>
      <c r="D3" s="934"/>
      <c r="E3" s="934"/>
      <c r="F3" s="934"/>
      <c r="G3" s="934"/>
      <c r="H3" s="934"/>
      <c r="I3" s="934"/>
      <c r="J3" s="934"/>
      <c r="K3" s="68">
        <v>2015</v>
      </c>
      <c r="L3" s="68">
        <v>2016</v>
      </c>
      <c r="M3" s="68">
        <v>2017</v>
      </c>
      <c r="N3" s="68">
        <v>2018</v>
      </c>
      <c r="O3" s="68">
        <v>2019</v>
      </c>
      <c r="P3" s="68">
        <v>2020</v>
      </c>
      <c r="Q3" s="68">
        <v>2021</v>
      </c>
      <c r="R3" s="68">
        <v>2022</v>
      </c>
      <c r="S3" s="68">
        <v>2023</v>
      </c>
      <c r="T3" s="68">
        <v>2024</v>
      </c>
      <c r="U3" s="68">
        <v>2025</v>
      </c>
      <c r="V3" s="68">
        <v>2026</v>
      </c>
      <c r="W3" s="68">
        <v>2027</v>
      </c>
      <c r="X3" s="68">
        <v>2028</v>
      </c>
      <c r="Y3" s="68">
        <v>2029</v>
      </c>
      <c r="Z3" s="68">
        <v>2030</v>
      </c>
      <c r="AA3" s="68">
        <v>2031</v>
      </c>
      <c r="AB3" s="68">
        <v>2032</v>
      </c>
      <c r="AC3" s="68">
        <v>2033</v>
      </c>
      <c r="AD3" s="68">
        <v>2034</v>
      </c>
      <c r="AE3" s="68">
        <v>2035</v>
      </c>
    </row>
    <row r="4" spans="2:31" ht="14.4">
      <c r="B4" s="934"/>
      <c r="C4" s="934"/>
      <c r="D4" s="934"/>
      <c r="E4" s="934"/>
      <c r="F4" s="934"/>
      <c r="G4" s="934"/>
      <c r="H4" s="934"/>
      <c r="I4" s="934"/>
      <c r="J4" s="936" t="s">
        <v>1049</v>
      </c>
      <c r="K4" s="301">
        <f>'MOD-Berechnungen'!K52</f>
        <v>1</v>
      </c>
      <c r="L4" s="301">
        <f>'MOD-Berechnungen'!L52</f>
        <v>1</v>
      </c>
      <c r="M4" s="301">
        <f>'MOD-Berechnungen'!M52</f>
        <v>1</v>
      </c>
      <c r="N4" s="301">
        <f>'MOD-Berechnungen'!N52</f>
        <v>1</v>
      </c>
      <c r="O4" s="301">
        <f>'MOD-Berechnungen'!O52</f>
        <v>1</v>
      </c>
      <c r="P4" s="301">
        <f>'MOD-Berechnungen'!P52</f>
        <v>1</v>
      </c>
      <c r="Q4" s="301">
        <f>'MOD-Berechnungen'!Q52</f>
        <v>1</v>
      </c>
      <c r="R4" s="301">
        <f>'MOD-Berechnungen'!R52</f>
        <v>1</v>
      </c>
      <c r="S4" s="301">
        <f>'MOD-Berechnungen'!S52</f>
        <v>1</v>
      </c>
      <c r="T4" s="301">
        <f>'MOD-Berechnungen'!T52</f>
        <v>1</v>
      </c>
      <c r="U4" s="301">
        <f>'MOD-Berechnungen'!U52</f>
        <v>1</v>
      </c>
      <c r="V4" s="301">
        <f>'MOD-Berechnungen'!V52</f>
        <v>1</v>
      </c>
      <c r="W4" s="301">
        <f>'MOD-Berechnungen'!W52</f>
        <v>1</v>
      </c>
      <c r="X4" s="301">
        <f>'MOD-Berechnungen'!X52</f>
        <v>1</v>
      </c>
      <c r="Y4" s="301">
        <f>'MOD-Berechnungen'!Y52</f>
        <v>1</v>
      </c>
      <c r="Z4" s="301">
        <f>'MOD-Berechnungen'!Z52</f>
        <v>1</v>
      </c>
      <c r="AA4" s="301">
        <f>'MOD-Berechnungen'!AA52</f>
        <v>1</v>
      </c>
      <c r="AB4" s="301">
        <f>'MOD-Berechnungen'!AB52</f>
        <v>1</v>
      </c>
      <c r="AC4" s="301">
        <f>'MOD-Berechnungen'!AC52</f>
        <v>1</v>
      </c>
      <c r="AD4" s="301">
        <f>'MOD-Berechnungen'!AD52</f>
        <v>1</v>
      </c>
      <c r="AE4" s="301">
        <f>'MOD-Berechnungen'!AE52</f>
        <v>1</v>
      </c>
    </row>
    <row r="5" spans="2:31" ht="14.4">
      <c r="B5" s="934"/>
      <c r="C5" s="934"/>
      <c r="D5" s="934"/>
      <c r="E5" s="934"/>
      <c r="F5" s="934"/>
      <c r="G5" s="934"/>
      <c r="H5" s="934"/>
      <c r="I5" s="934"/>
      <c r="J5" s="1247" t="s">
        <v>776</v>
      </c>
      <c r="K5" s="938"/>
      <c r="L5" s="938"/>
      <c r="M5" s="938"/>
      <c r="N5" s="938"/>
      <c r="O5" s="938"/>
      <c r="P5" s="938"/>
      <c r="Q5" s="938"/>
      <c r="R5" s="938"/>
      <c r="S5" s="938"/>
      <c r="T5" s="938"/>
      <c r="U5" s="938"/>
      <c r="V5" s="938"/>
      <c r="W5" s="938"/>
      <c r="X5" s="938"/>
      <c r="Y5" s="938"/>
      <c r="Z5" s="934"/>
      <c r="AA5" s="934"/>
      <c r="AB5" s="934"/>
      <c r="AC5" s="934"/>
      <c r="AD5" s="934"/>
      <c r="AE5" s="934"/>
    </row>
    <row r="6" spans="2:31" ht="14.4">
      <c r="B6" s="934"/>
      <c r="C6" s="934"/>
      <c r="D6" s="934"/>
      <c r="E6" s="934"/>
      <c r="F6" s="934"/>
      <c r="G6" s="934"/>
      <c r="H6" s="934"/>
      <c r="I6" s="934"/>
      <c r="J6" s="938"/>
      <c r="K6" s="938"/>
      <c r="L6" s="938"/>
      <c r="M6" s="938"/>
      <c r="N6" s="938"/>
      <c r="O6" s="938"/>
      <c r="P6" s="938"/>
      <c r="Q6" s="938"/>
      <c r="R6" s="938"/>
      <c r="S6" s="938"/>
      <c r="T6" s="938"/>
      <c r="U6" s="938"/>
      <c r="V6" s="938"/>
      <c r="W6" s="938"/>
      <c r="X6" s="938"/>
      <c r="Y6" s="938"/>
      <c r="Z6" s="934"/>
      <c r="AA6" s="934"/>
      <c r="AB6" s="934"/>
      <c r="AC6" s="934"/>
      <c r="AD6" s="934"/>
      <c r="AE6" s="934"/>
    </row>
    <row r="7" spans="2:31" ht="14.4">
      <c r="B7" s="934"/>
      <c r="C7" s="934"/>
      <c r="D7" s="934"/>
      <c r="E7" s="934"/>
      <c r="F7" s="934"/>
      <c r="G7" s="934"/>
      <c r="H7" s="934"/>
      <c r="I7" s="934"/>
      <c r="J7" s="938"/>
      <c r="K7" s="938"/>
      <c r="L7" s="938"/>
      <c r="M7" s="938"/>
      <c r="N7" s="938"/>
      <c r="O7" s="938"/>
      <c r="P7" s="938"/>
      <c r="Q7" s="938"/>
      <c r="R7" s="938"/>
      <c r="S7" s="938"/>
      <c r="T7" s="938"/>
      <c r="U7" s="938"/>
      <c r="V7" s="938"/>
      <c r="W7" s="938"/>
      <c r="X7" s="938"/>
      <c r="Y7" s="938"/>
      <c r="Z7" s="934"/>
      <c r="AA7" s="934"/>
      <c r="AB7" s="934"/>
      <c r="AC7" s="934"/>
      <c r="AD7" s="934"/>
      <c r="AE7" s="934"/>
    </row>
    <row r="8" spans="2:31" ht="14.4">
      <c r="B8" s="934"/>
      <c r="C8" s="934"/>
      <c r="D8" s="934"/>
      <c r="E8" s="934"/>
      <c r="F8" s="934"/>
      <c r="G8" s="934"/>
      <c r="H8" s="934"/>
      <c r="I8" s="934"/>
      <c r="J8" s="938"/>
      <c r="K8" s="938"/>
      <c r="L8" s="938"/>
      <c r="M8" s="938"/>
      <c r="N8" s="938"/>
      <c r="O8" s="938"/>
      <c r="P8" s="938"/>
      <c r="Q8" s="938"/>
      <c r="R8" s="938"/>
      <c r="S8" s="938"/>
      <c r="T8" s="938"/>
      <c r="U8" s="938"/>
      <c r="V8" s="938"/>
      <c r="W8" s="938"/>
      <c r="X8" s="938"/>
      <c r="Y8" s="938"/>
      <c r="Z8" s="934"/>
      <c r="AA8" s="934"/>
      <c r="AB8" s="934"/>
      <c r="AC8" s="934"/>
      <c r="AD8" s="934"/>
      <c r="AE8" s="934"/>
    </row>
    <row r="9" spans="2:31">
      <c r="B9" s="934"/>
      <c r="C9" s="934"/>
      <c r="D9" s="934"/>
      <c r="E9" s="939"/>
      <c r="F9" s="934"/>
      <c r="G9" s="934"/>
      <c r="H9" s="934"/>
      <c r="I9" s="934"/>
      <c r="J9" s="934"/>
      <c r="K9" s="68">
        <v>2015</v>
      </c>
      <c r="L9" s="68">
        <v>2016</v>
      </c>
      <c r="M9" s="68">
        <v>2017</v>
      </c>
      <c r="N9" s="68">
        <v>2018</v>
      </c>
      <c r="O9" s="68">
        <v>2019</v>
      </c>
      <c r="P9" s="68">
        <v>2020</v>
      </c>
      <c r="Q9" s="68">
        <v>2021</v>
      </c>
      <c r="R9" s="68">
        <v>2022</v>
      </c>
      <c r="S9" s="68">
        <v>2023</v>
      </c>
      <c r="T9" s="68">
        <v>2024</v>
      </c>
      <c r="U9" s="68">
        <v>2025</v>
      </c>
      <c r="V9" s="68">
        <v>2026</v>
      </c>
      <c r="W9" s="68">
        <v>2027</v>
      </c>
      <c r="X9" s="68">
        <v>2028</v>
      </c>
      <c r="Y9" s="68">
        <v>2029</v>
      </c>
      <c r="Z9" s="68">
        <v>2030</v>
      </c>
      <c r="AA9" s="68">
        <v>2031</v>
      </c>
      <c r="AB9" s="68">
        <v>2032</v>
      </c>
      <c r="AC9" s="68">
        <v>2033</v>
      </c>
      <c r="AD9" s="68">
        <v>2034</v>
      </c>
      <c r="AE9" s="68">
        <v>2035</v>
      </c>
    </row>
    <row r="10" spans="2:31" ht="28.2">
      <c r="B10" s="934"/>
      <c r="C10" s="934"/>
      <c r="D10" s="1247" t="s">
        <v>776</v>
      </c>
      <c r="E10" s="1247" t="s">
        <v>776</v>
      </c>
      <c r="F10" s="1103" t="s">
        <v>246</v>
      </c>
      <c r="G10" s="1103" t="s">
        <v>246</v>
      </c>
      <c r="H10" s="1104" t="s">
        <v>246</v>
      </c>
      <c r="I10" s="1104" t="s">
        <v>246</v>
      </c>
      <c r="J10" s="1104" t="s">
        <v>246</v>
      </c>
      <c r="K10" s="940" t="s">
        <v>785</v>
      </c>
      <c r="L10" s="941"/>
      <c r="M10" s="941"/>
      <c r="N10" s="941"/>
      <c r="O10" s="941"/>
      <c r="P10" s="941"/>
      <c r="Q10" s="941"/>
      <c r="R10" s="941"/>
      <c r="S10" s="941"/>
      <c r="T10" s="941"/>
      <c r="U10" s="941"/>
      <c r="V10" s="941"/>
      <c r="W10" s="941"/>
      <c r="X10" s="941"/>
      <c r="Y10" s="941"/>
      <c r="Z10" s="941"/>
      <c r="AA10" s="941"/>
      <c r="AB10" s="941"/>
      <c r="AC10" s="941"/>
      <c r="AD10" s="941"/>
      <c r="AE10" s="941"/>
    </row>
    <row r="11" spans="2:31" ht="77.25" customHeight="1">
      <c r="B11" s="934"/>
      <c r="C11" s="942" t="s">
        <v>777</v>
      </c>
      <c r="D11" s="936" t="s">
        <v>778</v>
      </c>
      <c r="E11" s="936" t="s">
        <v>779</v>
      </c>
      <c r="F11" s="936" t="s">
        <v>784</v>
      </c>
      <c r="G11" s="936" t="s">
        <v>780</v>
      </c>
      <c r="H11" s="936" t="s">
        <v>781</v>
      </c>
      <c r="I11" s="936" t="s">
        <v>782</v>
      </c>
      <c r="J11" s="936" t="s">
        <v>783</v>
      </c>
      <c r="K11" s="943">
        <f>SUM(K12:K22)</f>
        <v>0</v>
      </c>
      <c r="L11" s="943">
        <f t="shared" ref="L11:AE11" si="0">SUM(L12:L22)</f>
        <v>0</v>
      </c>
      <c r="M11" s="943">
        <f t="shared" si="0"/>
        <v>0</v>
      </c>
      <c r="N11" s="943">
        <f t="shared" si="0"/>
        <v>0</v>
      </c>
      <c r="O11" s="943">
        <f t="shared" si="0"/>
        <v>0</v>
      </c>
      <c r="P11" s="943">
        <f t="shared" si="0"/>
        <v>0</v>
      </c>
      <c r="Q11" s="943">
        <f t="shared" si="0"/>
        <v>1.2109759999999999E-2</v>
      </c>
      <c r="R11" s="943">
        <f t="shared" si="0"/>
        <v>4.3597759999999999E-2</v>
      </c>
      <c r="S11" s="943">
        <f t="shared" si="0"/>
        <v>0.10627200000000001</v>
      </c>
      <c r="T11" s="943">
        <f t="shared" si="0"/>
        <v>0.44087956</v>
      </c>
      <c r="U11" s="943">
        <f t="shared" si="0"/>
        <v>0.63872916000000002</v>
      </c>
      <c r="V11" s="943">
        <f t="shared" si="0"/>
        <v>1.02698552</v>
      </c>
      <c r="W11" s="943">
        <f t="shared" si="0"/>
        <v>1.9296251199999996</v>
      </c>
      <c r="X11" s="943">
        <f t="shared" si="0"/>
        <v>2.23817472</v>
      </c>
      <c r="Y11" s="943">
        <f t="shared" si="0"/>
        <v>2.7875697399999999</v>
      </c>
      <c r="Z11" s="943">
        <f t="shared" si="0"/>
        <v>2.7875697399999999</v>
      </c>
      <c r="AA11" s="943">
        <f t="shared" si="0"/>
        <v>2.7705957399999996</v>
      </c>
      <c r="AB11" s="943">
        <f t="shared" si="0"/>
        <v>2.7298581400000002</v>
      </c>
      <c r="AC11" s="943">
        <f t="shared" si="0"/>
        <v>2.6829328199999996</v>
      </c>
      <c r="AD11" s="943">
        <f t="shared" si="0"/>
        <v>2.93711682</v>
      </c>
      <c r="AE11" s="943">
        <f t="shared" si="0"/>
        <v>3.2395089600000002</v>
      </c>
    </row>
    <row r="12" spans="2:31">
      <c r="B12" s="934"/>
      <c r="C12" s="68">
        <v>2010</v>
      </c>
      <c r="D12" s="301">
        <f>'MOD-Berechnungen'!F61</f>
        <v>4.4999999999999998E-2</v>
      </c>
      <c r="E12" s="1094">
        <f>'MOD-Berechnungen'!$K$97</f>
        <v>3280</v>
      </c>
      <c r="F12" s="301"/>
      <c r="G12" s="301">
        <v>150</v>
      </c>
      <c r="H12" s="325">
        <v>35</v>
      </c>
      <c r="I12" s="627">
        <v>3</v>
      </c>
      <c r="J12" s="627">
        <v>0</v>
      </c>
      <c r="K12" s="944">
        <f t="shared" ref="K12:AD22" si="1">IF(K$9-$C12&gt;20,0,
   IF($J12=1,
      IF(K$9-$C12&gt;8+$I12,   $D12*($F12-$H12)*$E12/10^6,
      IF(K$9-$C12&gt;8,              $D12*($F12-$G12)*$E12/10^6,
      0)),
      IF(K$9-$C12&gt;12+$I12, $D12*($G12-$H12)*$E12/10^6,
      0)
)) * K$4</f>
        <v>0</v>
      </c>
      <c r="L12" s="944">
        <f t="shared" si="1"/>
        <v>0</v>
      </c>
      <c r="M12" s="944">
        <f t="shared" si="1"/>
        <v>0</v>
      </c>
      <c r="N12" s="944">
        <f t="shared" si="1"/>
        <v>0</v>
      </c>
      <c r="O12" s="944">
        <f t="shared" si="1"/>
        <v>0</v>
      </c>
      <c r="P12" s="944">
        <f t="shared" si="1"/>
        <v>0</v>
      </c>
      <c r="Q12" s="944">
        <f t="shared" si="1"/>
        <v>0</v>
      </c>
      <c r="R12" s="944">
        <f t="shared" si="1"/>
        <v>0</v>
      </c>
      <c r="S12" s="944">
        <f t="shared" si="1"/>
        <v>0</v>
      </c>
      <c r="T12" s="944">
        <f t="shared" si="1"/>
        <v>0</v>
      </c>
      <c r="U12" s="944">
        <f t="shared" si="1"/>
        <v>0</v>
      </c>
      <c r="V12" s="944">
        <f t="shared" si="1"/>
        <v>1.6974E-2</v>
      </c>
      <c r="W12" s="944">
        <f t="shared" si="1"/>
        <v>1.6974E-2</v>
      </c>
      <c r="X12" s="944">
        <f t="shared" si="1"/>
        <v>1.6974E-2</v>
      </c>
      <c r="Y12" s="944">
        <f t="shared" si="1"/>
        <v>1.6974E-2</v>
      </c>
      <c r="Z12" s="944">
        <f t="shared" si="1"/>
        <v>1.6974E-2</v>
      </c>
      <c r="AA12" s="944">
        <f t="shared" si="1"/>
        <v>0</v>
      </c>
      <c r="AB12" s="944">
        <f t="shared" si="1"/>
        <v>0</v>
      </c>
      <c r="AC12" s="944">
        <f t="shared" si="1"/>
        <v>0</v>
      </c>
      <c r="AD12" s="944">
        <f t="shared" si="1"/>
        <v>0</v>
      </c>
      <c r="AE12" s="944">
        <f>IF(AE$9-$C12&gt;20,0,
   IF($J12=1,
      IF(AE$9-$C12&gt;8+$I12,   $D12*($F12-$H12)*$E12/10^6,
      IF(AE$9-$C12&gt;8,              $D12*($F12-$G12)*$E12/10^6,
      0)),
      IF(AE$9-$C12&gt;12+$I12, $D12*($G12-$H12)*$E12/10^6,
      0)
)) * AE$4</f>
        <v>0</v>
      </c>
    </row>
    <row r="13" spans="2:31">
      <c r="B13" s="934"/>
      <c r="C13" s="68">
        <v>2011</v>
      </c>
      <c r="D13" s="301">
        <f>'MOD-Berechnungen'!G61</f>
        <v>0.108</v>
      </c>
      <c r="E13" s="1094">
        <f>'MOD-Berechnungen'!$K$97</f>
        <v>3280</v>
      </c>
      <c r="F13" s="301"/>
      <c r="G13" s="301">
        <v>150</v>
      </c>
      <c r="H13" s="325">
        <v>35</v>
      </c>
      <c r="I13" s="627">
        <v>3</v>
      </c>
      <c r="J13" s="627">
        <v>0</v>
      </c>
      <c r="K13" s="944">
        <f>IF(K$9-$C13&gt;20,0,
   IF($J13=1,
      IF(K$9-$C13&gt;8+$I13,   $D13*($F13-$H13)*$E13/10^6,
      IF(K$9-$C13&gt;8,              $D13*($F13-$G13)*$E13/10^6,
      0)),
      IF(K$9-$C13&gt;12+$I13, $D13*($G13-$H13)*$E13/10^6,
      0)
)) * K$4</f>
        <v>0</v>
      </c>
      <c r="L13" s="944">
        <f t="shared" si="1"/>
        <v>0</v>
      </c>
      <c r="M13" s="944">
        <f t="shared" si="1"/>
        <v>0</v>
      </c>
      <c r="N13" s="944">
        <f t="shared" si="1"/>
        <v>0</v>
      </c>
      <c r="O13" s="944">
        <f t="shared" si="1"/>
        <v>0</v>
      </c>
      <c r="P13" s="944">
        <f t="shared" si="1"/>
        <v>0</v>
      </c>
      <c r="Q13" s="944">
        <f t="shared" si="1"/>
        <v>0</v>
      </c>
      <c r="R13" s="944">
        <f t="shared" si="1"/>
        <v>0</v>
      </c>
      <c r="S13" s="944">
        <f t="shared" si="1"/>
        <v>0</v>
      </c>
      <c r="T13" s="944">
        <f t="shared" si="1"/>
        <v>0</v>
      </c>
      <c r="U13" s="944">
        <f t="shared" si="1"/>
        <v>0</v>
      </c>
      <c r="V13" s="944">
        <f t="shared" si="1"/>
        <v>0</v>
      </c>
      <c r="W13" s="944">
        <f t="shared" si="1"/>
        <v>4.0737599999999999E-2</v>
      </c>
      <c r="X13" s="944">
        <f t="shared" si="1"/>
        <v>4.0737599999999999E-2</v>
      </c>
      <c r="Y13" s="944">
        <f t="shared" si="1"/>
        <v>4.0737599999999999E-2</v>
      </c>
      <c r="Z13" s="944">
        <f t="shared" si="1"/>
        <v>4.0737599999999999E-2</v>
      </c>
      <c r="AA13" s="944">
        <f t="shared" si="1"/>
        <v>4.0737599999999999E-2</v>
      </c>
      <c r="AB13" s="944">
        <f t="shared" si="1"/>
        <v>0</v>
      </c>
      <c r="AC13" s="944">
        <f t="shared" si="1"/>
        <v>0</v>
      </c>
      <c r="AD13" s="944">
        <f t="shared" si="1"/>
        <v>0</v>
      </c>
      <c r="AE13" s="944">
        <f t="shared" ref="AE13:AE22" si="2">IF(AE$9-$C13&gt;20,0,
   IF($J13=1,
      IF(AE$9-$C13&gt;8+$I13,   $D13*($F13-$H13)*$E13/10^6,
      IF(AE$9-$C13&gt;8,              $D13*($F13-$G13)*$E13/10^6,
      0)),
      IF(AE$9-$C13&gt;12+$I13, $D13*($G13-$H13)*$E13/10^6,
      0)
)) * AE$4</f>
        <v>0</v>
      </c>
    </row>
    <row r="14" spans="2:31">
      <c r="B14" s="934"/>
      <c r="C14" s="68">
        <v>2012</v>
      </c>
      <c r="D14" s="301">
        <f>'MOD-Berechnungen'!H61</f>
        <v>9.2299999999999993E-2</v>
      </c>
      <c r="E14" s="1094">
        <f>'MOD-Berechnungen'!$K$97</f>
        <v>3280</v>
      </c>
      <c r="F14" s="301">
        <v>190</v>
      </c>
      <c r="G14" s="301">
        <v>150</v>
      </c>
      <c r="H14" s="325">
        <v>35</v>
      </c>
      <c r="I14" s="627">
        <v>3</v>
      </c>
      <c r="J14" s="627">
        <v>1</v>
      </c>
      <c r="K14" s="944">
        <f t="shared" si="1"/>
        <v>0</v>
      </c>
      <c r="L14" s="944">
        <f t="shared" si="1"/>
        <v>0</v>
      </c>
      <c r="M14" s="944">
        <f t="shared" si="1"/>
        <v>0</v>
      </c>
      <c r="N14" s="944">
        <f t="shared" si="1"/>
        <v>0</v>
      </c>
      <c r="O14" s="944">
        <f t="shared" si="1"/>
        <v>0</v>
      </c>
      <c r="P14" s="944">
        <f t="shared" si="1"/>
        <v>0</v>
      </c>
      <c r="Q14" s="944">
        <f t="shared" si="1"/>
        <v>1.2109759999999999E-2</v>
      </c>
      <c r="R14" s="944">
        <f t="shared" si="1"/>
        <v>1.2109759999999999E-2</v>
      </c>
      <c r="S14" s="944">
        <f t="shared" si="1"/>
        <v>1.2109759999999999E-2</v>
      </c>
      <c r="T14" s="944">
        <f t="shared" si="1"/>
        <v>4.692532E-2</v>
      </c>
      <c r="U14" s="944">
        <f t="shared" si="1"/>
        <v>4.692532E-2</v>
      </c>
      <c r="V14" s="944">
        <f t="shared" si="1"/>
        <v>4.692532E-2</v>
      </c>
      <c r="W14" s="944">
        <f t="shared" si="1"/>
        <v>4.692532E-2</v>
      </c>
      <c r="X14" s="944">
        <f t="shared" si="1"/>
        <v>4.692532E-2</v>
      </c>
      <c r="Y14" s="944">
        <f t="shared" si="1"/>
        <v>4.692532E-2</v>
      </c>
      <c r="Z14" s="944">
        <f t="shared" si="1"/>
        <v>4.692532E-2</v>
      </c>
      <c r="AA14" s="944">
        <f t="shared" si="1"/>
        <v>4.692532E-2</v>
      </c>
      <c r="AB14" s="944">
        <f t="shared" si="1"/>
        <v>4.692532E-2</v>
      </c>
      <c r="AC14" s="944">
        <f t="shared" si="1"/>
        <v>0</v>
      </c>
      <c r="AD14" s="944">
        <f t="shared" si="1"/>
        <v>0</v>
      </c>
      <c r="AE14" s="944">
        <f t="shared" si="2"/>
        <v>0</v>
      </c>
    </row>
    <row r="15" spans="2:31">
      <c r="B15" s="934"/>
      <c r="C15" s="68">
        <v>2013</v>
      </c>
      <c r="D15" s="301">
        <f>'MOD-Berechnungen'!I61</f>
        <v>0.24</v>
      </c>
      <c r="E15" s="1094">
        <f>'MOD-Berechnungen'!$K$97</f>
        <v>3280</v>
      </c>
      <c r="F15" s="301">
        <v>190</v>
      </c>
      <c r="G15" s="301">
        <v>150</v>
      </c>
      <c r="H15" s="325">
        <v>35</v>
      </c>
      <c r="I15" s="627">
        <v>3</v>
      </c>
      <c r="J15" s="627">
        <v>1</v>
      </c>
      <c r="K15" s="944">
        <f t="shared" si="1"/>
        <v>0</v>
      </c>
      <c r="L15" s="944">
        <f t="shared" si="1"/>
        <v>0</v>
      </c>
      <c r="M15" s="944">
        <f t="shared" si="1"/>
        <v>0</v>
      </c>
      <c r="N15" s="944">
        <f t="shared" si="1"/>
        <v>0</v>
      </c>
      <c r="O15" s="944">
        <f t="shared" si="1"/>
        <v>0</v>
      </c>
      <c r="P15" s="944">
        <f t="shared" si="1"/>
        <v>0</v>
      </c>
      <c r="Q15" s="944">
        <f t="shared" si="1"/>
        <v>0</v>
      </c>
      <c r="R15" s="944">
        <f t="shared" si="1"/>
        <v>3.1488000000000002E-2</v>
      </c>
      <c r="S15" s="944">
        <f t="shared" si="1"/>
        <v>3.1488000000000002E-2</v>
      </c>
      <c r="T15" s="944">
        <f t="shared" si="1"/>
        <v>3.1488000000000002E-2</v>
      </c>
      <c r="U15" s="944">
        <f t="shared" si="1"/>
        <v>0.12201599999999999</v>
      </c>
      <c r="V15" s="944">
        <f t="shared" si="1"/>
        <v>0.12201599999999999</v>
      </c>
      <c r="W15" s="944">
        <f t="shared" si="1"/>
        <v>0.12201599999999999</v>
      </c>
      <c r="X15" s="944">
        <f t="shared" si="1"/>
        <v>0.12201599999999999</v>
      </c>
      <c r="Y15" s="944">
        <f t="shared" si="1"/>
        <v>0.12201599999999999</v>
      </c>
      <c r="Z15" s="944">
        <f t="shared" si="1"/>
        <v>0.12201599999999999</v>
      </c>
      <c r="AA15" s="944">
        <f t="shared" si="1"/>
        <v>0.12201599999999999</v>
      </c>
      <c r="AB15" s="944">
        <f t="shared" si="1"/>
        <v>0.12201599999999999</v>
      </c>
      <c r="AC15" s="944">
        <f t="shared" si="1"/>
        <v>0.12201599999999999</v>
      </c>
      <c r="AD15" s="944">
        <f t="shared" si="1"/>
        <v>0</v>
      </c>
      <c r="AE15" s="944">
        <f t="shared" si="2"/>
        <v>0</v>
      </c>
    </row>
    <row r="16" spans="2:31">
      <c r="B16" s="934"/>
      <c r="C16" s="68">
        <v>2014</v>
      </c>
      <c r="D16" s="301">
        <f>'MOD-Berechnungen'!J61</f>
        <v>0.47770000000000001</v>
      </c>
      <c r="E16" s="1094">
        <f>'MOD-Berechnungen'!$K$97</f>
        <v>3280</v>
      </c>
      <c r="F16" s="301">
        <v>194</v>
      </c>
      <c r="G16" s="301">
        <v>154</v>
      </c>
      <c r="H16" s="325">
        <v>39</v>
      </c>
      <c r="I16" s="627">
        <v>3</v>
      </c>
      <c r="J16" s="627">
        <v>1</v>
      </c>
      <c r="K16" s="944">
        <f t="shared" si="1"/>
        <v>0</v>
      </c>
      <c r="L16" s="944">
        <f t="shared" si="1"/>
        <v>0</v>
      </c>
      <c r="M16" s="944">
        <f t="shared" si="1"/>
        <v>0</v>
      </c>
      <c r="N16" s="944">
        <f t="shared" si="1"/>
        <v>0</v>
      </c>
      <c r="O16" s="944">
        <f t="shared" si="1"/>
        <v>0</v>
      </c>
      <c r="P16" s="944">
        <f t="shared" si="1"/>
        <v>0</v>
      </c>
      <c r="Q16" s="944">
        <f t="shared" si="1"/>
        <v>0</v>
      </c>
      <c r="R16" s="944">
        <f t="shared" si="1"/>
        <v>0</v>
      </c>
      <c r="S16" s="944">
        <f t="shared" si="1"/>
        <v>6.2674240000000006E-2</v>
      </c>
      <c r="T16" s="944">
        <f t="shared" si="1"/>
        <v>6.2674240000000006E-2</v>
      </c>
      <c r="U16" s="944">
        <f t="shared" si="1"/>
        <v>6.2674240000000006E-2</v>
      </c>
      <c r="V16" s="944">
        <f t="shared" si="1"/>
        <v>0.24286268000000003</v>
      </c>
      <c r="W16" s="944">
        <f t="shared" si="1"/>
        <v>0.24286268000000003</v>
      </c>
      <c r="X16" s="944">
        <f t="shared" si="1"/>
        <v>0.24286268000000003</v>
      </c>
      <c r="Y16" s="944">
        <f t="shared" si="1"/>
        <v>0.24286268000000003</v>
      </c>
      <c r="Z16" s="944">
        <f t="shared" si="1"/>
        <v>0.24286268000000003</v>
      </c>
      <c r="AA16" s="944">
        <f t="shared" si="1"/>
        <v>0.24286268000000003</v>
      </c>
      <c r="AB16" s="944">
        <f t="shared" si="1"/>
        <v>0.24286268000000003</v>
      </c>
      <c r="AC16" s="944">
        <f t="shared" si="1"/>
        <v>0.24286268000000003</v>
      </c>
      <c r="AD16" s="944">
        <f t="shared" si="1"/>
        <v>0.24286268000000003</v>
      </c>
      <c r="AE16" s="944">
        <f t="shared" si="2"/>
        <v>0</v>
      </c>
    </row>
    <row r="17" spans="2:31">
      <c r="B17" s="934"/>
      <c r="C17" s="68">
        <v>2015</v>
      </c>
      <c r="D17" s="301">
        <f>'MOD-Berechnungen'!K61</f>
        <v>2.2849999999999997</v>
      </c>
      <c r="E17" s="304">
        <f>'MOD-Berechnungen'!K97</f>
        <v>3280</v>
      </c>
      <c r="F17" s="301">
        <v>194</v>
      </c>
      <c r="G17" s="301">
        <v>154</v>
      </c>
      <c r="H17" s="325">
        <v>39</v>
      </c>
      <c r="I17" s="627">
        <v>3</v>
      </c>
      <c r="J17" s="627">
        <v>1</v>
      </c>
      <c r="K17" s="944">
        <f t="shared" si="1"/>
        <v>0</v>
      </c>
      <c r="L17" s="944">
        <f t="shared" si="1"/>
        <v>0</v>
      </c>
      <c r="M17" s="944">
        <f t="shared" si="1"/>
        <v>0</v>
      </c>
      <c r="N17" s="944">
        <f t="shared" si="1"/>
        <v>0</v>
      </c>
      <c r="O17" s="944">
        <f t="shared" si="1"/>
        <v>0</v>
      </c>
      <c r="P17" s="944">
        <f t="shared" si="1"/>
        <v>0</v>
      </c>
      <c r="Q17" s="944">
        <f t="shared" si="1"/>
        <v>0</v>
      </c>
      <c r="R17" s="944">
        <f t="shared" si="1"/>
        <v>0</v>
      </c>
      <c r="S17" s="944">
        <f t="shared" si="1"/>
        <v>0</v>
      </c>
      <c r="T17" s="944">
        <f t="shared" si="1"/>
        <v>0.299792</v>
      </c>
      <c r="U17" s="944">
        <f t="shared" si="1"/>
        <v>0.299792</v>
      </c>
      <c r="V17" s="944">
        <f t="shared" si="1"/>
        <v>0.299792</v>
      </c>
      <c r="W17" s="944">
        <f t="shared" si="1"/>
        <v>1.1616939999999998</v>
      </c>
      <c r="X17" s="944">
        <f t="shared" si="1"/>
        <v>1.1616939999999998</v>
      </c>
      <c r="Y17" s="944">
        <f t="shared" si="1"/>
        <v>1.1616939999999998</v>
      </c>
      <c r="Z17" s="944">
        <f t="shared" si="1"/>
        <v>1.1616939999999998</v>
      </c>
      <c r="AA17" s="944">
        <f t="shared" si="1"/>
        <v>1.1616939999999998</v>
      </c>
      <c r="AB17" s="944">
        <f t="shared" si="1"/>
        <v>1.1616939999999998</v>
      </c>
      <c r="AC17" s="944">
        <f t="shared" si="1"/>
        <v>1.1616939999999998</v>
      </c>
      <c r="AD17" s="944">
        <f t="shared" si="1"/>
        <v>1.1616939999999998</v>
      </c>
      <c r="AE17" s="944">
        <f t="shared" si="2"/>
        <v>1.1616939999999998</v>
      </c>
    </row>
    <row r="18" spans="2:31">
      <c r="B18" s="934"/>
      <c r="C18" s="68">
        <v>2016</v>
      </c>
      <c r="D18" s="301">
        <f>'MOD-Berechnungen'!L61</f>
        <v>0.81799999999999995</v>
      </c>
      <c r="E18" s="304">
        <f>'MOD-Berechnungen'!L97</f>
        <v>3280</v>
      </c>
      <c r="F18" s="301">
        <v>194</v>
      </c>
      <c r="G18" s="301">
        <v>154</v>
      </c>
      <c r="H18" s="325">
        <v>39</v>
      </c>
      <c r="I18" s="627">
        <v>3</v>
      </c>
      <c r="J18" s="627">
        <v>1</v>
      </c>
      <c r="K18" s="944">
        <f t="shared" si="1"/>
        <v>0</v>
      </c>
      <c r="L18" s="944">
        <f t="shared" si="1"/>
        <v>0</v>
      </c>
      <c r="M18" s="944">
        <f t="shared" si="1"/>
        <v>0</v>
      </c>
      <c r="N18" s="944">
        <f t="shared" si="1"/>
        <v>0</v>
      </c>
      <c r="O18" s="944">
        <f t="shared" si="1"/>
        <v>0</v>
      </c>
      <c r="P18" s="944">
        <f t="shared" si="1"/>
        <v>0</v>
      </c>
      <c r="Q18" s="944">
        <f t="shared" si="1"/>
        <v>0</v>
      </c>
      <c r="R18" s="944">
        <f t="shared" si="1"/>
        <v>0</v>
      </c>
      <c r="S18" s="944">
        <f t="shared" si="1"/>
        <v>0</v>
      </c>
      <c r="T18" s="944">
        <f t="shared" si="1"/>
        <v>0</v>
      </c>
      <c r="U18" s="944">
        <f t="shared" si="1"/>
        <v>0.10732159999999999</v>
      </c>
      <c r="V18" s="944">
        <f t="shared" si="1"/>
        <v>0.10732159999999999</v>
      </c>
      <c r="W18" s="944">
        <f t="shared" si="1"/>
        <v>0.10732159999999999</v>
      </c>
      <c r="X18" s="944">
        <f t="shared" si="1"/>
        <v>0.41587119999999994</v>
      </c>
      <c r="Y18" s="944">
        <f t="shared" si="1"/>
        <v>0.41587119999999994</v>
      </c>
      <c r="Z18" s="944">
        <f t="shared" si="1"/>
        <v>0.41587119999999994</v>
      </c>
      <c r="AA18" s="944">
        <f t="shared" si="1"/>
        <v>0.41587119999999994</v>
      </c>
      <c r="AB18" s="944">
        <f t="shared" si="1"/>
        <v>0.41587119999999994</v>
      </c>
      <c r="AC18" s="944">
        <f t="shared" si="1"/>
        <v>0.41587119999999994</v>
      </c>
      <c r="AD18" s="944">
        <f t="shared" si="1"/>
        <v>0.41587119999999994</v>
      </c>
      <c r="AE18" s="944">
        <f t="shared" si="2"/>
        <v>0.41587119999999994</v>
      </c>
    </row>
    <row r="19" spans="2:31">
      <c r="B19" s="934"/>
      <c r="C19" s="68">
        <v>2017</v>
      </c>
      <c r="D19" s="301">
        <f>'MOD-Berechnungen'!M61</f>
        <v>1.306</v>
      </c>
      <c r="E19" s="304">
        <f>'MOD-Berechnungen'!M97</f>
        <v>3658</v>
      </c>
      <c r="F19" s="301">
        <v>194</v>
      </c>
      <c r="G19" s="301">
        <v>154</v>
      </c>
      <c r="H19" s="325">
        <v>39</v>
      </c>
      <c r="I19" s="627">
        <v>3</v>
      </c>
      <c r="J19" s="627">
        <v>1</v>
      </c>
      <c r="K19" s="944">
        <f t="shared" si="1"/>
        <v>0</v>
      </c>
      <c r="L19" s="944">
        <f t="shared" si="1"/>
        <v>0</v>
      </c>
      <c r="M19" s="944">
        <f t="shared" si="1"/>
        <v>0</v>
      </c>
      <c r="N19" s="944">
        <f t="shared" si="1"/>
        <v>0</v>
      </c>
      <c r="O19" s="944">
        <f t="shared" si="1"/>
        <v>0</v>
      </c>
      <c r="P19" s="944">
        <f t="shared" si="1"/>
        <v>0</v>
      </c>
      <c r="Q19" s="944">
        <f t="shared" si="1"/>
        <v>0</v>
      </c>
      <c r="R19" s="944">
        <f t="shared" si="1"/>
        <v>0</v>
      </c>
      <c r="S19" s="944">
        <f t="shared" si="1"/>
        <v>0</v>
      </c>
      <c r="T19" s="944">
        <f t="shared" si="1"/>
        <v>0</v>
      </c>
      <c r="U19" s="944">
        <f t="shared" si="1"/>
        <v>0</v>
      </c>
      <c r="V19" s="944">
        <f t="shared" si="1"/>
        <v>0.19109392</v>
      </c>
      <c r="W19" s="944">
        <f t="shared" si="1"/>
        <v>0.19109392</v>
      </c>
      <c r="X19" s="944">
        <f t="shared" si="1"/>
        <v>0.19109392</v>
      </c>
      <c r="Y19" s="944">
        <f t="shared" si="1"/>
        <v>0.7404889400000001</v>
      </c>
      <c r="Z19" s="944">
        <f t="shared" si="1"/>
        <v>0.7404889400000001</v>
      </c>
      <c r="AA19" s="944">
        <f t="shared" si="1"/>
        <v>0.7404889400000001</v>
      </c>
      <c r="AB19" s="944">
        <f t="shared" si="1"/>
        <v>0.7404889400000001</v>
      </c>
      <c r="AC19" s="944">
        <f t="shared" si="1"/>
        <v>0.7404889400000001</v>
      </c>
      <c r="AD19" s="944">
        <f t="shared" si="1"/>
        <v>0.7404889400000001</v>
      </c>
      <c r="AE19" s="944">
        <f t="shared" si="2"/>
        <v>0.7404889400000001</v>
      </c>
    </row>
    <row r="20" spans="2:31">
      <c r="B20" s="934"/>
      <c r="C20" s="68">
        <v>2018</v>
      </c>
      <c r="D20" s="301">
        <f>'MOD-Berechnungen'!N61</f>
        <v>0.95</v>
      </c>
      <c r="E20" s="304">
        <f>'MOD-Berechnungen'!N97</f>
        <v>3600</v>
      </c>
      <c r="F20" s="301">
        <v>184</v>
      </c>
      <c r="G20" s="301">
        <v>149</v>
      </c>
      <c r="H20" s="325">
        <v>39</v>
      </c>
      <c r="I20" s="627">
        <v>3</v>
      </c>
      <c r="J20" s="627">
        <v>0</v>
      </c>
      <c r="K20" s="944">
        <f t="shared" si="1"/>
        <v>0</v>
      </c>
      <c r="L20" s="944">
        <f t="shared" si="1"/>
        <v>0</v>
      </c>
      <c r="M20" s="944">
        <f t="shared" si="1"/>
        <v>0</v>
      </c>
      <c r="N20" s="944">
        <f t="shared" si="1"/>
        <v>0</v>
      </c>
      <c r="O20" s="944">
        <f t="shared" si="1"/>
        <v>0</v>
      </c>
      <c r="P20" s="944">
        <f t="shared" si="1"/>
        <v>0</v>
      </c>
      <c r="Q20" s="944">
        <f t="shared" si="1"/>
        <v>0</v>
      </c>
      <c r="R20" s="944">
        <f t="shared" si="1"/>
        <v>0</v>
      </c>
      <c r="S20" s="944">
        <f t="shared" si="1"/>
        <v>0</v>
      </c>
      <c r="T20" s="944">
        <f t="shared" si="1"/>
        <v>0</v>
      </c>
      <c r="U20" s="944">
        <f t="shared" si="1"/>
        <v>0</v>
      </c>
      <c r="V20" s="944">
        <f t="shared" si="1"/>
        <v>0</v>
      </c>
      <c r="W20" s="944">
        <f t="shared" si="1"/>
        <v>0</v>
      </c>
      <c r="X20" s="944">
        <f t="shared" si="1"/>
        <v>0</v>
      </c>
      <c r="Y20" s="944">
        <f t="shared" si="1"/>
        <v>0</v>
      </c>
      <c r="Z20" s="944">
        <f t="shared" si="1"/>
        <v>0</v>
      </c>
      <c r="AA20" s="944">
        <f t="shared" si="1"/>
        <v>0</v>
      </c>
      <c r="AB20" s="944">
        <f t="shared" si="1"/>
        <v>0</v>
      </c>
      <c r="AC20" s="944">
        <f t="shared" si="1"/>
        <v>0</v>
      </c>
      <c r="AD20" s="944">
        <f t="shared" si="1"/>
        <v>0.37619999999999998</v>
      </c>
      <c r="AE20" s="944">
        <f t="shared" si="2"/>
        <v>0.37619999999999998</v>
      </c>
    </row>
    <row r="21" spans="2:31">
      <c r="B21" s="934"/>
      <c r="C21" s="59">
        <v>2019</v>
      </c>
      <c r="D21" s="301">
        <f>'MOD-Berechnungen'!O61</f>
        <v>1.409</v>
      </c>
      <c r="E21" s="304">
        <f>'MOD-Berechnungen'!O97</f>
        <v>3518</v>
      </c>
      <c r="F21" s="301">
        <v>184</v>
      </c>
      <c r="G21" s="301">
        <v>149</v>
      </c>
      <c r="H21" s="325">
        <v>39</v>
      </c>
      <c r="I21" s="627">
        <v>3</v>
      </c>
      <c r="J21" s="627">
        <v>0</v>
      </c>
      <c r="K21" s="944">
        <f t="shared" si="1"/>
        <v>0</v>
      </c>
      <c r="L21" s="944">
        <f t="shared" si="1"/>
        <v>0</v>
      </c>
      <c r="M21" s="944">
        <f t="shared" si="1"/>
        <v>0</v>
      </c>
      <c r="N21" s="944">
        <f t="shared" si="1"/>
        <v>0</v>
      </c>
      <c r="O21" s="944">
        <f t="shared" si="1"/>
        <v>0</v>
      </c>
      <c r="P21" s="944">
        <f t="shared" si="1"/>
        <v>0</v>
      </c>
      <c r="Q21" s="944">
        <f t="shared" si="1"/>
        <v>0</v>
      </c>
      <c r="R21" s="944">
        <f t="shared" si="1"/>
        <v>0</v>
      </c>
      <c r="S21" s="944">
        <f t="shared" si="1"/>
        <v>0</v>
      </c>
      <c r="T21" s="944">
        <f t="shared" si="1"/>
        <v>0</v>
      </c>
      <c r="U21" s="944">
        <f t="shared" si="1"/>
        <v>0</v>
      </c>
      <c r="V21" s="944">
        <f t="shared" si="1"/>
        <v>0</v>
      </c>
      <c r="W21" s="944">
        <f t="shared" si="1"/>
        <v>0</v>
      </c>
      <c r="X21" s="944">
        <f t="shared" si="1"/>
        <v>0</v>
      </c>
      <c r="Y21" s="944">
        <f t="shared" si="1"/>
        <v>0</v>
      </c>
      <c r="Z21" s="944">
        <f t="shared" si="1"/>
        <v>0</v>
      </c>
      <c r="AA21" s="944">
        <f t="shared" si="1"/>
        <v>0</v>
      </c>
      <c r="AB21" s="944">
        <f t="shared" si="1"/>
        <v>0</v>
      </c>
      <c r="AC21" s="944">
        <f t="shared" si="1"/>
        <v>0</v>
      </c>
      <c r="AD21" s="944">
        <f t="shared" si="1"/>
        <v>0</v>
      </c>
      <c r="AE21" s="944">
        <f t="shared" si="2"/>
        <v>0.54525482000000003</v>
      </c>
    </row>
    <row r="22" spans="2:31">
      <c r="B22" s="937"/>
      <c r="C22" s="68">
        <v>2020</v>
      </c>
      <c r="D22" s="301">
        <f>'MOD-Berechnungen'!P61</f>
        <v>0</v>
      </c>
      <c r="E22" s="304">
        <f>'MOD-Berechnungen'!P97</f>
        <v>4278</v>
      </c>
      <c r="F22" s="301"/>
      <c r="G22" s="301">
        <v>144</v>
      </c>
      <c r="H22" s="325">
        <v>39</v>
      </c>
      <c r="I22" s="627">
        <v>3</v>
      </c>
      <c r="J22" s="627">
        <v>0</v>
      </c>
      <c r="K22" s="944">
        <f t="shared" si="1"/>
        <v>0</v>
      </c>
      <c r="L22" s="944">
        <f t="shared" si="1"/>
        <v>0</v>
      </c>
      <c r="M22" s="944">
        <f t="shared" si="1"/>
        <v>0</v>
      </c>
      <c r="N22" s="944">
        <f t="shared" si="1"/>
        <v>0</v>
      </c>
      <c r="O22" s="944">
        <f t="shared" si="1"/>
        <v>0</v>
      </c>
      <c r="P22" s="944">
        <f t="shared" si="1"/>
        <v>0</v>
      </c>
      <c r="Q22" s="944">
        <f t="shared" si="1"/>
        <v>0</v>
      </c>
      <c r="R22" s="944">
        <f t="shared" si="1"/>
        <v>0</v>
      </c>
      <c r="S22" s="944">
        <f t="shared" si="1"/>
        <v>0</v>
      </c>
      <c r="T22" s="944">
        <f t="shared" si="1"/>
        <v>0</v>
      </c>
      <c r="U22" s="944">
        <f t="shared" si="1"/>
        <v>0</v>
      </c>
      <c r="V22" s="944">
        <f t="shared" si="1"/>
        <v>0</v>
      </c>
      <c r="W22" s="944">
        <f t="shared" si="1"/>
        <v>0</v>
      </c>
      <c r="X22" s="944">
        <f t="shared" si="1"/>
        <v>0</v>
      </c>
      <c r="Y22" s="944">
        <f t="shared" si="1"/>
        <v>0</v>
      </c>
      <c r="Z22" s="944">
        <f t="shared" si="1"/>
        <v>0</v>
      </c>
      <c r="AA22" s="944">
        <f t="shared" si="1"/>
        <v>0</v>
      </c>
      <c r="AB22" s="944">
        <f t="shared" si="1"/>
        <v>0</v>
      </c>
      <c r="AC22" s="944">
        <f t="shared" si="1"/>
        <v>0</v>
      </c>
      <c r="AD22" s="944">
        <f t="shared" si="1"/>
        <v>0</v>
      </c>
      <c r="AE22" s="944">
        <f t="shared" si="2"/>
        <v>0</v>
      </c>
    </row>
    <row r="23" spans="2:31" s="556" customFormat="1" ht="14.4">
      <c r="C23" s="557"/>
      <c r="D23" s="558"/>
      <c r="E23" s="558"/>
      <c r="F23" s="558"/>
      <c r="G23" s="558"/>
      <c r="H23" s="558"/>
      <c r="I23" s="558"/>
      <c r="J23" s="555"/>
      <c r="K23" s="555"/>
      <c r="L23" s="555"/>
      <c r="M23" s="555"/>
      <c r="N23" s="555"/>
      <c r="O23" s="555"/>
      <c r="P23" s="555"/>
      <c r="Q23" s="555"/>
      <c r="R23" s="555"/>
      <c r="S23" s="555"/>
      <c r="T23" s="555"/>
      <c r="U23" s="555"/>
      <c r="V23" s="555"/>
      <c r="W23" s="555"/>
      <c r="X23" s="555"/>
      <c r="Y23" s="555"/>
    </row>
    <row r="24" spans="2:31" ht="14.4">
      <c r="C24" s="557"/>
    </row>
    <row r="25" spans="2:31" ht="14.4">
      <c r="C25" s="557"/>
    </row>
    <row r="26" spans="2:31" ht="14.4">
      <c r="C26" s="557"/>
    </row>
    <row r="27" spans="2:31" ht="14.4">
      <c r="C27" s="557"/>
      <c r="D27" s="1105"/>
      <c r="E27" s="577"/>
      <c r="F27" s="577"/>
      <c r="G27" s="577"/>
      <c r="H27" s="577"/>
      <c r="I27" s="577"/>
      <c r="J27" s="577"/>
      <c r="K27" s="577"/>
      <c r="L27" s="577"/>
      <c r="M27" s="577"/>
      <c r="N27" s="577"/>
      <c r="O27" s="577"/>
      <c r="P27" s="577"/>
      <c r="Q27" s="577"/>
      <c r="R27" s="577"/>
      <c r="S27" s="577"/>
      <c r="T27" s="577"/>
      <c r="U27" s="577"/>
      <c r="V27" s="577"/>
      <c r="W27" s="577"/>
      <c r="X27" s="577"/>
      <c r="Y27" s="577"/>
      <c r="Z27" s="577"/>
      <c r="AA27" s="577"/>
      <c r="AB27" s="577"/>
      <c r="AC27" s="577"/>
      <c r="AD27" s="577"/>
    </row>
    <row r="28" spans="2:31" s="556" customFormat="1" ht="14.4">
      <c r="C28" s="557"/>
      <c r="E28" s="324"/>
      <c r="F28" s="324"/>
      <c r="G28" s="324"/>
      <c r="H28" s="324"/>
      <c r="I28" s="324"/>
      <c r="J28" s="324"/>
      <c r="K28" s="324"/>
      <c r="L28" s="324"/>
      <c r="M28" s="324"/>
      <c r="N28" s="324"/>
      <c r="O28" s="324"/>
      <c r="P28" s="324"/>
      <c r="Q28" s="324"/>
      <c r="R28" s="324"/>
      <c r="S28" s="324"/>
      <c r="T28" s="324"/>
      <c r="U28" s="324"/>
      <c r="V28" s="324"/>
      <c r="W28" s="324"/>
      <c r="X28" s="324"/>
      <c r="Y28" s="324"/>
      <c r="Z28" s="324"/>
      <c r="AA28" s="324"/>
      <c r="AB28" s="324"/>
    </row>
    <row r="29" spans="2:31" ht="14.4">
      <c r="C29" s="557"/>
    </row>
    <row r="30" spans="2:31" ht="14.4">
      <c r="C30" s="557"/>
      <c r="D30" s="1106"/>
      <c r="E30" s="1107"/>
    </row>
    <row r="31" spans="2:31" ht="14.4">
      <c r="C31" s="576"/>
      <c r="D31" s="1108"/>
      <c r="E31" s="1108"/>
      <c r="F31" s="576"/>
      <c r="G31" s="576"/>
      <c r="H31" s="576"/>
      <c r="I31" s="576"/>
      <c r="J31" s="576"/>
      <c r="K31" s="576"/>
      <c r="L31" s="576"/>
      <c r="M31" s="576"/>
      <c r="N31" s="576"/>
      <c r="O31" s="576"/>
      <c r="P31" s="576"/>
      <c r="Q31" s="576"/>
      <c r="R31" s="576"/>
      <c r="S31" s="576"/>
      <c r="T31" s="576"/>
      <c r="U31" s="576"/>
      <c r="V31" s="576"/>
      <c r="W31" s="576"/>
      <c r="X31" s="576"/>
      <c r="Y31" s="576"/>
      <c r="Z31" s="576"/>
      <c r="AA31" s="576"/>
      <c r="AB31" s="576"/>
      <c r="AC31" s="576"/>
      <c r="AD31" s="576"/>
    </row>
    <row r="32" spans="2:31" ht="14.4">
      <c r="C32" s="557"/>
      <c r="D32" s="1109"/>
      <c r="E32" s="1109"/>
      <c r="F32" s="578"/>
      <c r="G32" s="578"/>
      <c r="H32" s="578"/>
      <c r="I32" s="578"/>
      <c r="J32" s="578"/>
      <c r="K32" s="578"/>
      <c r="L32" s="578"/>
      <c r="M32" s="578"/>
      <c r="N32" s="578"/>
      <c r="O32" s="578"/>
      <c r="P32" s="578"/>
      <c r="Q32" s="578"/>
      <c r="R32" s="578"/>
      <c r="S32" s="578"/>
      <c r="T32" s="578"/>
      <c r="U32" s="578"/>
      <c r="V32" s="578"/>
      <c r="W32" s="578"/>
      <c r="X32" s="578"/>
      <c r="Y32" s="578"/>
      <c r="Z32" s="578"/>
      <c r="AA32" s="578"/>
      <c r="AB32" s="578"/>
      <c r="AC32" s="578"/>
      <c r="AD32" s="578"/>
      <c r="AE32" s="578"/>
    </row>
    <row r="33" spans="3:5" ht="14.4">
      <c r="C33" s="557"/>
      <c r="D33" s="1107"/>
      <c r="E33" s="1107"/>
    </row>
    <row r="34" spans="3:5" ht="14.4">
      <c r="C34" s="557"/>
      <c r="D34" s="1107"/>
      <c r="E34" s="1106"/>
    </row>
    <row r="35" spans="3:5" ht="14.4">
      <c r="C35" s="557"/>
      <c r="D35" s="1107"/>
      <c r="E35" s="1107"/>
    </row>
    <row r="36" spans="3:5" ht="14.4">
      <c r="C36" s="557"/>
      <c r="D36" s="1107"/>
      <c r="E36" s="1107"/>
    </row>
    <row r="37" spans="3:5" ht="14.4">
      <c r="C37" s="557"/>
    </row>
    <row r="38" spans="3:5" ht="14.4">
      <c r="C38" s="557"/>
    </row>
    <row r="39" spans="3:5" ht="14.4">
      <c r="C39" s="557"/>
    </row>
    <row r="40" spans="3:5" ht="14.4">
      <c r="C40" s="557"/>
    </row>
    <row r="41" spans="3:5" ht="14.4">
      <c r="C41" s="557"/>
    </row>
    <row r="42" spans="3:5" ht="14.4">
      <c r="C42" s="557"/>
    </row>
    <row r="43" spans="3:5" ht="14.4">
      <c r="C43" s="557"/>
    </row>
    <row r="44" spans="3:5" ht="14.4">
      <c r="C44" s="557"/>
    </row>
    <row r="45" spans="3:5" ht="14.4">
      <c r="C45" s="557"/>
    </row>
    <row r="46" spans="3:5" ht="14.4">
      <c r="C46" s="557"/>
    </row>
    <row r="47" spans="3:5" ht="14.4">
      <c r="C47" s="557"/>
    </row>
    <row r="48" spans="3:5" ht="14.4">
      <c r="C48" s="557"/>
    </row>
    <row r="49" spans="3:3" ht="14.4">
      <c r="C49" s="557"/>
    </row>
    <row r="50" spans="3:3" ht="14.4">
      <c r="C50" s="557"/>
    </row>
    <row r="51" spans="3:3" ht="14.4">
      <c r="C51" s="557"/>
    </row>
    <row r="52" spans="3:3" ht="14.4">
      <c r="C52" s="557"/>
    </row>
    <row r="53" spans="3:3" ht="14.4">
      <c r="C53" s="557"/>
    </row>
    <row r="54" spans="3:3" ht="14.4">
      <c r="C54" s="557"/>
    </row>
    <row r="55" spans="3:3" ht="14.4">
      <c r="C55" s="557"/>
    </row>
    <row r="56" spans="3:3" ht="14.4">
      <c r="C56" s="557"/>
    </row>
    <row r="57" spans="3:3" ht="14.4">
      <c r="C57" s="557"/>
    </row>
    <row r="58" spans="3:3" ht="14.4">
      <c r="C58" s="557"/>
    </row>
    <row r="59" spans="3:3" ht="14.4">
      <c r="C59" s="557"/>
    </row>
  </sheetData>
  <pageMargins left="0.7" right="0.7" top="0.78740157499999996" bottom="0.78740157499999996"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ellIs" priority="9" operator="greaterThanOrEqual" id="{1E30B75E-9D34-4A62-80F7-5053EAEEEDDB}">
            <xm:f>ControlPanel!$D$59-1</xm:f>
            <x14:dxf>
              <font>
                <color rgb="FF9C6500"/>
              </font>
              <fill>
                <patternFill>
                  <fgColor indexed="64"/>
                  <bgColor rgb="FFFFEB9C"/>
                </patternFill>
              </fill>
            </x14:dxf>
          </x14:cfRule>
          <x14:cfRule type="cellIs" priority="10" operator="lessThan" id="{2BEB4960-35A9-4490-980E-2D535A5EC216}">
            <xm:f>ControlPanel!$D$59-1</xm:f>
            <x14:dxf>
              <font>
                <color rgb="FF006100"/>
              </font>
              <fill>
                <patternFill>
                  <fgColor indexed="64"/>
                  <bgColor rgb="FFC6EFCE"/>
                </patternFill>
              </fill>
            </x14:dxf>
          </x14:cfRule>
          <xm:sqref>K3:AE3 C12:C17</xm:sqref>
        </x14:conditionalFormatting>
        <x14:conditionalFormatting xmlns:xm="http://schemas.microsoft.com/office/excel/2006/main">
          <x14:cfRule type="cellIs" priority="11" operator="greaterThanOrEqual" id="{FCB2412F-3F68-475F-9033-A06B8EEF427D}">
            <xm:f>ControlPanel!$D$59-1</xm:f>
            <x14:dxf>
              <font>
                <color rgb="FF9C6500"/>
              </font>
              <fill>
                <patternFill>
                  <fgColor indexed="64"/>
                  <bgColor rgb="FFFFEB9C"/>
                </patternFill>
              </fill>
            </x14:dxf>
          </x14:cfRule>
          <x14:cfRule type="cellIs" priority="12" operator="lessThan" id="{9F90CD01-5BEA-4279-ABB5-70F777BBC635}">
            <xm:f>ControlPanel!$D$59-1</xm:f>
            <x14:dxf>
              <font>
                <color rgb="FF006100"/>
              </font>
              <fill>
                <patternFill>
                  <fgColor indexed="64"/>
                  <bgColor rgb="FFC6EFCE"/>
                </patternFill>
              </fill>
            </x14:dxf>
          </x14:cfRule>
          <xm:sqref>C18:C21</xm:sqref>
        </x14:conditionalFormatting>
        <x14:conditionalFormatting xmlns:xm="http://schemas.microsoft.com/office/excel/2006/main">
          <x14:cfRule type="cellIs" priority="7" operator="greaterThanOrEqual" id="{A2D3F2A8-8CD6-4E8F-8D41-D7ED878081B6}">
            <xm:f>ControlPanel!$D$59-1</xm:f>
            <x14:dxf>
              <font>
                <color rgb="FF9C6500"/>
              </font>
              <fill>
                <patternFill>
                  <fgColor indexed="64"/>
                  <bgColor rgb="FFFFEB9C"/>
                </patternFill>
              </fill>
            </x14:dxf>
          </x14:cfRule>
          <x14:cfRule type="cellIs" priority="8" operator="lessThan" id="{C6DEB167-AE70-4A37-8D8F-A3C82DED0A06}">
            <xm:f>ControlPanel!$D$59-1</xm:f>
            <x14:dxf>
              <font>
                <color rgb="FF006100"/>
              </font>
              <fill>
                <patternFill>
                  <fgColor indexed="64"/>
                  <bgColor rgb="FFC6EFCE"/>
                </patternFill>
              </fill>
            </x14:dxf>
          </x14:cfRule>
          <xm:sqref>K9:AE9</xm:sqref>
        </x14:conditionalFormatting>
        <x14:conditionalFormatting xmlns:xm="http://schemas.microsoft.com/office/excel/2006/main">
          <x14:cfRule type="cellIs" priority="1" operator="greaterThanOrEqual" id="{357B44B6-2310-446C-845C-C9F29083BB02}">
            <xm:f>ControlPanel!$D$59-1</xm:f>
            <x14:dxf>
              <font>
                <color rgb="FF9C6500"/>
              </font>
              <fill>
                <patternFill>
                  <fgColor indexed="64"/>
                  <bgColor rgb="FFFFEB9C"/>
                </patternFill>
              </fill>
            </x14:dxf>
          </x14:cfRule>
          <x14:cfRule type="cellIs" priority="2" operator="lessThan" id="{B6CE56C5-BEC1-47F4-B27F-3DEF2E850437}">
            <xm:f>ControlPanel!$D$59-1</xm:f>
            <x14:dxf>
              <font>
                <color rgb="FF006100"/>
              </font>
              <fill>
                <patternFill>
                  <fgColor indexed="64"/>
                  <bgColor rgb="FFC6EFCE"/>
                </patternFill>
              </fill>
            </x14:dxf>
          </x14:cfRule>
          <xm:sqref>C22</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30">
    <tabColor theme="9" tint="0.39997558519241921"/>
  </sheetPr>
  <dimension ref="A1:AG1191"/>
  <sheetViews>
    <sheetView zoomScaleNormal="100" workbookViewId="0">
      <pane xSplit="6" ySplit="4" topLeftCell="G5" activePane="bottomRight" state="frozen"/>
      <selection activeCell="I45" sqref="I45"/>
      <selection pane="topRight" activeCell="I45" sqref="I45"/>
      <selection pane="bottomLeft" activeCell="I45" sqref="I45"/>
      <selection pane="bottomRight" activeCell="E24" sqref="E24"/>
    </sheetView>
  </sheetViews>
  <sheetFormatPr defaultColWidth="11.5546875" defaultRowHeight="13.2" outlineLevelCol="2"/>
  <cols>
    <col min="1" max="1" width="3.6640625" style="9" customWidth="1"/>
    <col min="2" max="2" width="13" style="9" customWidth="1"/>
    <col min="3" max="3" width="14.33203125" style="9" customWidth="1"/>
    <col min="4" max="4" width="6.109375" style="10" customWidth="1" outlineLevel="2"/>
    <col min="5" max="5" width="40.6640625" style="10" customWidth="1"/>
    <col min="6" max="6" width="43.33203125" style="10" customWidth="1"/>
    <col min="7" max="14" width="8.6640625" style="9" customWidth="1"/>
    <col min="15" max="32" width="8.6640625" style="9" customWidth="1" outlineLevel="1"/>
    <col min="33" max="16384" width="11.5546875" style="9"/>
  </cols>
  <sheetData>
    <row r="1" spans="1:33">
      <c r="A1" s="41" t="s">
        <v>74</v>
      </c>
      <c r="B1" s="61" t="s">
        <v>786</v>
      </c>
      <c r="C1" s="61"/>
      <c r="D1" s="19"/>
      <c r="E1" s="19"/>
      <c r="F1" s="19"/>
    </row>
    <row r="2" spans="1:33">
      <c r="B2" s="37"/>
    </row>
    <row r="3" spans="1:33" ht="15" customHeight="1">
      <c r="B3" s="62"/>
      <c r="C3" s="62" t="s">
        <v>787</v>
      </c>
      <c r="D3" s="18" t="s">
        <v>788</v>
      </c>
      <c r="E3" s="314" t="s">
        <v>789</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3"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3" ht="15" customHeight="1" thickBot="1">
      <c r="B5" s="67"/>
      <c r="C5" s="63"/>
      <c r="E5" s="16"/>
      <c r="G5" s="323" t="s">
        <v>17</v>
      </c>
      <c r="H5" s="323" t="s">
        <v>17</v>
      </c>
      <c r="I5" s="323" t="s">
        <v>17</v>
      </c>
      <c r="J5" s="323" t="s">
        <v>17</v>
      </c>
      <c r="K5" s="323" t="s">
        <v>17</v>
      </c>
      <c r="L5" s="323" t="s">
        <v>17</v>
      </c>
      <c r="M5" s="323" t="s">
        <v>17</v>
      </c>
      <c r="N5" s="323" t="s">
        <v>17</v>
      </c>
      <c r="O5" s="323" t="s">
        <v>17</v>
      </c>
      <c r="P5" s="323" t="s">
        <v>17</v>
      </c>
      <c r="Q5" s="323" t="s">
        <v>17</v>
      </c>
      <c r="R5" s="323" t="s">
        <v>17</v>
      </c>
      <c r="S5" s="323" t="s">
        <v>17</v>
      </c>
      <c r="T5" s="323" t="s">
        <v>17</v>
      </c>
      <c r="U5" s="323" t="s">
        <v>17</v>
      </c>
      <c r="V5" s="323" t="s">
        <v>17</v>
      </c>
      <c r="W5" s="323" t="s">
        <v>17</v>
      </c>
      <c r="X5" s="323" t="s">
        <v>17</v>
      </c>
      <c r="Y5" s="323" t="s">
        <v>17</v>
      </c>
      <c r="Z5" s="323" t="s">
        <v>17</v>
      </c>
      <c r="AA5" s="323" t="s">
        <v>17</v>
      </c>
      <c r="AB5" s="323" t="s">
        <v>17</v>
      </c>
      <c r="AC5" s="323" t="s">
        <v>17</v>
      </c>
      <c r="AD5" s="323" t="s">
        <v>17</v>
      </c>
      <c r="AE5" s="323" t="s">
        <v>17</v>
      </c>
      <c r="AF5" s="323" t="s">
        <v>17</v>
      </c>
    </row>
    <row r="6" spans="1:33" ht="15" customHeight="1" thickBot="1">
      <c r="B6" s="166" t="s">
        <v>529</v>
      </c>
      <c r="C6" s="175" t="str">
        <f>ControlPanel!L13</f>
        <v>Référence</v>
      </c>
      <c r="D6" s="15" t="str">
        <f>VLOOKUP($C$6,$C$13:$AF$37,2,FALSE)</f>
        <v>dr</v>
      </c>
      <c r="E6" s="15" t="str">
        <f>VLOOKUP($C$6,$C$13:$AF$37,3,FALSE)</f>
        <v>EEG 2017</v>
      </c>
      <c r="F6" s="15" t="str">
        <f>VLOOKUP($C$6,$C$13:$AF$37,4,FALSE)</f>
        <v>gem. EEG 2017 (0,5%/a Degression)</v>
      </c>
      <c r="G6" s="42">
        <f>IF(G$4&lt;ControlPanel!$D$59,VLOOKUP("Référence",$C$13:$AF$37,G$4-$G$4+5,FALSE),VLOOKUP($C$6,$C$13:$AF$37,G$4-$G$4+5,FALSE))</f>
        <v>0</v>
      </c>
      <c r="H6" s="42">
        <f>IF(H$4&lt;ControlPanel!$D$59,VLOOKUP("Référence",$C$13:$AF$37,H$4-$G$4+5,FALSE),VLOOKUP($C$6,$C$13:$AF$37,H$4-$G$4+5,FALSE))</f>
        <v>0</v>
      </c>
      <c r="I6" s="42">
        <f>IF(I$4&lt;ControlPanel!$D$59,VLOOKUP("Référence",$C$13:$AF$37,I$4-$G$4+5,FALSE),VLOOKUP($C$6,$C$13:$AF$37,I$4-$G$4+5,FALSE))</f>
        <v>0</v>
      </c>
      <c r="J6" s="42">
        <f>IF(J$4&lt;ControlPanel!$D$59,VLOOKUP("Référence",$C$13:$AF$37,J$4-$G$4+5,FALSE),VLOOKUP($C$6,$C$13:$AF$37,J$4-$G$4+5,FALSE))</f>
        <v>0</v>
      </c>
      <c r="K6" s="42">
        <f>IF(K$4&lt;ControlPanel!$D$59,VLOOKUP("Référence",$C$13:$AF$37,K$4-$G$4+5,FALSE),VLOOKUP($C$6,$C$13:$AF$37,K$4-$G$4+5,FALSE))</f>
        <v>0</v>
      </c>
      <c r="L6" s="42">
        <f>IF(L$4&lt;ControlPanel!$D$59,VLOOKUP("Référence",$C$13:$AF$37,L$4-$G$4+5,FALSE),VLOOKUP($C$6,$C$13:$AF$37,L$4-$G$4+5,FALSE))</f>
        <v>115.67111231527093</v>
      </c>
      <c r="M6" s="42">
        <f>IF(M$4&lt;ControlPanel!$D$59,VLOOKUP("Référence",$C$13:$AF$37,M$4-$G$4+5,FALSE),VLOOKUP($C$6,$C$13:$AF$37,M$4-$G$4+5,FALSE))</f>
        <v>118.57143532657497</v>
      </c>
      <c r="N6" s="42">
        <f>IF(N$4&lt;ControlPanel!$D$59,VLOOKUP("Référence",$C$13:$AF$37,N$4-$G$4+5,FALSE),VLOOKUP($C$6,$C$13:$AF$37,N$4-$G$4+5,FALSE))</f>
        <v>119.06888980183719</v>
      </c>
      <c r="O6" s="42">
        <f>IF(O$4&lt;ControlPanel!$D$59,VLOOKUP("Référence",$C$13:$AF$37,O$4-$G$4+5,FALSE),VLOOKUP($C$6,$C$13:$AF$37,O$4-$G$4+5,FALSE))</f>
        <v>116.72270478111133</v>
      </c>
      <c r="P6" s="42">
        <f>IF(P$4&lt;ControlPanel!$D$59,VLOOKUP("Référence",$C$13:$AF$37,P$4-$G$4+5,FALSE),VLOOKUP($C$6,$C$13:$AF$37,P$4-$G$4+5,FALSE))</f>
        <v>114.42275000709931</v>
      </c>
      <c r="Q6" s="42">
        <f>IF(Q$4&lt;ControlPanel!$D$59,VLOOKUP("Référence",$C$13:$AF$37,Q$4-$G$4+5,FALSE),VLOOKUP($C$6,$C$13:$AF$37,Q$4-$G$4+5,FALSE))</f>
        <v>112.16811453897915</v>
      </c>
      <c r="R6" s="42">
        <f>IF(R$4&lt;ControlPanel!$D$59,VLOOKUP("Référence",$C$13:$AF$37,R$4-$G$4+5,FALSE),VLOOKUP($C$6,$C$13:$AF$37,R$4-$G$4+5,FALSE))</f>
        <v>109.95790538550175</v>
      </c>
      <c r="S6" s="42">
        <f>IF(S$4&lt;ControlPanel!$D$59,VLOOKUP("Référence",$C$13:$AF$37,S$4-$G$4+5,FALSE),VLOOKUP($C$6,$C$13:$AF$37,S$4-$G$4+5,FALSE))</f>
        <v>107.79124715130467</v>
      </c>
      <c r="T6" s="42">
        <f>IF(T$4&lt;ControlPanel!$D$59,VLOOKUP("Référence",$C$13:$AF$37,T$4-$G$4+5,FALSE),VLOOKUP($C$6,$C$13:$AF$37,T$4-$G$4+5,FALSE))</f>
        <v>105.66728169019525</v>
      </c>
      <c r="U6" s="42">
        <f>IF(U$4&lt;ControlPanel!$D$59,VLOOKUP("Référence",$C$13:$AF$37,U$4-$G$4+5,FALSE),VLOOKUP($C$6,$C$13:$AF$37,U$4-$G$4+5,FALSE))</f>
        <v>103.58516776526531</v>
      </c>
      <c r="V6" s="42">
        <f>IF(V$4&lt;ControlPanel!$D$59,VLOOKUP("Référence",$C$13:$AF$37,V$4-$G$4+5,FALSE),VLOOKUP($C$6,$C$13:$AF$37,V$4-$G$4+5,FALSE))</f>
        <v>101.54408071570344</v>
      </c>
      <c r="W6" s="42">
        <f>IF(W$4&lt;ControlPanel!$D$59,VLOOKUP("Référence",$C$13:$AF$37,W$4-$G$4+5,FALSE),VLOOKUP($C$6,$C$13:$AF$37,W$4-$G$4+5,FALSE))</f>
        <v>99.54321213017235</v>
      </c>
      <c r="X6" s="42">
        <f>IF(X$4&lt;ControlPanel!$D$59,VLOOKUP("Référence",$C$13:$AF$37,X$4-$G$4+5,FALSE),VLOOKUP($C$6,$C$13:$AF$37,X$4-$G$4+5,FALSE))</f>
        <v>97.581769526622168</v>
      </c>
      <c r="Y6" s="42">
        <f>IF(Y$4&lt;ControlPanel!$D$59,VLOOKUP("Référence",$C$13:$AF$37,Y$4-$G$4+5,FALSE),VLOOKUP($C$6,$C$13:$AF$37,Y$4-$G$4+5,FALSE))</f>
        <v>95.658976038412874</v>
      </c>
      <c r="Z6" s="42">
        <f>IF(Z$4&lt;ControlPanel!$D$59,VLOOKUP("Référence",$C$13:$AF$37,Z$4-$G$4+5,FALSE),VLOOKUP($C$6,$C$13:$AF$37,Z$4-$G$4+5,FALSE))</f>
        <v>93.774070106621494</v>
      </c>
      <c r="AA6" s="42">
        <f>IF(AA$4&lt;ControlPanel!$D$59,VLOOKUP("Référence",$C$13:$AF$37,AA$4-$G$4+5,FALSE),VLOOKUP($C$6,$C$13:$AF$37,AA$4-$G$4+5,FALSE))</f>
        <v>91.926305178412207</v>
      </c>
      <c r="AB6" s="42">
        <f>IF(AB$4&lt;ControlPanel!$D$59,VLOOKUP("Référence",$C$13:$AF$37,AB$4-$G$4+5,FALSE),VLOOKUP($C$6,$C$13:$AF$37,AB$4-$G$4+5,FALSE))</f>
        <v>90.114949411349897</v>
      </c>
      <c r="AC6" s="42">
        <f>IF(AC$4&lt;ControlPanel!$D$59,VLOOKUP("Référence",$C$13:$AF$37,AC$4-$G$4+5,FALSE),VLOOKUP($C$6,$C$13:$AF$37,AC$4-$G$4+5,FALSE))</f>
        <v>88.339285383540059</v>
      </c>
      <c r="AD6" s="42">
        <f>IF(AD$4&lt;ControlPanel!$D$59,VLOOKUP("Référence",$C$13:$AF$37,AD$4-$G$4+5,FALSE),VLOOKUP($C$6,$C$13:$AF$37,AD$4-$G$4+5,FALSE))</f>
        <v>86.598609809480166</v>
      </c>
      <c r="AE6" s="42">
        <f>IF(AE$4&lt;ControlPanel!$D$59,VLOOKUP("Référence",$C$13:$AF$37,AE$4-$G$4+5,FALSE),VLOOKUP($C$6,$C$13:$AF$37,AE$4-$G$4+5,FALSE))</f>
        <v>84.892233261510128</v>
      </c>
      <c r="AF6" s="42">
        <f>IF(AF$4&lt;ControlPanel!$D$59,VLOOKUP("Référence",$C$13:$AF$37,AF$4-$G$4+5,FALSE),VLOOKUP($C$6,$C$13:$AF$37,AF$4-$G$4+5,FALSE))</f>
        <v>83.219479896751309</v>
      </c>
    </row>
    <row r="7" spans="1:33" ht="15" customHeight="1" thickBot="1">
      <c r="B7" s="165" t="s">
        <v>349</v>
      </c>
      <c r="C7" s="175" t="str">
        <f>ControlPanel!L14</f>
        <v>Référence</v>
      </c>
      <c r="D7" s="15" t="str">
        <f>VLOOKUP($C$7,$C$39:$AF$63,2,FALSE)</f>
        <v>dr</v>
      </c>
      <c r="E7" s="15" t="str">
        <f>VLOOKUP($C$7,$C$39:$AF$63,3,FALSE)</f>
        <v>EEG 2017</v>
      </c>
      <c r="F7" s="15" t="str">
        <f>VLOOKUP($C$7,$C$39:$AF$63,4,FALSE)</f>
        <v>gem. EEG 2017 (1,5%/a Degression)</v>
      </c>
      <c r="G7" s="42">
        <f>IF(G$4&lt;ControlPanel!$D$59,VLOOKUP("Référence",$C$39:$AF$63,G$4-$G$4+5,FALSE),VLOOKUP($C$7,$C$39:$AF$63,G$4-$G$4+5,FALSE))</f>
        <v>0</v>
      </c>
      <c r="H7" s="42">
        <f>IF(H$4&lt;ControlPanel!$D$59,VLOOKUP("Référence",$C$39:$AF$63,H$4-$G$4+5,FALSE),VLOOKUP($C$7,$C$39:$AF$63,H$4-$G$4+5,FALSE))</f>
        <v>0</v>
      </c>
      <c r="I7" s="42">
        <f>IF(I$4&lt;ControlPanel!$D$59,VLOOKUP("Référence",$C$39:$AF$63,I$4-$G$4+5,FALSE),VLOOKUP($C$7,$C$39:$AF$63,I$4-$G$4+5,FALSE))</f>
        <v>0</v>
      </c>
      <c r="J7" s="42">
        <f>IF(J$4&lt;ControlPanel!$D$59,VLOOKUP("Référence",$C$39:$AF$63,J$4-$G$4+5,FALSE),VLOOKUP($C$7,$C$39:$AF$63,J$4-$G$4+5,FALSE))</f>
        <v>0</v>
      </c>
      <c r="K7" s="42">
        <f>IF(K$4&lt;ControlPanel!$D$59,VLOOKUP("Référence",$C$39:$AF$63,K$4-$G$4+5,FALSE),VLOOKUP($C$7,$C$39:$AF$63,K$4-$G$4+5,FALSE))</f>
        <v>0</v>
      </c>
      <c r="L7" s="42">
        <f>IF(L$4&lt;ControlPanel!$D$59,VLOOKUP("Référence",$C$39:$AF$63,L$4-$G$4+5,FALSE),VLOOKUP($C$7,$C$39:$AF$63,L$4-$G$4+5,FALSE))</f>
        <v>80.973162315270926</v>
      </c>
      <c r="M7" s="42">
        <f>IF(M$4&lt;ControlPanel!$D$59,VLOOKUP("Référence",$C$39:$AF$63,M$4-$G$4+5,FALSE),VLOOKUP($C$7,$C$39:$AF$63,M$4-$G$4+5,FALSE))</f>
        <v>82.169267504056208</v>
      </c>
      <c r="N7" s="42">
        <f>IF(N$4&lt;ControlPanel!$D$59,VLOOKUP("Référence",$C$39:$AF$63,N$4-$G$4+5,FALSE),VLOOKUP($C$7,$C$39:$AF$63,N$4-$G$4+5,FALSE))</f>
        <v>66.755592908240772</v>
      </c>
      <c r="O7" s="42">
        <f>IF(O$4&lt;ControlPanel!$D$59,VLOOKUP("Référence",$C$39:$AF$63,O$4-$G$4+5,FALSE),VLOOKUP($C$7,$C$39:$AF$63,O$4-$G$4+5,FALSE))</f>
        <v>64.782521196667162</v>
      </c>
      <c r="P7" s="42">
        <f>IF(P$4&lt;ControlPanel!$D$59,VLOOKUP("Référence",$C$39:$AF$63,P$4-$G$4+5,FALSE),VLOOKUP($C$7,$C$39:$AF$63,P$4-$G$4+5,FALSE))</f>
        <v>62.867766875583413</v>
      </c>
      <c r="Q7" s="42">
        <f>IF(Q$4&lt;ControlPanel!$D$59,VLOOKUP("Référence",$C$39:$AF$63,Q$4-$G$4+5,FALSE),VLOOKUP($C$7,$C$39:$AF$63,Q$4-$G$4+5,FALSE))</f>
        <v>61.009606278275527</v>
      </c>
      <c r="R7" s="42">
        <f>IF(R$4&lt;ControlPanel!$D$59,VLOOKUP("Référence",$C$39:$AF$63,R$4-$G$4+5,FALSE),VLOOKUP($C$7,$C$39:$AF$63,R$4-$G$4+5,FALSE))</f>
        <v>59.206366683843747</v>
      </c>
      <c r="S7" s="42">
        <f>IF(S$4&lt;ControlPanel!$D$59,VLOOKUP("Référence",$C$39:$AF$63,S$4-$G$4+5,FALSE),VLOOKUP($C$7,$C$39:$AF$63,S$4-$G$4+5,FALSE))</f>
        <v>57.456424811414877</v>
      </c>
      <c r="T7" s="42">
        <f>IF(T$4&lt;ControlPanel!$D$59,VLOOKUP("Référence",$C$39:$AF$63,T$4-$G$4+5,FALSE),VLOOKUP($C$7,$C$39:$AF$63,T$4-$G$4+5,FALSE))</f>
        <v>55.758205358860749</v>
      </c>
      <c r="U7" s="42">
        <f>IF(U$4&lt;ControlPanel!$D$59,VLOOKUP("Référence",$C$39:$AF$63,U$4-$G$4+5,FALSE),VLOOKUP($C$7,$C$39:$AF$63,U$4-$G$4+5,FALSE))</f>
        <v>54.110179584707232</v>
      </c>
      <c r="V7" s="42">
        <f>IF(V$4&lt;ControlPanel!$D$59,VLOOKUP("Référence",$C$39:$AF$63,V$4-$G$4+5,FALSE),VLOOKUP($C$7,$C$39:$AF$63,V$4-$G$4+5,FALSE))</f>
        <v>52.510863931957267</v>
      </c>
      <c r="W7" s="42">
        <f>IF(W$4&lt;ControlPanel!$D$59,VLOOKUP("Référence",$C$39:$AF$63,W$4-$G$4+5,FALSE),VLOOKUP($C$7,$C$39:$AF$63,W$4-$G$4+5,FALSE))</f>
        <v>50.958818692589077</v>
      </c>
      <c r="X7" s="42">
        <f>IF(X$4&lt;ControlPanel!$D$59,VLOOKUP("Référence",$C$39:$AF$63,X$4-$G$4+5,FALSE),VLOOKUP($C$7,$C$39:$AF$63,X$4-$G$4+5,FALSE))</f>
        <v>49.452646711527336</v>
      </c>
      <c r="Y7" s="42">
        <f>IF(Y$4&lt;ControlPanel!$D$59,VLOOKUP("Référence",$C$39:$AF$63,Y$4-$G$4+5,FALSE),VLOOKUP($C$7,$C$39:$AF$63,Y$4-$G$4+5,FALSE))</f>
        <v>47.990992128920624</v>
      </c>
      <c r="Z7" s="42">
        <f>IF(Z$4&lt;ControlPanel!$D$59,VLOOKUP("Référence",$C$39:$AF$63,Z$4-$G$4+5,FALSE),VLOOKUP($C$7,$C$39:$AF$63,Z$4-$G$4+5,FALSE))</f>
        <v>46.572539159592914</v>
      </c>
      <c r="AA7" s="42">
        <f>IF(AA$4&lt;ControlPanel!$D$59,VLOOKUP("Référence",$C$39:$AF$63,AA$4-$G$4+5,FALSE),VLOOKUP($C$7,$C$39:$AF$63,AA$4-$G$4+5,FALSE))</f>
        <v>45.196010908570464</v>
      </c>
      <c r="AB7" s="42">
        <f>IF(AB$4&lt;ControlPanel!$D$59,VLOOKUP("Référence",$C$39:$AF$63,AB$4-$G$4+5,FALSE),VLOOKUP($C$7,$C$39:$AF$63,AB$4-$G$4+5,FALSE))</f>
        <v>43.860168221617648</v>
      </c>
      <c r="AC7" s="42">
        <f>IF(AC$4&lt;ControlPanel!$D$59,VLOOKUP("Référence",$C$39:$AF$63,AC$4-$G$4+5,FALSE),VLOOKUP($C$7,$C$39:$AF$63,AC$4-$G$4+5,FALSE))</f>
        <v>42.563808569747181</v>
      </c>
      <c r="AD7" s="42">
        <f>IF(AD$4&lt;ControlPanel!$D$59,VLOOKUP("Référence",$C$39:$AF$63,AD$4-$G$4+5,FALSE),VLOOKUP($C$7,$C$39:$AF$63,AD$4-$G$4+5,FALSE))</f>
        <v>41.305764966700472</v>
      </c>
      <c r="AE7" s="42">
        <f>IF(AE$4&lt;ControlPanel!$D$59,VLOOKUP("Référence",$C$39:$AF$63,AE$4-$G$4+5,FALSE),VLOOKUP($C$7,$C$39:$AF$63,AE$4-$G$4+5,FALSE))</f>
        <v>40.084904918423611</v>
      </c>
      <c r="AF7" s="42">
        <f>IF(AF$4&lt;ControlPanel!$D$59,VLOOKUP("Référence",$C$39:$AF$63,AF$4-$G$4+5,FALSE),VLOOKUP($C$7,$C$39:$AF$63,AF$4-$G$4+5,FALSE))</f>
        <v>38.900129403593361</v>
      </c>
    </row>
    <row r="8" spans="1:33" ht="15" customHeight="1" thickBot="1">
      <c r="B8" s="165" t="s">
        <v>11</v>
      </c>
      <c r="C8" s="177" t="str">
        <f>ControlPanel!L11</f>
        <v>Référence</v>
      </c>
      <c r="D8" s="15" t="str">
        <f>VLOOKUP($C$8,$C$65:$AF$89,2,FALSE)</f>
        <v>dr</v>
      </c>
      <c r="E8" s="15" t="str">
        <f>VLOOKUP($C$8,$C$65:$AF$89,3,FALSE)</f>
        <v>EEG 2017</v>
      </c>
      <c r="F8" s="15" t="str">
        <f>VLOOKUP($C$8,$C$65:$AF$89,4,FALSE)</f>
        <v>Pondération des classes de taille et des technologies</v>
      </c>
      <c r="G8" s="42">
        <f>IF(G$4&lt;ControlPanel!$D$59,VLOOKUP("Référence",$C$65:$AF$89,G$4-$G$4+5,FALSE),VLOOKUP($C$8,$C$65:$AF$89,G$4-$G$4+5,FALSE))</f>
        <v>0</v>
      </c>
      <c r="H8" s="42">
        <f>IF(H$4&lt;ControlPanel!$D$59,VLOOKUP("Référence",$C$65:$AF$89,H$4-$G$4+5,FALSE),VLOOKUP($C$8,$C$65:$AF$89,H$4-$G$4+5,FALSE))</f>
        <v>0</v>
      </c>
      <c r="I8" s="42">
        <f>IF(I$4&lt;ControlPanel!$D$59,VLOOKUP("Référence",$C$65:$AF$89,I$4-$G$4+5,FALSE),VLOOKUP($C$8,$C$65:$AF$89,I$4-$G$4+5,FALSE))</f>
        <v>0</v>
      </c>
      <c r="J8" s="42">
        <f>IF(J$4&lt;ControlPanel!$D$59,VLOOKUP("Référence",$C$65:$AF$89,J$4-$G$4+5,FALSE),VLOOKUP($C$8,$C$65:$AF$89,J$4-$G$4+5,FALSE))</f>
        <v>0</v>
      </c>
      <c r="K8" s="42">
        <f>IF(K$4&lt;ControlPanel!$D$59,VLOOKUP("Référence",$C$65:$AF$89,K$4-$G$4+5,FALSE),VLOOKUP($C$8,$C$65:$AF$89,K$4-$G$4+5,FALSE))</f>
        <v>0</v>
      </c>
      <c r="L8" s="42">
        <f>IF(L$4&lt;ControlPanel!$D$59,VLOOKUP("Référence",$C$65:$AF$89,L$4-$G$4+5,FALSE),VLOOKUP($C$8,$C$65:$AF$89,L$4-$G$4+5,FALSE))</f>
        <v>174.76190476190482</v>
      </c>
      <c r="M8" s="42">
        <f>IF(M$4&lt;ControlPanel!$D$59,VLOOKUP("Référence",$C$65:$AF$89,M$4-$G$4+5,FALSE),VLOOKUP($C$8,$C$65:$AF$89,M$4-$G$4+5,FALSE))</f>
        <v>178.24364250000005</v>
      </c>
      <c r="N8" s="42">
        <f>IF(N$4&lt;ControlPanel!$D$59,VLOOKUP("Référence",$C$65:$AF$89,N$4-$G$4+5,FALSE),VLOOKUP($C$8,$C$65:$AF$89,N$4-$G$4+5,FALSE))</f>
        <v>153.77000000000001</v>
      </c>
      <c r="O8" s="42">
        <f>IF(O$4&lt;ControlPanel!$D$59,VLOOKUP("Référence",$C$65:$AF$89,O$4-$G$4+5,FALSE),VLOOKUP($C$8,$C$65:$AF$89,O$4-$G$4+5,FALSE))</f>
        <v>149.9914941707718</v>
      </c>
      <c r="P8" s="42">
        <f>IF(P$4&lt;ControlPanel!$D$59,VLOOKUP("Référence",$C$65:$AF$89,P$4-$G$4+5,FALSE),VLOOKUP($C$8,$C$65:$AF$89,P$4-$G$4+5,FALSE))</f>
        <v>146.29623580770996</v>
      </c>
      <c r="Q8" s="42">
        <f>IF(Q$4&lt;ControlPanel!$D$59,VLOOKUP("Référence",$C$65:$AF$89,Q$4-$G$4+5,FALSE),VLOOKUP($C$8,$C$65:$AF$89,Q$4-$G$4+5,FALSE))</f>
        <v>138.99746124695602</v>
      </c>
      <c r="R8" s="42">
        <f>IF(R$4&lt;ControlPanel!$D$59,VLOOKUP("Référence",$C$65:$AF$89,R$4-$G$4+5,FALSE),VLOOKUP($C$8,$C$65:$AF$89,R$4-$G$4+5,FALSE))</f>
        <v>142.45904886967196</v>
      </c>
      <c r="S8" s="42">
        <f>IF(S$4&lt;ControlPanel!$D$59,VLOOKUP("Référence",$C$65:$AF$89,S$4-$G$4+5,FALSE),VLOOKUP($C$8,$C$65:$AF$89,S$4-$G$4+5,FALSE))</f>
        <v>137.90967883577406</v>
      </c>
      <c r="T8" s="42">
        <f>IF(T$4&lt;ControlPanel!$D$59,VLOOKUP("Référence",$C$65:$AF$89,T$4-$G$4+5,FALSE),VLOOKUP($C$8,$C$65:$AF$89,T$4-$G$4+5,FALSE))</f>
        <v>132.74871581588312</v>
      </c>
      <c r="U8" s="42">
        <f>IF(U$4&lt;ControlPanel!$D$59,VLOOKUP("Référence",$C$65:$AF$89,U$4-$G$4+5,FALSE),VLOOKUP($C$8,$C$65:$AF$89,U$4-$G$4+5,FALSE))</f>
        <v>128.6261172129752</v>
      </c>
      <c r="V8" s="42">
        <f>IF(V$4&lt;ControlPanel!$D$59,VLOOKUP("Référence",$C$65:$AF$89,V$4-$G$4+5,FALSE),VLOOKUP($C$8,$C$65:$AF$89,V$4-$G$4+5,FALSE))</f>
        <v>129.53996861454175</v>
      </c>
      <c r="W8" s="42">
        <f>IF(W$4&lt;ControlPanel!$D$59,VLOOKUP("Référence",$C$65:$AF$89,W$4-$G$4+5,FALSE),VLOOKUP($C$8,$C$65:$AF$89,W$4-$G$4+5,FALSE))</f>
        <v>126.33045913970172</v>
      </c>
      <c r="X8" s="42">
        <f>IF(X$4&lt;ControlPanel!$D$59,VLOOKUP("Référence",$C$65:$AF$89,X$4-$G$4+5,FALSE),VLOOKUP($C$8,$C$65:$AF$89,X$4-$G$4+5,FALSE))</f>
        <v>123.19758113514828</v>
      </c>
      <c r="Y8" s="42">
        <f>IF(Y$4&lt;ControlPanel!$D$59,VLOOKUP("Référence",$C$65:$AF$89,Y$4-$G$4+5,FALSE),VLOOKUP($C$8,$C$65:$AF$89,Y$4-$G$4+5,FALSE))</f>
        <v>120.13952287204474</v>
      </c>
      <c r="Z8" s="42">
        <f>IF(Z$4&lt;ControlPanel!$D$59,VLOOKUP("Référence",$C$65:$AF$89,Z$4-$G$4+5,FALSE),VLOOKUP($C$8,$C$65:$AF$89,Z$4-$G$4+5,FALSE))</f>
        <v>117.15451553321103</v>
      </c>
      <c r="AA8" s="42">
        <f>IF(AA$4&lt;ControlPanel!$D$59,VLOOKUP("Référence",$C$65:$AF$89,AA$4-$G$4+5,FALSE),VLOOKUP($C$8,$C$65:$AF$89,AA$4-$G$4+5,FALSE))</f>
        <v>114.24083219030085</v>
      </c>
      <c r="AB8" s="42">
        <f>IF(AB$4&lt;ControlPanel!$D$59,VLOOKUP("Référence",$C$65:$AF$89,AB$4-$G$4+5,FALSE),VLOOKUP($C$8,$C$65:$AF$89,AB$4-$G$4+5,FALSE))</f>
        <v>111.39678680553604</v>
      </c>
      <c r="AC8" s="42">
        <f>IF(AC$4&lt;ControlPanel!$D$59,VLOOKUP("Référence",$C$65:$AF$89,AC$4-$G$4+5,FALSE),VLOOKUP($C$8,$C$65:$AF$89,AC$4-$G$4+5,FALSE))</f>
        <v>108.62073325740459</v>
      </c>
      <c r="AD8" s="42">
        <f>IF(AD$4&lt;ControlPanel!$D$59,VLOOKUP("Référence",$C$65:$AF$89,AD$4-$G$4+5,FALSE),VLOOKUP($C$8,$C$65:$AF$89,AD$4-$G$4+5,FALSE))</f>
        <v>105.91106438974299</v>
      </c>
      <c r="AE8" s="42">
        <f>IF(AE$4&lt;ControlPanel!$D$59,VLOOKUP("Référence",$C$65:$AF$89,AE$4-$G$4+5,FALSE),VLOOKUP($C$8,$C$65:$AF$89,AE$4-$G$4+5,FALSE))</f>
        <v>103.26621108363823</v>
      </c>
      <c r="AF8" s="42">
        <f>IF(AF$4&lt;ControlPanel!$D$59,VLOOKUP("Référence",$C$65:$AF$89,AF$4-$G$4+5,FALSE),VLOOKUP($C$8,$C$65:$AF$89,AF$4-$G$4+5,FALSE))</f>
        <v>103.20178107568667</v>
      </c>
    </row>
    <row r="9" spans="1:33" ht="15" customHeight="1" thickBot="1">
      <c r="B9" s="165" t="s">
        <v>10</v>
      </c>
      <c r="C9" s="175" t="str">
        <f>ControlPanel!L12</f>
        <v>Référence</v>
      </c>
      <c r="D9" s="15" t="str">
        <f>VLOOKUP($C$9,$C$91:$AF$115,2,FALSE)</f>
        <v>dr</v>
      </c>
      <c r="E9" s="15" t="str">
        <f>VLOOKUP($C$9,$C$91:$AF$115,3,FALSE)</f>
        <v>EEG 2017</v>
      </c>
      <c r="F9" s="15" t="str">
        <f>VLOOKUP($C$9,$C$91:$AF$115,4,FALSE)</f>
        <v>gem. EEG 2017 (ab 2021 5%/a Degression)</v>
      </c>
      <c r="G9" s="42">
        <f>IF(G$4&lt;ControlPanel!$D$59,VLOOKUP("Référence",$C$91:$AF$115,G$4-$G$4+5,FALSE),VLOOKUP($C$9,$C$91:$AF$115,G$4-$G$4+5,FALSE))</f>
        <v>0</v>
      </c>
      <c r="H9" s="42">
        <f>IF(H$4&lt;ControlPanel!$D$59,VLOOKUP("Référence",$C$91:$AF$115,H$4-$G$4+5,FALSE),VLOOKUP($C$9,$C$91:$AF$115,H$4-$G$4+5,FALSE))</f>
        <v>0</v>
      </c>
      <c r="I9" s="42">
        <f>IF(I$4&lt;ControlPanel!$D$59,VLOOKUP("Référence",$C$91:$AF$115,I$4-$G$4+5,FALSE),VLOOKUP($C$9,$C$91:$AF$115,I$4-$G$4+5,FALSE))</f>
        <v>0</v>
      </c>
      <c r="J9" s="42">
        <f>IF(J$4&lt;ControlPanel!$D$59,VLOOKUP("Référence",$C$91:$AF$115,J$4-$G$4+5,FALSE),VLOOKUP($C$9,$C$91:$AF$115,J$4-$G$4+5,FALSE))</f>
        <v>0</v>
      </c>
      <c r="K9" s="42">
        <f>IF(K$4&lt;ControlPanel!$D$59,VLOOKUP("Référence",$C$91:$AF$115,K$4-$G$4+5,FALSE),VLOOKUP($C$9,$C$91:$AF$115,K$4-$G$4+5,FALSE))</f>
        <v>0</v>
      </c>
      <c r="L9" s="42">
        <f>IF(L$4&lt;ControlPanel!$D$59,VLOOKUP("Référence",$C$91:$AF$115,L$4-$G$4+5,FALSE),VLOOKUP($C$9,$C$91:$AF$115,L$4-$G$4+5,FALSE))</f>
        <v>248.27586206896555</v>
      </c>
      <c r="M9" s="42">
        <f>IF(M$4&lt;ControlPanel!$D$59,VLOOKUP("Référence",$C$91:$AF$115,M$4-$G$4+5,FALSE),VLOOKUP($C$9,$C$91:$AF$115,M$4-$G$4+5,FALSE))</f>
        <v>249.38549999999995</v>
      </c>
      <c r="N9" s="42">
        <f>IF(N$4&lt;ControlPanel!$D$59,VLOOKUP("Référence",$C$91:$AF$115,N$4-$G$4+5,FALSE),VLOOKUP($C$9,$C$91:$AF$115,N$4-$G$4+5,FALSE))</f>
        <v>252</v>
      </c>
      <c r="O9" s="42">
        <f>IF(O$4&lt;ControlPanel!$D$59,VLOOKUP("Référence",$C$91:$AF$115,O$4-$G$4+5,FALSE),VLOOKUP($C$9,$C$91:$AF$115,O$4-$G$4+5,FALSE))</f>
        <v>248.27586206896555</v>
      </c>
      <c r="P9" s="42">
        <f>IF(P$4&lt;ControlPanel!$D$59,VLOOKUP("Référence",$C$91:$AF$115,P$4-$G$4+5,FALSE),VLOOKUP($C$9,$C$91:$AF$115,P$4-$G$4+5,FALSE))</f>
        <v>244.60676065907938</v>
      </c>
      <c r="Q9" s="42">
        <f>IF(Q$4&lt;ControlPanel!$D$59,VLOOKUP("Référence",$C$91:$AF$115,Q$4-$G$4+5,FALSE),VLOOKUP($C$9,$C$91:$AF$115,Q$4-$G$4+5,FALSE))</f>
        <v>240.99188242273834</v>
      </c>
      <c r="R9" s="42">
        <f>IF(R$4&lt;ControlPanel!$D$59,VLOOKUP("Référence",$C$91:$AF$115,R$4-$G$4+5,FALSE),VLOOKUP($C$9,$C$91:$AF$115,R$4-$G$4+5,FALSE))</f>
        <v>225.55890473064181</v>
      </c>
      <c r="S9" s="42">
        <f>IF(S$4&lt;ControlPanel!$D$59,VLOOKUP("Référence",$C$91:$AF$115,S$4-$G$4+5,FALSE),VLOOKUP($C$9,$C$91:$AF$115,S$4-$G$4+5,FALSE))</f>
        <v>211.11424580700469</v>
      </c>
      <c r="T9" s="42">
        <f>IF(T$4&lt;ControlPanel!$D$59,VLOOKUP("Référence",$C$91:$AF$115,T$4-$G$4+5,FALSE),VLOOKUP($C$9,$C$91:$AF$115,T$4-$G$4+5,FALSE))</f>
        <v>197.59461430212264</v>
      </c>
      <c r="U9" s="42">
        <f>IF(U$4&lt;ControlPanel!$D$59,VLOOKUP("Référence",$C$91:$AF$115,U$4-$G$4+5,FALSE),VLOOKUP($C$9,$C$91:$AF$115,U$4-$G$4+5,FALSE))</f>
        <v>184.94077200691282</v>
      </c>
      <c r="V9" s="42">
        <f>IF(V$4&lt;ControlPanel!$D$59,VLOOKUP("Référence",$C$91:$AF$115,V$4-$G$4+5,FALSE),VLOOKUP($C$9,$C$91:$AF$115,V$4-$G$4+5,FALSE))</f>
        <v>173.09727429218444</v>
      </c>
      <c r="W9" s="42">
        <f>IF(W$4&lt;ControlPanel!$D$59,VLOOKUP("Référence",$C$91:$AF$115,W$4-$G$4+5,FALSE),VLOOKUP($C$9,$C$91:$AF$115,W$4-$G$4+5,FALSE))</f>
        <v>162.01222717002486</v>
      </c>
      <c r="X9" s="42">
        <f>IF(X$4&lt;ControlPanel!$D$59,VLOOKUP("Référence",$C$91:$AF$115,X$4-$G$4+5,FALSE),VLOOKUP($C$9,$C$91:$AF$115,X$4-$G$4+5,FALSE))</f>
        <v>151.63705991283115</v>
      </c>
      <c r="Y9" s="42">
        <f>IF(Y$4&lt;ControlPanel!$D$59,VLOOKUP("Référence",$C$91:$AF$115,Y$4-$G$4+5,FALSE),VLOOKUP($C$9,$C$91:$AF$115,Y$4-$G$4+5,FALSE))</f>
        <v>141.92631223368434</v>
      </c>
      <c r="Z9" s="42">
        <f>IF(Z$4&lt;ControlPanel!$D$59,VLOOKUP("Référence",$C$91:$AF$115,Z$4-$G$4+5,FALSE),VLOOKUP($C$9,$C$91:$AF$115,Z$4-$G$4+5,FALSE))</f>
        <v>132.83743509556663</v>
      </c>
      <c r="AA9" s="42">
        <f>IF(AA$4&lt;ControlPanel!$D$59,VLOOKUP("Référence",$C$91:$AF$115,AA$4-$G$4+5,FALSE),VLOOKUP($C$9,$C$91:$AF$115,AA$4-$G$4+5,FALSE))</f>
        <v>124.33060427663872</v>
      </c>
      <c r="AB9" s="42">
        <f>IF(AB$4&lt;ControlPanel!$D$59,VLOOKUP("Référence",$C$91:$AF$115,AB$4-$G$4+5,FALSE),VLOOKUP($C$9,$C$91:$AF$115,AB$4-$G$4+5,FALSE))</f>
        <v>116.3685458746865</v>
      </c>
      <c r="AC9" s="42">
        <f>IF(AC$4&lt;ControlPanel!$D$59,VLOOKUP("Référence",$C$91:$AF$115,AC$4-$G$4+5,FALSE),VLOOKUP($C$9,$C$91:$AF$115,AC$4-$G$4+5,FALSE))</f>
        <v>108.91637298615977</v>
      </c>
      <c r="AD9" s="42">
        <f>IF(AD$4&lt;ControlPanel!$D$59,VLOOKUP("Référence",$C$91:$AF$115,AD$4-$G$4+5,FALSE),VLOOKUP($C$9,$C$91:$AF$115,AD$4-$G$4+5,FALSE))</f>
        <v>101.94143284418897</v>
      </c>
      <c r="AE9" s="42">
        <f>IF(AE$4&lt;ControlPanel!$D$59,VLOOKUP("Référence",$C$91:$AF$115,AE$4-$G$4+5,FALSE),VLOOKUP($C$9,$C$91:$AF$115,AE$4-$G$4+5,FALSE))</f>
        <v>95.41316374579263</v>
      </c>
      <c r="AF9" s="42">
        <f>IF(AF$4&lt;ControlPanel!$D$59,VLOOKUP("Référence",$C$91:$AF$115,AF$4-$G$4+5,FALSE),VLOOKUP($C$9,$C$91:$AF$115,AF$4-$G$4+5,FALSE))</f>
        <v>89.302961141382269</v>
      </c>
    </row>
    <row r="10" spans="1:33" ht="15" customHeight="1" thickBot="1">
      <c r="B10" s="165" t="s">
        <v>339</v>
      </c>
      <c r="C10" s="177" t="str">
        <f>ControlPanel!L8</f>
        <v>Référence</v>
      </c>
      <c r="D10" s="15" t="str">
        <f>VLOOKUP($C$10,$C$117:$AF$141,2,FALSE)</f>
        <v>dr</v>
      </c>
      <c r="E10" s="15" t="str">
        <f>VLOOKUP($C$10,$C$117:$AF$141,3,FALSE)</f>
        <v>Baisse de 4 ct/kWh in 2035</v>
      </c>
      <c r="F10" s="15" t="str">
        <f>VLOOKUP($C$10,$C$117:$AF$141,4,FALSE)</f>
        <v>Dégression de l'EEG d'ici 2018; puis résultats de l'appel d'offres, réduction à 4 ct / kWh en 2035 (nominal), facteur de qualité 80%</v>
      </c>
      <c r="G10" s="42">
        <f>IF(G$4&lt;ControlPanel!$D$59,VLOOKUP("Référence",$C$117:$AF$141,G$4-$G$4+5,FALSE),VLOOKUP($C$10,$C$117:$AF$141,G$4-$G$4+5,FALSE))</f>
        <v>0</v>
      </c>
      <c r="H10" s="42">
        <f>IF(H$4&lt;ControlPanel!$D$59,VLOOKUP("Référence",$C$117:$AF$141,H$4-$G$4+5,FALSE),VLOOKUP($C$10,$C$117:$AF$141,H$4-$G$4+5,FALSE))</f>
        <v>0</v>
      </c>
      <c r="I10" s="42">
        <f>IF(I$4&lt;ControlPanel!$D$59,VLOOKUP("Référence",$C$117:$AF$141,I$4-$G$4+5,FALSE),VLOOKUP($C$10,$C$117:$AF$141,I$4-$G$4+5,FALSE))</f>
        <v>0</v>
      </c>
      <c r="J10" s="42">
        <f>IF(J$4&lt;ControlPanel!$D$59,VLOOKUP("Référence",$C$117:$AF$141,J$4-$G$4+5,FALSE),VLOOKUP($C$10,$C$117:$AF$141,J$4-$G$4+5,FALSE))</f>
        <v>0</v>
      </c>
      <c r="K10" s="42">
        <f>IF(K$4&lt;ControlPanel!$D$59,VLOOKUP("Référence",$C$117:$AF$141,K$4-$G$4+5,FALSE),VLOOKUP($C$10,$C$117:$AF$141,K$4-$G$4+5,FALSE))</f>
        <v>0</v>
      </c>
      <c r="L10" s="42">
        <f>IF(L$4&lt;ControlPanel!$D$59,VLOOKUP("Référence",$C$117:$AF$141,L$4-$G$4+5,FALSE),VLOOKUP($C$10,$C$117:$AF$141,L$4-$G$4+5,FALSE))</f>
        <v>87.684729064039445</v>
      </c>
      <c r="M10" s="42">
        <f>IF(M$4&lt;ControlPanel!$D$59,VLOOKUP("Référence",$C$117:$AF$141,M$4-$G$4+5,FALSE),VLOOKUP($C$10,$C$117:$AF$141,M$4-$G$4+5,FALSE))</f>
        <v>88.277074028919984</v>
      </c>
      <c r="N10" s="42">
        <f>IF(N$4&lt;ControlPanel!$D$59,VLOOKUP("Référence",$C$117:$AF$141,N$4-$G$4+5,FALSE),VLOOKUP($C$10,$C$117:$AF$141,N$4-$G$4+5,FALSE))</f>
        <v>80.650000000000006</v>
      </c>
      <c r="O10" s="42">
        <f>IF(O$4&lt;ControlPanel!$D$59,VLOOKUP("Référence",$C$117:$AF$141,O$4-$G$4+5,FALSE),VLOOKUP($C$10,$C$117:$AF$141,O$4-$G$4+5,FALSE))</f>
        <v>74.50738916256158</v>
      </c>
      <c r="P10" s="42">
        <f>IF(P$4&lt;ControlPanel!$D$59,VLOOKUP("Référence",$C$117:$AF$141,P$4-$G$4+5,FALSE),VLOOKUP($C$10,$C$117:$AF$141,P$4-$G$4+5,FALSE))</f>
        <v>62.153413089373693</v>
      </c>
      <c r="Q10" s="42">
        <f>IF(Q$4&lt;ControlPanel!$D$59,VLOOKUP("Référence",$C$117:$AF$141,Q$4-$G$4+5,FALSE),VLOOKUP($C$10,$C$117:$AF$141,Q$4-$G$4+5,FALSE))</f>
        <v>60.181028416122707</v>
      </c>
      <c r="R10" s="42">
        <f>IF(R$4&lt;ControlPanel!$D$59,VLOOKUP("Référence",$C$117:$AF$141,R$4-$G$4+5,FALSE),VLOOKUP($C$10,$C$117:$AF$141,R$4-$G$4+5,FALSE))</f>
        <v>58.253366590167602</v>
      </c>
      <c r="S10" s="42">
        <f>IF(S$4&lt;ControlPanel!$D$59,VLOOKUP("Référence",$C$117:$AF$141,S$4-$G$4+5,FALSE),VLOOKUP($C$10,$C$117:$AF$141,S$4-$G$4+5,FALSE))</f>
        <v>56.369536520582891</v>
      </c>
      <c r="T10" s="42">
        <f>IF(T$4&lt;ControlPanel!$D$59,VLOOKUP("Référence",$C$117:$AF$141,T$4-$G$4+5,FALSE),VLOOKUP($C$10,$C$117:$AF$141,T$4-$G$4+5,FALSE))</f>
        <v>54.528663686685597</v>
      </c>
      <c r="U10" s="42">
        <f>IF(U$4&lt;ControlPanel!$D$59,VLOOKUP("Référence",$C$117:$AF$141,U$4-$G$4+5,FALSE),VLOOKUP($C$10,$C$117:$AF$141,U$4-$G$4+5,FALSE))</f>
        <v>52.729889842887602</v>
      </c>
      <c r="V10" s="42">
        <f>IF(V$4&lt;ControlPanel!$D$59,VLOOKUP("Référence",$C$117:$AF$141,V$4-$G$4+5,FALSE),VLOOKUP($C$10,$C$117:$AF$141,V$4-$G$4+5,FALSE))</f>
        <v>50.972372728652694</v>
      </c>
      <c r="W10" s="42">
        <f>IF(W$4&lt;ControlPanel!$D$59,VLOOKUP("Référence",$C$117:$AF$141,W$4-$G$4+5,FALSE),VLOOKUP($C$10,$C$117:$AF$141,W$4-$G$4+5,FALSE))</f>
        <v>49.255285783471933</v>
      </c>
      <c r="X10" s="42">
        <f>IF(X$4&lt;ControlPanel!$D$59,VLOOKUP("Référence",$C$117:$AF$141,X$4-$G$4+5,FALSE),VLOOKUP($C$10,$C$117:$AF$141,X$4-$G$4+5,FALSE))</f>
        <v>47.577817866772151</v>
      </c>
      <c r="Y10" s="42">
        <f>IF(Y$4&lt;ControlPanel!$D$59,VLOOKUP("Référence",$C$117:$AF$141,Y$4-$G$4+5,FALSE),VLOOKUP($C$10,$C$117:$AF$141,Y$4-$G$4+5,FALSE))</f>
        <v>45.939172982674187</v>
      </c>
      <c r="Z10" s="42">
        <f>IF(Z$4&lt;ControlPanel!$D$59,VLOOKUP("Référence",$C$117:$AF$141,Z$4-$G$4+5,FALSE),VLOOKUP($C$10,$C$117:$AF$141,Z$4-$G$4+5,FALSE))</f>
        <v>44.338570009518754</v>
      </c>
      <c r="AA10" s="42">
        <f>IF(AA$4&lt;ControlPanel!$D$59,VLOOKUP("Référence",$C$117:$AF$141,AA$4-$G$4+5,FALSE),VLOOKUP($C$10,$C$117:$AF$141,AA$4-$G$4+5,FALSE))</f>
        <v>42.775242434078841</v>
      </c>
      <c r="AB10" s="42">
        <f>IF(AB$4&lt;ControlPanel!$D$59,VLOOKUP("Référence",$C$117:$AF$141,AB$4-$G$4+5,FALSE),VLOOKUP($C$10,$C$117:$AF$141,AB$4-$G$4+5,FALSE))</f>
        <v>41.24843809037958</v>
      </c>
      <c r="AC10" s="42">
        <f>IF(AC$4&lt;ControlPanel!$D$59,VLOOKUP("Référence",$C$117:$AF$141,AC$4-$G$4+5,FALSE),VLOOKUP($C$10,$C$117:$AF$141,AC$4-$G$4+5,FALSE))</f>
        <v>39.75741890304711</v>
      </c>
      <c r="AD10" s="42">
        <f>IF(AD$4&lt;ControlPanel!$D$59,VLOOKUP("Référence",$C$117:$AF$141,AD$4-$G$4+5,FALSE),VLOOKUP($C$10,$C$117:$AF$141,AD$4-$G$4+5,FALSE))</f>
        <v>38.301460635109848</v>
      </c>
      <c r="AE10" s="42">
        <f>IF(AE$4&lt;ControlPanel!$D$59,VLOOKUP("Référence",$C$117:$AF$141,AE$4-$G$4+5,FALSE),VLOOKUP($C$10,$C$117:$AF$141,AE$4-$G$4+5,FALSE))</f>
        <v>36.879852640176559</v>
      </c>
      <c r="AF10" s="42">
        <f>IF(AF$4&lt;ControlPanel!$D$59,VLOOKUP("Référence",$C$117:$AF$141,AF$4-$G$4+5,FALSE),VLOOKUP($C$10,$C$117:$AF$141,AF$4-$G$4+5,FALSE))</f>
        <v>35.491897618916795</v>
      </c>
    </row>
    <row r="11" spans="1:33" ht="15" customHeight="1" thickBot="1">
      <c r="B11" s="165" t="s">
        <v>340</v>
      </c>
      <c r="C11" s="175" t="str">
        <f>ControlPanel!L9</f>
        <v>Référence</v>
      </c>
      <c r="D11" s="15" t="str">
        <f>VLOOKUP($C$11,$C$143:$AF$167,2,FALSE)</f>
        <v>dr</v>
      </c>
      <c r="E11" s="15" t="str">
        <f>VLOOKUP($C$11,$C$143:$AF$167,3,FALSE)</f>
        <v>Baisse de 5 ct/kWh in 2035</v>
      </c>
      <c r="F11" s="15" t="str">
        <f>VLOOKUP($C$11,$C$143:$AF$167,4,FALSE)</f>
        <v>2018-2020: tarif initial selon EEG2017 (12 + 3 ans), puis résultats des enchères, réduction linéaire à 5 ct / kWh (2030)</v>
      </c>
      <c r="G11" s="42">
        <f>IF(G$4&lt;ControlPanel!$D$59,VLOOKUP("Référence",$C$143:$AF$167,G$4-$G$4+5,FALSE),VLOOKUP($C$11,$C$143:$AF$167,G$4-$G$4+5,FALSE))</f>
        <v>0</v>
      </c>
      <c r="H11" s="42">
        <f>IF(H$4&lt;ControlPanel!$D$59,VLOOKUP("Référence",$C$143:$AF$167,H$4-$G$4+5,FALSE),VLOOKUP($C$11,$C$143:$AF$167,H$4-$G$4+5,FALSE))</f>
        <v>0</v>
      </c>
      <c r="I11" s="42">
        <f>IF(I$4&lt;ControlPanel!$D$59,VLOOKUP("Référence",$C$143:$AF$167,I$4-$G$4+5,FALSE),VLOOKUP($C$11,$C$143:$AF$167,I$4-$G$4+5,FALSE))</f>
        <v>0</v>
      </c>
      <c r="J11" s="42">
        <f>IF(J$4&lt;ControlPanel!$D$59,VLOOKUP("Référence",$C$143:$AF$167,J$4-$G$4+5,FALSE),VLOOKUP($C$11,$C$143:$AF$167,J$4-$G$4+5,FALSE))</f>
        <v>0</v>
      </c>
      <c r="K11" s="42">
        <f>IF(K$4&lt;ControlPanel!$D$59,VLOOKUP("Référence",$C$143:$AF$167,K$4-$G$4+5,FALSE),VLOOKUP($C$11,$C$143:$AF$167,K$4-$G$4+5,FALSE))</f>
        <v>0</v>
      </c>
      <c r="L11" s="42">
        <f>IF(L$4&lt;ControlPanel!$D$59,VLOOKUP("Référence",$C$143:$AF$167,L$4-$G$4+5,FALSE),VLOOKUP($C$11,$C$143:$AF$167,L$4-$G$4+5,FALSE))</f>
        <v>191.13300492610838</v>
      </c>
      <c r="M11" s="42">
        <f>IF(M$4&lt;ControlPanel!$D$59,VLOOKUP("Référence",$C$143:$AF$167,M$4-$G$4+5,FALSE),VLOOKUP($C$11,$C$143:$AF$167,M$4-$G$4+5,FALSE))</f>
        <v>191.73349999999999</v>
      </c>
      <c r="N11" s="42">
        <f>IF(N$4&lt;ControlPanel!$D$59,VLOOKUP("Référence",$C$143:$AF$167,N$4-$G$4+5,FALSE),VLOOKUP($C$11,$C$143:$AF$167,N$4-$G$4+5,FALSE))</f>
        <v>194</v>
      </c>
      <c r="O11" s="42">
        <f>IF(O$4&lt;ControlPanel!$D$59,VLOOKUP("Référence",$C$143:$AF$167,O$4-$G$4+5,FALSE),VLOOKUP($C$11,$C$143:$AF$167,O$4-$G$4+5,FALSE))</f>
        <v>146.79802955665025</v>
      </c>
      <c r="P11" s="42">
        <f>IF(P$4&lt;ControlPanel!$D$59,VLOOKUP("Référence",$C$143:$AF$167,P$4-$G$4+5,FALSE),VLOOKUP($C$11,$C$143:$AF$167,P$4-$G$4+5,FALSE))</f>
        <v>144.62860054842392</v>
      </c>
      <c r="Q11" s="42">
        <f>IF(Q$4&lt;ControlPanel!$D$59,VLOOKUP("Référence",$C$143:$AF$167,Q$4-$G$4+5,FALSE),VLOOKUP($C$11,$C$143:$AF$167,Q$4-$G$4+5,FALSE))</f>
        <v>137.70964709870762</v>
      </c>
      <c r="R11" s="42">
        <f>IF(R$4&lt;ControlPanel!$D$59,VLOOKUP("Référence",$C$143:$AF$167,R$4-$G$4+5,FALSE),VLOOKUP($C$11,$C$143:$AF$167,R$4-$G$4+5,FALSE))</f>
        <v>70</v>
      </c>
      <c r="S11" s="42">
        <f>IF(S$4&lt;ControlPanel!$D$59,VLOOKUP("Référence",$C$143:$AF$167,S$4-$G$4+5,FALSE),VLOOKUP($C$11,$C$143:$AF$167,S$4-$G$4+5,FALSE))</f>
        <v>65</v>
      </c>
      <c r="T11" s="42">
        <f>IF(T$4&lt;ControlPanel!$D$59,VLOOKUP("Référence",$C$143:$AF$167,T$4-$G$4+5,FALSE),VLOOKUP($C$11,$C$143:$AF$167,T$4-$G$4+5,FALSE))</f>
        <v>61.666666666666664</v>
      </c>
      <c r="U11" s="42">
        <f>IF(U$4&lt;ControlPanel!$D$59,VLOOKUP("Référence",$C$143:$AF$167,U$4-$G$4+5,FALSE),VLOOKUP($C$11,$C$143:$AF$167,U$4-$G$4+5,FALSE))</f>
        <v>58.333333333333329</v>
      </c>
      <c r="V11" s="42">
        <f>IF(V$4&lt;ControlPanel!$D$59,VLOOKUP("Référence",$C$143:$AF$167,V$4-$G$4+5,FALSE),VLOOKUP($C$11,$C$143:$AF$167,V$4-$G$4+5,FALSE))</f>
        <v>55</v>
      </c>
      <c r="W11" s="42">
        <f>IF(W$4&lt;ControlPanel!$D$59,VLOOKUP("Référence",$C$143:$AF$167,W$4-$G$4+5,FALSE),VLOOKUP($C$11,$C$143:$AF$167,W$4-$G$4+5,FALSE))</f>
        <v>54</v>
      </c>
      <c r="X11" s="42">
        <f>IF(X$4&lt;ControlPanel!$D$59,VLOOKUP("Référence",$C$143:$AF$167,X$4-$G$4+5,FALSE),VLOOKUP($C$11,$C$143:$AF$167,X$4-$G$4+5,FALSE))</f>
        <v>53</v>
      </c>
      <c r="Y11" s="42">
        <f>IF(Y$4&lt;ControlPanel!$D$59,VLOOKUP("Référence",$C$143:$AF$167,Y$4-$G$4+5,FALSE),VLOOKUP($C$11,$C$143:$AF$167,Y$4-$G$4+5,FALSE))</f>
        <v>52</v>
      </c>
      <c r="Z11" s="42">
        <f>IF(Z$4&lt;ControlPanel!$D$59,VLOOKUP("Référence",$C$143:$AF$167,Z$4-$G$4+5,FALSE),VLOOKUP($C$11,$C$143:$AF$167,Z$4-$G$4+5,FALSE))</f>
        <v>51</v>
      </c>
      <c r="AA11" s="42">
        <f>IF(AA$4&lt;ControlPanel!$D$59,VLOOKUP("Référence",$C$143:$AF$167,AA$4-$G$4+5,FALSE),VLOOKUP($C$11,$C$143:$AF$167,AA$4-$G$4+5,FALSE))</f>
        <v>50</v>
      </c>
      <c r="AB11" s="42">
        <f>IF(AB$4&lt;ControlPanel!$D$59,VLOOKUP("Référence",$C$143:$AF$167,AB$4-$G$4+5,FALSE),VLOOKUP($C$11,$C$143:$AF$167,AB$4-$G$4+5,FALSE))</f>
        <v>49</v>
      </c>
      <c r="AC11" s="42">
        <f>IF(AC$4&lt;ControlPanel!$D$59,VLOOKUP("Référence",$C$143:$AF$167,AC$4-$G$4+5,FALSE),VLOOKUP($C$11,$C$143:$AF$167,AC$4-$G$4+5,FALSE))</f>
        <v>48</v>
      </c>
      <c r="AD11" s="42">
        <f>IF(AD$4&lt;ControlPanel!$D$59,VLOOKUP("Référence",$C$143:$AF$167,AD$4-$G$4+5,FALSE),VLOOKUP($C$11,$C$143:$AF$167,AD$4-$G$4+5,FALSE))</f>
        <v>47</v>
      </c>
      <c r="AE11" s="42">
        <f>IF(AE$4&lt;ControlPanel!$D$59,VLOOKUP("Référence",$C$143:$AF$167,AE$4-$G$4+5,FALSE),VLOOKUP($C$11,$C$143:$AF$167,AE$4-$G$4+5,FALSE))</f>
        <v>46</v>
      </c>
      <c r="AF11" s="42">
        <f>IF(AF$4&lt;ControlPanel!$D$59,VLOOKUP("Référence",$C$143:$AF$167,AF$4-$G$4+5,FALSE),VLOOKUP($C$11,$C$143:$AF$167,AF$4-$G$4+5,FALSE))</f>
        <v>45</v>
      </c>
    </row>
    <row r="12" spans="1:33" ht="15" customHeight="1" thickBot="1">
      <c r="B12" s="167" t="s">
        <v>530</v>
      </c>
      <c r="C12" s="177" t="str">
        <f>ControlPanel!L10</f>
        <v>Référence</v>
      </c>
      <c r="D12" s="40" t="str">
        <f>VLOOKUP($C$12,$C$169:$AF$193,2,FALSE)</f>
        <v>dr</v>
      </c>
      <c r="E12" s="40" t="str">
        <f>VLOOKUP($C$12,$C$169:$AF$193,3,FALSE)</f>
        <v>EEG 2017; Proportion d'offres à partir de 2020 50%</v>
      </c>
      <c r="F12" s="15" t="str">
        <f>VLOOKUP($C$12,$C$169:$AF$193,4,FALSE)</f>
        <v>Dégression selon la couverture mobile; Résultats de l'appel d'offres, réduction à 3,5 ct / kWh en 2035 (nominal); Part des appels d'offres jusqu'en 2019 comme EEG, puis 50%</v>
      </c>
      <c r="G12" s="43">
        <f>IF(G$4&lt;ControlPanel!$D$59,VLOOKUP("Référence",$C$169:$AF$193,G$4-$G$4+5,FALSE),VLOOKUP($C$12,$C$169:$AF$193,G$4-$G$4+5,FALSE))</f>
        <v>0</v>
      </c>
      <c r="H12" s="43">
        <f>IF(H$4&lt;ControlPanel!$D$59,VLOOKUP("Référence",$C$169:$AF$193,H$4-$G$4+5,FALSE),VLOOKUP($C$12,$C$169:$AF$193,H$4-$G$4+5,FALSE))</f>
        <v>0</v>
      </c>
      <c r="I12" s="43">
        <f>IF(I$4&lt;ControlPanel!$D$59,VLOOKUP("Référence",$C$169:$AF$193,I$4-$G$4+5,FALSE),VLOOKUP($C$12,$C$169:$AF$193,I$4-$G$4+5,FALSE))</f>
        <v>0</v>
      </c>
      <c r="J12" s="43">
        <f>IF(J$4&lt;ControlPanel!$D$59,VLOOKUP("Référence",$C$169:$AF$193,J$4-$G$4+5,FALSE),VLOOKUP($C$12,$C$169:$AF$193,J$4-$G$4+5,FALSE))</f>
        <v>0</v>
      </c>
      <c r="K12" s="43">
        <f>IF(K$4&lt;ControlPanel!$D$59,VLOOKUP("Référence",$C$169:$AF$193,K$4-$G$4+5,FALSE),VLOOKUP($C$12,$C$169:$AF$193,K$4-$G$4+5,FALSE))</f>
        <v>0</v>
      </c>
      <c r="L12" s="43">
        <f>IF(L$4&lt;ControlPanel!$D$59,VLOOKUP("Référence",$C$169:$AF$193,L$4-$G$4+5,FALSE),VLOOKUP($C$12,$C$169:$AF$193,L$4-$G$4+5,FALSE))</f>
        <v>108.02793365944886</v>
      </c>
      <c r="M12" s="43">
        <f>IF(M$4&lt;ControlPanel!$D$59,VLOOKUP("Référence",$C$169:$AF$193,M$4-$G$4+5,FALSE),VLOOKUP($C$12,$C$169:$AF$193,M$4-$G$4+5,FALSE))</f>
        <v>110.45769389560584</v>
      </c>
      <c r="N12" s="43">
        <f>IF(N$4&lt;ControlPanel!$D$59,VLOOKUP("Référence",$C$169:$AF$193,N$4-$G$4+5,FALSE),VLOOKUP($C$12,$C$169:$AF$193,N$4-$G$4+5,FALSE))</f>
        <v>101.35881575680968</v>
      </c>
      <c r="O12" s="43">
        <f>IF(O$4&lt;ControlPanel!$D$59,VLOOKUP("Référence",$C$169:$AF$193,O$4-$G$4+5,FALSE),VLOOKUP($C$12,$C$169:$AF$193,O$4-$G$4+5,FALSE))</f>
        <v>109.04631799757858</v>
      </c>
      <c r="P12" s="43">
        <f>IF(P$4&lt;ControlPanel!$D$59,VLOOKUP("Référence",$C$169:$AF$193,P$4-$G$4+5,FALSE),VLOOKUP($C$12,$C$169:$AF$193,P$4-$G$4+5,FALSE))</f>
        <v>106.93752173913046</v>
      </c>
      <c r="Q12" s="43">
        <f>IF(Q$4&lt;ControlPanel!$D$59,VLOOKUP("Référence",$C$169:$AF$193,Q$4-$G$4+5,FALSE),VLOOKUP($C$12,$C$169:$AF$193,Q$4-$G$4+5,FALSE))</f>
        <v>89.118500000000012</v>
      </c>
      <c r="R12" s="43">
        <f>IF(R$4&lt;ControlPanel!$D$59,VLOOKUP("Référence",$C$169:$AF$193,R$4-$G$4+5,FALSE),VLOOKUP($C$12,$C$169:$AF$193,R$4-$G$4+5,FALSE))</f>
        <v>84.825000000000003</v>
      </c>
      <c r="S12" s="43">
        <f>IF(S$4&lt;ControlPanel!$D$59,VLOOKUP("Référence",$C$169:$AF$193,S$4-$G$4+5,FALSE),VLOOKUP($C$12,$C$169:$AF$193,S$4-$G$4+5,FALSE))</f>
        <v>78.358541666666667</v>
      </c>
      <c r="T12" s="43">
        <f>IF(T$4&lt;ControlPanel!$D$59,VLOOKUP("Référence",$C$169:$AF$193,T$4-$G$4+5,FALSE),VLOOKUP($C$12,$C$169:$AF$193,T$4-$G$4+5,FALSE))</f>
        <v>74.209166666666661</v>
      </c>
      <c r="U12" s="43">
        <f>IF(U$4&lt;ControlPanel!$D$59,VLOOKUP("Référence",$C$169:$AF$193,U$4-$G$4+5,FALSE),VLOOKUP($C$12,$C$169:$AF$193,U$4-$G$4+5,FALSE))</f>
        <v>70.758208333333343</v>
      </c>
      <c r="V12" s="43">
        <f>IF(V$4&lt;ControlPanel!$D$59,VLOOKUP("Référence",$C$169:$AF$193,V$4-$G$4+5,FALSE),VLOOKUP($C$12,$C$169:$AF$193,V$4-$G$4+5,FALSE))</f>
        <v>67.374750000000006</v>
      </c>
      <c r="W12" s="43">
        <f>IF(W$4&lt;ControlPanel!$D$59,VLOOKUP("Référence",$C$169:$AF$193,W$4-$G$4+5,FALSE),VLOOKUP($C$12,$C$169:$AF$193,W$4-$G$4+5,FALSE))</f>
        <v>64.198750000000004</v>
      </c>
      <c r="X12" s="43">
        <f>IF(X$4&lt;ControlPanel!$D$59,VLOOKUP("Référence",$C$169:$AF$193,X$4-$G$4+5,FALSE),VLOOKUP($C$12,$C$169:$AF$193,X$4-$G$4+5,FALSE))</f>
        <v>61.143458333333328</v>
      </c>
      <c r="Y12" s="43">
        <f>IF(Y$4&lt;ControlPanel!$D$59,VLOOKUP("Référence",$C$169:$AF$193,Y$4-$G$4+5,FALSE),VLOOKUP($C$12,$C$169:$AF$193,Y$4-$G$4+5,FALSE))</f>
        <v>58.260166666666649</v>
      </c>
      <c r="Z12" s="43">
        <f>IF(Z$4&lt;ControlPanel!$D$59,VLOOKUP("Référence",$C$169:$AF$193,Z$4-$G$4+5,FALSE),VLOOKUP($C$12,$C$169:$AF$193,Z$4-$G$4+5,FALSE))</f>
        <v>55.461749999999988</v>
      </c>
      <c r="AA12" s="43">
        <f>IF(AA$4&lt;ControlPanel!$D$59,VLOOKUP("Référence",$C$169:$AF$193,AA$4-$G$4+5,FALSE),VLOOKUP($C$12,$C$169:$AF$193,AA$4-$G$4+5,FALSE))</f>
        <v>52.840583333333328</v>
      </c>
      <c r="AB12" s="43">
        <f>IF(AB$4&lt;ControlPanel!$D$59,VLOOKUP("Référence",$C$169:$AF$193,AB$4-$G$4+5,FALSE),VLOOKUP($C$12,$C$169:$AF$193,AB$4-$G$4+5,FALSE))</f>
        <v>50.376916666666652</v>
      </c>
      <c r="AC12" s="43">
        <f>IF(AC$4&lt;ControlPanel!$D$59,VLOOKUP("Référence",$C$169:$AF$193,AC$4-$G$4+5,FALSE),VLOOKUP($C$12,$C$169:$AF$193,AC$4-$G$4+5,FALSE))</f>
        <v>47.916249999999991</v>
      </c>
      <c r="AD12" s="43">
        <f>IF(AD$4&lt;ControlPanel!$D$59,VLOOKUP("Référence",$C$169:$AF$193,AD$4-$G$4+5,FALSE),VLOOKUP($C$12,$C$169:$AF$193,AD$4-$G$4+5,FALSE))</f>
        <v>45.505749999999985</v>
      </c>
      <c r="AE12" s="43">
        <f>IF(AE$4&lt;ControlPanel!$D$59,VLOOKUP("Référence",$C$169:$AF$193,AE$4-$G$4+5,FALSE),VLOOKUP($C$12,$C$169:$AF$193,AE$4-$G$4+5,FALSE))</f>
        <v>43.285166666666655</v>
      </c>
      <c r="AF12" s="43">
        <f>IF(AF$4&lt;ControlPanel!$D$59,VLOOKUP("Référence",$C$169:$AF$193,AF$4-$G$4+5,FALSE),VLOOKUP($C$12,$C$169:$AF$193,AF$4-$G$4+5,FALSE))</f>
        <v>41.136499999999998</v>
      </c>
    </row>
    <row r="13" spans="1:33" ht="15" customHeight="1">
      <c r="B13" s="166" t="s">
        <v>529</v>
      </c>
      <c r="C13" s="314" t="s">
        <v>409</v>
      </c>
      <c r="D13" s="22" t="s">
        <v>107</v>
      </c>
      <c r="E13" s="314" t="s">
        <v>249</v>
      </c>
      <c r="F13" s="22" t="s">
        <v>247</v>
      </c>
      <c r="G13" s="321"/>
      <c r="H13" s="321"/>
      <c r="I13" s="321"/>
      <c r="J13" s="321"/>
      <c r="K13" s="321"/>
      <c r="L13" s="321">
        <v>115.67111231527093</v>
      </c>
      <c r="M13" s="321">
        <v>118.57143532657497</v>
      </c>
      <c r="N13" s="321">
        <v>119.06888980183719</v>
      </c>
      <c r="O13" s="321">
        <v>116.72270478111133</v>
      </c>
      <c r="P13" s="321">
        <v>114.42275000709931</v>
      </c>
      <c r="Q13" s="321">
        <v>112.16811453897915</v>
      </c>
      <c r="R13" s="321">
        <v>109.95790538550175</v>
      </c>
      <c r="S13" s="321">
        <v>107.79124715130467</v>
      </c>
      <c r="T13" s="321">
        <v>105.66728169019525</v>
      </c>
      <c r="U13" s="321">
        <v>103.58516776526531</v>
      </c>
      <c r="V13" s="321">
        <v>101.54408071570344</v>
      </c>
      <c r="W13" s="321">
        <v>99.54321213017235</v>
      </c>
      <c r="X13" s="321">
        <v>97.581769526622168</v>
      </c>
      <c r="Y13" s="321">
        <v>95.658976038412874</v>
      </c>
      <c r="Z13" s="321">
        <v>93.774070106621494</v>
      </c>
      <c r="AA13" s="321">
        <v>91.926305178412207</v>
      </c>
      <c r="AB13" s="321">
        <v>90.114949411349897</v>
      </c>
      <c r="AC13" s="321">
        <v>88.339285383540059</v>
      </c>
      <c r="AD13" s="321">
        <v>86.598609809480166</v>
      </c>
      <c r="AE13" s="321">
        <v>84.892233261510128</v>
      </c>
      <c r="AF13" s="321">
        <v>83.219479896751309</v>
      </c>
    </row>
    <row r="14" spans="1:33" s="462" customFormat="1" ht="15" customHeight="1">
      <c r="A14" s="9"/>
      <c r="B14" s="63"/>
      <c r="C14" s="16" t="s">
        <v>790</v>
      </c>
      <c r="D14" s="322"/>
      <c r="E14" s="16"/>
      <c r="F14" s="322"/>
      <c r="G14" s="321"/>
      <c r="H14" s="321"/>
      <c r="I14" s="321"/>
      <c r="J14" s="321"/>
      <c r="K14" s="321"/>
      <c r="L14" s="321"/>
      <c r="M14" s="321"/>
      <c r="N14" s="321"/>
      <c r="O14" s="321"/>
      <c r="P14" s="321"/>
      <c r="Q14" s="321">
        <f t="shared" ref="Q14:AC14" si="0">Q13*(1+$AG14)</f>
        <v>89.734491631183332</v>
      </c>
      <c r="R14" s="321">
        <f t="shared" si="0"/>
        <v>87.966324308401397</v>
      </c>
      <c r="S14" s="321">
        <f t="shared" si="0"/>
        <v>86.232997721043745</v>
      </c>
      <c r="T14" s="321">
        <f t="shared" si="0"/>
        <v>84.533825352156214</v>
      </c>
      <c r="U14" s="321">
        <f t="shared" si="0"/>
        <v>82.868134212212254</v>
      </c>
      <c r="V14" s="321">
        <f t="shared" si="0"/>
        <v>81.235264572562755</v>
      </c>
      <c r="W14" s="321">
        <f t="shared" si="0"/>
        <v>79.634569704137888</v>
      </c>
      <c r="X14" s="321">
        <f t="shared" si="0"/>
        <v>78.065415621297745</v>
      </c>
      <c r="Y14" s="321">
        <f t="shared" si="0"/>
        <v>76.527180830730302</v>
      </c>
      <c r="Z14" s="321">
        <f t="shared" si="0"/>
        <v>75.019256085297201</v>
      </c>
      <c r="AA14" s="321">
        <f t="shared" si="0"/>
        <v>73.541044142729774</v>
      </c>
      <c r="AB14" s="321">
        <f t="shared" si="0"/>
        <v>72.091959529079915</v>
      </c>
      <c r="AC14" s="321">
        <f t="shared" si="0"/>
        <v>70.671428306832055</v>
      </c>
      <c r="AD14" s="321">
        <f>AD13*(1+$AG14)</f>
        <v>69.27888784758413</v>
      </c>
      <c r="AE14" s="321">
        <f>AE13*(1+$AG14)</f>
        <v>67.913786609208103</v>
      </c>
      <c r="AF14" s="321">
        <f>AF13*(1+$AG14)</f>
        <v>66.575583917401048</v>
      </c>
      <c r="AG14" s="9">
        <v>-0.2</v>
      </c>
    </row>
    <row r="15" spans="1:33" s="462" customFormat="1" ht="15" customHeight="1">
      <c r="A15" s="9"/>
      <c r="B15" s="63"/>
      <c r="C15" s="168" t="s">
        <v>791</v>
      </c>
      <c r="D15" s="12"/>
      <c r="E15" s="168"/>
      <c r="F15" s="12"/>
      <c r="G15" s="321"/>
      <c r="H15" s="321"/>
      <c r="I15" s="321"/>
      <c r="J15" s="321"/>
      <c r="K15" s="321"/>
      <c r="L15" s="321"/>
      <c r="M15" s="321"/>
      <c r="N15" s="321"/>
      <c r="O15" s="321"/>
      <c r="P15" s="321"/>
      <c r="Q15" s="321">
        <f>Q13*(1+$AG15)</f>
        <v>134.60173744677499</v>
      </c>
      <c r="R15" s="321">
        <f t="shared" ref="R15:AE15" si="1">R13*(1+$AG15)</f>
        <v>131.9494864626021</v>
      </c>
      <c r="S15" s="321">
        <f t="shared" si="1"/>
        <v>129.3494965815656</v>
      </c>
      <c r="T15" s="321">
        <f t="shared" si="1"/>
        <v>126.80073802823429</v>
      </c>
      <c r="U15" s="321">
        <f t="shared" si="1"/>
        <v>124.30220131831837</v>
      </c>
      <c r="V15" s="321">
        <f t="shared" si="1"/>
        <v>121.85289685884413</v>
      </c>
      <c r="W15" s="321">
        <f t="shared" si="1"/>
        <v>119.45185455620681</v>
      </c>
      <c r="X15" s="321">
        <f t="shared" si="1"/>
        <v>117.09812343194659</v>
      </c>
      <c r="Y15" s="321">
        <f t="shared" si="1"/>
        <v>114.79077124609545</v>
      </c>
      <c r="Z15" s="321">
        <f t="shared" si="1"/>
        <v>112.52888412794579</v>
      </c>
      <c r="AA15" s="321">
        <f t="shared" si="1"/>
        <v>110.31156621409464</v>
      </c>
      <c r="AB15" s="321">
        <f t="shared" si="1"/>
        <v>108.13793929361988</v>
      </c>
      <c r="AC15" s="321">
        <f t="shared" si="1"/>
        <v>106.00714246024806</v>
      </c>
      <c r="AD15" s="321">
        <f>AD13*(1+$AG15)</f>
        <v>103.9183317713762</v>
      </c>
      <c r="AE15" s="321">
        <f t="shared" si="1"/>
        <v>101.87067991381215</v>
      </c>
      <c r="AF15" s="321">
        <f>AF13*(1+$AG15)</f>
        <v>99.863375876101571</v>
      </c>
      <c r="AG15" s="9">
        <v>0.2</v>
      </c>
    </row>
    <row r="16" spans="1:33" s="462" customFormat="1" ht="15" customHeight="1">
      <c r="A16" s="9"/>
      <c r="B16" s="63"/>
      <c r="C16" s="11" t="s">
        <v>792</v>
      </c>
      <c r="D16" s="322" t="s">
        <v>107</v>
      </c>
      <c r="E16" s="16" t="s">
        <v>793</v>
      </c>
      <c r="F16" s="322"/>
      <c r="G16" s="321"/>
      <c r="H16" s="321"/>
      <c r="I16" s="321"/>
      <c r="J16" s="321"/>
      <c r="K16" s="321"/>
      <c r="L16" s="321"/>
      <c r="M16" s="321"/>
      <c r="N16" s="321"/>
      <c r="O16" s="321"/>
      <c r="P16" s="321"/>
      <c r="Q16" s="321">
        <f>P13</f>
        <v>114.42275000709931</v>
      </c>
      <c r="R16" s="321">
        <f>$Q16+($AF16-$Q16)/($AF$4-$Q$4)*(R$4-$Q$4)</f>
        <v>114.42275000709931</v>
      </c>
      <c r="S16" s="321">
        <f t="shared" ref="S16:AE16" si="2">$Q16+($AF16-$Q16)/($AF$4-$Q$4)*(S$4-$Q$4)</f>
        <v>114.42275000709931</v>
      </c>
      <c r="T16" s="321">
        <f t="shared" si="2"/>
        <v>114.42275000709931</v>
      </c>
      <c r="U16" s="321">
        <f t="shared" si="2"/>
        <v>114.42275000709931</v>
      </c>
      <c r="V16" s="321">
        <f t="shared" si="2"/>
        <v>114.42275000709931</v>
      </c>
      <c r="W16" s="321">
        <f t="shared" si="2"/>
        <v>114.42275000709931</v>
      </c>
      <c r="X16" s="321">
        <f t="shared" si="2"/>
        <v>114.42275000709931</v>
      </c>
      <c r="Y16" s="321">
        <f t="shared" si="2"/>
        <v>114.42275000709931</v>
      </c>
      <c r="Z16" s="321">
        <f t="shared" si="2"/>
        <v>114.42275000709931</v>
      </c>
      <c r="AA16" s="321">
        <f t="shared" si="2"/>
        <v>114.42275000709931</v>
      </c>
      <c r="AB16" s="321">
        <f t="shared" si="2"/>
        <v>114.42275000709931</v>
      </c>
      <c r="AC16" s="321">
        <f t="shared" si="2"/>
        <v>114.42275000709931</v>
      </c>
      <c r="AD16" s="321">
        <f t="shared" si="2"/>
        <v>114.42275000709931</v>
      </c>
      <c r="AE16" s="321">
        <f t="shared" si="2"/>
        <v>114.42275000709931</v>
      </c>
      <c r="AF16" s="321">
        <f>$Q$16</f>
        <v>114.42275000709931</v>
      </c>
      <c r="AG16" s="9"/>
    </row>
    <row r="17" spans="2:33" s="462" customFormat="1" ht="15" customHeight="1">
      <c r="B17" s="463"/>
      <c r="C17" s="176"/>
      <c r="D17" s="162"/>
      <c r="E17" s="163"/>
      <c r="F17" s="162"/>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9"/>
    </row>
    <row r="18" spans="2:33" s="462" customFormat="1" ht="15" customHeight="1">
      <c r="B18" s="463"/>
      <c r="C18" s="176"/>
      <c r="D18" s="162"/>
      <c r="E18" s="163"/>
      <c r="F18" s="162"/>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row>
    <row r="19" spans="2:33" s="462" customFormat="1" ht="15" customHeight="1">
      <c r="B19" s="463"/>
      <c r="C19" s="163"/>
      <c r="D19" s="162"/>
      <c r="E19" s="176"/>
      <c r="F19" s="162"/>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row>
    <row r="20" spans="2:33" s="462" customFormat="1" ht="15" customHeight="1">
      <c r="B20" s="463"/>
      <c r="C20" s="176"/>
      <c r="D20" s="162"/>
      <c r="E20" s="176"/>
      <c r="F20" s="162"/>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row>
    <row r="21" spans="2:33" s="462" customFormat="1" ht="15" customHeight="1">
      <c r="B21" s="463"/>
      <c r="C21" s="184"/>
      <c r="D21" s="179"/>
      <c r="E21" s="184"/>
      <c r="F21" s="179"/>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row>
    <row r="22" spans="2:33" s="462" customFormat="1" ht="15" customHeight="1">
      <c r="B22" s="463"/>
      <c r="C22" s="176"/>
      <c r="D22" s="179"/>
      <c r="E22" s="176"/>
      <c r="F22" s="179"/>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row>
    <row r="23" spans="2:33" s="462" customFormat="1" ht="15" customHeight="1">
      <c r="B23" s="463"/>
      <c r="C23" s="176"/>
      <c r="D23" s="179"/>
      <c r="E23" s="163"/>
      <c r="F23" s="179"/>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row>
    <row r="24" spans="2:33" s="462" customFormat="1" ht="15" customHeight="1">
      <c r="B24" s="463"/>
      <c r="C24" s="176"/>
      <c r="D24" s="179"/>
      <c r="E24" s="163"/>
      <c r="F24" s="179"/>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row>
    <row r="25" spans="2:33" s="462" customFormat="1" ht="15" customHeight="1">
      <c r="B25" s="463"/>
      <c r="C25" s="176"/>
      <c r="D25" s="179"/>
      <c r="E25" s="176"/>
      <c r="F25" s="179"/>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row>
    <row r="26" spans="2:33" s="462" customFormat="1" ht="15" customHeight="1">
      <c r="B26" s="463"/>
      <c r="C26" s="176"/>
      <c r="D26" s="179"/>
      <c r="E26" s="176"/>
      <c r="F26" s="162"/>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row>
    <row r="27" spans="2:33" s="462" customFormat="1" ht="15" customHeight="1">
      <c r="B27" s="463"/>
      <c r="C27" s="176"/>
      <c r="D27" s="179"/>
      <c r="E27" s="176"/>
      <c r="F27" s="179"/>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row>
    <row r="28" spans="2:33" s="462" customFormat="1" ht="15" customHeight="1">
      <c r="B28" s="463"/>
      <c r="C28" s="176"/>
      <c r="D28" s="179"/>
      <c r="E28" s="176"/>
      <c r="F28" s="179"/>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row>
    <row r="29" spans="2:33" s="462" customFormat="1" ht="15" customHeight="1">
      <c r="B29" s="463"/>
      <c r="C29" s="176"/>
      <c r="D29" s="179"/>
      <c r="E29" s="176"/>
      <c r="F29" s="179"/>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row>
    <row r="30" spans="2:33" s="462" customFormat="1" ht="15" customHeight="1">
      <c r="B30" s="463"/>
      <c r="C30" s="176"/>
      <c r="D30" s="179"/>
      <c r="E30" s="176"/>
      <c r="F30" s="179"/>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row>
    <row r="31" spans="2:33" s="462" customFormat="1" ht="15" customHeight="1">
      <c r="B31" s="463"/>
      <c r="C31" s="176"/>
      <c r="D31" s="179"/>
      <c r="E31" s="176"/>
      <c r="F31" s="179"/>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c r="AE31" s="180"/>
      <c r="AF31" s="180"/>
    </row>
    <row r="32" spans="2:33" s="462" customFormat="1" ht="15" customHeight="1">
      <c r="B32" s="463"/>
      <c r="C32" s="176"/>
      <c r="D32" s="179"/>
      <c r="E32" s="176"/>
      <c r="F32" s="179"/>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row>
    <row r="33" spans="1:33" s="462" customFormat="1" ht="15" customHeight="1">
      <c r="B33" s="463"/>
      <c r="C33" s="176"/>
      <c r="D33" s="179"/>
      <c r="E33" s="176"/>
      <c r="F33" s="179"/>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row>
    <row r="34" spans="1:33" s="462" customFormat="1" ht="15" customHeight="1">
      <c r="B34" s="463"/>
      <c r="C34" s="176"/>
      <c r="D34" s="179"/>
      <c r="E34" s="176"/>
      <c r="F34" s="179"/>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row>
    <row r="35" spans="1:33" s="462" customFormat="1" ht="15" customHeight="1">
      <c r="B35" s="463"/>
      <c r="C35" s="176"/>
      <c r="D35" s="179"/>
      <c r="E35" s="176"/>
      <c r="F35" s="179"/>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row>
    <row r="36" spans="1:33" s="462" customFormat="1" ht="15" customHeight="1">
      <c r="B36" s="463"/>
      <c r="C36" s="176"/>
      <c r="D36" s="179"/>
      <c r="E36" s="176"/>
      <c r="F36" s="179"/>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row>
    <row r="37" spans="1:33" s="462" customFormat="1" ht="15" customHeight="1">
      <c r="B37" s="464"/>
      <c r="C37" s="178"/>
      <c r="D37" s="181"/>
      <c r="E37" s="176"/>
      <c r="F37" s="179"/>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row>
    <row r="38" spans="1:33" ht="15" customHeight="1">
      <c r="A38" s="462"/>
      <c r="C38" s="18"/>
      <c r="D38" s="18"/>
      <c r="E38" s="18"/>
      <c r="F38" s="18"/>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row>
    <row r="39" spans="1:33" ht="15" customHeight="1">
      <c r="B39" s="166" t="s">
        <v>349</v>
      </c>
      <c r="C39" s="314" t="s">
        <v>409</v>
      </c>
      <c r="D39" s="22" t="s">
        <v>107</v>
      </c>
      <c r="E39" s="314" t="s">
        <v>249</v>
      </c>
      <c r="F39" s="22" t="s">
        <v>248</v>
      </c>
      <c r="G39" s="23"/>
      <c r="H39" s="23"/>
      <c r="I39" s="23"/>
      <c r="J39" s="23"/>
      <c r="K39" s="23"/>
      <c r="L39" s="23">
        <v>80.973162315270926</v>
      </c>
      <c r="M39" s="23">
        <v>82.169267504056208</v>
      </c>
      <c r="N39" s="23">
        <v>66.755592908240772</v>
      </c>
      <c r="O39" s="23">
        <v>64.782521196667162</v>
      </c>
      <c r="P39" s="23">
        <v>62.867766875583413</v>
      </c>
      <c r="Q39" s="23">
        <v>61.009606278275527</v>
      </c>
      <c r="R39" s="23">
        <v>59.206366683843747</v>
      </c>
      <c r="S39" s="23">
        <v>57.456424811414877</v>
      </c>
      <c r="T39" s="23">
        <v>55.758205358860749</v>
      </c>
      <c r="U39" s="23">
        <v>54.110179584707232</v>
      </c>
      <c r="V39" s="23">
        <v>52.510863931957267</v>
      </c>
      <c r="W39" s="23">
        <v>50.958818692589077</v>
      </c>
      <c r="X39" s="23">
        <v>49.452646711527336</v>
      </c>
      <c r="Y39" s="23">
        <v>47.990992128920624</v>
      </c>
      <c r="Z39" s="23">
        <v>46.572539159592914</v>
      </c>
      <c r="AA39" s="23">
        <v>45.196010908570464</v>
      </c>
      <c r="AB39" s="23">
        <v>43.860168221617648</v>
      </c>
      <c r="AC39" s="23">
        <v>42.563808569747181</v>
      </c>
      <c r="AD39" s="23">
        <v>41.305764966700472</v>
      </c>
      <c r="AE39" s="23">
        <v>40.084904918423611</v>
      </c>
      <c r="AF39" s="23">
        <v>38.900129403593361</v>
      </c>
    </row>
    <row r="40" spans="1:33" s="462" customFormat="1" ht="15" customHeight="1">
      <c r="A40" s="9"/>
      <c r="B40" s="63"/>
      <c r="C40" s="16" t="s">
        <v>790</v>
      </c>
      <c r="D40" s="322" t="s">
        <v>107</v>
      </c>
      <c r="E40" s="16"/>
      <c r="F40" s="322"/>
      <c r="G40" s="321"/>
      <c r="H40" s="321"/>
      <c r="I40" s="321"/>
      <c r="J40" s="321"/>
      <c r="K40" s="321"/>
      <c r="L40" s="321"/>
      <c r="M40" s="321"/>
      <c r="N40" s="321"/>
      <c r="O40" s="321"/>
      <c r="P40" s="321"/>
      <c r="Q40" s="321">
        <f>Q39*(1+$AG40)</f>
        <v>48.807685022620426</v>
      </c>
      <c r="R40" s="321">
        <f t="shared" ref="R40:AE40" si="3">R39*(1+$AG40)</f>
        <v>47.365093347075003</v>
      </c>
      <c r="S40" s="321">
        <f t="shared" si="3"/>
        <v>45.965139849131901</v>
      </c>
      <c r="T40" s="321">
        <f t="shared" si="3"/>
        <v>44.606564287088602</v>
      </c>
      <c r="U40" s="321">
        <f t="shared" si="3"/>
        <v>43.288143667765787</v>
      </c>
      <c r="V40" s="321">
        <f t="shared" si="3"/>
        <v>42.00869114556582</v>
      </c>
      <c r="W40" s="321">
        <f t="shared" si="3"/>
        <v>40.767054954071263</v>
      </c>
      <c r="X40" s="321">
        <f t="shared" si="3"/>
        <v>39.562117369221873</v>
      </c>
      <c r="Y40" s="321">
        <f t="shared" si="3"/>
        <v>38.392793703136505</v>
      </c>
      <c r="Z40" s="321">
        <f t="shared" si="3"/>
        <v>37.258031327674331</v>
      </c>
      <c r="AA40" s="321">
        <f t="shared" si="3"/>
        <v>36.156808726856376</v>
      </c>
      <c r="AB40" s="321">
        <f t="shared" si="3"/>
        <v>35.08813457729412</v>
      </c>
      <c r="AC40" s="321">
        <f t="shared" si="3"/>
        <v>34.051046855797743</v>
      </c>
      <c r="AD40" s="321">
        <f t="shared" si="3"/>
        <v>33.044611973360382</v>
      </c>
      <c r="AE40" s="321">
        <f t="shared" si="3"/>
        <v>32.067923934738893</v>
      </c>
      <c r="AF40" s="321">
        <f>AF39*(1+$AG40)</f>
        <v>31.12010352287469</v>
      </c>
      <c r="AG40" s="9">
        <v>-0.2</v>
      </c>
    </row>
    <row r="41" spans="1:33" s="462" customFormat="1" ht="15" customHeight="1">
      <c r="A41" s="9"/>
      <c r="B41" s="63"/>
      <c r="C41" s="168" t="s">
        <v>791</v>
      </c>
      <c r="D41" s="12" t="s">
        <v>107</v>
      </c>
      <c r="E41" s="168"/>
      <c r="F41" s="12"/>
      <c r="G41" s="321"/>
      <c r="H41" s="321"/>
      <c r="I41" s="321"/>
      <c r="J41" s="321"/>
      <c r="K41" s="321"/>
      <c r="L41" s="321"/>
      <c r="M41" s="321"/>
      <c r="N41" s="321"/>
      <c r="O41" s="321"/>
      <c r="P41" s="321"/>
      <c r="Q41" s="321">
        <f>Q39*(1+$AG41)</f>
        <v>73.211527533930635</v>
      </c>
      <c r="R41" s="321">
        <f t="shared" ref="R41:AE41" si="4">R39*(1+$AG41)</f>
        <v>71.047640020612491</v>
      </c>
      <c r="S41" s="321">
        <f t="shared" si="4"/>
        <v>68.947709773697852</v>
      </c>
      <c r="T41" s="321">
        <f t="shared" si="4"/>
        <v>66.909846430632896</v>
      </c>
      <c r="U41" s="321">
        <f t="shared" si="4"/>
        <v>64.93221550164867</v>
      </c>
      <c r="V41" s="321">
        <f t="shared" si="4"/>
        <v>63.013036718348715</v>
      </c>
      <c r="W41" s="321">
        <f t="shared" si="4"/>
        <v>61.150582431106891</v>
      </c>
      <c r="X41" s="321">
        <f t="shared" si="4"/>
        <v>59.343176053832799</v>
      </c>
      <c r="Y41" s="321">
        <f t="shared" si="4"/>
        <v>57.589190554704743</v>
      </c>
      <c r="Z41" s="321">
        <f t="shared" si="4"/>
        <v>55.887046991511497</v>
      </c>
      <c r="AA41" s="321">
        <f t="shared" si="4"/>
        <v>54.235213090284553</v>
      </c>
      <c r="AB41" s="321">
        <f t="shared" si="4"/>
        <v>52.632201865941177</v>
      </c>
      <c r="AC41" s="321">
        <f t="shared" si="4"/>
        <v>51.076570283696618</v>
      </c>
      <c r="AD41" s="321">
        <f t="shared" si="4"/>
        <v>49.566917960040563</v>
      </c>
      <c r="AE41" s="321">
        <f t="shared" si="4"/>
        <v>48.101885902108329</v>
      </c>
      <c r="AF41" s="321">
        <f>AF39*(1+$AG41)</f>
        <v>46.680155284312029</v>
      </c>
      <c r="AG41" s="9">
        <v>0.2</v>
      </c>
    </row>
    <row r="42" spans="1:33" s="462" customFormat="1" ht="15" customHeight="1">
      <c r="A42" s="9"/>
      <c r="B42" s="63"/>
      <c r="C42" s="11" t="s">
        <v>794</v>
      </c>
      <c r="D42" s="322" t="s">
        <v>107</v>
      </c>
      <c r="E42" s="16" t="s">
        <v>793</v>
      </c>
      <c r="F42" s="322"/>
      <c r="G42" s="321"/>
      <c r="H42" s="321"/>
      <c r="I42" s="321"/>
      <c r="J42" s="321"/>
      <c r="K42" s="321"/>
      <c r="L42" s="321"/>
      <c r="M42" s="321"/>
      <c r="N42" s="321"/>
      <c r="O42" s="321"/>
      <c r="P42" s="321"/>
      <c r="Q42" s="321">
        <f>P39</f>
        <v>62.867766875583413</v>
      </c>
      <c r="R42" s="321">
        <v>62.87</v>
      </c>
      <c r="S42" s="321">
        <v>62.87</v>
      </c>
      <c r="T42" s="321">
        <v>62.87</v>
      </c>
      <c r="U42" s="321">
        <v>62.87</v>
      </c>
      <c r="V42" s="321">
        <v>62.87</v>
      </c>
      <c r="W42" s="321">
        <v>62.87</v>
      </c>
      <c r="X42" s="321">
        <v>62.87</v>
      </c>
      <c r="Y42" s="321">
        <v>62.87</v>
      </c>
      <c r="Z42" s="321">
        <v>62.87</v>
      </c>
      <c r="AA42" s="321">
        <v>62.87</v>
      </c>
      <c r="AB42" s="321">
        <v>62.87</v>
      </c>
      <c r="AC42" s="321">
        <v>62.87</v>
      </c>
      <c r="AD42" s="321">
        <v>62.87</v>
      </c>
      <c r="AE42" s="321">
        <v>62.87</v>
      </c>
      <c r="AF42" s="321">
        <f>Q42</f>
        <v>62.867766875583413</v>
      </c>
      <c r="AG42" s="9"/>
    </row>
    <row r="43" spans="1:33" s="462" customFormat="1" ht="15" customHeight="1">
      <c r="A43" s="9"/>
      <c r="B43" s="463"/>
      <c r="C43" s="163"/>
      <c r="D43" s="162"/>
      <c r="E43" s="176"/>
      <c r="F43" s="162"/>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9"/>
    </row>
    <row r="44" spans="1:33" s="462" customFormat="1" ht="15" customHeight="1">
      <c r="B44" s="463"/>
      <c r="C44" s="176"/>
      <c r="D44" s="162"/>
      <c r="E44" s="163"/>
      <c r="F44" s="162"/>
      <c r="G44" s="180"/>
      <c r="H44" s="180"/>
      <c r="I44" s="180"/>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row>
    <row r="45" spans="1:33" s="462" customFormat="1" ht="15" customHeight="1">
      <c r="B45" s="463"/>
      <c r="C45" s="163"/>
      <c r="D45" s="162"/>
      <c r="E45" s="176"/>
      <c r="F45" s="162"/>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c r="AE45" s="180"/>
      <c r="AF45" s="180"/>
    </row>
    <row r="46" spans="1:33" s="462" customFormat="1" ht="15" customHeight="1">
      <c r="B46" s="463"/>
      <c r="C46" s="176"/>
      <c r="D46" s="162"/>
      <c r="E46" s="176"/>
      <c r="F46" s="162"/>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row>
    <row r="47" spans="1:33" s="462" customFormat="1" ht="15" customHeight="1">
      <c r="B47" s="463"/>
      <c r="C47" s="184"/>
      <c r="D47" s="179"/>
      <c r="E47" s="184"/>
      <c r="F47" s="179"/>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row>
    <row r="48" spans="1:33" s="462" customFormat="1" ht="15" customHeight="1">
      <c r="B48" s="463"/>
      <c r="C48" s="176"/>
      <c r="D48" s="179"/>
      <c r="E48" s="176"/>
      <c r="F48" s="179"/>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row>
    <row r="49" spans="2:32" s="462" customFormat="1" ht="15" customHeight="1">
      <c r="B49" s="463"/>
      <c r="C49" s="176"/>
      <c r="D49" s="179"/>
      <c r="E49" s="163"/>
      <c r="F49" s="179"/>
      <c r="G49" s="18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row>
    <row r="50" spans="2:32" s="462" customFormat="1" ht="15" customHeight="1">
      <c r="B50" s="463"/>
      <c r="C50" s="176"/>
      <c r="D50" s="179"/>
      <c r="E50" s="163"/>
      <c r="F50" s="179"/>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row>
    <row r="51" spans="2:32" s="462" customFormat="1" ht="15" customHeight="1">
      <c r="B51" s="463"/>
      <c r="C51" s="176"/>
      <c r="D51" s="179"/>
      <c r="E51" s="176"/>
      <c r="F51" s="179"/>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row>
    <row r="52" spans="2:32" s="462" customFormat="1" ht="15" customHeight="1">
      <c r="B52" s="463"/>
      <c r="C52" s="176"/>
      <c r="D52" s="179"/>
      <c r="E52" s="176"/>
      <c r="F52" s="162"/>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row>
    <row r="53" spans="2:32" s="462" customFormat="1" ht="15" customHeight="1">
      <c r="B53" s="463"/>
      <c r="C53" s="176"/>
      <c r="D53" s="179"/>
      <c r="E53" s="176"/>
      <c r="F53" s="179"/>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row>
    <row r="54" spans="2:32" s="462" customFormat="1" ht="15" customHeight="1">
      <c r="B54" s="463"/>
      <c r="C54" s="176"/>
      <c r="D54" s="179"/>
      <c r="E54" s="176"/>
      <c r="F54" s="179"/>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row>
    <row r="55" spans="2:32" s="462" customFormat="1" ht="15" customHeight="1">
      <c r="B55" s="463"/>
      <c r="C55" s="176"/>
      <c r="D55" s="179"/>
      <c r="E55" s="176"/>
      <c r="F55" s="179"/>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row>
    <row r="56" spans="2:32" s="462" customFormat="1" ht="15" customHeight="1">
      <c r="B56" s="463"/>
      <c r="C56" s="176"/>
      <c r="D56" s="179"/>
      <c r="E56" s="176"/>
      <c r="F56" s="179"/>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row>
    <row r="57" spans="2:32" s="462" customFormat="1" ht="15" customHeight="1">
      <c r="B57" s="463"/>
      <c r="C57" s="176"/>
      <c r="D57" s="179"/>
      <c r="E57" s="176"/>
      <c r="F57" s="179"/>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row>
    <row r="58" spans="2:32" s="462" customFormat="1" ht="15" customHeight="1">
      <c r="B58" s="463"/>
      <c r="C58" s="176"/>
      <c r="D58" s="179"/>
      <c r="E58" s="176"/>
      <c r="F58" s="179"/>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row>
    <row r="59" spans="2:32" s="462" customFormat="1" ht="15" customHeight="1">
      <c r="B59" s="463"/>
      <c r="C59" s="176"/>
      <c r="D59" s="179"/>
      <c r="E59" s="176"/>
      <c r="F59" s="179"/>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row>
    <row r="60" spans="2:32" s="462" customFormat="1" ht="15" customHeight="1">
      <c r="B60" s="463"/>
      <c r="C60" s="176"/>
      <c r="D60" s="179"/>
      <c r="E60" s="176"/>
      <c r="F60" s="179"/>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row>
    <row r="61" spans="2:32" s="462" customFormat="1" ht="15" customHeight="1">
      <c r="B61" s="463"/>
      <c r="C61" s="176"/>
      <c r="D61" s="179"/>
      <c r="E61" s="176"/>
      <c r="F61" s="179"/>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row>
    <row r="62" spans="2:32" s="462" customFormat="1" ht="15" customHeight="1">
      <c r="B62" s="463"/>
      <c r="C62" s="176"/>
      <c r="D62" s="179"/>
      <c r="E62" s="176"/>
      <c r="F62" s="179"/>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c r="AE62" s="180"/>
      <c r="AF62" s="180"/>
    </row>
    <row r="63" spans="2:32" s="462" customFormat="1" ht="15" customHeight="1">
      <c r="B63" s="464"/>
      <c r="C63" s="176"/>
      <c r="D63" s="179"/>
      <c r="E63" s="176"/>
      <c r="F63" s="179"/>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c r="AE63" s="180"/>
      <c r="AF63" s="180"/>
    </row>
    <row r="64" spans="2:32" ht="15" customHeight="1">
      <c r="C64" s="18"/>
      <c r="D64" s="18"/>
      <c r="E64" s="18"/>
      <c r="F64" s="18"/>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row>
    <row r="65" spans="1:33" ht="15" customHeight="1">
      <c r="B65" s="166" t="s">
        <v>11</v>
      </c>
      <c r="C65" s="314" t="s">
        <v>409</v>
      </c>
      <c r="D65" s="22" t="s">
        <v>107</v>
      </c>
      <c r="E65" s="314" t="s">
        <v>249</v>
      </c>
      <c r="F65" s="22" t="s">
        <v>804</v>
      </c>
      <c r="G65" s="23"/>
      <c r="H65" s="23"/>
      <c r="I65" s="23"/>
      <c r="J65" s="54"/>
      <c r="K65" s="23"/>
      <c r="L65" s="23">
        <v>174.76190476190482</v>
      </c>
      <c r="M65" s="23">
        <v>178.24364250000005</v>
      </c>
      <c r="N65" s="23">
        <v>153.77000000000001</v>
      </c>
      <c r="O65" s="23">
        <v>149.9914941707718</v>
      </c>
      <c r="P65" s="23">
        <v>146.29623580770996</v>
      </c>
      <c r="Q65" s="23">
        <v>138.99746124695602</v>
      </c>
      <c r="R65" s="23">
        <v>142.45904886967196</v>
      </c>
      <c r="S65" s="23">
        <v>137.90967883577406</v>
      </c>
      <c r="T65" s="23">
        <v>132.74871581588312</v>
      </c>
      <c r="U65" s="23">
        <v>128.6261172129752</v>
      </c>
      <c r="V65" s="23">
        <v>129.53996861454175</v>
      </c>
      <c r="W65" s="23">
        <v>126.33045913970172</v>
      </c>
      <c r="X65" s="23">
        <v>123.19758113514828</v>
      </c>
      <c r="Y65" s="23">
        <v>120.13952287204474</v>
      </c>
      <c r="Z65" s="23">
        <v>117.15451553321103</v>
      </c>
      <c r="AA65" s="23">
        <v>114.24083219030085</v>
      </c>
      <c r="AB65" s="23">
        <v>111.39678680553604</v>
      </c>
      <c r="AC65" s="23">
        <v>108.62073325740459</v>
      </c>
      <c r="AD65" s="23">
        <v>105.91106438974299</v>
      </c>
      <c r="AE65" s="23">
        <v>103.26621108363823</v>
      </c>
      <c r="AF65" s="23">
        <v>103.20178107568667</v>
      </c>
    </row>
    <row r="66" spans="1:33" ht="15" customHeight="1">
      <c r="B66" s="63"/>
      <c r="C66" s="11" t="s">
        <v>799</v>
      </c>
      <c r="D66" s="322" t="s">
        <v>107</v>
      </c>
      <c r="E66" s="11" t="s">
        <v>795</v>
      </c>
      <c r="F66" s="322"/>
      <c r="G66" s="321"/>
      <c r="H66" s="321"/>
      <c r="I66" s="321"/>
      <c r="J66" s="52"/>
      <c r="K66" s="321"/>
      <c r="L66" s="321"/>
      <c r="M66" s="321"/>
      <c r="N66" s="321"/>
      <c r="O66" s="321"/>
      <c r="P66" s="321"/>
      <c r="Q66" s="321">
        <f>Q65*(1+$AG66)</f>
        <v>97.298222872869204</v>
      </c>
      <c r="R66" s="321">
        <f t="shared" ref="R66:AE66" si="5">R65*(1+$AG66)</f>
        <v>99.721334208770372</v>
      </c>
      <c r="S66" s="321">
        <f t="shared" si="5"/>
        <v>96.536775185041833</v>
      </c>
      <c r="T66" s="321">
        <f t="shared" si="5"/>
        <v>92.924101071118173</v>
      </c>
      <c r="U66" s="321">
        <f t="shared" si="5"/>
        <v>90.038282049082639</v>
      </c>
      <c r="V66" s="321">
        <f t="shared" si="5"/>
        <v>90.677978030179219</v>
      </c>
      <c r="W66" s="321">
        <f t="shared" si="5"/>
        <v>88.431321397791194</v>
      </c>
      <c r="X66" s="321">
        <f t="shared" si="5"/>
        <v>86.238306794603787</v>
      </c>
      <c r="Y66" s="321">
        <f t="shared" si="5"/>
        <v>84.097666010431311</v>
      </c>
      <c r="Z66" s="321">
        <f t="shared" si="5"/>
        <v>82.008160873247718</v>
      </c>
      <c r="AA66" s="321">
        <f t="shared" si="5"/>
        <v>79.968582533210594</v>
      </c>
      <c r="AB66" s="321">
        <f t="shared" si="5"/>
        <v>77.977750763875221</v>
      </c>
      <c r="AC66" s="321">
        <f t="shared" si="5"/>
        <v>76.034513280183205</v>
      </c>
      <c r="AD66" s="321">
        <f t="shared" si="5"/>
        <v>74.137745072820081</v>
      </c>
      <c r="AE66" s="321">
        <f t="shared" si="5"/>
        <v>72.286347758546754</v>
      </c>
      <c r="AF66" s="321">
        <f>AF65*(1+$AG66)</f>
        <v>72.241246752980658</v>
      </c>
      <c r="AG66" s="9">
        <f>-0.3</f>
        <v>-0.3</v>
      </c>
    </row>
    <row r="67" spans="1:33" ht="15" customHeight="1">
      <c r="B67" s="63"/>
      <c r="C67" s="11" t="s">
        <v>800</v>
      </c>
      <c r="D67" s="322" t="s">
        <v>107</v>
      </c>
      <c r="E67" s="11" t="s">
        <v>796</v>
      </c>
      <c r="F67" s="322"/>
      <c r="G67" s="321"/>
      <c r="H67" s="321"/>
      <c r="I67" s="321"/>
      <c r="J67" s="52"/>
      <c r="K67" s="321"/>
      <c r="L67" s="321"/>
      <c r="M67" s="321"/>
      <c r="N67" s="321"/>
      <c r="O67" s="321"/>
      <c r="P67" s="321"/>
      <c r="Q67" s="321">
        <f>Q65*(1+$AG67)</f>
        <v>118.14784205991262</v>
      </c>
      <c r="R67" s="321">
        <f t="shared" ref="R67:AE67" si="6">R65*(1+$AG67)</f>
        <v>121.09019153922117</v>
      </c>
      <c r="S67" s="321">
        <f t="shared" si="6"/>
        <v>117.22322701040795</v>
      </c>
      <c r="T67" s="321">
        <f t="shared" si="6"/>
        <v>112.83640844350064</v>
      </c>
      <c r="U67" s="321">
        <f t="shared" si="6"/>
        <v>109.33219963102891</v>
      </c>
      <c r="V67" s="321">
        <f t="shared" si="6"/>
        <v>110.10897332236048</v>
      </c>
      <c r="W67" s="321">
        <f t="shared" si="6"/>
        <v>107.38089026874646</v>
      </c>
      <c r="X67" s="321">
        <f t="shared" si="6"/>
        <v>104.71794396487604</v>
      </c>
      <c r="Y67" s="321">
        <f t="shared" si="6"/>
        <v>102.11859444123802</v>
      </c>
      <c r="Z67" s="321">
        <f t="shared" si="6"/>
        <v>99.581338203229365</v>
      </c>
      <c r="AA67" s="321">
        <f t="shared" si="6"/>
        <v>97.104707361755715</v>
      </c>
      <c r="AB67" s="321">
        <f t="shared" si="6"/>
        <v>94.687268784705637</v>
      </c>
      <c r="AC67" s="321">
        <f t="shared" si="6"/>
        <v>92.3276232687939</v>
      </c>
      <c r="AD67" s="321">
        <f t="shared" si="6"/>
        <v>90.024404731281535</v>
      </c>
      <c r="AE67" s="321">
        <f t="shared" si="6"/>
        <v>87.776279421092482</v>
      </c>
      <c r="AF67" s="321">
        <f>AF65*(1+$AG67)</f>
        <v>87.72151391433367</v>
      </c>
      <c r="AG67" s="9">
        <f>-0.15</f>
        <v>-0.15</v>
      </c>
    </row>
    <row r="68" spans="1:33" ht="15" customHeight="1">
      <c r="B68" s="63"/>
      <c r="C68" s="11" t="s">
        <v>801</v>
      </c>
      <c r="D68" s="322" t="s">
        <v>107</v>
      </c>
      <c r="E68" s="11" t="s">
        <v>797</v>
      </c>
      <c r="F68" s="322"/>
      <c r="G68" s="321"/>
      <c r="H68" s="321"/>
      <c r="I68" s="321"/>
      <c r="J68" s="52"/>
      <c r="K68" s="321"/>
      <c r="L68" s="321"/>
      <c r="M68" s="321"/>
      <c r="N68" s="321"/>
      <c r="O68" s="321"/>
      <c r="P68" s="321"/>
      <c r="Q68" s="321">
        <f>Q65*(1+$AG68)</f>
        <v>159.84708043399942</v>
      </c>
      <c r="R68" s="321">
        <f t="shared" ref="R68:AE68" si="7">R65*(1+$AG68)</f>
        <v>163.82790620012275</v>
      </c>
      <c r="S68" s="321">
        <f t="shared" si="7"/>
        <v>158.59613066114017</v>
      </c>
      <c r="T68" s="321">
        <f t="shared" si="7"/>
        <v>152.66102318826557</v>
      </c>
      <c r="U68" s="321">
        <f t="shared" si="7"/>
        <v>147.92003479492146</v>
      </c>
      <c r="V68" s="321">
        <f t="shared" si="7"/>
        <v>148.970963906723</v>
      </c>
      <c r="W68" s="321">
        <f t="shared" si="7"/>
        <v>145.28002801065696</v>
      </c>
      <c r="X68" s="321">
        <f t="shared" si="7"/>
        <v>141.67721830542052</v>
      </c>
      <c r="Y68" s="321">
        <f t="shared" si="7"/>
        <v>138.16045130285144</v>
      </c>
      <c r="Z68" s="321">
        <f t="shared" si="7"/>
        <v>134.72769286319266</v>
      </c>
      <c r="AA68" s="321">
        <f t="shared" si="7"/>
        <v>131.37695701884596</v>
      </c>
      <c r="AB68" s="321">
        <f t="shared" si="7"/>
        <v>128.10630482636643</v>
      </c>
      <c r="AC68" s="321">
        <f t="shared" si="7"/>
        <v>124.91384324601528</v>
      </c>
      <c r="AD68" s="321">
        <f t="shared" si="7"/>
        <v>121.79772404820443</v>
      </c>
      <c r="AE68" s="321">
        <f t="shared" si="7"/>
        <v>118.75614274618395</v>
      </c>
      <c r="AF68" s="321">
        <f>AF65*(1+$AG68)</f>
        <v>118.68204823703967</v>
      </c>
      <c r="AG68" s="9">
        <v>0.15</v>
      </c>
    </row>
    <row r="69" spans="1:33" ht="15" customHeight="1">
      <c r="B69" s="63"/>
      <c r="C69" s="11" t="s">
        <v>802</v>
      </c>
      <c r="D69" s="322" t="s">
        <v>107</v>
      </c>
      <c r="E69" s="11" t="s">
        <v>798</v>
      </c>
      <c r="F69" s="322"/>
      <c r="G69" s="321"/>
      <c r="H69" s="321"/>
      <c r="I69" s="321"/>
      <c r="J69" s="52"/>
      <c r="K69" s="321"/>
      <c r="L69" s="321"/>
      <c r="M69" s="321"/>
      <c r="N69" s="321"/>
      <c r="O69" s="321"/>
      <c r="P69" s="321"/>
      <c r="Q69" s="321">
        <f>Q65*(1+$AG69)</f>
        <v>180.69669962104282</v>
      </c>
      <c r="R69" s="321">
        <f t="shared" ref="R69:AE69" si="8">R65*(1+$AG69)</f>
        <v>185.19676353057355</v>
      </c>
      <c r="S69" s="321">
        <f t="shared" si="8"/>
        <v>179.28258248650627</v>
      </c>
      <c r="T69" s="321">
        <f t="shared" si="8"/>
        <v>172.57333056064806</v>
      </c>
      <c r="U69" s="321">
        <f t="shared" si="8"/>
        <v>167.21395237686778</v>
      </c>
      <c r="V69" s="321">
        <f t="shared" si="8"/>
        <v>168.40195919890428</v>
      </c>
      <c r="W69" s="321">
        <f t="shared" si="8"/>
        <v>164.22959688161222</v>
      </c>
      <c r="X69" s="321">
        <f t="shared" si="8"/>
        <v>160.15685547569277</v>
      </c>
      <c r="Y69" s="321">
        <f t="shared" si="8"/>
        <v>156.18137973365816</v>
      </c>
      <c r="Z69" s="321">
        <f t="shared" si="8"/>
        <v>152.30087019317435</v>
      </c>
      <c r="AA69" s="321">
        <f t="shared" si="8"/>
        <v>148.51308184739111</v>
      </c>
      <c r="AB69" s="321">
        <f t="shared" si="8"/>
        <v>144.81582284719684</v>
      </c>
      <c r="AC69" s="321">
        <f t="shared" si="8"/>
        <v>141.20695323462598</v>
      </c>
      <c r="AD69" s="321">
        <f t="shared" si="8"/>
        <v>137.6843837066659</v>
      </c>
      <c r="AE69" s="321">
        <f t="shared" si="8"/>
        <v>134.2460744087297</v>
      </c>
      <c r="AF69" s="321">
        <f>AF65*(1+$AG69)</f>
        <v>134.16231539839268</v>
      </c>
      <c r="AG69" s="9">
        <v>0.3</v>
      </c>
    </row>
    <row r="70" spans="1:33" ht="15" customHeight="1">
      <c r="B70" s="63"/>
      <c r="C70" s="11" t="s">
        <v>803</v>
      </c>
      <c r="D70" s="322" t="s">
        <v>107</v>
      </c>
      <c r="E70" s="16" t="s">
        <v>793</v>
      </c>
      <c r="F70" s="322"/>
      <c r="G70" s="321"/>
      <c r="H70" s="321"/>
      <c r="I70" s="321"/>
      <c r="J70" s="52"/>
      <c r="K70" s="321"/>
      <c r="L70" s="321"/>
      <c r="M70" s="321"/>
      <c r="N70" s="321"/>
      <c r="O70" s="321"/>
      <c r="P70" s="321"/>
      <c r="Q70" s="321">
        <f>P65</f>
        <v>146.29623580770996</v>
      </c>
      <c r="R70" s="321">
        <f>$Q70+($AF70-$Q70)/($AF$4-$Q$4)*(R$4-$Q$4)</f>
        <v>146.29623580770996</v>
      </c>
      <c r="S70" s="321">
        <f t="shared" ref="S70:AE70" si="9">$Q70+($AF70-$Q70)/($AF$4-$Q$4)*(S$4-$Q$4)</f>
        <v>146.29623580770996</v>
      </c>
      <c r="T70" s="321">
        <f t="shared" si="9"/>
        <v>146.29623580770996</v>
      </c>
      <c r="U70" s="321">
        <f t="shared" si="9"/>
        <v>146.29623580770996</v>
      </c>
      <c r="V70" s="321">
        <f t="shared" si="9"/>
        <v>146.29623580770996</v>
      </c>
      <c r="W70" s="321">
        <f t="shared" si="9"/>
        <v>146.29623580770996</v>
      </c>
      <c r="X70" s="321">
        <f t="shared" si="9"/>
        <v>146.29623580770996</v>
      </c>
      <c r="Y70" s="321">
        <f t="shared" si="9"/>
        <v>146.29623580770996</v>
      </c>
      <c r="Z70" s="321">
        <f t="shared" si="9"/>
        <v>146.29623580770996</v>
      </c>
      <c r="AA70" s="321">
        <f t="shared" si="9"/>
        <v>146.29623580770996</v>
      </c>
      <c r="AB70" s="321">
        <f t="shared" si="9"/>
        <v>146.29623580770996</v>
      </c>
      <c r="AC70" s="321">
        <f t="shared" si="9"/>
        <v>146.29623580770996</v>
      </c>
      <c r="AD70" s="321">
        <f t="shared" si="9"/>
        <v>146.29623580770996</v>
      </c>
      <c r="AE70" s="321">
        <f t="shared" si="9"/>
        <v>146.29623580770996</v>
      </c>
      <c r="AF70" s="321">
        <f>$Q$70</f>
        <v>146.29623580770996</v>
      </c>
    </row>
    <row r="71" spans="1:33" s="462" customFormat="1" ht="15" customHeight="1">
      <c r="A71" s="9"/>
      <c r="B71" s="463"/>
      <c r="C71" s="163"/>
      <c r="D71" s="162"/>
      <c r="E71" s="176"/>
      <c r="F71" s="162"/>
      <c r="G71" s="180"/>
      <c r="H71" s="180"/>
      <c r="I71" s="180"/>
      <c r="J71" s="161"/>
      <c r="K71" s="180"/>
      <c r="L71" s="180"/>
      <c r="M71" s="180"/>
      <c r="N71" s="180"/>
      <c r="O71" s="180"/>
      <c r="P71" s="180"/>
      <c r="Q71" s="180"/>
      <c r="R71" s="180"/>
      <c r="S71" s="180"/>
      <c r="T71" s="180"/>
      <c r="U71" s="180"/>
      <c r="V71" s="180"/>
      <c r="W71" s="180"/>
      <c r="X71" s="180"/>
      <c r="Y71" s="180"/>
      <c r="Z71" s="180"/>
      <c r="AA71" s="180"/>
      <c r="AB71" s="180"/>
      <c r="AC71" s="180"/>
      <c r="AD71" s="180"/>
      <c r="AE71" s="180"/>
      <c r="AF71" s="180"/>
      <c r="AG71" s="9"/>
    </row>
    <row r="72" spans="1:33" s="462" customFormat="1" ht="15" customHeight="1">
      <c r="B72" s="463"/>
      <c r="C72" s="176"/>
      <c r="D72" s="162"/>
      <c r="E72" s="176"/>
      <c r="F72" s="162"/>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c r="AE72" s="180"/>
      <c r="AF72" s="180"/>
    </row>
    <row r="73" spans="1:33" s="462" customFormat="1" ht="15" customHeight="1">
      <c r="B73" s="463"/>
      <c r="C73" s="184"/>
      <c r="D73" s="179"/>
      <c r="E73" s="184"/>
      <c r="F73" s="179"/>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c r="AE73" s="180"/>
      <c r="AF73" s="180"/>
    </row>
    <row r="74" spans="1:33" s="462" customFormat="1" ht="15" customHeight="1">
      <c r="B74" s="463"/>
      <c r="C74" s="176"/>
      <c r="D74" s="179"/>
      <c r="E74" s="176"/>
      <c r="F74" s="179"/>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c r="AE74" s="180"/>
      <c r="AF74" s="180"/>
    </row>
    <row r="75" spans="1:33" s="462" customFormat="1" ht="15" customHeight="1">
      <c r="B75" s="463"/>
      <c r="C75" s="163"/>
      <c r="D75" s="179"/>
      <c r="E75" s="163"/>
      <c r="F75" s="179"/>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c r="AE75" s="180"/>
      <c r="AF75" s="180"/>
    </row>
    <row r="76" spans="1:33" s="462" customFormat="1" ht="15" customHeight="1">
      <c r="B76" s="463"/>
      <c r="C76" s="176"/>
      <c r="D76" s="162"/>
      <c r="E76" s="163"/>
      <c r="F76" s="179"/>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row>
    <row r="77" spans="1:33" s="462" customFormat="1" ht="15" customHeight="1">
      <c r="B77" s="463"/>
      <c r="C77" s="176"/>
      <c r="D77" s="179"/>
      <c r="E77" s="176"/>
      <c r="F77" s="179"/>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c r="AE77" s="180"/>
      <c r="AF77" s="180"/>
    </row>
    <row r="78" spans="1:33" s="462" customFormat="1" ht="15" customHeight="1">
      <c r="B78" s="463"/>
      <c r="C78" s="176"/>
      <c r="D78" s="179"/>
      <c r="E78" s="176"/>
      <c r="F78" s="162"/>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row>
    <row r="79" spans="1:33" s="462" customFormat="1" ht="15" customHeight="1">
      <c r="B79" s="463"/>
      <c r="C79" s="176"/>
      <c r="D79" s="179"/>
      <c r="E79" s="176"/>
      <c r="F79" s="179"/>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c r="AE79" s="180"/>
      <c r="AF79" s="180"/>
    </row>
    <row r="80" spans="1:33" s="462" customFormat="1" ht="15" customHeight="1">
      <c r="B80" s="463"/>
      <c r="C80" s="176"/>
      <c r="D80" s="179"/>
      <c r="E80" s="176"/>
      <c r="F80" s="179"/>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c r="AE80" s="180"/>
      <c r="AF80" s="180"/>
    </row>
    <row r="81" spans="1:33" s="462" customFormat="1" ht="15" customHeight="1">
      <c r="B81" s="463"/>
      <c r="C81" s="176"/>
      <c r="D81" s="179"/>
      <c r="E81" s="176"/>
      <c r="F81" s="179"/>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c r="AE81" s="180"/>
      <c r="AF81" s="180"/>
    </row>
    <row r="82" spans="1:33" s="462" customFormat="1" ht="15" customHeight="1">
      <c r="B82" s="463"/>
      <c r="C82" s="176"/>
      <c r="D82" s="179"/>
      <c r="E82" s="176"/>
      <c r="F82" s="179"/>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row>
    <row r="83" spans="1:33" s="462" customFormat="1" ht="15" customHeight="1">
      <c r="B83" s="463"/>
      <c r="C83" s="176"/>
      <c r="D83" s="179"/>
      <c r="E83" s="176"/>
      <c r="F83" s="179"/>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row>
    <row r="84" spans="1:33" ht="15" customHeight="1">
      <c r="A84" s="462"/>
      <c r="B84" s="463"/>
      <c r="C84" s="176"/>
      <c r="D84" s="179"/>
      <c r="E84" s="176"/>
      <c r="F84" s="179"/>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row>
    <row r="85" spans="1:33" ht="15" customHeight="1">
      <c r="A85" s="462"/>
      <c r="B85" s="463"/>
      <c r="C85" s="176"/>
      <c r="D85" s="179"/>
      <c r="E85" s="176"/>
      <c r="F85" s="179"/>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row>
    <row r="86" spans="1:33" ht="15" customHeight="1">
      <c r="A86" s="462"/>
      <c r="B86" s="463"/>
      <c r="C86" s="176"/>
      <c r="D86" s="179"/>
      <c r="E86" s="176"/>
      <c r="F86" s="179"/>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c r="AE86" s="180"/>
      <c r="AF86" s="180"/>
    </row>
    <row r="87" spans="1:33" ht="15" customHeight="1">
      <c r="A87" s="462"/>
      <c r="B87" s="463"/>
      <c r="C87" s="176"/>
      <c r="D87" s="179"/>
      <c r="E87" s="176"/>
      <c r="F87" s="179"/>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c r="AE87" s="180"/>
      <c r="AF87" s="180"/>
    </row>
    <row r="88" spans="1:33" ht="15" customHeight="1">
      <c r="A88" s="462"/>
      <c r="B88" s="463"/>
      <c r="C88" s="176"/>
      <c r="D88" s="179"/>
      <c r="E88" s="176"/>
      <c r="F88" s="179"/>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c r="AE88" s="180"/>
      <c r="AF88" s="180"/>
    </row>
    <row r="89" spans="1:33" ht="15" customHeight="1">
      <c r="A89" s="462"/>
      <c r="B89" s="464"/>
      <c r="C89" s="176"/>
      <c r="D89" s="179"/>
      <c r="E89" s="176"/>
      <c r="F89" s="179"/>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row>
    <row r="90" spans="1:33" ht="15" customHeight="1">
      <c r="C90" s="18"/>
      <c r="D90" s="18"/>
      <c r="E90" s="18"/>
      <c r="F90" s="18"/>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row>
    <row r="91" spans="1:33" ht="15" customHeight="1">
      <c r="B91" s="166" t="s">
        <v>10</v>
      </c>
      <c r="C91" s="314" t="s">
        <v>409</v>
      </c>
      <c r="D91" s="22" t="s">
        <v>107</v>
      </c>
      <c r="E91" s="314" t="s">
        <v>249</v>
      </c>
      <c r="F91" s="22" t="s">
        <v>250</v>
      </c>
      <c r="G91" s="23"/>
      <c r="H91" s="23"/>
      <c r="I91" s="23"/>
      <c r="J91" s="23"/>
      <c r="K91" s="23"/>
      <c r="L91" s="23">
        <v>248.27586206896555</v>
      </c>
      <c r="M91" s="23">
        <v>249.38549999999995</v>
      </c>
      <c r="N91" s="23">
        <v>252</v>
      </c>
      <c r="O91" s="23">
        <v>248.27586206896555</v>
      </c>
      <c r="P91" s="23">
        <v>244.60676065907938</v>
      </c>
      <c r="Q91" s="23">
        <v>240.99188242273834</v>
      </c>
      <c r="R91" s="23">
        <v>225.55890473064181</v>
      </c>
      <c r="S91" s="23">
        <v>211.11424580700469</v>
      </c>
      <c r="T91" s="23">
        <v>197.59461430212264</v>
      </c>
      <c r="U91" s="23">
        <v>184.94077200691282</v>
      </c>
      <c r="V91" s="23">
        <v>173.09727429218444</v>
      </c>
      <c r="W91" s="23">
        <v>162.01222717002486</v>
      </c>
      <c r="X91" s="23">
        <v>151.63705991283115</v>
      </c>
      <c r="Y91" s="23">
        <v>141.92631223368434</v>
      </c>
      <c r="Z91" s="23">
        <v>132.83743509556663</v>
      </c>
      <c r="AA91" s="23">
        <v>124.33060427663872</v>
      </c>
      <c r="AB91" s="23">
        <v>116.3685458746865</v>
      </c>
      <c r="AC91" s="23">
        <v>108.91637298615977</v>
      </c>
      <c r="AD91" s="23">
        <v>101.94143284418897</v>
      </c>
      <c r="AE91" s="23">
        <v>95.41316374579263</v>
      </c>
      <c r="AF91" s="23">
        <v>89.302961141382269</v>
      </c>
    </row>
    <row r="92" spans="1:33" s="462" customFormat="1" ht="15" customHeight="1">
      <c r="A92" s="9"/>
      <c r="B92" s="63"/>
      <c r="C92" s="16" t="s">
        <v>790</v>
      </c>
      <c r="D92" s="322" t="s">
        <v>107</v>
      </c>
      <c r="E92" s="16"/>
      <c r="F92" s="322"/>
      <c r="G92" s="321"/>
      <c r="H92" s="321"/>
      <c r="I92" s="321"/>
      <c r="J92" s="321"/>
      <c r="K92" s="321"/>
      <c r="L92" s="321"/>
      <c r="M92" s="321"/>
      <c r="N92" s="321"/>
      <c r="O92" s="321"/>
      <c r="P92" s="321"/>
      <c r="Q92" s="321">
        <f t="shared" ref="Q92:AE92" si="10">Q91*(1+$AG92)</f>
        <v>192.79350593819069</v>
      </c>
      <c r="R92" s="321">
        <f t="shared" si="10"/>
        <v>180.44712378451345</v>
      </c>
      <c r="S92" s="321">
        <f t="shared" si="10"/>
        <v>168.89139664560378</v>
      </c>
      <c r="T92" s="321">
        <f t="shared" si="10"/>
        <v>158.07569144169813</v>
      </c>
      <c r="U92" s="321">
        <f t="shared" si="10"/>
        <v>147.95261760553026</v>
      </c>
      <c r="V92" s="321">
        <f t="shared" si="10"/>
        <v>138.47781943374756</v>
      </c>
      <c r="W92" s="321">
        <f t="shared" si="10"/>
        <v>129.6097817360199</v>
      </c>
      <c r="X92" s="321">
        <f t="shared" si="10"/>
        <v>121.30964793026493</v>
      </c>
      <c r="Y92" s="321">
        <f t="shared" si="10"/>
        <v>113.54104978694748</v>
      </c>
      <c r="Z92" s="321">
        <f t="shared" si="10"/>
        <v>106.26994807645332</v>
      </c>
      <c r="AA92" s="321">
        <f t="shared" si="10"/>
        <v>99.464483421310987</v>
      </c>
      <c r="AB92" s="321">
        <f t="shared" si="10"/>
        <v>93.094836699749209</v>
      </c>
      <c r="AC92" s="321">
        <f t="shared" si="10"/>
        <v>87.13309838892782</v>
      </c>
      <c r="AD92" s="321">
        <f t="shared" si="10"/>
        <v>81.553146275351182</v>
      </c>
      <c r="AE92" s="321">
        <f t="shared" si="10"/>
        <v>76.33053099663411</v>
      </c>
      <c r="AF92" s="321">
        <f>AF91*(1+$AG92)</f>
        <v>71.442368913105824</v>
      </c>
      <c r="AG92" s="9">
        <v>-0.2</v>
      </c>
    </row>
    <row r="93" spans="1:33" s="462" customFormat="1" ht="15" customHeight="1">
      <c r="A93" s="9"/>
      <c r="B93" s="63"/>
      <c r="C93" s="168" t="s">
        <v>791</v>
      </c>
      <c r="D93" s="12" t="s">
        <v>107</v>
      </c>
      <c r="E93" s="168"/>
      <c r="F93" s="12"/>
      <c r="G93" s="321"/>
      <c r="H93" s="321"/>
      <c r="I93" s="321"/>
      <c r="J93" s="321"/>
      <c r="K93" s="321"/>
      <c r="L93" s="321"/>
      <c r="M93" s="321"/>
      <c r="N93" s="321"/>
      <c r="O93" s="321"/>
      <c r="P93" s="321"/>
      <c r="Q93" s="321">
        <f t="shared" ref="Q93:AE93" si="11">Q91*(1+$AG93)</f>
        <v>289.19025890728602</v>
      </c>
      <c r="R93" s="321">
        <f t="shared" si="11"/>
        <v>270.67068567677018</v>
      </c>
      <c r="S93" s="321">
        <f t="shared" si="11"/>
        <v>253.33709496840561</v>
      </c>
      <c r="T93" s="321">
        <f t="shared" si="11"/>
        <v>237.11353716254715</v>
      </c>
      <c r="U93" s="321">
        <f t="shared" si="11"/>
        <v>221.92892640829538</v>
      </c>
      <c r="V93" s="321">
        <f t="shared" si="11"/>
        <v>207.71672915062132</v>
      </c>
      <c r="W93" s="321">
        <f t="shared" si="11"/>
        <v>194.41467260402982</v>
      </c>
      <c r="X93" s="321">
        <f t="shared" si="11"/>
        <v>181.96447189539737</v>
      </c>
      <c r="Y93" s="321">
        <f t="shared" si="11"/>
        <v>170.31157468042122</v>
      </c>
      <c r="Z93" s="321">
        <f t="shared" si="11"/>
        <v>159.40492211467995</v>
      </c>
      <c r="AA93" s="321">
        <f t="shared" si="11"/>
        <v>149.19672513196647</v>
      </c>
      <c r="AB93" s="321">
        <f t="shared" si="11"/>
        <v>139.6422550496238</v>
      </c>
      <c r="AC93" s="321">
        <f t="shared" si="11"/>
        <v>130.69964758339171</v>
      </c>
      <c r="AD93" s="321">
        <f t="shared" si="11"/>
        <v>122.32971941302675</v>
      </c>
      <c r="AE93" s="321">
        <f t="shared" si="11"/>
        <v>114.49579649495115</v>
      </c>
      <c r="AF93" s="321">
        <f>AF91*(1+$AG93)</f>
        <v>107.16355336965871</v>
      </c>
      <c r="AG93" s="9">
        <v>0.2</v>
      </c>
    </row>
    <row r="94" spans="1:33" s="462" customFormat="1" ht="15" customHeight="1">
      <c r="A94" s="9"/>
      <c r="B94" s="63"/>
      <c r="C94" s="11" t="s">
        <v>803</v>
      </c>
      <c r="D94" s="322" t="s">
        <v>107</v>
      </c>
      <c r="E94" s="16" t="s">
        <v>793</v>
      </c>
      <c r="F94" s="322"/>
      <c r="G94" s="321"/>
      <c r="H94" s="321"/>
      <c r="I94" s="321"/>
      <c r="J94" s="321"/>
      <c r="K94" s="321"/>
      <c r="L94" s="321"/>
      <c r="M94" s="321"/>
      <c r="N94" s="321"/>
      <c r="O94" s="321"/>
      <c r="P94" s="321"/>
      <c r="Q94" s="321">
        <f>P91</f>
        <v>244.60676065907938</v>
      </c>
      <c r="R94" s="321">
        <f>$Q94+($AF94-$Q94)/($AF$4-$Q$4)*(R$4-$Q$4)</f>
        <v>244.60676065907938</v>
      </c>
      <c r="S94" s="321">
        <f t="shared" ref="S94:AE94" si="12">$Q94+($AF94-$Q94)/($AF$4-$Q$4)*(S$4-$Q$4)</f>
        <v>244.60676065907938</v>
      </c>
      <c r="T94" s="321">
        <f t="shared" si="12"/>
        <v>244.60676065907938</v>
      </c>
      <c r="U94" s="321">
        <f t="shared" si="12"/>
        <v>244.60676065907938</v>
      </c>
      <c r="V94" s="321">
        <f t="shared" si="12"/>
        <v>244.60676065907938</v>
      </c>
      <c r="W94" s="321">
        <f t="shared" si="12"/>
        <v>244.60676065907938</v>
      </c>
      <c r="X94" s="321">
        <f t="shared" si="12"/>
        <v>244.60676065907938</v>
      </c>
      <c r="Y94" s="321">
        <f t="shared" si="12"/>
        <v>244.60676065907938</v>
      </c>
      <c r="Z94" s="321">
        <f t="shared" si="12"/>
        <v>244.60676065907938</v>
      </c>
      <c r="AA94" s="321">
        <f t="shared" si="12"/>
        <v>244.60676065907938</v>
      </c>
      <c r="AB94" s="321">
        <f t="shared" si="12"/>
        <v>244.60676065907938</v>
      </c>
      <c r="AC94" s="321">
        <f t="shared" si="12"/>
        <v>244.60676065907938</v>
      </c>
      <c r="AD94" s="321">
        <f t="shared" si="12"/>
        <v>244.60676065907938</v>
      </c>
      <c r="AE94" s="321">
        <f t="shared" si="12"/>
        <v>244.60676065907938</v>
      </c>
      <c r="AF94" s="321">
        <f>Q94</f>
        <v>244.60676065907938</v>
      </c>
      <c r="AG94" s="9"/>
    </row>
    <row r="95" spans="1:33" s="462" customFormat="1" ht="15" customHeight="1">
      <c r="A95" s="9"/>
      <c r="B95" s="463"/>
      <c r="C95" s="463"/>
      <c r="D95" s="176"/>
      <c r="E95" s="162"/>
      <c r="F95" s="176"/>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c r="AE95" s="180"/>
      <c r="AF95" s="180"/>
      <c r="AG95" s="9"/>
    </row>
    <row r="96" spans="1:33" s="462" customFormat="1" ht="15" customHeight="1">
      <c r="B96" s="463"/>
      <c r="C96" s="176"/>
      <c r="D96" s="162"/>
      <c r="E96" s="163"/>
      <c r="F96" s="162"/>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c r="AE96" s="180"/>
      <c r="AF96" s="180"/>
    </row>
    <row r="97" spans="2:32" s="462" customFormat="1" ht="15" customHeight="1">
      <c r="B97" s="463"/>
      <c r="C97" s="163"/>
      <c r="D97" s="162"/>
      <c r="E97" s="176"/>
      <c r="F97" s="162"/>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c r="AE97" s="180"/>
      <c r="AF97" s="180"/>
    </row>
    <row r="98" spans="2:32" s="462" customFormat="1" ht="15" customHeight="1">
      <c r="B98" s="463"/>
      <c r="C98" s="176"/>
      <c r="D98" s="162"/>
      <c r="E98" s="176"/>
      <c r="F98" s="162"/>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row>
    <row r="99" spans="2:32" s="462" customFormat="1" ht="15" customHeight="1">
      <c r="B99" s="463"/>
      <c r="C99" s="184"/>
      <c r="D99" s="179"/>
      <c r="E99" s="184"/>
      <c r="F99" s="179"/>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row>
    <row r="100" spans="2:32" s="462" customFormat="1" ht="15" customHeight="1">
      <c r="B100" s="463"/>
      <c r="C100" s="176"/>
      <c r="D100" s="179"/>
      <c r="E100" s="176"/>
      <c r="F100" s="179"/>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c r="AE100" s="180"/>
      <c r="AF100" s="180"/>
    </row>
    <row r="101" spans="2:32" s="462" customFormat="1" ht="15" customHeight="1">
      <c r="B101" s="463"/>
      <c r="C101" s="176"/>
      <c r="D101" s="179"/>
      <c r="E101" s="163"/>
      <c r="F101" s="179"/>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row>
    <row r="102" spans="2:32" s="462" customFormat="1" ht="15" customHeight="1">
      <c r="B102" s="463"/>
      <c r="C102" s="176"/>
      <c r="D102" s="162"/>
      <c r="E102" s="163"/>
      <c r="F102" s="179"/>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row>
    <row r="103" spans="2:32" s="462" customFormat="1" ht="15" customHeight="1">
      <c r="B103" s="463"/>
      <c r="C103" s="176"/>
      <c r="D103" s="179"/>
      <c r="E103" s="176"/>
      <c r="F103" s="179"/>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row>
    <row r="104" spans="2:32" s="462" customFormat="1" ht="15" customHeight="1">
      <c r="B104" s="463"/>
      <c r="C104" s="176"/>
      <c r="D104" s="179"/>
      <c r="E104" s="176"/>
      <c r="F104" s="162"/>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row>
    <row r="105" spans="2:32" s="462" customFormat="1" ht="15" customHeight="1">
      <c r="B105" s="463"/>
      <c r="C105" s="176"/>
      <c r="D105" s="179"/>
      <c r="E105" s="176"/>
      <c r="F105" s="179"/>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row>
    <row r="106" spans="2:32" s="462" customFormat="1" ht="15" customHeight="1">
      <c r="B106" s="463"/>
      <c r="C106" s="176"/>
      <c r="D106" s="179"/>
      <c r="E106" s="176"/>
      <c r="F106" s="179"/>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row>
    <row r="107" spans="2:32" s="462" customFormat="1" ht="15" customHeight="1">
      <c r="B107" s="463"/>
      <c r="C107" s="176"/>
      <c r="D107" s="179"/>
      <c r="E107" s="176"/>
      <c r="F107" s="179"/>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row>
    <row r="108" spans="2:32" s="462" customFormat="1" ht="15" customHeight="1">
      <c r="B108" s="463"/>
      <c r="C108" s="176"/>
      <c r="D108" s="179"/>
      <c r="E108" s="176"/>
      <c r="F108" s="179"/>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row>
    <row r="109" spans="2:32" s="462" customFormat="1" ht="15" customHeight="1">
      <c r="B109" s="463"/>
      <c r="C109" s="176"/>
      <c r="D109" s="179"/>
      <c r="E109" s="176"/>
      <c r="F109" s="179"/>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row>
    <row r="110" spans="2:32" s="462" customFormat="1" ht="15" customHeight="1">
      <c r="B110" s="463"/>
      <c r="C110" s="176"/>
      <c r="D110" s="179"/>
      <c r="E110" s="176"/>
      <c r="F110" s="179"/>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row>
    <row r="111" spans="2:32" s="462" customFormat="1" ht="15" customHeight="1">
      <c r="B111" s="463"/>
      <c r="C111" s="176"/>
      <c r="D111" s="179"/>
      <c r="E111" s="176"/>
      <c r="F111" s="179"/>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row>
    <row r="112" spans="2:32" s="462" customFormat="1" ht="15" customHeight="1">
      <c r="B112" s="463"/>
      <c r="C112" s="176"/>
      <c r="D112" s="179"/>
      <c r="E112" s="176"/>
      <c r="F112" s="179"/>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row>
    <row r="113" spans="1:33" s="462" customFormat="1" ht="15" customHeight="1">
      <c r="B113" s="463"/>
      <c r="C113" s="176"/>
      <c r="D113" s="179"/>
      <c r="E113" s="176"/>
      <c r="F113" s="179"/>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row>
    <row r="114" spans="1:33" s="462" customFormat="1" ht="15" customHeight="1">
      <c r="B114" s="463"/>
      <c r="C114" s="176"/>
      <c r="D114" s="179"/>
      <c r="E114" s="176"/>
      <c r="F114" s="179"/>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row>
    <row r="115" spans="1:33" s="462" customFormat="1" ht="15" customHeight="1">
      <c r="B115" s="464"/>
      <c r="C115" s="176"/>
      <c r="D115" s="179"/>
      <c r="E115" s="176"/>
      <c r="F115" s="179"/>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row>
    <row r="116" spans="1:33" ht="15" customHeight="1">
      <c r="C116" s="18"/>
      <c r="D116" s="18"/>
      <c r="E116" s="18"/>
      <c r="F116" s="18"/>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row>
    <row r="117" spans="1:33" ht="15" customHeight="1">
      <c r="B117" s="166" t="s">
        <v>18</v>
      </c>
      <c r="C117" s="314" t="s">
        <v>409</v>
      </c>
      <c r="D117" s="22" t="s">
        <v>107</v>
      </c>
      <c r="E117" s="314" t="str">
        <f>CONCATENATE("Baisse de ",TEXT(AF117/10,"##,0")," ct/kWh in 2035")</f>
        <v>Baisse de 4 ct/kWh in 2035</v>
      </c>
      <c r="F117" s="22" t="s">
        <v>807</v>
      </c>
      <c r="G117" s="23"/>
      <c r="H117" s="23"/>
      <c r="I117" s="23"/>
      <c r="J117" s="23"/>
      <c r="K117" s="23"/>
      <c r="L117" s="23">
        <v>87.684729064039445</v>
      </c>
      <c r="M117" s="23">
        <v>88.277074028919984</v>
      </c>
      <c r="N117" s="23">
        <v>80.650000000000006</v>
      </c>
      <c r="O117" s="23">
        <v>74.50738916256158</v>
      </c>
      <c r="P117" s="23">
        <v>62.153413089373693</v>
      </c>
      <c r="Q117" s="23">
        <v>60.181028416122707</v>
      </c>
      <c r="R117" s="23">
        <v>58.253366590167602</v>
      </c>
      <c r="S117" s="23">
        <v>56.369536520582891</v>
      </c>
      <c r="T117" s="23">
        <v>54.528663686685597</v>
      </c>
      <c r="U117" s="23">
        <v>52.729889842887602</v>
      </c>
      <c r="V117" s="23">
        <v>50.972372728652694</v>
      </c>
      <c r="W117" s="23">
        <v>49.255285783471933</v>
      </c>
      <c r="X117" s="23">
        <v>47.577817866772151</v>
      </c>
      <c r="Y117" s="23">
        <v>45.939172982674187</v>
      </c>
      <c r="Z117" s="23">
        <v>44.338570009518754</v>
      </c>
      <c r="AA117" s="23">
        <v>42.775242434078841</v>
      </c>
      <c r="AB117" s="23">
        <v>41.24843809037958</v>
      </c>
      <c r="AC117" s="23">
        <v>39.75741890304711</v>
      </c>
      <c r="AD117" s="23">
        <v>38.301460635109848</v>
      </c>
      <c r="AE117" s="23">
        <v>36.879852640176559</v>
      </c>
      <c r="AF117" s="23">
        <v>35.491897618916795</v>
      </c>
    </row>
    <row r="118" spans="1:33" ht="15" customHeight="1">
      <c r="B118" s="63"/>
      <c r="C118" s="11" t="s">
        <v>805</v>
      </c>
      <c r="D118" s="322" t="s">
        <v>107</v>
      </c>
      <c r="E118" s="11" t="s">
        <v>806</v>
      </c>
      <c r="F118" s="322"/>
      <c r="G118" s="321"/>
      <c r="H118" s="321"/>
      <c r="I118" s="321"/>
      <c r="J118" s="52"/>
      <c r="K118" s="321"/>
      <c r="L118" s="321"/>
      <c r="M118" s="321"/>
      <c r="N118" s="321"/>
      <c r="O118" s="321"/>
      <c r="P118" s="321"/>
      <c r="Q118" s="321">
        <f>Q117*(1+$AG118)</f>
        <v>42.126719891285894</v>
      </c>
      <c r="R118" s="321">
        <f t="shared" ref="R118:AE118" si="13">R117*(1+$AG118)</f>
        <v>40.77735661311732</v>
      </c>
      <c r="S118" s="321">
        <f t="shared" si="13"/>
        <v>39.458675564408018</v>
      </c>
      <c r="T118" s="321">
        <f t="shared" si="13"/>
        <v>38.170064580679913</v>
      </c>
      <c r="U118" s="321">
        <f t="shared" si="13"/>
        <v>36.910922890021318</v>
      </c>
      <c r="V118" s="321">
        <f t="shared" si="13"/>
        <v>35.680660910056886</v>
      </c>
      <c r="W118" s="321">
        <f t="shared" si="13"/>
        <v>34.478700048430348</v>
      </c>
      <c r="X118" s="321">
        <f t="shared" si="13"/>
        <v>33.304472506740503</v>
      </c>
      <c r="Y118" s="321">
        <f t="shared" si="13"/>
        <v>32.157421087871931</v>
      </c>
      <c r="Z118" s="321">
        <f t="shared" si="13"/>
        <v>31.036999006663127</v>
      </c>
      <c r="AA118" s="321">
        <f t="shared" si="13"/>
        <v>29.942669703855188</v>
      </c>
      <c r="AB118" s="321">
        <f t="shared" si="13"/>
        <v>28.873906663265704</v>
      </c>
      <c r="AC118" s="321">
        <f t="shared" si="13"/>
        <v>27.830193232132977</v>
      </c>
      <c r="AD118" s="321">
        <f t="shared" si="13"/>
        <v>26.811022444576892</v>
      </c>
      <c r="AE118" s="321">
        <f t="shared" si="13"/>
        <v>25.81589684812359</v>
      </c>
      <c r="AF118" s="321">
        <f>AF117*(1+$AG118)</f>
        <v>24.844328333241755</v>
      </c>
      <c r="AG118" s="9">
        <f>-0.3</f>
        <v>-0.3</v>
      </c>
    </row>
    <row r="119" spans="1:33" ht="15" customHeight="1">
      <c r="B119" s="63"/>
      <c r="C119" s="11" t="s">
        <v>800</v>
      </c>
      <c r="D119" s="322" t="s">
        <v>107</v>
      </c>
      <c r="E119" s="11" t="s">
        <v>796</v>
      </c>
      <c r="F119" s="322"/>
      <c r="G119" s="321"/>
      <c r="H119" s="321"/>
      <c r="I119" s="321"/>
      <c r="J119" s="52"/>
      <c r="K119" s="321"/>
      <c r="L119" s="321"/>
      <c r="M119" s="321"/>
      <c r="N119" s="321"/>
      <c r="O119" s="321"/>
      <c r="P119" s="321"/>
      <c r="Q119" s="321">
        <f>Q117*(1+$AG119)</f>
        <v>51.153874153704301</v>
      </c>
      <c r="R119" s="321">
        <f t="shared" ref="R119:AE119" si="14">R117*(1+$AG119)</f>
        <v>49.515361601642461</v>
      </c>
      <c r="S119" s="321">
        <f t="shared" si="14"/>
        <v>47.914106042495455</v>
      </c>
      <c r="T119" s="321">
        <f t="shared" si="14"/>
        <v>46.349364133682755</v>
      </c>
      <c r="U119" s="321">
        <f t="shared" si="14"/>
        <v>44.820406366454463</v>
      </c>
      <c r="V119" s="321">
        <f t="shared" si="14"/>
        <v>43.326516819354786</v>
      </c>
      <c r="W119" s="321">
        <f t="shared" si="14"/>
        <v>41.866992915951144</v>
      </c>
      <c r="X119" s="321">
        <f t="shared" si="14"/>
        <v>40.44114518675633</v>
      </c>
      <c r="Y119" s="321">
        <f t="shared" si="14"/>
        <v>39.048297035273059</v>
      </c>
      <c r="Z119" s="321">
        <f t="shared" si="14"/>
        <v>37.687784508090942</v>
      </c>
      <c r="AA119" s="321">
        <f t="shared" si="14"/>
        <v>36.358956068967011</v>
      </c>
      <c r="AB119" s="321">
        <f t="shared" si="14"/>
        <v>35.06117237682264</v>
      </c>
      <c r="AC119" s="321">
        <f t="shared" si="14"/>
        <v>33.79380606759004</v>
      </c>
      <c r="AD119" s="321">
        <f t="shared" si="14"/>
        <v>32.55624153984337</v>
      </c>
      <c r="AE119" s="321">
        <f t="shared" si="14"/>
        <v>31.347874744150072</v>
      </c>
      <c r="AF119" s="321">
        <f>AF117*(1+$AG119)</f>
        <v>30.168112976079275</v>
      </c>
      <c r="AG119" s="9">
        <f>-0.15</f>
        <v>-0.15</v>
      </c>
    </row>
    <row r="120" spans="1:33" ht="15" customHeight="1">
      <c r="B120" s="63"/>
      <c r="C120" s="11" t="s">
        <v>801</v>
      </c>
      <c r="D120" s="322" t="s">
        <v>107</v>
      </c>
      <c r="E120" s="11" t="s">
        <v>797</v>
      </c>
      <c r="F120" s="322"/>
      <c r="G120" s="321"/>
      <c r="H120" s="321"/>
      <c r="I120" s="321"/>
      <c r="J120" s="52"/>
      <c r="K120" s="321"/>
      <c r="L120" s="321"/>
      <c r="M120" s="321"/>
      <c r="N120" s="321"/>
      <c r="O120" s="321"/>
      <c r="P120" s="321"/>
      <c r="Q120" s="321">
        <f>Q117*(1+$AG120)</f>
        <v>69.208182678541107</v>
      </c>
      <c r="R120" s="321">
        <f t="shared" ref="R120:AE120" si="15">R117*(1+$AG120)</f>
        <v>66.991371578692736</v>
      </c>
      <c r="S120" s="321">
        <f t="shared" si="15"/>
        <v>64.82496699867032</v>
      </c>
      <c r="T120" s="321">
        <f t="shared" si="15"/>
        <v>62.707963239688432</v>
      </c>
      <c r="U120" s="321">
        <f t="shared" si="15"/>
        <v>60.63937331932074</v>
      </c>
      <c r="V120" s="321">
        <f t="shared" si="15"/>
        <v>58.618228637950594</v>
      </c>
      <c r="W120" s="321">
        <f t="shared" si="15"/>
        <v>56.643578650992715</v>
      </c>
      <c r="X120" s="321">
        <f t="shared" si="15"/>
        <v>54.714490546787971</v>
      </c>
      <c r="Y120" s="321">
        <f t="shared" si="15"/>
        <v>52.830048930075307</v>
      </c>
      <c r="Z120" s="321">
        <f t="shared" si="15"/>
        <v>50.989355510946567</v>
      </c>
      <c r="AA120" s="321">
        <f t="shared" si="15"/>
        <v>49.191528799190664</v>
      </c>
      <c r="AB120" s="321">
        <f t="shared" si="15"/>
        <v>47.435703803936512</v>
      </c>
      <c r="AC120" s="321">
        <f t="shared" si="15"/>
        <v>45.721031738504173</v>
      </c>
      <c r="AD120" s="321">
        <f t="shared" si="15"/>
        <v>44.046679730376319</v>
      </c>
      <c r="AE120" s="321">
        <f t="shared" si="15"/>
        <v>42.411830536203041</v>
      </c>
      <c r="AF120" s="321">
        <f>AF117*(1+$AG120)</f>
        <v>40.815682261754311</v>
      </c>
      <c r="AG120" s="9">
        <v>0.15</v>
      </c>
    </row>
    <row r="121" spans="1:33" ht="15" customHeight="1">
      <c r="B121" s="63"/>
      <c r="C121" s="11" t="s">
        <v>802</v>
      </c>
      <c r="D121" s="322" t="s">
        <v>107</v>
      </c>
      <c r="E121" s="11" t="s">
        <v>798</v>
      </c>
      <c r="F121" s="322"/>
      <c r="G121" s="321"/>
      <c r="H121" s="321"/>
      <c r="I121" s="321"/>
      <c r="J121" s="52"/>
      <c r="K121" s="321"/>
      <c r="L121" s="321"/>
      <c r="M121" s="321"/>
      <c r="N121" s="321"/>
      <c r="O121" s="321"/>
      <c r="P121" s="321"/>
      <c r="Q121" s="321">
        <f>Q117*(1+$AG121)</f>
        <v>78.235336940959527</v>
      </c>
      <c r="R121" s="321">
        <f t="shared" ref="R121:AE121" si="16">R117*(1+$AG121)</f>
        <v>75.729376567217884</v>
      </c>
      <c r="S121" s="321">
        <f t="shared" si="16"/>
        <v>73.280397476757756</v>
      </c>
      <c r="T121" s="321">
        <f t="shared" si="16"/>
        <v>70.887262792691274</v>
      </c>
      <c r="U121" s="321">
        <f t="shared" si="16"/>
        <v>68.548856795753878</v>
      </c>
      <c r="V121" s="321">
        <f t="shared" si="16"/>
        <v>66.264084547248501</v>
      </c>
      <c r="W121" s="321">
        <f t="shared" si="16"/>
        <v>64.031871518513512</v>
      </c>
      <c r="X121" s="321">
        <f t="shared" si="16"/>
        <v>61.851163226803799</v>
      </c>
      <c r="Y121" s="321">
        <f t="shared" si="16"/>
        <v>59.720924877476442</v>
      </c>
      <c r="Z121" s="321">
        <f t="shared" si="16"/>
        <v>57.640141012374386</v>
      </c>
      <c r="AA121" s="321">
        <f t="shared" si="16"/>
        <v>55.607815164302494</v>
      </c>
      <c r="AB121" s="321">
        <f t="shared" si="16"/>
        <v>53.622969517493452</v>
      </c>
      <c r="AC121" s="321">
        <f t="shared" si="16"/>
        <v>51.684644573961243</v>
      </c>
      <c r="AD121" s="321">
        <f t="shared" si="16"/>
        <v>49.791898825642804</v>
      </c>
      <c r="AE121" s="321">
        <f t="shared" si="16"/>
        <v>47.943808432229531</v>
      </c>
      <c r="AF121" s="321">
        <f>AF117*(1+$AG121)</f>
        <v>46.139466904591835</v>
      </c>
      <c r="AG121" s="9">
        <v>0.3</v>
      </c>
    </row>
    <row r="122" spans="1:33" ht="15" customHeight="1">
      <c r="B122" s="63"/>
      <c r="C122" s="11" t="s">
        <v>803</v>
      </c>
      <c r="D122" s="322" t="s">
        <v>107</v>
      </c>
      <c r="E122" s="16" t="s">
        <v>793</v>
      </c>
      <c r="F122" s="322"/>
      <c r="G122" s="321"/>
      <c r="H122" s="321"/>
      <c r="I122" s="321"/>
      <c r="J122" s="52"/>
      <c r="K122" s="321"/>
      <c r="L122" s="321"/>
      <c r="M122" s="321"/>
      <c r="N122" s="321"/>
      <c r="O122" s="321"/>
      <c r="P122" s="321"/>
      <c r="Q122" s="321">
        <f>P117</f>
        <v>62.153413089373693</v>
      </c>
      <c r="R122" s="321">
        <f>$Q122+($AF122-$Q122)/($AF$4-$Q$4)*(R$4-$Q$4)</f>
        <v>62.153413089373693</v>
      </c>
      <c r="S122" s="321">
        <f t="shared" ref="S122:AE122" si="17">$Q122+($AF122-$Q122)/($AF$4-$Q$4)*(S$4-$Q$4)</f>
        <v>62.153413089373693</v>
      </c>
      <c r="T122" s="321">
        <f t="shared" si="17"/>
        <v>62.153413089373693</v>
      </c>
      <c r="U122" s="321">
        <f t="shared" si="17"/>
        <v>62.153413089373693</v>
      </c>
      <c r="V122" s="321">
        <f t="shared" si="17"/>
        <v>62.153413089373693</v>
      </c>
      <c r="W122" s="321">
        <f t="shared" si="17"/>
        <v>62.153413089373693</v>
      </c>
      <c r="X122" s="321">
        <f t="shared" si="17"/>
        <v>62.153413089373693</v>
      </c>
      <c r="Y122" s="321">
        <f t="shared" si="17"/>
        <v>62.153413089373693</v>
      </c>
      <c r="Z122" s="321">
        <f t="shared" si="17"/>
        <v>62.153413089373693</v>
      </c>
      <c r="AA122" s="321">
        <f t="shared" si="17"/>
        <v>62.153413089373693</v>
      </c>
      <c r="AB122" s="321">
        <f t="shared" si="17"/>
        <v>62.153413089373693</v>
      </c>
      <c r="AC122" s="321">
        <f t="shared" si="17"/>
        <v>62.153413089373693</v>
      </c>
      <c r="AD122" s="321">
        <f t="shared" si="17"/>
        <v>62.153413089373693</v>
      </c>
      <c r="AE122" s="321">
        <f t="shared" si="17"/>
        <v>62.153413089373693</v>
      </c>
      <c r="AF122" s="321">
        <f>Q122</f>
        <v>62.153413089373693</v>
      </c>
    </row>
    <row r="123" spans="1:33" s="462" customFormat="1" ht="15" customHeight="1">
      <c r="A123" s="9"/>
      <c r="B123" s="463"/>
      <c r="C123" s="463"/>
      <c r="D123" s="176"/>
      <c r="E123" s="162"/>
      <c r="F123" s="176"/>
      <c r="G123" s="180"/>
      <c r="H123" s="180"/>
      <c r="I123" s="180"/>
      <c r="J123" s="161"/>
      <c r="K123" s="180"/>
      <c r="L123" s="180"/>
      <c r="M123" s="180"/>
      <c r="N123" s="180"/>
      <c r="O123" s="180"/>
      <c r="P123" s="180"/>
      <c r="Q123" s="180"/>
      <c r="R123" s="180"/>
      <c r="S123" s="180"/>
      <c r="T123" s="180"/>
      <c r="U123" s="180"/>
      <c r="V123" s="180"/>
      <c r="W123" s="180"/>
      <c r="X123" s="180"/>
      <c r="Y123" s="180"/>
      <c r="Z123" s="180"/>
      <c r="AA123" s="180"/>
      <c r="AB123" s="180"/>
      <c r="AC123" s="180"/>
      <c r="AD123" s="180"/>
      <c r="AE123" s="180"/>
      <c r="AF123" s="180"/>
      <c r="AG123" s="9"/>
    </row>
    <row r="124" spans="1:33" s="462" customFormat="1" ht="15" customHeight="1">
      <c r="B124" s="463"/>
      <c r="C124" s="176"/>
      <c r="D124" s="162"/>
      <c r="E124" s="176"/>
      <c r="F124" s="162"/>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c r="AE124" s="180"/>
      <c r="AF124" s="180"/>
    </row>
    <row r="125" spans="1:33" s="462" customFormat="1" ht="15" customHeight="1">
      <c r="B125" s="463"/>
      <c r="C125" s="184"/>
      <c r="D125" s="179"/>
      <c r="E125" s="184"/>
      <c r="F125" s="179"/>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c r="AE125" s="180"/>
      <c r="AF125" s="180"/>
    </row>
    <row r="126" spans="1:33" s="462" customFormat="1" ht="15" customHeight="1">
      <c r="B126" s="463"/>
      <c r="C126" s="176"/>
      <c r="D126" s="179"/>
      <c r="E126" s="176"/>
      <c r="F126" s="179"/>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c r="AE126" s="180"/>
      <c r="AF126" s="180"/>
    </row>
    <row r="127" spans="1:33" s="462" customFormat="1" ht="15" customHeight="1">
      <c r="B127" s="463"/>
      <c r="C127" s="163"/>
      <c r="D127" s="179"/>
      <c r="E127" s="163"/>
      <c r="F127" s="179"/>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c r="AE127" s="180"/>
      <c r="AF127" s="180"/>
    </row>
    <row r="128" spans="1:33" s="462" customFormat="1" ht="15" customHeight="1">
      <c r="B128" s="463"/>
      <c r="C128" s="176"/>
      <c r="D128" s="179"/>
      <c r="E128" s="163"/>
      <c r="F128" s="179"/>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row>
    <row r="129" spans="1:33" s="462" customFormat="1" ht="15" customHeight="1">
      <c r="B129" s="463"/>
      <c r="C129" s="176"/>
      <c r="D129" s="179"/>
      <c r="E129" s="176"/>
      <c r="F129" s="179"/>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row>
    <row r="130" spans="1:33" s="462" customFormat="1" ht="15" customHeight="1">
      <c r="B130" s="463"/>
      <c r="C130" s="176"/>
      <c r="D130" s="162"/>
      <c r="E130" s="176"/>
      <c r="F130" s="162"/>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row>
    <row r="131" spans="1:33" s="462" customFormat="1" ht="15" customHeight="1">
      <c r="B131" s="463"/>
      <c r="C131" s="176"/>
      <c r="D131" s="179"/>
      <c r="E131" s="176"/>
      <c r="F131" s="179"/>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row>
    <row r="132" spans="1:33" s="462" customFormat="1" ht="15" customHeight="1">
      <c r="B132" s="463"/>
      <c r="C132" s="176"/>
      <c r="D132" s="179"/>
      <c r="E132" s="176"/>
      <c r="F132" s="179"/>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row>
    <row r="133" spans="1:33" s="462" customFormat="1" ht="15" customHeight="1">
      <c r="B133" s="463"/>
      <c r="C133" s="176"/>
      <c r="D133" s="179"/>
      <c r="E133" s="176"/>
      <c r="F133" s="179"/>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c r="AE133" s="180"/>
      <c r="AF133" s="180"/>
    </row>
    <row r="134" spans="1:33" s="462" customFormat="1" ht="15" customHeight="1">
      <c r="B134" s="463"/>
      <c r="C134" s="176"/>
      <c r="D134" s="179"/>
      <c r="E134" s="176"/>
      <c r="F134" s="179"/>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c r="AE134" s="180"/>
      <c r="AF134" s="180"/>
    </row>
    <row r="135" spans="1:33" s="462" customFormat="1" ht="15" customHeight="1">
      <c r="B135" s="463"/>
      <c r="C135" s="176"/>
      <c r="D135" s="179"/>
      <c r="E135" s="176"/>
      <c r="F135" s="179"/>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c r="AE135" s="180"/>
      <c r="AF135" s="180"/>
    </row>
    <row r="136" spans="1:33" ht="15" customHeight="1">
      <c r="A136" s="462"/>
      <c r="B136" s="463"/>
      <c r="C136" s="176"/>
      <c r="D136" s="179"/>
      <c r="E136" s="176"/>
      <c r="F136" s="179"/>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c r="AG136" s="462"/>
    </row>
    <row r="137" spans="1:33" ht="15" customHeight="1">
      <c r="A137" s="462"/>
      <c r="B137" s="463"/>
      <c r="C137" s="176"/>
      <c r="D137" s="179"/>
      <c r="E137" s="176"/>
      <c r="F137" s="179"/>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c r="AE137" s="180"/>
      <c r="AF137" s="180"/>
      <c r="AG137" s="462"/>
    </row>
    <row r="138" spans="1:33" ht="15" customHeight="1">
      <c r="A138" s="462"/>
      <c r="B138" s="463"/>
      <c r="C138" s="176"/>
      <c r="D138" s="179"/>
      <c r="E138" s="176"/>
      <c r="F138" s="179"/>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c r="AG138" s="462"/>
    </row>
    <row r="139" spans="1:33" ht="15" customHeight="1">
      <c r="A139" s="462"/>
      <c r="B139" s="463"/>
      <c r="C139" s="176"/>
      <c r="D139" s="179"/>
      <c r="E139" s="176"/>
      <c r="F139" s="179"/>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c r="AE139" s="180"/>
      <c r="AF139" s="180"/>
      <c r="AG139" s="462"/>
    </row>
    <row r="140" spans="1:33" ht="15" customHeight="1">
      <c r="A140" s="462"/>
      <c r="B140" s="463"/>
      <c r="C140" s="176"/>
      <c r="D140" s="179"/>
      <c r="E140" s="176"/>
      <c r="F140" s="179"/>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c r="AG140" s="462"/>
    </row>
    <row r="141" spans="1:33" ht="15" customHeight="1">
      <c r="A141" s="462"/>
      <c r="B141" s="464"/>
      <c r="C141" s="176"/>
      <c r="D141" s="179"/>
      <c r="E141" s="176"/>
      <c r="F141" s="179"/>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c r="AG141" s="462"/>
    </row>
    <row r="142" spans="1:33" ht="15" customHeight="1">
      <c r="C142" s="18"/>
      <c r="D142" s="18"/>
      <c r="E142" s="18"/>
      <c r="F142" s="18"/>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row>
    <row r="143" spans="1:33" ht="39.6">
      <c r="B143" s="166" t="s">
        <v>19</v>
      </c>
      <c r="C143" s="314" t="s">
        <v>409</v>
      </c>
      <c r="D143" s="22" t="s">
        <v>107</v>
      </c>
      <c r="E143" s="314" t="str">
        <f>CONCATENATE("Baisse de ",TEXT(AF143/10,"##,0")," ct/kWh in 2035")</f>
        <v>Baisse de 5 ct/kWh in 2035</v>
      </c>
      <c r="F143" s="650" t="s">
        <v>808</v>
      </c>
      <c r="G143" s="23"/>
      <c r="H143" s="23"/>
      <c r="I143" s="23"/>
      <c r="J143" s="23"/>
      <c r="K143" s="23"/>
      <c r="L143" s="54">
        <v>191.13300492610838</v>
      </c>
      <c r="M143" s="54">
        <v>191.73349999999999</v>
      </c>
      <c r="N143" s="54">
        <v>194</v>
      </c>
      <c r="O143" s="54">
        <v>146.79802955665025</v>
      </c>
      <c r="P143" s="54">
        <v>144.62860054842392</v>
      </c>
      <c r="Q143" s="54">
        <v>137.70964709870762</v>
      </c>
      <c r="R143" s="54">
        <v>70</v>
      </c>
      <c r="S143" s="54">
        <v>65</v>
      </c>
      <c r="T143" s="54">
        <v>61.666666666666664</v>
      </c>
      <c r="U143" s="54">
        <v>58.333333333333329</v>
      </c>
      <c r="V143" s="54">
        <v>55</v>
      </c>
      <c r="W143" s="54">
        <v>54</v>
      </c>
      <c r="X143" s="54">
        <v>53</v>
      </c>
      <c r="Y143" s="54">
        <v>52</v>
      </c>
      <c r="Z143" s="54">
        <v>51</v>
      </c>
      <c r="AA143" s="54">
        <v>50</v>
      </c>
      <c r="AB143" s="54">
        <v>49</v>
      </c>
      <c r="AC143" s="54">
        <v>48</v>
      </c>
      <c r="AD143" s="54">
        <v>47</v>
      </c>
      <c r="AE143" s="54">
        <v>46</v>
      </c>
      <c r="AF143" s="54">
        <v>45</v>
      </c>
    </row>
    <row r="144" spans="1:33" ht="15" customHeight="1">
      <c r="B144" s="63"/>
      <c r="C144" s="11" t="s">
        <v>805</v>
      </c>
      <c r="D144" s="322" t="s">
        <v>107</v>
      </c>
      <c r="E144" s="11" t="s">
        <v>806</v>
      </c>
      <c r="F144" s="322"/>
      <c r="G144" s="321"/>
      <c r="H144" s="321"/>
      <c r="I144" s="321"/>
      <c r="J144" s="52"/>
      <c r="K144" s="321"/>
      <c r="L144" s="321"/>
      <c r="M144" s="321"/>
      <c r="N144" s="321"/>
      <c r="O144" s="321"/>
      <c r="P144" s="321"/>
      <c r="Q144" s="321">
        <f>Q143*(1+$AG144)</f>
        <v>96.396752969095331</v>
      </c>
      <c r="R144" s="321">
        <f t="shared" ref="R144:AE144" si="18">R143*(1+$AG144)</f>
        <v>49</v>
      </c>
      <c r="S144" s="321">
        <f t="shared" si="18"/>
        <v>45.5</v>
      </c>
      <c r="T144" s="321">
        <f t="shared" si="18"/>
        <v>43.166666666666664</v>
      </c>
      <c r="U144" s="321">
        <f t="shared" si="18"/>
        <v>40.833333333333329</v>
      </c>
      <c r="V144" s="321">
        <f t="shared" si="18"/>
        <v>38.5</v>
      </c>
      <c r="W144" s="321">
        <f t="shared" si="18"/>
        <v>37.799999999999997</v>
      </c>
      <c r="X144" s="321">
        <f t="shared" si="18"/>
        <v>37.099999999999994</v>
      </c>
      <c r="Y144" s="321">
        <f t="shared" si="18"/>
        <v>36.4</v>
      </c>
      <c r="Z144" s="321">
        <f t="shared" si="18"/>
        <v>35.699999999999996</v>
      </c>
      <c r="AA144" s="321">
        <f t="shared" si="18"/>
        <v>35</v>
      </c>
      <c r="AB144" s="321">
        <f t="shared" si="18"/>
        <v>34.299999999999997</v>
      </c>
      <c r="AC144" s="321">
        <f t="shared" si="18"/>
        <v>33.599999999999994</v>
      </c>
      <c r="AD144" s="321">
        <f t="shared" si="18"/>
        <v>32.9</v>
      </c>
      <c r="AE144" s="321">
        <f t="shared" si="18"/>
        <v>32.199999999999996</v>
      </c>
      <c r="AF144" s="321">
        <f>AF143*(1+$AG144)</f>
        <v>31.499999999999996</v>
      </c>
      <c r="AG144" s="9">
        <f>-0.3</f>
        <v>-0.3</v>
      </c>
    </row>
    <row r="145" spans="1:33" ht="15" customHeight="1">
      <c r="B145" s="63"/>
      <c r="C145" s="11" t="s">
        <v>800</v>
      </c>
      <c r="D145" s="322" t="s">
        <v>107</v>
      </c>
      <c r="E145" s="11" t="s">
        <v>796</v>
      </c>
      <c r="F145" s="322"/>
      <c r="G145" s="321"/>
      <c r="H145" s="321"/>
      <c r="I145" s="321"/>
      <c r="J145" s="52"/>
      <c r="K145" s="321"/>
      <c r="L145" s="321"/>
      <c r="M145" s="321"/>
      <c r="N145" s="321"/>
      <c r="O145" s="321"/>
      <c r="P145" s="321"/>
      <c r="Q145" s="321">
        <f>Q143*(1+$AG145)</f>
        <v>117.05320003390148</v>
      </c>
      <c r="R145" s="321">
        <f t="shared" ref="R145:AE145" si="19">R143*(1+$AG145)</f>
        <v>59.5</v>
      </c>
      <c r="S145" s="321">
        <f t="shared" si="19"/>
        <v>55.25</v>
      </c>
      <c r="T145" s="321">
        <f t="shared" si="19"/>
        <v>52.416666666666664</v>
      </c>
      <c r="U145" s="321">
        <f t="shared" si="19"/>
        <v>49.583333333333329</v>
      </c>
      <c r="V145" s="321">
        <f t="shared" si="19"/>
        <v>46.75</v>
      </c>
      <c r="W145" s="321">
        <f t="shared" si="19"/>
        <v>45.9</v>
      </c>
      <c r="X145" s="321">
        <f t="shared" si="19"/>
        <v>45.05</v>
      </c>
      <c r="Y145" s="321">
        <f t="shared" si="19"/>
        <v>44.199999999999996</v>
      </c>
      <c r="Z145" s="321">
        <f t="shared" si="19"/>
        <v>43.35</v>
      </c>
      <c r="AA145" s="321">
        <f t="shared" si="19"/>
        <v>42.5</v>
      </c>
      <c r="AB145" s="321">
        <f t="shared" si="19"/>
        <v>41.65</v>
      </c>
      <c r="AC145" s="321">
        <f t="shared" si="19"/>
        <v>40.799999999999997</v>
      </c>
      <c r="AD145" s="321">
        <f t="shared" si="19"/>
        <v>39.949999999999996</v>
      </c>
      <c r="AE145" s="321">
        <f t="shared" si="19"/>
        <v>39.1</v>
      </c>
      <c r="AF145" s="321">
        <f>AF143*(1+$AG145)</f>
        <v>38.25</v>
      </c>
      <c r="AG145" s="9">
        <f>-0.15</f>
        <v>-0.15</v>
      </c>
    </row>
    <row r="146" spans="1:33" ht="15" customHeight="1">
      <c r="B146" s="63"/>
      <c r="C146" s="11" t="s">
        <v>801</v>
      </c>
      <c r="D146" s="322" t="s">
        <v>107</v>
      </c>
      <c r="E146" s="11" t="s">
        <v>797</v>
      </c>
      <c r="F146" s="322"/>
      <c r="G146" s="321"/>
      <c r="H146" s="321"/>
      <c r="I146" s="321"/>
      <c r="J146" s="52"/>
      <c r="K146" s="321"/>
      <c r="L146" s="321"/>
      <c r="M146" s="321"/>
      <c r="N146" s="321"/>
      <c r="O146" s="321"/>
      <c r="P146" s="321"/>
      <c r="Q146" s="321">
        <f>Q143*(1+$AG146)</f>
        <v>158.36609416351376</v>
      </c>
      <c r="R146" s="321">
        <f t="shared" ref="R146:AE146" si="20">R143*(1+$AG146)</f>
        <v>80.5</v>
      </c>
      <c r="S146" s="321">
        <f t="shared" si="20"/>
        <v>74.75</v>
      </c>
      <c r="T146" s="321">
        <f t="shared" si="20"/>
        <v>70.916666666666657</v>
      </c>
      <c r="U146" s="321">
        <f t="shared" si="20"/>
        <v>67.083333333333329</v>
      </c>
      <c r="V146" s="321">
        <f t="shared" si="20"/>
        <v>63.249999999999993</v>
      </c>
      <c r="W146" s="321">
        <f t="shared" si="20"/>
        <v>62.099999999999994</v>
      </c>
      <c r="X146" s="321">
        <f t="shared" si="20"/>
        <v>60.949999999999996</v>
      </c>
      <c r="Y146" s="321">
        <f t="shared" si="20"/>
        <v>59.8</v>
      </c>
      <c r="Z146" s="321">
        <f t="shared" si="20"/>
        <v>58.65</v>
      </c>
      <c r="AA146" s="321">
        <f t="shared" si="20"/>
        <v>57.499999999999993</v>
      </c>
      <c r="AB146" s="321">
        <f t="shared" si="20"/>
        <v>56.349999999999994</v>
      </c>
      <c r="AC146" s="321">
        <f t="shared" si="20"/>
        <v>55.199999999999996</v>
      </c>
      <c r="AD146" s="321">
        <f t="shared" si="20"/>
        <v>54.05</v>
      </c>
      <c r="AE146" s="321">
        <f t="shared" si="20"/>
        <v>52.9</v>
      </c>
      <c r="AF146" s="321">
        <f>AF143*(1+$AG146)</f>
        <v>51.749999999999993</v>
      </c>
      <c r="AG146" s="9">
        <v>0.15</v>
      </c>
    </row>
    <row r="147" spans="1:33" ht="15" customHeight="1">
      <c r="B147" s="63"/>
      <c r="C147" s="11" t="s">
        <v>802</v>
      </c>
      <c r="D147" s="322" t="s">
        <v>107</v>
      </c>
      <c r="E147" s="11" t="s">
        <v>798</v>
      </c>
      <c r="F147" s="322"/>
      <c r="G147" s="321"/>
      <c r="H147" s="321"/>
      <c r="I147" s="321"/>
      <c r="J147" s="52"/>
      <c r="K147" s="321"/>
      <c r="L147" s="321"/>
      <c r="M147" s="321"/>
      <c r="N147" s="321"/>
      <c r="O147" s="321"/>
      <c r="P147" s="321"/>
      <c r="Q147" s="321">
        <f>Q143*(1+$AG147)</f>
        <v>179.02254122831991</v>
      </c>
      <c r="R147" s="321">
        <f t="shared" ref="R147:AE147" si="21">R143*(1+$AG147)</f>
        <v>91</v>
      </c>
      <c r="S147" s="321">
        <f t="shared" si="21"/>
        <v>84.5</v>
      </c>
      <c r="T147" s="321">
        <f t="shared" si="21"/>
        <v>80.166666666666671</v>
      </c>
      <c r="U147" s="321">
        <f t="shared" si="21"/>
        <v>75.833333333333329</v>
      </c>
      <c r="V147" s="321">
        <f t="shared" si="21"/>
        <v>71.5</v>
      </c>
      <c r="W147" s="321">
        <f t="shared" si="21"/>
        <v>70.2</v>
      </c>
      <c r="X147" s="321">
        <f t="shared" si="21"/>
        <v>68.900000000000006</v>
      </c>
      <c r="Y147" s="321">
        <f t="shared" si="21"/>
        <v>67.600000000000009</v>
      </c>
      <c r="Z147" s="321">
        <f t="shared" si="21"/>
        <v>66.3</v>
      </c>
      <c r="AA147" s="321">
        <f t="shared" si="21"/>
        <v>65</v>
      </c>
      <c r="AB147" s="321">
        <f t="shared" si="21"/>
        <v>63.7</v>
      </c>
      <c r="AC147" s="321">
        <f t="shared" si="21"/>
        <v>62.400000000000006</v>
      </c>
      <c r="AD147" s="321">
        <f t="shared" si="21"/>
        <v>61.1</v>
      </c>
      <c r="AE147" s="321">
        <f t="shared" si="21"/>
        <v>59.800000000000004</v>
      </c>
      <c r="AF147" s="321">
        <f>AF143*(1+$AG147)</f>
        <v>58.5</v>
      </c>
      <c r="AG147" s="9">
        <v>0.3</v>
      </c>
    </row>
    <row r="148" spans="1:33" ht="15" customHeight="1">
      <c r="B148" s="63"/>
      <c r="C148" s="11" t="s">
        <v>803</v>
      </c>
      <c r="D148" s="322" t="s">
        <v>107</v>
      </c>
      <c r="E148" s="16" t="s">
        <v>793</v>
      </c>
      <c r="F148" s="322"/>
      <c r="G148" s="321"/>
      <c r="H148" s="321"/>
      <c r="I148" s="321"/>
      <c r="J148" s="52"/>
      <c r="K148" s="321"/>
      <c r="L148" s="321"/>
      <c r="M148" s="321"/>
      <c r="N148" s="321"/>
      <c r="O148" s="321"/>
      <c r="P148" s="321"/>
      <c r="Q148" s="321">
        <f>P143</f>
        <v>144.62860054842392</v>
      </c>
      <c r="R148" s="321">
        <f>$P$143</f>
        <v>144.62860054842392</v>
      </c>
      <c r="S148" s="321">
        <f>$P$143</f>
        <v>144.62860054842392</v>
      </c>
      <c r="T148" s="321">
        <f t="shared" ref="T148:AE148" si="22">$P$143</f>
        <v>144.62860054842392</v>
      </c>
      <c r="U148" s="321">
        <f t="shared" si="22"/>
        <v>144.62860054842392</v>
      </c>
      <c r="V148" s="321">
        <f t="shared" si="22"/>
        <v>144.62860054842392</v>
      </c>
      <c r="W148" s="321">
        <f t="shared" si="22"/>
        <v>144.62860054842392</v>
      </c>
      <c r="X148" s="321">
        <f t="shared" si="22"/>
        <v>144.62860054842392</v>
      </c>
      <c r="Y148" s="321">
        <f t="shared" si="22"/>
        <v>144.62860054842392</v>
      </c>
      <c r="Z148" s="321">
        <f t="shared" si="22"/>
        <v>144.62860054842392</v>
      </c>
      <c r="AA148" s="321">
        <f t="shared" si="22"/>
        <v>144.62860054842392</v>
      </c>
      <c r="AB148" s="321">
        <f t="shared" si="22"/>
        <v>144.62860054842392</v>
      </c>
      <c r="AC148" s="321">
        <f t="shared" si="22"/>
        <v>144.62860054842392</v>
      </c>
      <c r="AD148" s="321">
        <f t="shared" si="22"/>
        <v>144.62860054842392</v>
      </c>
      <c r="AE148" s="321">
        <f t="shared" si="22"/>
        <v>144.62860054842392</v>
      </c>
      <c r="AF148" s="321">
        <f>Q148</f>
        <v>144.62860054842392</v>
      </c>
    </row>
    <row r="149" spans="1:33" s="462" customFormat="1" ht="15" customHeight="1">
      <c r="A149" s="9"/>
      <c r="B149" s="463"/>
      <c r="C149" s="176"/>
      <c r="D149" s="162"/>
      <c r="E149" s="176"/>
      <c r="F149" s="162"/>
      <c r="G149" s="180"/>
      <c r="H149" s="180"/>
      <c r="I149" s="180"/>
      <c r="J149" s="161"/>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c r="AG149" s="9"/>
    </row>
    <row r="150" spans="1:33" s="462" customFormat="1" ht="15" customHeight="1">
      <c r="B150" s="463"/>
      <c r="C150" s="176"/>
      <c r="D150" s="162"/>
      <c r="E150" s="176"/>
      <c r="F150" s="162"/>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c r="AE150" s="180"/>
      <c r="AF150" s="180"/>
    </row>
    <row r="151" spans="1:33" s="462" customFormat="1" ht="15" customHeight="1">
      <c r="B151" s="463"/>
      <c r="C151" s="184"/>
      <c r="D151" s="179"/>
      <c r="E151" s="184"/>
      <c r="F151" s="179"/>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c r="AE151" s="180"/>
      <c r="AF151" s="180"/>
    </row>
    <row r="152" spans="1:33" s="462" customFormat="1" ht="15" customHeight="1">
      <c r="B152" s="463"/>
      <c r="C152" s="176"/>
      <c r="D152" s="179"/>
      <c r="E152" s="176"/>
      <c r="F152" s="179"/>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c r="AE152" s="180"/>
      <c r="AF152" s="180"/>
    </row>
    <row r="153" spans="1:33" s="462" customFormat="1" ht="15" customHeight="1">
      <c r="B153" s="463"/>
      <c r="C153" s="163"/>
      <c r="D153" s="179"/>
      <c r="E153" s="176"/>
      <c r="F153" s="179"/>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c r="AE153" s="180"/>
      <c r="AF153" s="180"/>
    </row>
    <row r="154" spans="1:33" s="462" customFormat="1" ht="15" customHeight="1">
      <c r="B154" s="463"/>
      <c r="C154" s="176"/>
      <c r="D154" s="179"/>
      <c r="E154" s="163"/>
      <c r="F154" s="179"/>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row>
    <row r="155" spans="1:33" s="462" customFormat="1" ht="15" customHeight="1">
      <c r="B155" s="463"/>
      <c r="C155" s="176"/>
      <c r="D155" s="162"/>
      <c r="E155" s="176"/>
      <c r="F155" s="179"/>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row>
    <row r="156" spans="1:33" s="462" customFormat="1" ht="15" customHeight="1">
      <c r="B156" s="463"/>
      <c r="C156" s="176"/>
      <c r="D156" s="179"/>
      <c r="E156" s="176"/>
      <c r="F156" s="162"/>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row>
    <row r="157" spans="1:33" s="462" customFormat="1" ht="15" customHeight="1">
      <c r="B157" s="463"/>
      <c r="C157" s="176"/>
      <c r="D157" s="179"/>
      <c r="E157" s="176"/>
      <c r="F157" s="179"/>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row>
    <row r="158" spans="1:33" s="462" customFormat="1" ht="15" customHeight="1">
      <c r="B158" s="463"/>
      <c r="C158" s="176"/>
      <c r="D158" s="179"/>
      <c r="E158" s="176"/>
      <c r="F158" s="179"/>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row>
    <row r="159" spans="1:33" s="462" customFormat="1" ht="15" customHeight="1">
      <c r="B159" s="463"/>
      <c r="C159" s="176"/>
      <c r="D159" s="179"/>
      <c r="E159" s="176"/>
      <c r="F159" s="179"/>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row>
    <row r="160" spans="1:33" s="462" customFormat="1" ht="15" customHeight="1">
      <c r="B160" s="463"/>
      <c r="C160" s="176"/>
      <c r="D160" s="179"/>
      <c r="E160" s="176"/>
      <c r="F160" s="179"/>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row>
    <row r="161" spans="1:33" s="462" customFormat="1" ht="15" customHeight="1">
      <c r="B161" s="463"/>
      <c r="C161" s="176"/>
      <c r="D161" s="179"/>
      <c r="E161" s="176"/>
      <c r="F161" s="179"/>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row>
    <row r="162" spans="1:33" s="462" customFormat="1" ht="15" customHeight="1">
      <c r="B162" s="463"/>
      <c r="C162" s="176"/>
      <c r="D162" s="179"/>
      <c r="E162" s="176"/>
      <c r="F162" s="179"/>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row>
    <row r="163" spans="1:33" s="462" customFormat="1" ht="15" customHeight="1">
      <c r="B163" s="463"/>
      <c r="C163" s="176"/>
      <c r="D163" s="179"/>
      <c r="E163" s="176"/>
      <c r="F163" s="179"/>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row>
    <row r="164" spans="1:33" s="462" customFormat="1" ht="15" customHeight="1">
      <c r="B164" s="463"/>
      <c r="C164" s="176"/>
      <c r="D164" s="179"/>
      <c r="E164" s="176"/>
      <c r="F164" s="179"/>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row>
    <row r="165" spans="1:33" s="462" customFormat="1" ht="15" customHeight="1">
      <c r="B165" s="463"/>
      <c r="C165" s="176"/>
      <c r="D165" s="179"/>
      <c r="E165" s="176"/>
      <c r="F165" s="179"/>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row>
    <row r="166" spans="1:33" s="462" customFormat="1" ht="15" customHeight="1">
      <c r="B166" s="463"/>
      <c r="C166" s="176"/>
      <c r="D166" s="179"/>
      <c r="E166" s="176"/>
      <c r="F166" s="179"/>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row>
    <row r="167" spans="1:33" s="462" customFormat="1" ht="15" customHeight="1">
      <c r="B167" s="464"/>
      <c r="C167" s="176"/>
      <c r="D167" s="179"/>
      <c r="E167" s="176"/>
      <c r="F167" s="179"/>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c r="AE167" s="180"/>
      <c r="AF167" s="180"/>
    </row>
    <row r="168" spans="1:33" ht="15" customHeight="1">
      <c r="C168" s="18"/>
      <c r="D168" s="18"/>
      <c r="E168" s="18"/>
      <c r="F168" s="18"/>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row>
    <row r="169" spans="1:33" ht="15" customHeight="1">
      <c r="B169" s="166" t="s">
        <v>12</v>
      </c>
      <c r="C169" s="314" t="s">
        <v>409</v>
      </c>
      <c r="D169" s="22" t="s">
        <v>107</v>
      </c>
      <c r="E169" s="314" t="s">
        <v>1021</v>
      </c>
      <c r="F169" s="22" t="s">
        <v>1022</v>
      </c>
      <c r="G169" s="23"/>
      <c r="H169" s="23"/>
      <c r="I169" s="23"/>
      <c r="J169" s="23"/>
      <c r="K169" s="23"/>
      <c r="L169" s="23">
        <v>108.02793365944886</v>
      </c>
      <c r="M169" s="23">
        <v>110.45769389560584</v>
      </c>
      <c r="N169" s="1005">
        <v>101.35881575680968</v>
      </c>
      <c r="O169" s="1005">
        <v>109.04631799757858</v>
      </c>
      <c r="P169" s="1005">
        <v>106.93752173913046</v>
      </c>
      <c r="Q169" s="1005">
        <v>89.118500000000012</v>
      </c>
      <c r="R169" s="1005">
        <v>84.825000000000003</v>
      </c>
      <c r="S169" s="1005">
        <v>78.358541666666667</v>
      </c>
      <c r="T169" s="1005">
        <v>74.209166666666661</v>
      </c>
      <c r="U169" s="1005">
        <v>70.758208333333343</v>
      </c>
      <c r="V169" s="1005">
        <v>67.374750000000006</v>
      </c>
      <c r="W169" s="1005">
        <v>64.198750000000004</v>
      </c>
      <c r="X169" s="1005">
        <v>61.143458333333328</v>
      </c>
      <c r="Y169" s="1005">
        <v>58.260166666666649</v>
      </c>
      <c r="Z169" s="1005">
        <v>55.461749999999988</v>
      </c>
      <c r="AA169" s="1005">
        <v>52.840583333333328</v>
      </c>
      <c r="AB169" s="1005">
        <v>50.376916666666652</v>
      </c>
      <c r="AC169" s="1005">
        <v>47.916249999999991</v>
      </c>
      <c r="AD169" s="1005">
        <v>45.505749999999985</v>
      </c>
      <c r="AE169" s="1005">
        <v>43.285166666666655</v>
      </c>
      <c r="AF169" s="1005">
        <v>41.136499999999998</v>
      </c>
    </row>
    <row r="170" spans="1:33" ht="15" customHeight="1">
      <c r="B170" s="63"/>
      <c r="C170" s="11" t="s">
        <v>805</v>
      </c>
      <c r="D170" s="322" t="s">
        <v>107</v>
      </c>
      <c r="E170" s="11" t="s">
        <v>806</v>
      </c>
      <c r="F170" s="322"/>
      <c r="G170" s="321"/>
      <c r="H170" s="321"/>
      <c r="I170" s="321"/>
      <c r="J170" s="52"/>
      <c r="K170" s="321"/>
      <c r="L170" s="321"/>
      <c r="M170" s="321"/>
      <c r="N170" s="321"/>
      <c r="O170" s="321"/>
      <c r="P170" s="321"/>
      <c r="Q170" s="321">
        <f t="shared" ref="Q170:AE170" si="23">Q169*(1+$AG170)</f>
        <v>62.382950000000001</v>
      </c>
      <c r="R170" s="321">
        <f t="shared" si="23"/>
        <v>59.377499999999998</v>
      </c>
      <c r="S170" s="321">
        <f t="shared" si="23"/>
        <v>54.850979166666662</v>
      </c>
      <c r="T170" s="321">
        <f t="shared" si="23"/>
        <v>51.946416666666657</v>
      </c>
      <c r="U170" s="321">
        <f t="shared" si="23"/>
        <v>49.530745833333334</v>
      </c>
      <c r="V170" s="321">
        <f t="shared" si="23"/>
        <v>47.162325000000003</v>
      </c>
      <c r="W170" s="321">
        <f t="shared" si="23"/>
        <v>44.939124999999997</v>
      </c>
      <c r="X170" s="321">
        <f t="shared" si="23"/>
        <v>42.800420833333327</v>
      </c>
      <c r="Y170" s="321">
        <f t="shared" si="23"/>
        <v>40.782116666666653</v>
      </c>
      <c r="Z170" s="321">
        <f t="shared" si="23"/>
        <v>38.823224999999987</v>
      </c>
      <c r="AA170" s="321">
        <f t="shared" si="23"/>
        <v>36.988408333333325</v>
      </c>
      <c r="AB170" s="321">
        <f t="shared" si="23"/>
        <v>35.263841666666657</v>
      </c>
      <c r="AC170" s="321">
        <f t="shared" si="23"/>
        <v>33.541374999999995</v>
      </c>
      <c r="AD170" s="321">
        <f t="shared" si="23"/>
        <v>31.854024999999986</v>
      </c>
      <c r="AE170" s="321">
        <f t="shared" si="23"/>
        <v>30.299616666666655</v>
      </c>
      <c r="AF170" s="321">
        <f>AF169*(1+$AG170)</f>
        <v>28.795549999999995</v>
      </c>
      <c r="AG170" s="9">
        <f>-0.3</f>
        <v>-0.3</v>
      </c>
    </row>
    <row r="171" spans="1:33" ht="15" customHeight="1">
      <c r="B171" s="63"/>
      <c r="C171" s="11" t="s">
        <v>800</v>
      </c>
      <c r="D171" s="322" t="s">
        <v>107</v>
      </c>
      <c r="E171" s="11" t="s">
        <v>796</v>
      </c>
      <c r="F171" s="322"/>
      <c r="G171" s="321"/>
      <c r="H171" s="321"/>
      <c r="I171" s="321"/>
      <c r="J171" s="52"/>
      <c r="K171" s="321"/>
      <c r="L171" s="321"/>
      <c r="M171" s="321"/>
      <c r="N171" s="321"/>
      <c r="O171" s="321"/>
      <c r="P171" s="321"/>
      <c r="Q171" s="321">
        <f t="shared" ref="Q171:AE171" si="24">Q169*(1+$AG171)</f>
        <v>75.750725000000003</v>
      </c>
      <c r="R171" s="321">
        <f t="shared" si="24"/>
        <v>72.101250000000007</v>
      </c>
      <c r="S171" s="321">
        <f t="shared" si="24"/>
        <v>66.604760416666664</v>
      </c>
      <c r="T171" s="321">
        <f t="shared" si="24"/>
        <v>63.077791666666663</v>
      </c>
      <c r="U171" s="321">
        <f t="shared" si="24"/>
        <v>60.144477083333342</v>
      </c>
      <c r="V171" s="321">
        <f t="shared" si="24"/>
        <v>57.268537500000001</v>
      </c>
      <c r="W171" s="321">
        <f t="shared" si="24"/>
        <v>54.568937500000004</v>
      </c>
      <c r="X171" s="321">
        <f t="shared" si="24"/>
        <v>51.971939583333331</v>
      </c>
      <c r="Y171" s="321">
        <f t="shared" si="24"/>
        <v>49.521141666666651</v>
      </c>
      <c r="Z171" s="321">
        <f t="shared" si="24"/>
        <v>47.142487499999987</v>
      </c>
      <c r="AA171" s="321">
        <f t="shared" si="24"/>
        <v>44.914495833333326</v>
      </c>
      <c r="AB171" s="321">
        <f t="shared" si="24"/>
        <v>42.820379166666655</v>
      </c>
      <c r="AC171" s="321">
        <f t="shared" si="24"/>
        <v>40.728812499999989</v>
      </c>
      <c r="AD171" s="321">
        <f t="shared" si="24"/>
        <v>38.679887499999985</v>
      </c>
      <c r="AE171" s="321">
        <f t="shared" si="24"/>
        <v>36.792391666666653</v>
      </c>
      <c r="AF171" s="321">
        <f>AF169*(1+$AG171)</f>
        <v>34.966024999999995</v>
      </c>
      <c r="AG171" s="9">
        <f>-0.15</f>
        <v>-0.15</v>
      </c>
    </row>
    <row r="172" spans="1:33" ht="15" customHeight="1">
      <c r="B172" s="63"/>
      <c r="C172" s="11" t="s">
        <v>801</v>
      </c>
      <c r="D172" s="322" t="s">
        <v>107</v>
      </c>
      <c r="E172" s="11" t="s">
        <v>797</v>
      </c>
      <c r="F172" s="322"/>
      <c r="G172" s="321"/>
      <c r="H172" s="321"/>
      <c r="I172" s="321"/>
      <c r="J172" s="52"/>
      <c r="K172" s="321"/>
      <c r="L172" s="321"/>
      <c r="M172" s="321"/>
      <c r="N172" s="321"/>
      <c r="O172" s="321"/>
      <c r="P172" s="321"/>
      <c r="Q172" s="321">
        <f t="shared" ref="Q172:AE172" si="25">Q169*(1+$AG172)</f>
        <v>102.48627500000001</v>
      </c>
      <c r="R172" s="321">
        <f t="shared" si="25"/>
        <v>97.548749999999998</v>
      </c>
      <c r="S172" s="321">
        <f t="shared" si="25"/>
        <v>90.112322916666656</v>
      </c>
      <c r="T172" s="321">
        <f t="shared" si="25"/>
        <v>85.340541666666653</v>
      </c>
      <c r="U172" s="321">
        <f t="shared" si="25"/>
        <v>81.371939583333344</v>
      </c>
      <c r="V172" s="321">
        <f t="shared" si="25"/>
        <v>77.480962500000004</v>
      </c>
      <c r="W172" s="321">
        <f t="shared" si="25"/>
        <v>73.828562500000004</v>
      </c>
      <c r="X172" s="321">
        <f t="shared" si="25"/>
        <v>70.314977083333318</v>
      </c>
      <c r="Y172" s="321">
        <f t="shared" si="25"/>
        <v>66.999191666666647</v>
      </c>
      <c r="Z172" s="321">
        <f t="shared" si="25"/>
        <v>63.781012499999981</v>
      </c>
      <c r="AA172" s="321">
        <f t="shared" si="25"/>
        <v>60.766670833333322</v>
      </c>
      <c r="AB172" s="321">
        <f t="shared" si="25"/>
        <v>57.933454166666642</v>
      </c>
      <c r="AC172" s="321">
        <f t="shared" si="25"/>
        <v>55.103687499999985</v>
      </c>
      <c r="AD172" s="321">
        <f t="shared" si="25"/>
        <v>52.331612499999977</v>
      </c>
      <c r="AE172" s="321">
        <f t="shared" si="25"/>
        <v>49.777941666666649</v>
      </c>
      <c r="AF172" s="321">
        <f>AF169*(1+$AG172)</f>
        <v>47.306974999999994</v>
      </c>
      <c r="AG172" s="9">
        <v>0.15</v>
      </c>
    </row>
    <row r="173" spans="1:33" ht="15" customHeight="1">
      <c r="B173" s="63"/>
      <c r="C173" s="11" t="s">
        <v>802</v>
      </c>
      <c r="D173" s="322" t="s">
        <v>107</v>
      </c>
      <c r="E173" s="11" t="s">
        <v>798</v>
      </c>
      <c r="F173" s="322"/>
      <c r="G173" s="321"/>
      <c r="H173" s="321"/>
      <c r="I173" s="321"/>
      <c r="J173" s="52"/>
      <c r="K173" s="321"/>
      <c r="L173" s="321"/>
      <c r="M173" s="321"/>
      <c r="N173" s="321"/>
      <c r="O173" s="321"/>
      <c r="P173" s="321"/>
      <c r="Q173" s="321">
        <f t="shared" ref="Q173:AE173" si="26">Q169*(1+$AG173)</f>
        <v>115.85405000000002</v>
      </c>
      <c r="R173" s="321">
        <f t="shared" si="26"/>
        <v>110.27250000000001</v>
      </c>
      <c r="S173" s="321">
        <f t="shared" si="26"/>
        <v>101.86610416666667</v>
      </c>
      <c r="T173" s="321">
        <f t="shared" si="26"/>
        <v>96.471916666666658</v>
      </c>
      <c r="U173" s="321">
        <f t="shared" si="26"/>
        <v>91.985670833333344</v>
      </c>
      <c r="V173" s="321">
        <f t="shared" si="26"/>
        <v>87.587175000000016</v>
      </c>
      <c r="W173" s="321">
        <f t="shared" si="26"/>
        <v>83.458375000000004</v>
      </c>
      <c r="X173" s="321">
        <f t="shared" si="26"/>
        <v>79.486495833333322</v>
      </c>
      <c r="Y173" s="321">
        <f t="shared" si="26"/>
        <v>75.738216666666645</v>
      </c>
      <c r="Z173" s="321">
        <f t="shared" si="26"/>
        <v>72.100274999999982</v>
      </c>
      <c r="AA173" s="321">
        <f t="shared" si="26"/>
        <v>68.69275833333333</v>
      </c>
      <c r="AB173" s="321">
        <f t="shared" si="26"/>
        <v>65.489991666666654</v>
      </c>
      <c r="AC173" s="321">
        <f t="shared" si="26"/>
        <v>62.291124999999987</v>
      </c>
      <c r="AD173" s="321">
        <f t="shared" si="26"/>
        <v>59.157474999999984</v>
      </c>
      <c r="AE173" s="321">
        <f t="shared" si="26"/>
        <v>56.270716666666651</v>
      </c>
      <c r="AF173" s="321">
        <f>AF169*(1+$AG173)</f>
        <v>53.477449999999997</v>
      </c>
      <c r="AG173" s="9">
        <v>0.3</v>
      </c>
    </row>
    <row r="174" spans="1:33" ht="15" customHeight="1">
      <c r="B174" s="63"/>
      <c r="C174" s="11" t="s">
        <v>803</v>
      </c>
      <c r="D174" s="322" t="s">
        <v>107</v>
      </c>
      <c r="E174" s="16" t="s">
        <v>793</v>
      </c>
      <c r="F174" s="322"/>
      <c r="G174" s="321"/>
      <c r="H174" s="321"/>
      <c r="I174" s="321"/>
      <c r="J174" s="52"/>
      <c r="K174" s="321"/>
      <c r="L174" s="321"/>
      <c r="M174" s="321"/>
      <c r="N174" s="321"/>
      <c r="O174" s="321"/>
      <c r="P174" s="321"/>
      <c r="Q174" s="321">
        <f>P169</f>
        <v>106.93752173913046</v>
      </c>
      <c r="R174" s="321">
        <f>$Q174+($AF174-$Q174)/($AF$4-$Q$4)*(R$4-$Q$4)</f>
        <v>106.93752173913046</v>
      </c>
      <c r="S174" s="321">
        <f t="shared" ref="S174:AE174" si="27">$Q174+($AF174-$Q174)/($AF$4-$Q$4)*(S$4-$Q$4)</f>
        <v>106.93752173913046</v>
      </c>
      <c r="T174" s="321">
        <f t="shared" si="27"/>
        <v>106.93752173913046</v>
      </c>
      <c r="U174" s="321">
        <f t="shared" si="27"/>
        <v>106.93752173913046</v>
      </c>
      <c r="V174" s="321">
        <f t="shared" si="27"/>
        <v>106.93752173913046</v>
      </c>
      <c r="W174" s="321">
        <f t="shared" si="27"/>
        <v>106.93752173913046</v>
      </c>
      <c r="X174" s="321">
        <f t="shared" si="27"/>
        <v>106.93752173913046</v>
      </c>
      <c r="Y174" s="321">
        <f t="shared" si="27"/>
        <v>106.93752173913046</v>
      </c>
      <c r="Z174" s="321">
        <f t="shared" si="27"/>
        <v>106.93752173913046</v>
      </c>
      <c r="AA174" s="321">
        <f t="shared" si="27"/>
        <v>106.93752173913046</v>
      </c>
      <c r="AB174" s="321">
        <f t="shared" si="27"/>
        <v>106.93752173913046</v>
      </c>
      <c r="AC174" s="321">
        <f t="shared" si="27"/>
        <v>106.93752173913046</v>
      </c>
      <c r="AD174" s="321">
        <f t="shared" si="27"/>
        <v>106.93752173913046</v>
      </c>
      <c r="AE174" s="321">
        <f t="shared" si="27"/>
        <v>106.93752173913046</v>
      </c>
      <c r="AF174" s="321">
        <f>$Q$174</f>
        <v>106.93752173913046</v>
      </c>
    </row>
    <row r="175" spans="1:33" ht="15" customHeight="1">
      <c r="B175" s="463"/>
      <c r="C175" s="463"/>
      <c r="D175" s="176"/>
      <c r="E175" s="162"/>
      <c r="F175" s="176"/>
      <c r="G175" s="180"/>
      <c r="H175" s="180"/>
      <c r="I175" s="180"/>
      <c r="J175" s="161"/>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row>
    <row r="176" spans="1:33" ht="15" customHeight="1">
      <c r="A176" s="462"/>
      <c r="B176" s="463"/>
      <c r="C176" s="176"/>
      <c r="D176" s="162"/>
      <c r="E176" s="176"/>
      <c r="F176" s="162"/>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c r="AE176" s="180"/>
      <c r="AF176" s="180"/>
      <c r="AG176" s="462"/>
    </row>
    <row r="177" spans="1:33" ht="15" customHeight="1">
      <c r="A177" s="462"/>
      <c r="B177" s="463"/>
      <c r="C177" s="184"/>
      <c r="D177" s="179"/>
      <c r="E177" s="184"/>
      <c r="F177" s="179"/>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c r="AG177" s="462"/>
    </row>
    <row r="178" spans="1:33" s="462" customFormat="1" ht="15" customHeight="1">
      <c r="B178" s="463"/>
      <c r="C178" s="176"/>
      <c r="D178" s="179"/>
      <c r="E178" s="176"/>
      <c r="F178" s="179"/>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c r="AE178" s="180"/>
      <c r="AF178" s="180"/>
    </row>
    <row r="179" spans="1:33" s="462" customFormat="1" ht="15" customHeight="1">
      <c r="B179" s="463"/>
      <c r="C179" s="163"/>
      <c r="D179" s="179"/>
      <c r="E179" s="176"/>
      <c r="F179" s="179"/>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c r="AE179" s="180"/>
      <c r="AF179" s="180"/>
    </row>
    <row r="180" spans="1:33" s="462" customFormat="1" ht="15" customHeight="1">
      <c r="B180" s="463"/>
      <c r="C180" s="176"/>
      <c r="D180" s="179"/>
      <c r="E180" s="176"/>
      <c r="F180" s="179"/>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row>
    <row r="181" spans="1:33" s="462" customFormat="1" ht="15" customHeight="1">
      <c r="B181" s="463"/>
      <c r="C181" s="176"/>
      <c r="D181" s="179"/>
      <c r="E181" s="176"/>
      <c r="F181" s="179"/>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row>
    <row r="182" spans="1:33" s="462" customFormat="1" ht="15" customHeight="1">
      <c r="B182" s="463"/>
      <c r="C182" s="176"/>
      <c r="D182" s="162"/>
      <c r="E182" s="176"/>
      <c r="F182" s="162"/>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row>
    <row r="183" spans="1:33" s="462" customFormat="1" ht="15" customHeight="1">
      <c r="B183" s="463"/>
      <c r="C183" s="176"/>
      <c r="D183" s="179"/>
      <c r="E183" s="176"/>
      <c r="F183" s="179"/>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row>
    <row r="184" spans="1:33" s="462" customFormat="1" ht="15" customHeight="1">
      <c r="B184" s="463"/>
      <c r="C184" s="176"/>
      <c r="D184" s="179"/>
      <c r="E184" s="176"/>
      <c r="F184" s="179"/>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row>
    <row r="185" spans="1:33" s="462" customFormat="1" ht="15" customHeight="1">
      <c r="B185" s="463"/>
      <c r="C185" s="176"/>
      <c r="D185" s="179"/>
      <c r="E185" s="176"/>
      <c r="F185" s="179"/>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row>
    <row r="186" spans="1:33" s="462" customFormat="1" ht="15" customHeight="1">
      <c r="B186" s="463"/>
      <c r="C186" s="176"/>
      <c r="D186" s="179"/>
      <c r="E186" s="176"/>
      <c r="F186" s="179"/>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row>
    <row r="187" spans="1:33" s="462" customFormat="1" ht="15" customHeight="1">
      <c r="B187" s="463"/>
      <c r="C187" s="176"/>
      <c r="D187" s="179"/>
      <c r="E187" s="176"/>
      <c r="F187" s="179"/>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row>
    <row r="188" spans="1:33" ht="15" customHeight="1">
      <c r="A188" s="462"/>
      <c r="B188" s="463"/>
      <c r="C188" s="176"/>
      <c r="D188" s="179"/>
      <c r="E188" s="176"/>
      <c r="F188" s="179"/>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row>
    <row r="189" spans="1:33" ht="15" customHeight="1">
      <c r="A189" s="462"/>
      <c r="B189" s="463"/>
      <c r="C189" s="176"/>
      <c r="D189" s="179"/>
      <c r="E189" s="176"/>
      <c r="F189" s="179"/>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row>
    <row r="190" spans="1:33" ht="15" customHeight="1">
      <c r="A190" s="462"/>
      <c r="B190" s="463"/>
      <c r="C190" s="176"/>
      <c r="D190" s="179"/>
      <c r="E190" s="176"/>
      <c r="F190" s="179"/>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row>
    <row r="191" spans="1:33" ht="15" customHeight="1">
      <c r="A191" s="462"/>
      <c r="B191" s="463"/>
      <c r="C191" s="176"/>
      <c r="D191" s="179"/>
      <c r="E191" s="176"/>
      <c r="F191" s="179"/>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row>
    <row r="192" spans="1:33" ht="15" customHeight="1">
      <c r="A192" s="462"/>
      <c r="B192" s="463"/>
      <c r="C192" s="176"/>
      <c r="D192" s="179"/>
      <c r="E192" s="176"/>
      <c r="F192" s="179"/>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row>
    <row r="193" spans="1:32" ht="15" customHeight="1">
      <c r="A193" s="462"/>
      <c r="B193" s="464"/>
      <c r="C193" s="176"/>
      <c r="D193" s="179"/>
      <c r="E193" s="176"/>
      <c r="F193" s="179"/>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0"/>
      <c r="AD193" s="180"/>
      <c r="AE193" s="180"/>
      <c r="AF193" s="180"/>
    </row>
    <row r="194" spans="1:32" ht="15" customHeight="1">
      <c r="C194" s="17"/>
      <c r="D194" s="18"/>
      <c r="E194" s="18"/>
      <c r="F194" s="18"/>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row>
    <row r="195" spans="1:32" ht="15" customHeight="1"/>
    <row r="196" spans="1:32" ht="15" customHeight="1"/>
    <row r="197" spans="1:32" ht="15" customHeight="1"/>
    <row r="198" spans="1:32" ht="15" customHeight="1"/>
    <row r="199" spans="1:32" ht="15" customHeight="1"/>
    <row r="200" spans="1:32" ht="15" customHeight="1"/>
    <row r="201" spans="1:32" ht="15" customHeight="1"/>
    <row r="202" spans="1:32" ht="15" customHeight="1"/>
    <row r="203" spans="1:32" ht="15" customHeight="1"/>
    <row r="204" spans="1:32" ht="15" customHeight="1"/>
    <row r="205" spans="1:32" ht="15" customHeight="1"/>
    <row r="206" spans="1:32" ht="15" customHeight="1"/>
    <row r="207" spans="1:32" ht="15" customHeight="1"/>
    <row r="208" spans="1: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0E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legacyDrawing r:id="rId2"/>
  <extLst>
    <ext xmlns:x14="http://schemas.microsoft.com/office/spreadsheetml/2009/9/main" uri="{78C0D931-6437-407d-A8EE-F0AAD7539E65}">
      <x14:conditionalFormattings>
        <x14:conditionalFormatting xmlns:xm="http://schemas.microsoft.com/office/excel/2006/main">
          <x14:cfRule type="cellIs" priority="696" operator="greaterThan" id="{00000000-0000-0000-0000-000000000000}">
            <xm:f>ControlPanel!$D$59-1</xm:f>
            <x14:dxf>
              <font>
                <color rgb="FF9C6500"/>
              </font>
              <fill>
                <patternFill>
                  <fgColor indexed="64"/>
                  <bgColor rgb="FFFFEB9C"/>
                </patternFill>
              </fill>
            </x14:dxf>
          </x14:cfRule>
          <x14:cfRule type="cellIs" priority="697" operator="lessThan" id="{00000000-0000-0000-0000-000000000000}">
            <xm:f>ControlPanel!$D$59</xm:f>
            <x14:dxf>
              <font>
                <color rgb="FF006100"/>
              </font>
              <fill>
                <patternFill>
                  <fgColor indexed="64"/>
                  <bgColor rgb="FFC6EFCE"/>
                </patternFill>
              </fill>
            </x14:dxf>
          </x14:cfRule>
          <x14:cfRule type="cellIs" priority="698" operator="lessThan" id="{F6F2F587-6FF4-4AE1-8A26-D474476CCC93}">
            <xm:f>ControlPanel!$D$59+1</xm:f>
            <x14:dxf>
              <font>
                <color rgb="FF006100"/>
              </font>
              <fill>
                <patternFill>
                  <fgColor indexed="64"/>
                  <bgColor rgb="FFC6EFCE"/>
                </patternFill>
              </fill>
            </x14:dxf>
          </x14:cfRule>
          <xm:sqref>G4:AF4</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37">
    <tabColor theme="9" tint="0.39997558519241921"/>
  </sheetPr>
  <dimension ref="A1:AI238"/>
  <sheetViews>
    <sheetView zoomScaleNormal="100" workbookViewId="0">
      <pane xSplit="6" ySplit="4" topLeftCell="G8" activePane="bottomRight" state="frozen"/>
      <selection activeCell="I45" sqref="I45"/>
      <selection pane="topRight" activeCell="I45" sqref="I45"/>
      <selection pane="bottomLeft" activeCell="I45" sqref="I45"/>
      <selection pane="bottomRight" activeCell="S10" sqref="S10"/>
    </sheetView>
  </sheetViews>
  <sheetFormatPr defaultColWidth="11.5546875" defaultRowHeight="13.2" outlineLevelCol="2"/>
  <cols>
    <col min="1" max="1" width="3.6640625" style="9" customWidth="1"/>
    <col min="2" max="2" width="17.5546875" style="9" customWidth="1"/>
    <col min="3" max="3" width="13.44140625" style="45" bestFit="1" customWidth="1"/>
    <col min="4" max="4" width="7.109375" style="48" customWidth="1" outlineLevel="2"/>
    <col min="5" max="5" width="16.44140625" style="1051" customWidth="1"/>
    <col min="6" max="6" width="27.6640625" style="1047" customWidth="1"/>
    <col min="7" max="14" width="8.6640625" style="45" customWidth="1"/>
    <col min="15" max="32" width="8.6640625" style="45" customWidth="1" outlineLevel="1"/>
    <col min="33" max="16384" width="11.5546875" style="9"/>
  </cols>
  <sheetData>
    <row r="1" spans="1:32">
      <c r="A1" s="41" t="s">
        <v>74</v>
      </c>
      <c r="B1" s="69" t="s">
        <v>343</v>
      </c>
      <c r="C1" s="69"/>
      <c r="D1" s="44"/>
      <c r="E1" s="1050"/>
      <c r="F1" s="1045"/>
    </row>
    <row r="3" spans="1:32">
      <c r="B3" s="62"/>
      <c r="C3" s="164" t="s">
        <v>344</v>
      </c>
      <c r="D3" s="46" t="s">
        <v>345</v>
      </c>
      <c r="E3" s="1052" t="s">
        <v>346</v>
      </c>
      <c r="F3" s="1046" t="s">
        <v>347</v>
      </c>
      <c r="G3" s="47"/>
      <c r="H3" s="47"/>
      <c r="I3" s="47"/>
      <c r="J3" s="47"/>
      <c r="K3" s="47"/>
      <c r="L3" s="47"/>
      <c r="M3" s="47"/>
      <c r="N3" s="47"/>
      <c r="O3" s="47"/>
      <c r="P3" s="47"/>
      <c r="Q3" s="47"/>
      <c r="R3" s="47"/>
      <c r="S3" s="47"/>
      <c r="T3" s="47"/>
      <c r="U3" s="47"/>
      <c r="V3" s="47"/>
      <c r="W3" s="47"/>
      <c r="X3" s="47"/>
      <c r="Y3" s="47"/>
      <c r="Z3" s="47"/>
      <c r="AA3" s="47"/>
      <c r="AB3" s="47"/>
      <c r="AC3" s="47"/>
      <c r="AD3" s="47"/>
      <c r="AE3" s="47"/>
      <c r="AF3" s="47"/>
    </row>
    <row r="4" spans="1:32">
      <c r="B4" s="63"/>
      <c r="C4" s="81"/>
      <c r="E4" s="1053"/>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3.8" thickBot="1">
      <c r="B5" s="63"/>
      <c r="C5" s="81"/>
      <c r="E5" s="1053"/>
      <c r="G5" s="324" t="s">
        <v>34</v>
      </c>
      <c r="H5" s="324" t="s">
        <v>34</v>
      </c>
      <c r="I5" s="324" t="s">
        <v>34</v>
      </c>
      <c r="J5" s="324" t="s">
        <v>34</v>
      </c>
      <c r="K5" s="324" t="s">
        <v>34</v>
      </c>
      <c r="L5" s="324" t="s">
        <v>34</v>
      </c>
      <c r="M5" s="324" t="s">
        <v>34</v>
      </c>
      <c r="N5" s="324" t="s">
        <v>34</v>
      </c>
      <c r="O5" s="324" t="s">
        <v>34</v>
      </c>
      <c r="P5" s="324" t="s">
        <v>34</v>
      </c>
      <c r="Q5" s="324" t="s">
        <v>34</v>
      </c>
      <c r="R5" s="324" t="s">
        <v>34</v>
      </c>
      <c r="S5" s="324" t="s">
        <v>34</v>
      </c>
      <c r="T5" s="324" t="s">
        <v>34</v>
      </c>
      <c r="U5" s="324" t="s">
        <v>34</v>
      </c>
      <c r="V5" s="324" t="s">
        <v>34</v>
      </c>
      <c r="W5" s="324" t="s">
        <v>34</v>
      </c>
      <c r="X5" s="324" t="s">
        <v>34</v>
      </c>
      <c r="Y5" s="324" t="s">
        <v>34</v>
      </c>
      <c r="Z5" s="324" t="s">
        <v>34</v>
      </c>
      <c r="AA5" s="324" t="s">
        <v>34</v>
      </c>
      <c r="AB5" s="324" t="s">
        <v>34</v>
      </c>
      <c r="AC5" s="324" t="s">
        <v>34</v>
      </c>
      <c r="AD5" s="324" t="s">
        <v>34</v>
      </c>
      <c r="AE5" s="324" t="s">
        <v>34</v>
      </c>
      <c r="AF5" s="324" t="s">
        <v>34</v>
      </c>
    </row>
    <row r="6" spans="1:32" ht="13.8" thickBot="1">
      <c r="B6" s="166" t="s">
        <v>529</v>
      </c>
      <c r="C6" s="1248" t="str">
        <f>ControlPanel!E13</f>
        <v>Pas d'extension</v>
      </c>
      <c r="D6" s="50" t="str">
        <f>VLOOKUP($C$6,$C$13:$AF$37,2,FALSE)</f>
        <v>mh</v>
      </c>
      <c r="E6" s="1054" t="str">
        <f>VLOOKUP($C$6,$C$13:$AF$37,3,FALSE)</f>
        <v>0 GW/a</v>
      </c>
      <c r="F6" s="1048">
        <f>VLOOKUP($C$6,$C$13:$AF$37,4,FALSE)</f>
        <v>0</v>
      </c>
      <c r="G6" s="244">
        <f>IF(G$4&lt;(ControlPanel!$D$59-1),VLOOKUP("Référence",$C$13:$AF$37,G$4-$G$4+5,FALSE),VLOOKUP($C$6,$C$13:$AF$37,G$4-$G$4+5,FALSE))</f>
        <v>0.11411000000000038</v>
      </c>
      <c r="H6" s="244">
        <f>IF(H$4&lt;(ControlPanel!$D$59-1),VLOOKUP("Référence",$C$13:$AF$37,H$4-$G$4+5,FALSE),VLOOKUP($C$6,$C$13:$AF$37,H$4-$G$4+5,FALSE))</f>
        <v>9.2075899999999766E-2</v>
      </c>
      <c r="I6" s="244">
        <f>IF(I$4&lt;(ControlPanel!$D$59-1),VLOOKUP("Référence",$C$13:$AF$37,I$4-$G$4+5,FALSE),VLOOKUP($C$6,$C$13:$AF$37,I$4-$G$4+5,FALSE))</f>
        <v>5.082349999999991E-2</v>
      </c>
      <c r="J6" s="244">
        <f>IF(J$4&lt;(ControlPanel!$D$59-1),VLOOKUP("Référence",$C$13:$AF$37,J$4-$G$4+5,FALSE),VLOOKUP($C$6,$C$13:$AF$37,J$4-$G$4+5,FALSE))</f>
        <v>7.4043600000000209E-2</v>
      </c>
      <c r="K6" s="244">
        <f>IF(K$4&lt;(ControlPanel!$D$59-1),VLOOKUP("Référence",$C$13:$AF$37,K$4-$G$4+5,FALSE),VLOOKUP($C$6,$C$13:$AF$37,K$4-$G$4+5,FALSE))</f>
        <v>0</v>
      </c>
      <c r="L6" s="244">
        <f>IF(L$4&lt;(ControlPanel!$D$59-1),VLOOKUP("Référence",$C$13:$AF$37,L$4-$G$4+5,FALSE),VLOOKUP($C$6,$C$13:$AF$37,L$4-$G$4+5,FALSE))</f>
        <v>0.2908247849999997</v>
      </c>
      <c r="M6" s="244">
        <f>IF(M$4&lt;(ControlPanel!$D$59-1),VLOOKUP("Référence",$C$13:$AF$37,M$4-$G$4+5,FALSE),VLOOKUP($C$6,$C$13:$AF$37,M$4-$G$4+5,FALSE))</f>
        <v>2.1633774999999821E-2</v>
      </c>
      <c r="N6" s="244">
        <f>IF(N$4&lt;(ControlPanel!$D$59-1),VLOOKUP("Référence",$C$13:$AF$37,N$4-$G$4+5,FALSE),VLOOKUP($C$6,$C$13:$AF$37,N$4-$G$4+5,FALSE))</f>
        <v>5.4000000000000003E-3</v>
      </c>
      <c r="O6" s="244">
        <f>IF(O$4&lt;(ControlPanel!$D$59-1),VLOOKUP("Référence",$C$13:$AF$37,O$4-$G$4+5,FALSE),VLOOKUP($C$6,$C$13:$AF$37,O$4-$G$4+5,FALSE))</f>
        <v>1.4999999999999999E-2</v>
      </c>
      <c r="P6" s="244">
        <f>IF(P$4&lt;(ControlPanel!$D$59-1),VLOOKUP("Référence",$C$13:$AF$37,P$4-$G$4+5,FALSE),VLOOKUP($C$6,$C$13:$AF$37,P$4-$G$4+5,FALSE))</f>
        <v>1.7000000000000001E-2</v>
      </c>
      <c r="Q6" s="244">
        <f>IF(Q$4&lt;(ControlPanel!$D$59-1),VLOOKUP("Référence",$C$13:$AF$37,Q$4-$G$4+5,FALSE),VLOOKUP($C$6,$C$13:$AF$37,Q$4-$G$4+5,FALSE))</f>
        <v>1.2999999999999999E-2</v>
      </c>
      <c r="R6" s="244">
        <f>IF(R$4&lt;(ControlPanel!$D$59-1),VLOOKUP("Référence",$C$13:$AF$37,R$4-$G$4+5,FALSE),VLOOKUP($C$6,$C$13:$AF$37,R$4-$G$4+5,FALSE))</f>
        <v>0</v>
      </c>
      <c r="S6" s="244">
        <f>IF(S$4&lt;(ControlPanel!$D$59-1),VLOOKUP("Référence",$C$13:$AF$37,S$4-$G$4+5,FALSE),VLOOKUP($C$6,$C$13:$AF$37,S$4-$G$4+5,FALSE))</f>
        <v>0</v>
      </c>
      <c r="T6" s="244">
        <f>IF(T$4&lt;(ControlPanel!$D$59-1),VLOOKUP("Référence",$C$13:$AF$37,T$4-$G$4+5,FALSE),VLOOKUP($C$6,$C$13:$AF$37,T$4-$G$4+5,FALSE))</f>
        <v>0</v>
      </c>
      <c r="U6" s="244">
        <f>IF(U$4&lt;(ControlPanel!$D$59-1),VLOOKUP("Référence",$C$13:$AF$37,U$4-$G$4+5,FALSE),VLOOKUP($C$6,$C$13:$AF$37,U$4-$G$4+5,FALSE))</f>
        <v>0</v>
      </c>
      <c r="V6" s="244">
        <f>IF(V$4&lt;(ControlPanel!$D$59-1),VLOOKUP("Référence",$C$13:$AF$37,V$4-$G$4+5,FALSE),VLOOKUP($C$6,$C$13:$AF$37,V$4-$G$4+5,FALSE))</f>
        <v>0</v>
      </c>
      <c r="W6" s="244">
        <f>IF(W$4&lt;(ControlPanel!$D$59-1),VLOOKUP("Référence",$C$13:$AF$37,W$4-$G$4+5,FALSE),VLOOKUP($C$6,$C$13:$AF$37,W$4-$G$4+5,FALSE))</f>
        <v>0</v>
      </c>
      <c r="X6" s="244">
        <f>IF(X$4&lt;(ControlPanel!$D$59-1),VLOOKUP("Référence",$C$13:$AF$37,X$4-$G$4+5,FALSE),VLOOKUP($C$6,$C$13:$AF$37,X$4-$G$4+5,FALSE))</f>
        <v>0</v>
      </c>
      <c r="Y6" s="244">
        <f>IF(Y$4&lt;(ControlPanel!$D$59-1),VLOOKUP("Référence",$C$13:$AF$37,Y$4-$G$4+5,FALSE),VLOOKUP($C$6,$C$13:$AF$37,Y$4-$G$4+5,FALSE))</f>
        <v>0</v>
      </c>
      <c r="Z6" s="244">
        <f>IF(Z$4&lt;(ControlPanel!$D$59-1),VLOOKUP("Référence",$C$13:$AF$37,Z$4-$G$4+5,FALSE),VLOOKUP($C$6,$C$13:$AF$37,Z$4-$G$4+5,FALSE))</f>
        <v>0</v>
      </c>
      <c r="AA6" s="244">
        <f>IF(AA$4&lt;(ControlPanel!$D$59-1),VLOOKUP("Référence",$C$13:$AF$37,AA$4-$G$4+5,FALSE),VLOOKUP($C$6,$C$13:$AF$37,AA$4-$G$4+5,FALSE))</f>
        <v>0</v>
      </c>
      <c r="AB6" s="244">
        <f>IF(AB$4&lt;(ControlPanel!$D$59-1),VLOOKUP("Référence",$C$13:$AF$37,AB$4-$G$4+5,FALSE),VLOOKUP($C$6,$C$13:$AF$37,AB$4-$G$4+5,FALSE))</f>
        <v>0</v>
      </c>
      <c r="AC6" s="244">
        <f>IF(AC$4&lt;(ControlPanel!$D$59-1),VLOOKUP("Référence",$C$13:$AF$37,AC$4-$G$4+5,FALSE),VLOOKUP($C$6,$C$13:$AF$37,AC$4-$G$4+5,FALSE))</f>
        <v>0</v>
      </c>
      <c r="AD6" s="244">
        <f>IF(AD$4&lt;(ControlPanel!$D$59-1),VLOOKUP("Référence",$C$13:$AF$37,AD$4-$G$4+5,FALSE),VLOOKUP($C$6,$C$13:$AF$37,AD$4-$G$4+5,FALSE))</f>
        <v>0</v>
      </c>
      <c r="AE6" s="244">
        <f>IF(AE$4&lt;(ControlPanel!$D$59-1),VLOOKUP("Référence",$C$13:$AF$37,AE$4-$G$4+5,FALSE),VLOOKUP($C$6,$C$13:$AF$37,AE$4-$G$4+5,FALSE))</f>
        <v>0</v>
      </c>
      <c r="AF6" s="244">
        <f>IF(AF$4&lt;(ControlPanel!$D$59-1),VLOOKUP("Référence",$C$13:$AF$37,AF$4-$G$4+5,FALSE),VLOOKUP($C$6,$C$13:$AF$37,AF$4-$G$4+5,FALSE))</f>
        <v>0</v>
      </c>
    </row>
    <row r="7" spans="1:32" ht="13.8" thickBot="1">
      <c r="B7" s="165" t="s">
        <v>349</v>
      </c>
      <c r="C7" s="1248" t="str">
        <f>ControlPanel!E14</f>
        <v>Pas d'extension</v>
      </c>
      <c r="D7" s="50" t="str">
        <f>VLOOKUP($C$7,$C$39:$AF$63,2,FALSE)</f>
        <v>mh</v>
      </c>
      <c r="E7" s="1054" t="str">
        <f>VLOOKUP($C$7,$C$39:$AF$63,3,FALSE)</f>
        <v>0 GW/a</v>
      </c>
      <c r="F7" s="1048">
        <f>VLOOKUP($C$7,$C$39:$AF$63,4,FALSE)</f>
        <v>0</v>
      </c>
      <c r="G7" s="244">
        <f>IF(G$4&lt;(ControlPanel!$D$59-1),VLOOKUP("Référence",$C$39:$AF$63,G$4-$G$4+5,FALSE),VLOOKUP($C$7,$C$39:$AF$63,G$4-$G$4+5,FALSE))</f>
        <v>1.5435999999999849E-2</v>
      </c>
      <c r="H7" s="244">
        <f>IF(H$4&lt;(ControlPanel!$D$59-1),VLOOKUP("Référence",$C$39:$AF$63,H$4-$G$4+5,FALSE),VLOOKUP($C$7,$C$39:$AF$63,H$4-$G$4+5,FALSE))</f>
        <v>1.2638999999999964E-2</v>
      </c>
      <c r="I7" s="244">
        <f>IF(I$4&lt;(ControlPanel!$D$59-1),VLOOKUP("Référence",$C$39:$AF$63,I$4-$G$4+5,FALSE),VLOOKUP($C$7,$C$39:$AF$63,I$4-$G$4+5,FALSE))</f>
        <v>7.8030000000000209E-3</v>
      </c>
      <c r="J7" s="244">
        <f>IF(J$4&lt;(ControlPanel!$D$59-1),VLOOKUP("Référence",$C$39:$AF$63,J$4-$G$4+5,FALSE),VLOOKUP($C$7,$C$39:$AF$63,J$4-$G$4+5,FALSE))</f>
        <v>8.2572000000000756E-3</v>
      </c>
      <c r="K7" s="244">
        <f>IF(K$4&lt;(ControlPanel!$D$59-1),VLOOKUP("Référence",$C$39:$AF$63,K$4-$G$4+5,FALSE),VLOOKUP($C$7,$C$39:$AF$63,K$4-$G$4+5,FALSE))</f>
        <v>0</v>
      </c>
      <c r="L7" s="244">
        <f>IF(L$4&lt;(ControlPanel!$D$59-1),VLOOKUP("Référence",$C$39:$AF$63,L$4-$G$4+5,FALSE),VLOOKUP($C$7,$C$39:$AF$63,L$4-$G$4+5,FALSE))</f>
        <v>4.5781999999999823E-2</v>
      </c>
      <c r="M7" s="244">
        <f>IF(M$4&lt;(ControlPanel!$D$59-1),VLOOKUP("Référence",$C$39:$AF$63,M$4-$G$4+5,FALSE),VLOOKUP($C$7,$C$39:$AF$63,M$4-$G$4+5,FALSE))</f>
        <v>4.0839999999999765E-3</v>
      </c>
      <c r="N7" s="244">
        <f>IF(N$4&lt;(ControlPanel!$D$59-1),VLOOKUP("Référence",$C$39:$AF$63,N$4-$G$4+5,FALSE),VLOOKUP($C$7,$C$39:$AF$63,N$4-$G$4+5,FALSE))</f>
        <v>1.6999999999999999E-3</v>
      </c>
      <c r="O7" s="244">
        <f>IF(O$4&lt;(ControlPanel!$D$59-1),VLOOKUP("Référence",$C$39:$AF$63,O$4-$G$4+5,FALSE),VLOOKUP($C$7,$C$39:$AF$63,O$4-$G$4+5,FALSE))</f>
        <v>6.0000000000000001E-3</v>
      </c>
      <c r="P7" s="244">
        <f>IF(P$4&lt;(ControlPanel!$D$59-1),VLOOKUP("Référence",$C$39:$AF$63,P$4-$G$4+5,FALSE),VLOOKUP($C$7,$C$39:$AF$63,P$4-$G$4+5,FALSE))</f>
        <v>2E-3</v>
      </c>
      <c r="Q7" s="244">
        <f>IF(Q$4&lt;(ControlPanel!$D$59-1),VLOOKUP("Référence",$C$39:$AF$63,Q$4-$G$4+5,FALSE),VLOOKUP($C$7,$C$39:$AF$63,Q$4-$G$4+5,FALSE))</f>
        <v>2E-3</v>
      </c>
      <c r="R7" s="244">
        <f>IF(R$4&lt;(ControlPanel!$D$59-1),VLOOKUP("Référence",$C$39:$AF$63,R$4-$G$4+5,FALSE),VLOOKUP($C$7,$C$39:$AF$63,R$4-$G$4+5,FALSE))</f>
        <v>0</v>
      </c>
      <c r="S7" s="244">
        <f>IF(S$4&lt;(ControlPanel!$D$59-1),VLOOKUP("Référence",$C$39:$AF$63,S$4-$G$4+5,FALSE),VLOOKUP($C$7,$C$39:$AF$63,S$4-$G$4+5,FALSE))</f>
        <v>0</v>
      </c>
      <c r="T7" s="244">
        <f>IF(T$4&lt;(ControlPanel!$D$59-1),VLOOKUP("Référence",$C$39:$AF$63,T$4-$G$4+5,FALSE),VLOOKUP($C$7,$C$39:$AF$63,T$4-$G$4+5,FALSE))</f>
        <v>0</v>
      </c>
      <c r="U7" s="244">
        <f>IF(U$4&lt;(ControlPanel!$D$59-1),VLOOKUP("Référence",$C$39:$AF$63,U$4-$G$4+5,FALSE),VLOOKUP($C$7,$C$39:$AF$63,U$4-$G$4+5,FALSE))</f>
        <v>0</v>
      </c>
      <c r="V7" s="244">
        <f>IF(V$4&lt;(ControlPanel!$D$59-1),VLOOKUP("Référence",$C$39:$AF$63,V$4-$G$4+5,FALSE),VLOOKUP($C$7,$C$39:$AF$63,V$4-$G$4+5,FALSE))</f>
        <v>0</v>
      </c>
      <c r="W7" s="244">
        <f>IF(W$4&lt;(ControlPanel!$D$59-1),VLOOKUP("Référence",$C$39:$AF$63,W$4-$G$4+5,FALSE),VLOOKUP($C$7,$C$39:$AF$63,W$4-$G$4+5,FALSE))</f>
        <v>0</v>
      </c>
      <c r="X7" s="244">
        <f>IF(X$4&lt;(ControlPanel!$D$59-1),VLOOKUP("Référence",$C$39:$AF$63,X$4-$G$4+5,FALSE),VLOOKUP($C$7,$C$39:$AF$63,X$4-$G$4+5,FALSE))</f>
        <v>0</v>
      </c>
      <c r="Y7" s="244">
        <f>IF(Y$4&lt;(ControlPanel!$D$59-1),VLOOKUP("Référence",$C$39:$AF$63,Y$4-$G$4+5,FALSE),VLOOKUP($C$7,$C$39:$AF$63,Y$4-$G$4+5,FALSE))</f>
        <v>0</v>
      </c>
      <c r="Z7" s="244">
        <f>IF(Z$4&lt;(ControlPanel!$D$59-1),VLOOKUP("Référence",$C$39:$AF$63,Z$4-$G$4+5,FALSE),VLOOKUP($C$7,$C$39:$AF$63,Z$4-$G$4+5,FALSE))</f>
        <v>0</v>
      </c>
      <c r="AA7" s="244">
        <f>IF(AA$4&lt;(ControlPanel!$D$59-1),VLOOKUP("Référence",$C$39:$AF$63,AA$4-$G$4+5,FALSE),VLOOKUP($C$7,$C$39:$AF$63,AA$4-$G$4+5,FALSE))</f>
        <v>0</v>
      </c>
      <c r="AB7" s="244">
        <f>IF(AB$4&lt;(ControlPanel!$D$59-1),VLOOKUP("Référence",$C$39:$AF$63,AB$4-$G$4+5,FALSE),VLOOKUP($C$7,$C$39:$AF$63,AB$4-$G$4+5,FALSE))</f>
        <v>0</v>
      </c>
      <c r="AC7" s="244">
        <f>IF(AC$4&lt;(ControlPanel!$D$59-1),VLOOKUP("Référence",$C$39:$AF$63,AC$4-$G$4+5,FALSE),VLOOKUP($C$7,$C$39:$AF$63,AC$4-$G$4+5,FALSE))</f>
        <v>0</v>
      </c>
      <c r="AD7" s="244">
        <f>IF(AD$4&lt;(ControlPanel!$D$59-1),VLOOKUP("Référence",$C$39:$AF$63,AD$4-$G$4+5,FALSE),VLOOKUP($C$7,$C$39:$AF$63,AD$4-$G$4+5,FALSE))</f>
        <v>0</v>
      </c>
      <c r="AE7" s="244">
        <f>IF(AE$4&lt;(ControlPanel!$D$59-1),VLOOKUP("Référence",$C$39:$AF$63,AE$4-$G$4+5,FALSE),VLOOKUP($C$7,$C$39:$AF$63,AE$4-$G$4+5,FALSE))</f>
        <v>0</v>
      </c>
      <c r="AF7" s="244">
        <f>IF(AF$4&lt;(ControlPanel!$D$59-1),VLOOKUP("Référence",$C$39:$AF$63,AF$4-$G$4+5,FALSE),VLOOKUP($C$7,$C$39:$AF$63,AF$4-$G$4+5,FALSE))</f>
        <v>0</v>
      </c>
    </row>
    <row r="8" spans="1:32" ht="27" thickBot="1">
      <c r="B8" s="165" t="s">
        <v>11</v>
      </c>
      <c r="C8" s="1248" t="str">
        <f>ControlPanel!E11</f>
        <v>Référence</v>
      </c>
      <c r="D8" s="50" t="str">
        <f>VLOOKUP($C$8,$C$65:$AF$89,2,FALSE)</f>
        <v>fh</v>
      </c>
      <c r="E8" s="1054" t="str">
        <f>VLOOKUP($C$8,$C$65:$AF$89,3,FALSE)</f>
        <v>0,2 GW/a</v>
      </c>
      <c r="F8" s="1048" t="str">
        <f>VLOOKUP($C$8,$C$65:$AF$89,4,FALSE)</f>
        <v>Tendance MFP jusqu'en 2025, puis 0,2 GW / a</v>
      </c>
      <c r="G8" s="244">
        <f>IF(G$4&lt;(ControlPanel!$D$59-1),VLOOKUP("Référence",$C$65:$AF$89,G$4-$G$4+5,FALSE),VLOOKUP($C$8,$C$65:$AF$89,G$4-$G$4+5,FALSE))</f>
        <v>0.54100080000000128</v>
      </c>
      <c r="H8" s="244">
        <f>IF(H$4&lt;(ControlPanel!$D$59-1),VLOOKUP("Référence",$C$65:$AF$89,H$4-$G$4+5,FALSE),VLOOKUP($C$8,$C$65:$AF$89,H$4-$G$4+5,FALSE))</f>
        <v>0.92484900000000014</v>
      </c>
      <c r="I8" s="244">
        <f>IF(I$4&lt;(ControlPanel!$D$59-1),VLOOKUP("Référence",$C$65:$AF$89,I$4-$G$4+5,FALSE),VLOOKUP($C$8,$C$65:$AF$89,I$4-$G$4+5,FALSE))</f>
        <v>0.2370309999999996</v>
      </c>
      <c r="J8" s="244">
        <f>IF(J$4&lt;(ControlPanel!$D$59-1),VLOOKUP("Référence",$C$65:$AF$89,J$4-$G$4+5,FALSE),VLOOKUP($C$8,$C$65:$AF$89,J$4-$G$4+5,FALSE))</f>
        <v>0.21040099999999845</v>
      </c>
      <c r="K8" s="244">
        <f>IF(K$4&lt;(ControlPanel!$D$59-1),VLOOKUP("Référence",$C$65:$AF$89,K$4-$G$4+5,FALSE),VLOOKUP($C$8,$C$65:$AF$89,K$4-$G$4+5,FALSE))</f>
        <v>0.63719819999999994</v>
      </c>
      <c r="L8" s="244">
        <f>IF(L$4&lt;(ControlPanel!$D$59-1),VLOOKUP("Référence",$C$65:$AF$89,L$4-$G$4+5,FALSE),VLOOKUP($C$8,$C$65:$AF$89,L$4-$G$4+5,FALSE))</f>
        <v>1.2571299999999432E-2</v>
      </c>
      <c r="M8" s="244">
        <f>IF(M$4&lt;(ControlPanel!$D$59-1),VLOOKUP("Référence",$C$65:$AF$89,M$4-$G$4+5,FALSE),VLOOKUP($C$8,$C$65:$AF$89,M$4-$G$4+5,FALSE))</f>
        <v>0.15215899999999888</v>
      </c>
      <c r="N8" s="244">
        <f>IF(N$4&lt;(ControlPanel!$D$59-1),VLOOKUP("Référence",$C$65:$AF$89,N$4-$G$4+5,FALSE),VLOOKUP($C$8,$C$65:$AF$89,N$4-$G$4+5,FALSE))</f>
        <v>0.221</v>
      </c>
      <c r="O8" s="244">
        <f>IF(O$4&lt;(ControlPanel!$D$59-1),VLOOKUP("Référence",$C$65:$AF$89,O$4-$G$4+5,FALSE),VLOOKUP($C$8,$C$65:$AF$89,O$4-$G$4+5,FALSE))</f>
        <v>0.33500000000000002</v>
      </c>
      <c r="P8" s="244">
        <f>IF(P$4&lt;(ControlPanel!$D$59-1),VLOOKUP("Référence",$C$65:$AF$89,P$4-$G$4+5,FALSE),VLOOKUP($C$8,$C$65:$AF$89,P$4-$G$4+5,FALSE))</f>
        <v>0.19500000000000001</v>
      </c>
      <c r="Q8" s="244">
        <f>IF(Q$4&lt;(ControlPanel!$D$59-1),VLOOKUP("Référence",$C$65:$AF$89,Q$4-$G$4+5,FALSE),VLOOKUP($C$8,$C$65:$AF$89,Q$4-$G$4+5,FALSE))</f>
        <v>0.17599999999999999</v>
      </c>
      <c r="R8" s="244">
        <f>IF(R$4&lt;(ControlPanel!$D$59-1),VLOOKUP("Référence",$C$65:$AF$89,R$4-$G$4+5,FALSE),VLOOKUP($C$8,$C$65:$AF$89,R$4-$G$4+5,FALSE))</f>
        <v>0.124</v>
      </c>
      <c r="S8" s="244">
        <f>IF(S$4&lt;(ControlPanel!$D$59-1),VLOOKUP("Référence",$C$65:$AF$89,S$4-$G$4+5,FALSE),VLOOKUP($C$8,$C$65:$AF$89,S$4-$G$4+5,FALSE))</f>
        <v>3.5999999999999997E-2</v>
      </c>
      <c r="T8" s="244">
        <f>IF(T$4&lt;(ControlPanel!$D$59-1),VLOOKUP("Référence",$C$65:$AF$89,T$4-$G$4+5,FALSE),VLOOKUP($C$8,$C$65:$AF$89,T$4-$G$4+5,FALSE))</f>
        <v>0.04</v>
      </c>
      <c r="U8" s="244">
        <f>IF(U$4&lt;(ControlPanel!$D$59-1),VLOOKUP("Référence",$C$65:$AF$89,U$4-$G$4+5,FALSE),VLOOKUP($C$8,$C$65:$AF$89,U$4-$G$4+5,FALSE))</f>
        <v>4.2999999999999997E-2</v>
      </c>
      <c r="V8" s="244">
        <f>IF(V$4&lt;(ControlPanel!$D$59-1),VLOOKUP("Référence",$C$65:$AF$89,V$4-$G$4+5,FALSE),VLOOKUP($C$8,$C$65:$AF$89,V$4-$G$4+5,FALSE))</f>
        <v>4.4999999999999998E-2</v>
      </c>
      <c r="W8" s="244">
        <f>IF(W$4&lt;(ControlPanel!$D$59-1),VLOOKUP("Référence",$C$65:$AF$89,W$4-$G$4+5,FALSE),VLOOKUP($C$8,$C$65:$AF$89,W$4-$G$4+5,FALSE))</f>
        <v>0.2</v>
      </c>
      <c r="X8" s="244">
        <f>IF(X$4&lt;(ControlPanel!$D$59-1),VLOOKUP("Référence",$C$65:$AF$89,X$4-$G$4+5,FALSE),VLOOKUP($C$8,$C$65:$AF$89,X$4-$G$4+5,FALSE))</f>
        <v>0.2</v>
      </c>
      <c r="Y8" s="244">
        <f>IF(Y$4&lt;(ControlPanel!$D$59-1),VLOOKUP("Référence",$C$65:$AF$89,Y$4-$G$4+5,FALSE),VLOOKUP($C$8,$C$65:$AF$89,Y$4-$G$4+5,FALSE))</f>
        <v>0.2</v>
      </c>
      <c r="Z8" s="244">
        <f>IF(Z$4&lt;(ControlPanel!$D$59-1),VLOOKUP("Référence",$C$65:$AF$89,Z$4-$G$4+5,FALSE),VLOOKUP($C$8,$C$65:$AF$89,Z$4-$G$4+5,FALSE))</f>
        <v>0.2</v>
      </c>
      <c r="AA8" s="244">
        <f>IF(AA$4&lt;(ControlPanel!$D$59-1),VLOOKUP("Référence",$C$65:$AF$89,AA$4-$G$4+5,FALSE),VLOOKUP($C$8,$C$65:$AF$89,AA$4-$G$4+5,FALSE))</f>
        <v>0.2</v>
      </c>
      <c r="AB8" s="244">
        <f>IF(AB$4&lt;(ControlPanel!$D$59-1),VLOOKUP("Référence",$C$65:$AF$89,AB$4-$G$4+5,FALSE),VLOOKUP($C$8,$C$65:$AF$89,AB$4-$G$4+5,FALSE))</f>
        <v>0.2</v>
      </c>
      <c r="AC8" s="244">
        <f>IF(AC$4&lt;(ControlPanel!$D$59-1),VLOOKUP("Référence",$C$65:$AF$89,AC$4-$G$4+5,FALSE),VLOOKUP($C$8,$C$65:$AF$89,AC$4-$G$4+5,FALSE))</f>
        <v>0.2</v>
      </c>
      <c r="AD8" s="244">
        <f>IF(AD$4&lt;(ControlPanel!$D$59-1),VLOOKUP("Référence",$C$65:$AF$89,AD$4-$G$4+5,FALSE),VLOOKUP($C$8,$C$65:$AF$89,AD$4-$G$4+5,FALSE))</f>
        <v>0.2</v>
      </c>
      <c r="AE8" s="244">
        <f>IF(AE$4&lt;(ControlPanel!$D$59-1),VLOOKUP("Référence",$C$65:$AF$89,AE$4-$G$4+5,FALSE),VLOOKUP($C$8,$C$65:$AF$89,AE$4-$G$4+5,FALSE))</f>
        <v>0.2</v>
      </c>
      <c r="AF8" s="244">
        <f>IF(AF$4&lt;(ControlPanel!$D$59-1),VLOOKUP("Référence",$C$65:$AF$89,AF$4-$G$4+5,FALSE),VLOOKUP($C$8,$C$65:$AF$89,AF$4-$G$4+5,FALSE))</f>
        <v>0.2</v>
      </c>
    </row>
    <row r="9" spans="1:32" ht="13.8" thickBot="1">
      <c r="B9" s="165" t="s">
        <v>10</v>
      </c>
      <c r="C9" s="1248" t="str">
        <f>ControlPanel!E12</f>
        <v>Pas d'extension</v>
      </c>
      <c r="D9" s="50" t="str">
        <f>VLOOKUP($C$9,$C$91:$AF$115,2,FALSE)</f>
        <v>mh</v>
      </c>
      <c r="E9" s="1054" t="str">
        <f>VLOOKUP($C$9,$C$91:$AF$115,3,FALSE)</f>
        <v>0 GW/a</v>
      </c>
      <c r="F9" s="1048">
        <f>VLOOKUP($C$9,$C$91:$AF$115,4,FALSE)</f>
        <v>0</v>
      </c>
      <c r="G9" s="244">
        <f>IF(G$4&lt;(ControlPanel!$D$59-1),VLOOKUP("Référence",$C$91:$AF$115,G$4-$G$4+5,FALSE),VLOOKUP($C$9,$C$91:$AF$115,G$4-$G$4+5,FALSE))</f>
        <v>0</v>
      </c>
      <c r="H9" s="244">
        <f>IF(H$4&lt;(ControlPanel!$D$59-1),VLOOKUP("Référence",$C$91:$AF$115,H$4-$G$4+5,FALSE),VLOOKUP($C$9,$C$91:$AF$115,H$4-$G$4+5,FALSE))</f>
        <v>0</v>
      </c>
      <c r="I9" s="244">
        <f>IF(I$4&lt;(ControlPanel!$D$59-1),VLOOKUP("Référence",$C$91:$AF$115,I$4-$G$4+5,FALSE),VLOOKUP($C$9,$C$91:$AF$115,I$4-$G$4+5,FALSE))</f>
        <v>1.1799999999999998E-2</v>
      </c>
      <c r="J9" s="244">
        <f>IF(J$4&lt;(ControlPanel!$D$59-1),VLOOKUP("Référence",$C$91:$AF$115,J$4-$G$4+5,FALSE),VLOOKUP($C$9,$C$91:$AF$115,J$4-$G$4+5,FALSE))</f>
        <v>1.132E-2</v>
      </c>
      <c r="K9" s="244">
        <f>IF(K$4&lt;(ControlPanel!$D$59-1),VLOOKUP("Référence",$C$91:$AF$115,K$4-$G$4+5,FALSE),VLOOKUP($C$9,$C$91:$AF$115,K$4-$G$4+5,FALSE))</f>
        <v>3.7300000000000041E-3</v>
      </c>
      <c r="L9" s="244">
        <f>IF(L$4&lt;(ControlPanel!$D$59-1),VLOOKUP("Référence",$C$91:$AF$115,L$4-$G$4+5,FALSE),VLOOKUP($C$9,$C$91:$AF$115,L$4-$G$4+5,FALSE))</f>
        <v>0</v>
      </c>
      <c r="M9" s="244">
        <f>IF(M$4&lt;(ControlPanel!$D$59-1),VLOOKUP("Référence",$C$91:$AF$115,M$4-$G$4+5,FALSE),VLOOKUP($C$9,$C$91:$AF$115,M$4-$G$4+5,FALSE))</f>
        <v>4.9999999999999984E-3</v>
      </c>
      <c r="N9" s="244">
        <f>IF(N$4&lt;(ControlPanel!$D$59-1),VLOOKUP("Référence",$C$91:$AF$115,N$4-$G$4+5,FALSE),VLOOKUP($C$9,$C$91:$AF$115,N$4-$G$4+5,FALSE))</f>
        <v>2E-3</v>
      </c>
      <c r="O9" s="244">
        <f>IF(O$4&lt;(ControlPanel!$D$59-1),VLOOKUP("Référence",$C$91:$AF$115,O$4-$G$4+5,FALSE),VLOOKUP($C$9,$C$91:$AF$115,O$4-$G$4+5,FALSE))</f>
        <v>5.0000000000000001E-3</v>
      </c>
      <c r="P9" s="244">
        <f>IF(P$4&lt;(ControlPanel!$D$59-1),VLOOKUP("Référence",$C$91:$AF$115,P$4-$G$4+5,FALSE),VLOOKUP($C$9,$C$91:$AF$115,P$4-$G$4+5,FALSE))</f>
        <v>4.0000000000000001E-3</v>
      </c>
      <c r="Q9" s="244">
        <f>IF(Q$4&lt;(ControlPanel!$D$59-1),VLOOKUP("Référence",$C$91:$AF$115,Q$4-$G$4+5,FALSE),VLOOKUP($C$9,$C$91:$AF$115,Q$4-$G$4+5,FALSE))</f>
        <v>5.0000000000000001E-3</v>
      </c>
      <c r="R9" s="244">
        <f>IF(R$4&lt;(ControlPanel!$D$59-1),VLOOKUP("Référence",$C$91:$AF$115,R$4-$G$4+5,FALSE),VLOOKUP($C$9,$C$91:$AF$115,R$4-$G$4+5,FALSE))</f>
        <v>0</v>
      </c>
      <c r="S9" s="244">
        <f>IF(S$4&lt;(ControlPanel!$D$59-1),VLOOKUP("Référence",$C$91:$AF$115,S$4-$G$4+5,FALSE),VLOOKUP($C$9,$C$91:$AF$115,S$4-$G$4+5,FALSE))</f>
        <v>0</v>
      </c>
      <c r="T9" s="244">
        <f>IF(T$4&lt;(ControlPanel!$D$59-1),VLOOKUP("Référence",$C$91:$AF$115,T$4-$G$4+5,FALSE),VLOOKUP($C$9,$C$91:$AF$115,T$4-$G$4+5,FALSE))</f>
        <v>0</v>
      </c>
      <c r="U9" s="244">
        <f>IF(U$4&lt;(ControlPanel!$D$59-1),VLOOKUP("Référence",$C$91:$AF$115,U$4-$G$4+5,FALSE),VLOOKUP($C$9,$C$91:$AF$115,U$4-$G$4+5,FALSE))</f>
        <v>0</v>
      </c>
      <c r="V9" s="244">
        <f>IF(V$4&lt;(ControlPanel!$D$59-1),VLOOKUP("Référence",$C$91:$AF$115,V$4-$G$4+5,FALSE),VLOOKUP($C$9,$C$91:$AF$115,V$4-$G$4+5,FALSE))</f>
        <v>0</v>
      </c>
      <c r="W9" s="244">
        <f>IF(W$4&lt;(ControlPanel!$D$59-1),VLOOKUP("Référence",$C$91:$AF$115,W$4-$G$4+5,FALSE),VLOOKUP($C$9,$C$91:$AF$115,W$4-$G$4+5,FALSE))</f>
        <v>0</v>
      </c>
      <c r="X9" s="244">
        <f>IF(X$4&lt;(ControlPanel!$D$59-1),VLOOKUP("Référence",$C$91:$AF$115,X$4-$G$4+5,FALSE),VLOOKUP($C$9,$C$91:$AF$115,X$4-$G$4+5,FALSE))</f>
        <v>0</v>
      </c>
      <c r="Y9" s="244">
        <f>IF(Y$4&lt;(ControlPanel!$D$59-1),VLOOKUP("Référence",$C$91:$AF$115,Y$4-$G$4+5,FALSE),VLOOKUP($C$9,$C$91:$AF$115,Y$4-$G$4+5,FALSE))</f>
        <v>0</v>
      </c>
      <c r="Z9" s="244">
        <f>IF(Z$4&lt;(ControlPanel!$D$59-1),VLOOKUP("Référence",$C$91:$AF$115,Z$4-$G$4+5,FALSE),VLOOKUP($C$9,$C$91:$AF$115,Z$4-$G$4+5,FALSE))</f>
        <v>0</v>
      </c>
      <c r="AA9" s="244">
        <f>IF(AA$4&lt;(ControlPanel!$D$59-1),VLOOKUP("Référence",$C$91:$AF$115,AA$4-$G$4+5,FALSE),VLOOKUP($C$9,$C$91:$AF$115,AA$4-$G$4+5,FALSE))</f>
        <v>0</v>
      </c>
      <c r="AB9" s="244">
        <f>IF(AB$4&lt;(ControlPanel!$D$59-1),VLOOKUP("Référence",$C$91:$AF$115,AB$4-$G$4+5,FALSE),VLOOKUP($C$9,$C$91:$AF$115,AB$4-$G$4+5,FALSE))</f>
        <v>0</v>
      </c>
      <c r="AC9" s="244">
        <f>IF(AC$4&lt;(ControlPanel!$D$59-1),VLOOKUP("Référence",$C$91:$AF$115,AC$4-$G$4+5,FALSE),VLOOKUP($C$9,$C$91:$AF$115,AC$4-$G$4+5,FALSE))</f>
        <v>0</v>
      </c>
      <c r="AD9" s="244">
        <f>IF(AD$4&lt;(ControlPanel!$D$59-1),VLOOKUP("Référence",$C$91:$AF$115,AD$4-$G$4+5,FALSE),VLOOKUP($C$9,$C$91:$AF$115,AD$4-$G$4+5,FALSE))</f>
        <v>0</v>
      </c>
      <c r="AE9" s="244">
        <f>IF(AE$4&lt;(ControlPanel!$D$59-1),VLOOKUP("Référence",$C$91:$AF$115,AE$4-$G$4+5,FALSE),VLOOKUP($C$9,$C$91:$AF$115,AE$4-$G$4+5,FALSE))</f>
        <v>0</v>
      </c>
      <c r="AF9" s="244">
        <f>IF(AF$4&lt;(ControlPanel!$D$59-1),VLOOKUP("Référence",$C$91:$AF$115,AF$4-$G$4+5,FALSE),VLOOKUP($C$9,$C$91:$AF$115,AF$4-$G$4+5,FALSE))</f>
        <v>0</v>
      </c>
    </row>
    <row r="10" spans="1:32" ht="79.8" thickBot="1">
      <c r="B10" s="165" t="s">
        <v>339</v>
      </c>
      <c r="C10" s="1248" t="str">
        <f>ControlPanel!E8</f>
        <v>Référence</v>
      </c>
      <c r="D10" s="50" t="str">
        <f>VLOOKUP($C$10,$C$117:$AF$144,2,FALSE)</f>
        <v>fh</v>
      </c>
      <c r="E10" s="1054" t="str">
        <f>VLOOKUP($C$10,$C$117:$AF$144,3,FALSE)</f>
        <v>1,5 GW jusqu´à 2021, à partir de 2023 2,5 GW/a</v>
      </c>
      <c r="F10" s="1048" t="str">
        <f>VLOOKUP($C$10,$C$117:$AF$144,4,FALSE)</f>
        <v xml:space="preserve">Poursuite des chiffres d'expansion actuellement faibles jusqu'en 2021, puis augmentation à 2,5 GW en 2023; à partir de 2023 constante 2,5 GW </v>
      </c>
      <c r="G10" s="244">
        <f>IF(G$4&lt;(ControlPanel!$D$59-1),VLOOKUP("Référence",$C$117:$AF$144,G$4-$G$4+5,FALSE),VLOOKUP($C$10,$C$117:$AF$144,G$4-$G$4+5,FALSE))</f>
        <v>1.4349999999999989</v>
      </c>
      <c r="H10" s="244">
        <f>IF(H$4&lt;(ControlPanel!$D$59-1),VLOOKUP("Référence",$C$117:$AF$144,H$4-$G$4+5,FALSE),VLOOKUP($C$10,$C$117:$AF$144,H$4-$G$4+5,FALSE))</f>
        <v>1.8959999999999988</v>
      </c>
      <c r="I10" s="244">
        <f>IF(I$4&lt;(ControlPanel!$D$59-1),VLOOKUP("Référence",$C$117:$AF$144,I$4-$G$4+5,FALSE),VLOOKUP($C$10,$C$117:$AF$144,I$4-$G$4+5,FALSE))</f>
        <v>2.2069999999999994</v>
      </c>
      <c r="J10" s="244">
        <f>IF(J$4&lt;(ControlPanel!$D$59-1),VLOOKUP("Référence",$C$117:$AF$144,J$4-$G$4+5,FALSE),VLOOKUP($C$10,$C$117:$AF$144,J$4-$G$4+5,FALSE))</f>
        <v>2.9129999999999994</v>
      </c>
      <c r="K10" s="244">
        <f>IF(K$4&lt;(ControlPanel!$D$59-1),VLOOKUP("Référence",$C$117:$AF$144,K$4-$G$4+5,FALSE),VLOOKUP($C$10,$C$117:$AF$144,K$4-$G$4+5,FALSE))</f>
        <v>4.2570000000000032</v>
      </c>
      <c r="L10" s="244">
        <f>IF(L$4&lt;(ControlPanel!$D$59-1),VLOOKUP("Référence",$C$117:$AF$144,L$4-$G$4+5,FALSE),VLOOKUP($C$10,$C$117:$AF$144,L$4-$G$4+5,FALSE))</f>
        <v>3.536</v>
      </c>
      <c r="M10" s="244">
        <f>IF(M$4&lt;(ControlPanel!$D$59-1),VLOOKUP("Référence",$C$117:$AF$144,M$4-$G$4+5,FALSE),VLOOKUP($C$10,$C$117:$AF$144,M$4-$G$4+5,FALSE))</f>
        <v>4.625</v>
      </c>
      <c r="N10" s="244">
        <f>IF(N$4&lt;(ControlPanel!$D$59-1),VLOOKUP("Référence",$C$117:$AF$144,N$4-$G$4+5,FALSE),VLOOKUP($C$10,$C$117:$AF$144,N$4-$G$4+5,FALSE))</f>
        <v>5.2309999999999999</v>
      </c>
      <c r="O10" s="244">
        <f>IF(O$4&lt;(ControlPanel!$D$59-1),VLOOKUP("Référence",$C$117:$AF$144,O$4-$G$4+5,FALSE),VLOOKUP($C$10,$C$117:$AF$144,O$4-$G$4+5,FALSE))</f>
        <v>3.4460000000000002</v>
      </c>
      <c r="P10" s="244">
        <f>IF(P$4&lt;(ControlPanel!$D$59-1),VLOOKUP("Référence",$C$117:$AF$144,P$4-$G$4+5,FALSE),VLOOKUP($C$10,$C$117:$AF$144,P$4-$G$4+5,FALSE))</f>
        <v>1.3380000000000001</v>
      </c>
      <c r="Q10" s="244">
        <f>IF(Q$4&lt;(ControlPanel!$D$59-1),VLOOKUP("Référence",$C$117:$AF$144,Q$4-$G$4+5,FALSE),VLOOKUP($C$10,$C$117:$AF$144,Q$4-$G$4+5,FALSE))</f>
        <v>1.5</v>
      </c>
      <c r="R10" s="244">
        <f>IF(R$4&lt;(ControlPanel!$D$59-1),VLOOKUP("Référence",$C$117:$AF$144,R$4-$G$4+5,FALSE),VLOOKUP($C$10,$C$117:$AF$144,R$4-$G$4+5,FALSE))</f>
        <v>1.5</v>
      </c>
      <c r="S10" s="244">
        <f>IF(S$4&lt;(ControlPanel!$D$59-1),VLOOKUP("Référence",$C$117:$AF$144,S$4-$G$4+5,FALSE),VLOOKUP($C$10,$C$117:$AF$144,S$4-$G$4+5,FALSE))</f>
        <v>2</v>
      </c>
      <c r="T10" s="244">
        <f>IF(T$4&lt;(ControlPanel!$D$59-1),VLOOKUP("Référence",$C$117:$AF$144,T$4-$G$4+5,FALSE),VLOOKUP($C$10,$C$117:$AF$144,T$4-$G$4+5,FALSE))</f>
        <v>2.5</v>
      </c>
      <c r="U10" s="244">
        <f>IF(U$4&lt;(ControlPanel!$D$59-1),VLOOKUP("Référence",$C$117:$AF$144,U$4-$G$4+5,FALSE),VLOOKUP($C$10,$C$117:$AF$144,U$4-$G$4+5,FALSE))</f>
        <v>2.5</v>
      </c>
      <c r="V10" s="244">
        <f>IF(V$4&lt;(ControlPanel!$D$59-1),VLOOKUP("Référence",$C$117:$AF$144,V$4-$G$4+5,FALSE),VLOOKUP($C$10,$C$117:$AF$144,V$4-$G$4+5,FALSE))</f>
        <v>2.5</v>
      </c>
      <c r="W10" s="244">
        <f>IF(W$4&lt;(ControlPanel!$D$59-1),VLOOKUP("Référence",$C$117:$AF$144,W$4-$G$4+5,FALSE),VLOOKUP($C$10,$C$117:$AF$144,W$4-$G$4+5,FALSE))</f>
        <v>2.5</v>
      </c>
      <c r="X10" s="244">
        <f>IF(X$4&lt;(ControlPanel!$D$59-1),VLOOKUP("Référence",$C$117:$AF$144,X$4-$G$4+5,FALSE),VLOOKUP($C$10,$C$117:$AF$144,X$4-$G$4+5,FALSE))</f>
        <v>2.5</v>
      </c>
      <c r="Y10" s="244">
        <f>IF(Y$4&lt;(ControlPanel!$D$59-1),VLOOKUP("Référence",$C$117:$AF$144,Y$4-$G$4+5,FALSE),VLOOKUP($C$10,$C$117:$AF$144,Y$4-$G$4+5,FALSE))</f>
        <v>2.5</v>
      </c>
      <c r="Z10" s="244">
        <f>IF(Z$4&lt;(ControlPanel!$D$59-1),VLOOKUP("Référence",$C$117:$AF$144,Z$4-$G$4+5,FALSE),VLOOKUP($C$10,$C$117:$AF$144,Z$4-$G$4+5,FALSE))</f>
        <v>2.5</v>
      </c>
      <c r="AA10" s="244">
        <f>IF(AA$4&lt;(ControlPanel!$D$59-1),VLOOKUP("Référence",$C$117:$AF$144,AA$4-$G$4+5,FALSE),VLOOKUP($C$10,$C$117:$AF$144,AA$4-$G$4+5,FALSE))</f>
        <v>2.5</v>
      </c>
      <c r="AB10" s="244">
        <f>IF(AB$4&lt;(ControlPanel!$D$59-1),VLOOKUP("Référence",$C$117:$AF$144,AB$4-$G$4+5,FALSE),VLOOKUP($C$10,$C$117:$AF$144,AB$4-$G$4+5,FALSE))</f>
        <v>2.5</v>
      </c>
      <c r="AC10" s="244">
        <f>IF(AC$4&lt;(ControlPanel!$D$59-1),VLOOKUP("Référence",$C$117:$AF$144,AC$4-$G$4+5,FALSE),VLOOKUP($C$10,$C$117:$AF$144,AC$4-$G$4+5,FALSE))</f>
        <v>2.5</v>
      </c>
      <c r="AD10" s="244">
        <f>IF(AD$4&lt;(ControlPanel!$D$59-1),VLOOKUP("Référence",$C$117:$AF$144,AD$4-$G$4+5,FALSE),VLOOKUP($C$10,$C$117:$AF$144,AD$4-$G$4+5,FALSE))</f>
        <v>2.5</v>
      </c>
      <c r="AE10" s="244">
        <f>IF(AE$4&lt;(ControlPanel!$D$59-1),VLOOKUP("Référence",$C$117:$AF$144,AE$4-$G$4+5,FALSE),VLOOKUP($C$10,$C$117:$AF$144,AE$4-$G$4+5,FALSE))</f>
        <v>2.5</v>
      </c>
      <c r="AF10" s="244">
        <f>IF(AF$4&lt;(ControlPanel!$D$59-1),VLOOKUP("Référence",$C$117:$AF$144,AF$4-$G$4+5,FALSE),VLOOKUP($C$10,$C$117:$AF$144,AF$4-$G$4+5,FALSE))</f>
        <v>2.5</v>
      </c>
    </row>
    <row r="11" spans="1:32" ht="40.200000000000003" thickBot="1">
      <c r="B11" s="165" t="s">
        <v>340</v>
      </c>
      <c r="C11" s="1248" t="str">
        <f>ControlPanel!E9</f>
        <v>Référence</v>
      </c>
      <c r="D11" s="50" t="str">
        <f>VLOOKUP($C$11,$C$146:$AF$173,2,FALSE)</f>
        <v>fh</v>
      </c>
      <c r="E11" s="1054" t="str">
        <f>VLOOKUP($C$11,$C$146:$AF$173,3,FALSE)</f>
        <v>Tendance MFP, puis constante 1,6 GW</v>
      </c>
      <c r="F11" s="1048" t="str">
        <f>VLOOKUP($C$11,$C$146:$AF$173,4,FALSE)</f>
        <v>jusqu'au scénario de tendance 2025 MFP, à partir de la mise à jour 2026</v>
      </c>
      <c r="G11" s="244">
        <f>IF(G$4&lt;(ControlPanel!$D$59-1),VLOOKUP("Référence",$C$146:$AF$173,G$4-$G$4+5,FALSE),VLOOKUP($C$11,$C$146:$AF$173,G$4-$G$4+5,FALSE))</f>
        <v>4.4999999999999998E-2</v>
      </c>
      <c r="H11" s="244">
        <f>IF(H$4&lt;(ControlPanel!$D$59-1),VLOOKUP("Référence",$C$146:$AF$173,H$4-$G$4+5,FALSE),VLOOKUP($C$11,$C$146:$AF$173,H$4-$G$4+5,FALSE))</f>
        <v>0.108</v>
      </c>
      <c r="I11" s="244">
        <f>IF(I$4&lt;(ControlPanel!$D$59-1),VLOOKUP("Référence",$C$146:$AF$173,I$4-$G$4+5,FALSE),VLOOKUP($C$11,$C$146:$AF$173,I$4-$G$4+5,FALSE))</f>
        <v>9.2299999999999993E-2</v>
      </c>
      <c r="J11" s="244">
        <f>IF(J$4&lt;(ControlPanel!$D$59-1),VLOOKUP("Référence",$C$146:$AF$173,J$4-$G$4+5,FALSE),VLOOKUP($C$11,$C$146:$AF$173,J$4-$G$4+5,FALSE))</f>
        <v>0.24</v>
      </c>
      <c r="K11" s="244">
        <f>IF(K$4&lt;(ControlPanel!$D$59-1),VLOOKUP("Référence",$C$146:$AF$173,K$4-$G$4+5,FALSE),VLOOKUP($C$11,$C$146:$AF$173,K$4-$G$4+5,FALSE))</f>
        <v>0.47770000000000001</v>
      </c>
      <c r="L11" s="244">
        <f>IF(L$4&lt;(ControlPanel!$D$59-1),VLOOKUP("Référence",$C$146:$AF$173,L$4-$G$4+5,FALSE),VLOOKUP($C$11,$C$146:$AF$173,L$4-$G$4+5,FALSE))</f>
        <v>2.2849999999999997</v>
      </c>
      <c r="M11" s="244">
        <f>IF(M$4&lt;(ControlPanel!$D$59-1),VLOOKUP("Référence",$C$146:$AF$173,M$4-$G$4+5,FALSE),VLOOKUP($C$11,$C$146:$AF$173,M$4-$G$4+5,FALSE))</f>
        <v>0.81799999999999995</v>
      </c>
      <c r="N11" s="244">
        <f>IF(N$4&lt;(ControlPanel!$D$59-1),VLOOKUP("Référence",$C$146:$AF$173,N$4-$G$4+5,FALSE),VLOOKUP($C$11,$C$146:$AF$173,N$4-$G$4+5,FALSE))</f>
        <v>1.306</v>
      </c>
      <c r="O11" s="244">
        <f>IF(O$4&lt;(ControlPanel!$D$59-1),VLOOKUP("Référence",$C$146:$AF$173,O$4-$G$4+5,FALSE),VLOOKUP($C$11,$C$146:$AF$173,O$4-$G$4+5,FALSE))</f>
        <v>0.95</v>
      </c>
      <c r="P11" s="244">
        <f>IF(P$4&lt;(ControlPanel!$D$59-1),VLOOKUP("Référence",$C$146:$AF$173,P$4-$G$4+5,FALSE),VLOOKUP($C$11,$C$146:$AF$173,P$4-$G$4+5,FALSE))</f>
        <v>1.409</v>
      </c>
      <c r="Q11" s="244">
        <f>IF(Q$4&lt;(ControlPanel!$D$59-1),VLOOKUP("Référence",$C$146:$AF$173,Q$4-$G$4+5,FALSE),VLOOKUP($C$11,$C$146:$AF$173,Q$4-$G$4+5,FALSE))</f>
        <v>0</v>
      </c>
      <c r="R11" s="244">
        <f>IF(R$4&lt;(ControlPanel!$D$59-1),VLOOKUP("Référence",$C$146:$AF$173,R$4-$G$4+5,FALSE),VLOOKUP($C$11,$C$146:$AF$173,R$4-$G$4+5,FALSE))</f>
        <v>0</v>
      </c>
      <c r="S11" s="244">
        <f>IF(S$4&lt;(ControlPanel!$D$59-1),VLOOKUP("Référence",$C$146:$AF$173,S$4-$G$4+5,FALSE),VLOOKUP($C$11,$C$146:$AF$173,S$4-$G$4+5,FALSE))</f>
        <v>0.34200000000000003</v>
      </c>
      <c r="T11" s="244">
        <f>IF(T$4&lt;(ControlPanel!$D$59-1),VLOOKUP("Référence",$C$146:$AF$173,T$4-$G$4+5,FALSE),VLOOKUP($C$11,$C$146:$AF$173,T$4-$G$4+5,FALSE))</f>
        <v>0.97499999999999998</v>
      </c>
      <c r="U11" s="244">
        <f>IF(U$4&lt;(ControlPanel!$D$59-1),VLOOKUP("Référence",$C$146:$AF$173,U$4-$G$4+5,FALSE),VLOOKUP($C$11,$C$146:$AF$173,U$4-$G$4+5,FALSE))</f>
        <v>0.9</v>
      </c>
      <c r="V11" s="244">
        <f>IF(V$4&lt;(ControlPanel!$D$59-1),VLOOKUP("Référence",$C$146:$AF$173,V$4-$G$4+5,FALSE),VLOOKUP($C$11,$C$146:$AF$173,V$4-$G$4+5,FALSE))</f>
        <v>0.9</v>
      </c>
      <c r="W11" s="244">
        <f>IF(W$4&lt;(ControlPanel!$D$59-1),VLOOKUP("Référence",$C$146:$AF$173,W$4-$G$4+5,FALSE),VLOOKUP($C$11,$C$146:$AF$173,W$4-$G$4+5,FALSE))</f>
        <v>0.9</v>
      </c>
      <c r="X11" s="244">
        <f>IF(X$4&lt;(ControlPanel!$D$59-1),VLOOKUP("Référence",$C$146:$AF$173,X$4-$G$4+5,FALSE),VLOOKUP($C$11,$C$146:$AF$173,X$4-$G$4+5,FALSE))</f>
        <v>0.9</v>
      </c>
      <c r="Y11" s="244">
        <f>IF(Y$4&lt;(ControlPanel!$D$59-1),VLOOKUP("Référence",$C$146:$AF$173,Y$4-$G$4+5,FALSE),VLOOKUP($C$11,$C$146:$AF$173,Y$4-$G$4+5,FALSE))</f>
        <v>0.9</v>
      </c>
      <c r="Z11" s="244">
        <f>IF(Z$4&lt;(ControlPanel!$D$59-1),VLOOKUP("Référence",$C$146:$AF$173,Z$4-$G$4+5,FALSE),VLOOKUP($C$11,$C$146:$AF$173,Z$4-$G$4+5,FALSE))</f>
        <v>0.9</v>
      </c>
      <c r="AA11" s="244">
        <f>IF(AA$4&lt;(ControlPanel!$D$59-1),VLOOKUP("Référence",$C$146:$AF$173,AA$4-$G$4+5,FALSE),VLOOKUP($C$11,$C$146:$AF$173,AA$4-$G$4+5,FALSE))</f>
        <v>0.9</v>
      </c>
      <c r="AB11" s="244">
        <f>IF(AB$4&lt;(ControlPanel!$D$59-1),VLOOKUP("Référence",$C$146:$AF$173,AB$4-$G$4+5,FALSE),VLOOKUP($C$11,$C$146:$AF$173,AB$4-$G$4+5,FALSE))</f>
        <v>0.9</v>
      </c>
      <c r="AC11" s="244">
        <f>IF(AC$4&lt;(ControlPanel!$D$59-1),VLOOKUP("Référence",$C$146:$AF$173,AC$4-$G$4+5,FALSE),VLOOKUP($C$11,$C$146:$AF$173,AC$4-$G$4+5,FALSE))</f>
        <v>0.9</v>
      </c>
      <c r="AD11" s="244">
        <f>IF(AD$4&lt;(ControlPanel!$D$59-1),VLOOKUP("Référence",$C$146:$AF$173,AD$4-$G$4+5,FALSE),VLOOKUP($C$11,$C$146:$AF$173,AD$4-$G$4+5,FALSE))</f>
        <v>0.9</v>
      </c>
      <c r="AE11" s="244">
        <f>IF(AE$4&lt;(ControlPanel!$D$59-1),VLOOKUP("Référence",$C$146:$AF$173,AE$4-$G$4+5,FALSE),VLOOKUP($C$11,$C$146:$AF$173,AE$4-$G$4+5,FALSE))</f>
        <v>0.9</v>
      </c>
      <c r="AF11" s="244">
        <f>IF(AF$4&lt;(ControlPanel!$D$59-1),VLOOKUP("Référence",$C$146:$AF$173,AF$4-$G$4+5,FALSE),VLOOKUP($C$11,$C$146:$AF$173,AF$4-$G$4+5,FALSE))</f>
        <v>0.9</v>
      </c>
    </row>
    <row r="12" spans="1:32" ht="53.4" thickBot="1">
      <c r="B12" s="167" t="s">
        <v>530</v>
      </c>
      <c r="C12" s="1248" t="str">
        <f>ControlPanel!E10</f>
        <v>Référence</v>
      </c>
      <c r="D12" s="50" t="str">
        <f>VLOOKUP($C$12,$C$175:$AF$202,2,FALSE)</f>
        <v>fh</v>
      </c>
      <c r="E12" s="1054" t="str">
        <f>VLOOKUP($C$12,$C$175:$AF$202,3,FALSE)</f>
        <v>Tendence MFP</v>
      </c>
      <c r="F12" s="1048" t="str">
        <f>VLOOKUP($C$12,$C$175:$AF$202,4,FALSE)</f>
        <v>comme le scénario de tendance de la PMF jusqu'en 2025, ensuite comme les appels d'offres spéciaux; Couloir EEG</v>
      </c>
      <c r="G12" s="244">
        <f>IF(G$4&lt;(ControlPanel!$D$59-1),VLOOKUP("Référence",$C$175:$AF$202,G$4-$G$4+5,FALSE),VLOOKUP($C$12,$C$175:$AF$202,G$4-$G$4+5,FALSE))</f>
        <v>7.3779999999999983</v>
      </c>
      <c r="H12" s="244">
        <f>IF(H$4&lt;(ControlPanel!$D$59-1),VLOOKUP("Référence",$C$175:$AF$202,H$4-$G$4+5,FALSE),VLOOKUP($C$12,$C$175:$AF$202,H$4-$G$4+5,FALSE))</f>
        <v>7.4849999999999994</v>
      </c>
      <c r="I12" s="244">
        <f>IF(I$4&lt;(ControlPanel!$D$59-1),VLOOKUP("Référence",$C$175:$AF$202,I$4-$G$4+5,FALSE),VLOOKUP($C$12,$C$175:$AF$202,I$4-$G$4+5,FALSE))</f>
        <v>7.6040000000000028</v>
      </c>
      <c r="J12" s="244">
        <f>IF(J$4&lt;(ControlPanel!$D$59-1),VLOOKUP("Référence",$C$175:$AF$202,J$4-$G$4+5,FALSE),VLOOKUP($C$12,$C$175:$AF$202,J$4-$G$4+5,FALSE))</f>
        <v>3.304000000000002</v>
      </c>
      <c r="K12" s="244">
        <f>IF(K$4&lt;(ControlPanel!$D$59-1),VLOOKUP("Référence",$C$175:$AF$202,K$4-$G$4+5,FALSE),VLOOKUP($C$12,$C$175:$AF$202,K$4-$G$4+5,FALSE))</f>
        <v>0.7958877419999979</v>
      </c>
      <c r="L12" s="244">
        <f>IF(L$4&lt;(ControlPanel!$D$59-1),VLOOKUP("Référence",$C$175:$AF$202,L$4-$G$4+5,FALSE),VLOOKUP($C$12,$C$175:$AF$202,L$4-$G$4+5,FALSE))</f>
        <v>1.498</v>
      </c>
      <c r="M12" s="244">
        <f>IF(M$4&lt;(ControlPanel!$D$59-1),VLOOKUP("Référence",$C$175:$AF$202,M$4-$G$4+5,FALSE),VLOOKUP($C$12,$C$175:$AF$202,M$4-$G$4+5,FALSE))</f>
        <v>1.5249999999999999</v>
      </c>
      <c r="N12" s="244">
        <f>IF(N$4&lt;(ControlPanel!$D$59-1),VLOOKUP("Référence",$C$175:$AF$202,N$4-$G$4+5,FALSE),VLOOKUP($C$12,$C$175:$AF$202,N$4-$G$4+5,FALSE))</f>
        <v>2.2440000000000002</v>
      </c>
      <c r="O12" s="244">
        <f>IF(O$4&lt;(ControlPanel!$D$59-1),VLOOKUP("Référence",$C$175:$AF$202,O$4-$G$4+5,FALSE),VLOOKUP($C$12,$C$175:$AF$202,O$4-$G$4+5,FALSE))</f>
        <v>2.4039999999999999</v>
      </c>
      <c r="P12" s="244">
        <f>IF(P$4&lt;(ControlPanel!$D$59-1),VLOOKUP("Référence",$C$175:$AF$202,P$4-$G$4+5,FALSE),VLOOKUP($C$12,$C$175:$AF$202,P$4-$G$4+5,FALSE))</f>
        <v>2.6869999999999998</v>
      </c>
      <c r="Q12" s="244">
        <f>IF(Q$4&lt;(ControlPanel!$D$59-1),VLOOKUP("Référence",$C$175:$AF$202,Q$4-$G$4+5,FALSE),VLOOKUP($C$12,$C$175:$AF$202,Q$4-$G$4+5,FALSE))</f>
        <v>3.9910000000000001</v>
      </c>
      <c r="R12" s="244">
        <f>IF(R$4&lt;(ControlPanel!$D$59-1),VLOOKUP("Référence",$C$175:$AF$202,R$4-$G$4+5,FALSE),VLOOKUP($C$12,$C$175:$AF$202,R$4-$G$4+5,FALSE))</f>
        <v>5.4139999999999997</v>
      </c>
      <c r="S12" s="244">
        <f>IF(S$4&lt;(ControlPanel!$D$59-1),VLOOKUP("Référence",$C$175:$AF$202,S$4-$G$4+5,FALSE),VLOOKUP($C$12,$C$175:$AF$202,S$4-$G$4+5,FALSE))</f>
        <v>4.9379999999999997</v>
      </c>
      <c r="T12" s="244">
        <f>IF(T$4&lt;(ControlPanel!$D$59-1),VLOOKUP("Référence",$C$175:$AF$202,T$4-$G$4+5,FALSE),VLOOKUP($C$12,$C$175:$AF$202,T$4-$G$4+5,FALSE))</f>
        <v>3.1520000000000001</v>
      </c>
      <c r="U12" s="244">
        <f>IF(U$4&lt;(ControlPanel!$D$59-1),VLOOKUP("Référence",$C$175:$AF$202,U$4-$G$4+5,FALSE),VLOOKUP($C$12,$C$175:$AF$202,U$4-$G$4+5,FALSE))</f>
        <v>3.0219999999999998</v>
      </c>
      <c r="V12" s="244">
        <f>IF(V$4&lt;(ControlPanel!$D$59-1),VLOOKUP("Référence",$C$175:$AF$202,V$4-$G$4+5,FALSE),VLOOKUP($C$12,$C$175:$AF$202,V$4-$G$4+5,FALSE))</f>
        <v>3.129</v>
      </c>
      <c r="W12" s="244">
        <f>IF(W$4&lt;(ControlPanel!$D$59-1),VLOOKUP("Référence",$C$175:$AF$202,W$4-$G$4+5,FALSE),VLOOKUP($C$12,$C$175:$AF$202,W$4-$G$4+5,FALSE))</f>
        <v>2.5</v>
      </c>
      <c r="X12" s="244">
        <f>IF(X$4&lt;(ControlPanel!$D$59-1),VLOOKUP("Référence",$C$175:$AF$202,X$4-$G$4+5,FALSE),VLOOKUP($C$12,$C$175:$AF$202,X$4-$G$4+5,FALSE))</f>
        <v>2.5</v>
      </c>
      <c r="Y12" s="244">
        <f>IF(Y$4&lt;(ControlPanel!$D$59-1),VLOOKUP("Référence",$C$175:$AF$202,Y$4-$G$4+5,FALSE),VLOOKUP($C$12,$C$175:$AF$202,Y$4-$G$4+5,FALSE))</f>
        <v>2.5</v>
      </c>
      <c r="Z12" s="244">
        <f>IF(Z$4&lt;(ControlPanel!$D$59-1),VLOOKUP("Référence",$C$175:$AF$202,Z$4-$G$4+5,FALSE),VLOOKUP($C$12,$C$175:$AF$202,Z$4-$G$4+5,FALSE))</f>
        <v>2.5</v>
      </c>
      <c r="AA12" s="244">
        <f>IF(AA$4&lt;(ControlPanel!$D$59-1),VLOOKUP("Référence",$C$175:$AF$202,AA$4-$G$4+5,FALSE),VLOOKUP($C$12,$C$175:$AF$202,AA$4-$G$4+5,FALSE))</f>
        <v>2.5</v>
      </c>
      <c r="AB12" s="244">
        <f>IF(AB$4&lt;(ControlPanel!$D$59-1),VLOOKUP("Référence",$C$175:$AF$202,AB$4-$G$4+5,FALSE),VLOOKUP($C$12,$C$175:$AF$202,AB$4-$G$4+5,FALSE))</f>
        <v>2.5</v>
      </c>
      <c r="AC12" s="244">
        <f>IF(AC$4&lt;(ControlPanel!$D$59-1),VLOOKUP("Référence",$C$175:$AF$202,AC$4-$G$4+5,FALSE),VLOOKUP($C$12,$C$175:$AF$202,AC$4-$G$4+5,FALSE))</f>
        <v>2.5</v>
      </c>
      <c r="AD12" s="244">
        <f>IF(AD$4&lt;(ControlPanel!$D$59-1),VLOOKUP("Référence",$C$175:$AF$202,AD$4-$G$4+5,FALSE),VLOOKUP($C$12,$C$175:$AF$202,AD$4-$G$4+5,FALSE))</f>
        <v>2.5</v>
      </c>
      <c r="AE12" s="244">
        <f>IF(AE$4&lt;(ControlPanel!$D$59-1),VLOOKUP("Référence",$C$175:$AF$202,AE$4-$G$4+5,FALSE),VLOOKUP($C$12,$C$175:$AF$202,AE$4-$G$4+5,FALSE))</f>
        <v>2.5</v>
      </c>
      <c r="AF12" s="244">
        <f>IF(AF$4&lt;(ControlPanel!$D$59-1),VLOOKUP("Référence",$C$175:$AF$202,AF$4-$G$4+5,FALSE),VLOOKUP($C$12,$C$175:$AF$202,AF$4-$G$4+5,FALSE))</f>
        <v>2.5</v>
      </c>
    </row>
    <row r="13" spans="1:32" ht="39.6">
      <c r="B13" s="165" t="s">
        <v>348</v>
      </c>
      <c r="C13" s="1249" t="s">
        <v>409</v>
      </c>
      <c r="D13" s="51" t="s">
        <v>300</v>
      </c>
      <c r="E13" s="1052" t="s">
        <v>271</v>
      </c>
      <c r="F13" s="1046" t="s">
        <v>454</v>
      </c>
      <c r="G13" s="241">
        <v>0.11411000000000038</v>
      </c>
      <c r="H13" s="241">
        <v>9.2075899999999766E-2</v>
      </c>
      <c r="I13" s="241">
        <v>5.082349999999991E-2</v>
      </c>
      <c r="J13" s="241">
        <v>7.4043600000000209E-2</v>
      </c>
      <c r="K13" s="241">
        <v>0</v>
      </c>
      <c r="L13" s="241">
        <v>0.2908247849999997</v>
      </c>
      <c r="M13" s="241">
        <v>2.1633774999999821E-2</v>
      </c>
      <c r="N13" s="241">
        <v>5.4000000000000003E-3</v>
      </c>
      <c r="O13" s="241">
        <v>1.4999999999999999E-2</v>
      </c>
      <c r="P13" s="241">
        <v>1.7000000000000001E-2</v>
      </c>
      <c r="Q13" s="241">
        <v>1.2999999999999999E-2</v>
      </c>
      <c r="R13" s="241">
        <v>1.4E-2</v>
      </c>
      <c r="S13" s="241">
        <v>1.4E-2</v>
      </c>
      <c r="T13" s="241">
        <v>1.4E-2</v>
      </c>
      <c r="U13" s="241">
        <v>1.4E-2</v>
      </c>
      <c r="V13" s="241">
        <v>1.4E-2</v>
      </c>
      <c r="W13" s="241">
        <f>V13</f>
        <v>1.4E-2</v>
      </c>
      <c r="X13" s="241">
        <f t="shared" ref="X13:AF13" si="0">W13</f>
        <v>1.4E-2</v>
      </c>
      <c r="Y13" s="241">
        <f t="shared" si="0"/>
        <v>1.4E-2</v>
      </c>
      <c r="Z13" s="241">
        <f t="shared" si="0"/>
        <v>1.4E-2</v>
      </c>
      <c r="AA13" s="241">
        <f t="shared" si="0"/>
        <v>1.4E-2</v>
      </c>
      <c r="AB13" s="241">
        <f t="shared" si="0"/>
        <v>1.4E-2</v>
      </c>
      <c r="AC13" s="241">
        <f t="shared" si="0"/>
        <v>1.4E-2</v>
      </c>
      <c r="AD13" s="241">
        <f t="shared" si="0"/>
        <v>1.4E-2</v>
      </c>
      <c r="AE13" s="241">
        <f t="shared" si="0"/>
        <v>1.4E-2</v>
      </c>
      <c r="AF13" s="241">
        <f t="shared" si="0"/>
        <v>1.4E-2</v>
      </c>
    </row>
    <row r="14" spans="1:32" s="462" customFormat="1">
      <c r="A14" s="9"/>
      <c r="B14" s="63"/>
      <c r="C14" s="81"/>
      <c r="D14" s="53"/>
      <c r="E14" s="1053"/>
      <c r="F14" s="1047"/>
      <c r="G14" s="242"/>
      <c r="H14" s="242"/>
      <c r="I14" s="242"/>
      <c r="J14" s="242"/>
      <c r="K14" s="242"/>
      <c r="L14" s="242"/>
      <c r="M14" s="242"/>
      <c r="N14" s="242"/>
      <c r="O14" s="242"/>
      <c r="P14" s="242"/>
      <c r="Q14" s="242"/>
      <c r="R14" s="242"/>
      <c r="S14" s="242"/>
      <c r="T14" s="242"/>
      <c r="U14" s="242"/>
      <c r="V14" s="242"/>
      <c r="W14" s="242"/>
      <c r="X14" s="242"/>
      <c r="Y14" s="242"/>
      <c r="Z14" s="242"/>
      <c r="AA14" s="242"/>
      <c r="AB14" s="242"/>
      <c r="AC14" s="242"/>
      <c r="AD14" s="242"/>
      <c r="AE14" s="242"/>
      <c r="AF14" s="242"/>
    </row>
    <row r="15" spans="1:32" s="462" customFormat="1">
      <c r="A15" s="9"/>
      <c r="B15" s="63"/>
      <c r="C15" s="81" t="s">
        <v>410</v>
      </c>
      <c r="D15" s="53" t="s">
        <v>48</v>
      </c>
      <c r="E15" s="1053" t="s">
        <v>178</v>
      </c>
      <c r="F15" s="1047"/>
      <c r="G15" s="242"/>
      <c r="H15" s="242"/>
      <c r="I15" s="242"/>
      <c r="J15" s="242"/>
      <c r="K15" s="242"/>
      <c r="L15" s="242"/>
      <c r="M15" s="242"/>
      <c r="N15" s="242"/>
      <c r="O15" s="242"/>
      <c r="P15" s="242"/>
      <c r="Q15" s="242">
        <v>0</v>
      </c>
      <c r="R15" s="242">
        <v>0</v>
      </c>
      <c r="S15" s="242">
        <v>0</v>
      </c>
      <c r="T15" s="242">
        <v>0</v>
      </c>
      <c r="U15" s="242">
        <v>0</v>
      </c>
      <c r="V15" s="242">
        <v>0</v>
      </c>
      <c r="W15" s="242">
        <v>0</v>
      </c>
      <c r="X15" s="242">
        <v>0</v>
      </c>
      <c r="Y15" s="242">
        <v>0</v>
      </c>
      <c r="Z15" s="242">
        <v>0</v>
      </c>
      <c r="AA15" s="242">
        <v>0</v>
      </c>
      <c r="AB15" s="242">
        <v>0</v>
      </c>
      <c r="AC15" s="242">
        <v>0</v>
      </c>
      <c r="AD15" s="242">
        <v>0</v>
      </c>
      <c r="AE15" s="242">
        <v>0</v>
      </c>
      <c r="AF15" s="242">
        <v>0</v>
      </c>
    </row>
    <row r="16" spans="1:32" s="462" customFormat="1">
      <c r="A16" s="9"/>
      <c r="B16" s="63"/>
      <c r="C16" s="81"/>
      <c r="D16" s="53"/>
      <c r="E16" s="1053"/>
      <c r="F16" s="1047"/>
      <c r="G16" s="242"/>
      <c r="H16" s="242"/>
      <c r="I16" s="242"/>
      <c r="J16" s="242"/>
      <c r="K16" s="242"/>
      <c r="L16" s="242"/>
      <c r="M16" s="242"/>
      <c r="N16" s="242"/>
      <c r="O16" s="242"/>
      <c r="P16" s="242"/>
      <c r="Q16" s="242"/>
      <c r="R16" s="242"/>
      <c r="S16" s="242"/>
      <c r="T16" s="242"/>
      <c r="U16" s="242"/>
      <c r="V16" s="242"/>
      <c r="W16" s="242"/>
      <c r="X16" s="242"/>
      <c r="Y16" s="242"/>
      <c r="Z16" s="242"/>
      <c r="AA16" s="242"/>
      <c r="AB16" s="242"/>
      <c r="AC16" s="242"/>
      <c r="AD16" s="242"/>
      <c r="AE16" s="242"/>
      <c r="AF16" s="242"/>
    </row>
    <row r="17" spans="1:32" s="462" customFormat="1">
      <c r="A17" s="9"/>
      <c r="B17" s="63"/>
      <c r="C17" s="81"/>
      <c r="D17" s="53"/>
      <c r="E17" s="1053"/>
      <c r="F17" s="1047"/>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row>
    <row r="18" spans="1:32" s="462" customFormat="1">
      <c r="A18" s="9"/>
      <c r="B18" s="63"/>
      <c r="C18" s="81"/>
      <c r="D18" s="53"/>
      <c r="E18" s="1053"/>
      <c r="F18" s="1047"/>
      <c r="G18" s="242"/>
      <c r="H18" s="242"/>
      <c r="I18" s="242"/>
      <c r="J18" s="242"/>
      <c r="K18" s="242"/>
      <c r="L18" s="242"/>
      <c r="M18" s="242"/>
      <c r="N18" s="242"/>
      <c r="O18" s="242"/>
      <c r="P18" s="242"/>
      <c r="Q18" s="242"/>
      <c r="R18" s="242"/>
      <c r="S18" s="242"/>
      <c r="T18" s="242"/>
      <c r="U18" s="242"/>
      <c r="V18" s="242"/>
      <c r="W18" s="242"/>
      <c r="X18" s="242"/>
      <c r="Y18" s="242"/>
      <c r="Z18" s="242"/>
      <c r="AA18" s="242"/>
      <c r="AB18" s="242"/>
      <c r="AC18" s="242"/>
      <c r="AD18" s="242"/>
      <c r="AE18" s="242"/>
      <c r="AF18" s="242"/>
    </row>
    <row r="19" spans="1:32" ht="39.6">
      <c r="B19" s="63"/>
      <c r="C19" s="63" t="s">
        <v>411</v>
      </c>
      <c r="D19" s="322" t="s">
        <v>300</v>
      </c>
      <c r="E19" s="487" t="s">
        <v>411</v>
      </c>
      <c r="F19" s="1049" t="s">
        <v>455</v>
      </c>
      <c r="G19" s="242"/>
      <c r="H19" s="242"/>
      <c r="I19" s="242"/>
      <c r="J19" s="242"/>
      <c r="K19" s="242"/>
      <c r="L19" s="242"/>
      <c r="M19" s="242"/>
      <c r="N19" s="242"/>
      <c r="O19" s="242"/>
      <c r="P19" s="242"/>
      <c r="Q19" s="242">
        <v>1.9E-2</v>
      </c>
      <c r="R19" s="242">
        <v>2.1999999999999999E-2</v>
      </c>
      <c r="S19" s="242">
        <v>2.1999999999999999E-2</v>
      </c>
      <c r="T19" s="242">
        <v>2.1999999999999999E-2</v>
      </c>
      <c r="U19" s="242">
        <v>2.1999999999999999E-2</v>
      </c>
      <c r="V19" s="242">
        <v>2.1999999999999999E-2</v>
      </c>
      <c r="W19" s="242">
        <f>V19</f>
        <v>2.1999999999999999E-2</v>
      </c>
      <c r="X19" s="242">
        <f t="shared" ref="X19:AF19" si="1">W19</f>
        <v>2.1999999999999999E-2</v>
      </c>
      <c r="Y19" s="242">
        <f t="shared" si="1"/>
        <v>2.1999999999999999E-2</v>
      </c>
      <c r="Z19" s="242">
        <f t="shared" si="1"/>
        <v>2.1999999999999999E-2</v>
      </c>
      <c r="AA19" s="242">
        <f t="shared" si="1"/>
        <v>2.1999999999999999E-2</v>
      </c>
      <c r="AB19" s="242">
        <f t="shared" si="1"/>
        <v>2.1999999999999999E-2</v>
      </c>
      <c r="AC19" s="242">
        <f t="shared" si="1"/>
        <v>2.1999999999999999E-2</v>
      </c>
      <c r="AD19" s="242">
        <f t="shared" si="1"/>
        <v>2.1999999999999999E-2</v>
      </c>
      <c r="AE19" s="242">
        <f t="shared" si="1"/>
        <v>2.1999999999999999E-2</v>
      </c>
      <c r="AF19" s="242">
        <f t="shared" si="1"/>
        <v>2.1999999999999999E-2</v>
      </c>
    </row>
    <row r="20" spans="1:32" ht="39.6">
      <c r="B20" s="63"/>
      <c r="C20" s="63" t="s">
        <v>412</v>
      </c>
      <c r="D20" s="322" t="s">
        <v>300</v>
      </c>
      <c r="E20" s="487" t="s">
        <v>412</v>
      </c>
      <c r="F20" s="1049" t="s">
        <v>456</v>
      </c>
      <c r="G20" s="242"/>
      <c r="H20" s="242"/>
      <c r="I20" s="242"/>
      <c r="J20" s="242"/>
      <c r="K20" s="242"/>
      <c r="L20" s="242"/>
      <c r="M20" s="242"/>
      <c r="N20" s="242"/>
      <c r="O20" s="242"/>
      <c r="P20" s="242"/>
      <c r="Q20" s="242">
        <v>1.2E-2</v>
      </c>
      <c r="R20" s="242">
        <v>6.0000000000000001E-3</v>
      </c>
      <c r="S20" s="242">
        <v>6.0000000000000001E-3</v>
      </c>
      <c r="T20" s="242">
        <v>6.0000000000000001E-3</v>
      </c>
      <c r="U20" s="242">
        <v>6.0000000000000001E-3</v>
      </c>
      <c r="V20" s="242">
        <v>6.0000000000000001E-3</v>
      </c>
      <c r="W20" s="242">
        <f>V20</f>
        <v>6.0000000000000001E-3</v>
      </c>
      <c r="X20" s="242">
        <f t="shared" ref="X20:AF20" si="2">W20</f>
        <v>6.0000000000000001E-3</v>
      </c>
      <c r="Y20" s="242">
        <f t="shared" si="2"/>
        <v>6.0000000000000001E-3</v>
      </c>
      <c r="Z20" s="242">
        <f t="shared" si="2"/>
        <v>6.0000000000000001E-3</v>
      </c>
      <c r="AA20" s="242">
        <f t="shared" si="2"/>
        <v>6.0000000000000001E-3</v>
      </c>
      <c r="AB20" s="242">
        <f t="shared" si="2"/>
        <v>6.0000000000000001E-3</v>
      </c>
      <c r="AC20" s="242">
        <f t="shared" si="2"/>
        <v>6.0000000000000001E-3</v>
      </c>
      <c r="AD20" s="242">
        <f t="shared" si="2"/>
        <v>6.0000000000000001E-3</v>
      </c>
      <c r="AE20" s="242">
        <f t="shared" si="2"/>
        <v>6.0000000000000001E-3</v>
      </c>
      <c r="AF20" s="242">
        <f t="shared" si="2"/>
        <v>6.0000000000000001E-3</v>
      </c>
    </row>
    <row r="21" spans="1:32">
      <c r="B21" s="463"/>
      <c r="C21" s="463"/>
      <c r="D21" s="162"/>
      <c r="E21" s="1185"/>
      <c r="F21" s="1186"/>
      <c r="G21" s="243"/>
      <c r="H21" s="243"/>
      <c r="I21" s="243"/>
      <c r="J21" s="243"/>
      <c r="K21" s="243"/>
      <c r="L21" s="243"/>
      <c r="M21" s="243"/>
      <c r="N21" s="243"/>
      <c r="O21" s="243"/>
      <c r="P21" s="243"/>
      <c r="Q21" s="243"/>
      <c r="R21" s="243"/>
      <c r="S21" s="243"/>
      <c r="T21" s="243"/>
      <c r="U21" s="243"/>
      <c r="V21" s="243"/>
      <c r="W21" s="243"/>
      <c r="X21" s="243"/>
      <c r="Y21" s="243"/>
      <c r="Z21" s="243"/>
      <c r="AA21" s="243"/>
      <c r="AB21" s="243"/>
      <c r="AC21" s="243"/>
      <c r="AD21" s="243"/>
      <c r="AE21" s="243"/>
      <c r="AF21" s="243"/>
    </row>
    <row r="22" spans="1:32" s="462" customFormat="1">
      <c r="B22" s="463"/>
      <c r="C22" s="1250"/>
      <c r="D22" s="160"/>
      <c r="E22" s="1055"/>
      <c r="F22" s="1030"/>
      <c r="G22" s="243"/>
      <c r="H22" s="243"/>
      <c r="I22" s="243"/>
      <c r="J22" s="243"/>
      <c r="K22" s="243"/>
      <c r="L22" s="243"/>
      <c r="M22" s="243"/>
      <c r="N22" s="243"/>
      <c r="O22" s="243"/>
      <c r="P22" s="243"/>
      <c r="Q22" s="243"/>
      <c r="R22" s="243"/>
      <c r="S22" s="243"/>
      <c r="T22" s="243"/>
      <c r="U22" s="243"/>
      <c r="V22" s="243"/>
      <c r="W22" s="243"/>
      <c r="X22" s="243"/>
      <c r="Y22" s="243"/>
      <c r="Z22" s="243"/>
      <c r="AA22" s="243"/>
      <c r="AB22" s="243"/>
      <c r="AC22" s="243"/>
      <c r="AD22" s="243"/>
      <c r="AE22" s="243"/>
      <c r="AF22" s="243"/>
    </row>
    <row r="23" spans="1:32" s="462" customFormat="1">
      <c r="B23" s="463"/>
      <c r="C23" s="1250"/>
      <c r="D23" s="160"/>
      <c r="E23" s="1055"/>
      <c r="F23" s="1030"/>
      <c r="G23" s="243"/>
      <c r="H23" s="243"/>
      <c r="I23" s="243"/>
      <c r="J23" s="243"/>
      <c r="K23" s="243"/>
      <c r="L23" s="243"/>
      <c r="M23" s="243"/>
      <c r="N23" s="243"/>
      <c r="O23" s="243"/>
      <c r="P23" s="243"/>
      <c r="Q23" s="243"/>
      <c r="R23" s="243"/>
      <c r="S23" s="243"/>
      <c r="T23" s="243"/>
      <c r="U23" s="243"/>
      <c r="V23" s="243"/>
      <c r="W23" s="243"/>
      <c r="X23" s="243"/>
      <c r="Y23" s="243"/>
      <c r="Z23" s="243"/>
      <c r="AA23" s="243"/>
      <c r="AB23" s="243"/>
      <c r="AC23" s="243"/>
      <c r="AD23" s="243"/>
      <c r="AE23" s="243"/>
      <c r="AF23" s="243"/>
    </row>
    <row r="24" spans="1:32" s="462" customFormat="1">
      <c r="B24" s="463"/>
      <c r="C24" s="1250"/>
      <c r="D24" s="160"/>
      <c r="E24" s="1055"/>
      <c r="F24" s="1030"/>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row>
    <row r="25" spans="1:32" s="462" customFormat="1">
      <c r="B25" s="463"/>
      <c r="C25" s="1250"/>
      <c r="D25" s="160"/>
      <c r="E25" s="1055"/>
      <c r="F25" s="1030"/>
      <c r="G25" s="243"/>
      <c r="H25" s="243"/>
      <c r="I25" s="243"/>
      <c r="J25" s="243"/>
      <c r="K25" s="243"/>
      <c r="L25" s="243"/>
      <c r="M25" s="243"/>
      <c r="N25" s="243"/>
      <c r="O25" s="243"/>
      <c r="P25" s="243"/>
      <c r="Q25" s="243"/>
      <c r="R25" s="243"/>
      <c r="S25" s="243"/>
      <c r="T25" s="243"/>
      <c r="U25" s="243"/>
      <c r="V25" s="243"/>
      <c r="W25" s="243"/>
      <c r="X25" s="243"/>
      <c r="Y25" s="243"/>
      <c r="Z25" s="243"/>
      <c r="AA25" s="243"/>
      <c r="AB25" s="243"/>
      <c r="AC25" s="243"/>
      <c r="AD25" s="243"/>
      <c r="AE25" s="243"/>
      <c r="AF25" s="243"/>
    </row>
    <row r="26" spans="1:32" s="462" customFormat="1">
      <c r="B26" s="463"/>
      <c r="C26" s="1250"/>
      <c r="D26" s="160"/>
      <c r="E26" s="1055"/>
      <c r="F26" s="1030"/>
      <c r="G26" s="243"/>
      <c r="H26" s="243"/>
      <c r="I26" s="243"/>
      <c r="J26" s="243"/>
      <c r="K26" s="243"/>
      <c r="L26" s="243"/>
      <c r="M26" s="243"/>
      <c r="N26" s="243"/>
      <c r="O26" s="243"/>
      <c r="P26" s="243"/>
      <c r="Q26" s="243"/>
      <c r="R26" s="243"/>
      <c r="S26" s="243"/>
      <c r="T26" s="243"/>
      <c r="U26" s="243"/>
      <c r="V26" s="243"/>
      <c r="W26" s="243"/>
      <c r="X26" s="243"/>
      <c r="Y26" s="243"/>
      <c r="Z26" s="243"/>
      <c r="AA26" s="243"/>
      <c r="AB26" s="243"/>
      <c r="AC26" s="243"/>
      <c r="AD26" s="243"/>
      <c r="AE26" s="243"/>
      <c r="AF26" s="243"/>
    </row>
    <row r="27" spans="1:32" s="462" customFormat="1">
      <c r="B27" s="463"/>
      <c r="C27" s="1250"/>
      <c r="D27" s="160"/>
      <c r="E27" s="1055"/>
      <c r="F27" s="1030"/>
      <c r="G27" s="243"/>
      <c r="H27" s="243"/>
      <c r="I27" s="243"/>
      <c r="J27" s="243"/>
      <c r="K27" s="243"/>
      <c r="L27" s="243"/>
      <c r="M27" s="243"/>
      <c r="N27" s="243"/>
      <c r="O27" s="243"/>
      <c r="P27" s="243"/>
      <c r="Q27" s="243"/>
      <c r="R27" s="243"/>
      <c r="S27" s="243"/>
      <c r="T27" s="243"/>
      <c r="U27" s="243"/>
      <c r="V27" s="243"/>
      <c r="W27" s="243"/>
      <c r="X27" s="243"/>
      <c r="Y27" s="243"/>
      <c r="Z27" s="243"/>
      <c r="AA27" s="243"/>
      <c r="AB27" s="243"/>
      <c r="AC27" s="243"/>
      <c r="AD27" s="243"/>
      <c r="AE27" s="243"/>
      <c r="AF27" s="243"/>
    </row>
    <row r="28" spans="1:32" s="462" customFormat="1">
      <c r="B28" s="463"/>
      <c r="C28" s="1250"/>
      <c r="D28" s="160"/>
      <c r="E28" s="1055"/>
      <c r="F28" s="1030"/>
      <c r="G28" s="243"/>
      <c r="H28" s="243"/>
      <c r="I28" s="243"/>
      <c r="J28" s="243"/>
      <c r="K28" s="243"/>
      <c r="L28" s="243"/>
      <c r="M28" s="243"/>
      <c r="N28" s="243"/>
      <c r="O28" s="243"/>
      <c r="P28" s="243"/>
      <c r="Q28" s="243"/>
      <c r="R28" s="243"/>
      <c r="S28" s="243"/>
      <c r="T28" s="243"/>
      <c r="U28" s="243"/>
      <c r="V28" s="243"/>
      <c r="W28" s="243"/>
      <c r="X28" s="243"/>
      <c r="Y28" s="243"/>
      <c r="Z28" s="243"/>
      <c r="AA28" s="243"/>
      <c r="AB28" s="243"/>
      <c r="AC28" s="243"/>
      <c r="AD28" s="243"/>
      <c r="AE28" s="243"/>
      <c r="AF28" s="243"/>
    </row>
    <row r="29" spans="1:32" s="462" customFormat="1">
      <c r="B29" s="463"/>
      <c r="C29" s="1250"/>
      <c r="D29" s="160"/>
      <c r="E29" s="1055"/>
      <c r="F29" s="1030"/>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row>
    <row r="30" spans="1:32" s="462" customFormat="1">
      <c r="B30" s="463"/>
      <c r="C30" s="1250"/>
      <c r="D30" s="160"/>
      <c r="E30" s="1055"/>
      <c r="F30" s="1030"/>
      <c r="G30" s="243"/>
      <c r="H30" s="243"/>
      <c r="I30" s="243"/>
      <c r="J30" s="243"/>
      <c r="K30" s="243"/>
      <c r="L30" s="243"/>
      <c r="M30" s="243"/>
      <c r="N30" s="243"/>
      <c r="O30" s="243"/>
      <c r="P30" s="243"/>
      <c r="Q30" s="243"/>
      <c r="R30" s="243"/>
      <c r="S30" s="243"/>
      <c r="T30" s="243"/>
      <c r="U30" s="243"/>
      <c r="V30" s="243"/>
      <c r="W30" s="243"/>
      <c r="X30" s="243"/>
      <c r="Y30" s="243"/>
      <c r="Z30" s="243"/>
      <c r="AA30" s="243"/>
      <c r="AB30" s="243"/>
      <c r="AC30" s="243"/>
      <c r="AD30" s="243"/>
      <c r="AE30" s="243"/>
      <c r="AF30" s="243"/>
    </row>
    <row r="31" spans="1:32" s="462" customFormat="1">
      <c r="B31" s="463"/>
      <c r="C31" s="1250"/>
      <c r="D31" s="160"/>
      <c r="E31" s="1055"/>
      <c r="F31" s="1030"/>
      <c r="G31" s="243"/>
      <c r="H31" s="243"/>
      <c r="I31" s="243"/>
      <c r="J31" s="243"/>
      <c r="K31" s="243"/>
      <c r="L31" s="243"/>
      <c r="M31" s="243"/>
      <c r="N31" s="243"/>
      <c r="O31" s="243"/>
      <c r="P31" s="243"/>
      <c r="Q31" s="243"/>
      <c r="R31" s="243"/>
      <c r="S31" s="243"/>
      <c r="T31" s="243"/>
      <c r="U31" s="243"/>
      <c r="V31" s="243"/>
      <c r="W31" s="243"/>
      <c r="X31" s="243"/>
      <c r="Y31" s="243"/>
      <c r="Z31" s="243"/>
      <c r="AA31" s="243"/>
      <c r="AB31" s="243"/>
      <c r="AC31" s="243"/>
      <c r="AD31" s="243"/>
      <c r="AE31" s="243"/>
      <c r="AF31" s="243"/>
    </row>
    <row r="32" spans="1:32" s="462" customFormat="1">
      <c r="B32" s="463"/>
      <c r="C32" s="1250"/>
      <c r="D32" s="160"/>
      <c r="E32" s="1055"/>
      <c r="F32" s="1030"/>
      <c r="G32" s="243"/>
      <c r="H32" s="243"/>
      <c r="I32" s="243"/>
      <c r="J32" s="243"/>
      <c r="K32" s="243"/>
      <c r="L32" s="243"/>
      <c r="M32" s="243"/>
      <c r="N32" s="243"/>
      <c r="O32" s="243"/>
      <c r="P32" s="243"/>
      <c r="Q32" s="243"/>
      <c r="R32" s="243"/>
      <c r="S32" s="243"/>
      <c r="T32" s="243"/>
      <c r="U32" s="243"/>
      <c r="V32" s="243"/>
      <c r="W32" s="243"/>
      <c r="X32" s="243"/>
      <c r="Y32" s="243"/>
      <c r="Z32" s="243"/>
      <c r="AA32" s="243"/>
      <c r="AB32" s="243"/>
      <c r="AC32" s="243"/>
      <c r="AD32" s="243"/>
      <c r="AE32" s="243"/>
      <c r="AF32" s="243"/>
    </row>
    <row r="33" spans="1:32" s="462" customFormat="1">
      <c r="B33" s="463"/>
      <c r="C33" s="1250"/>
      <c r="D33" s="160"/>
      <c r="E33" s="1055"/>
      <c r="F33" s="1030"/>
      <c r="G33" s="243"/>
      <c r="H33" s="243"/>
      <c r="I33" s="243"/>
      <c r="J33" s="243"/>
      <c r="K33" s="243"/>
      <c r="L33" s="243"/>
      <c r="M33" s="243"/>
      <c r="N33" s="243"/>
      <c r="O33" s="243"/>
      <c r="P33" s="243"/>
      <c r="Q33" s="243"/>
      <c r="R33" s="243"/>
      <c r="S33" s="243"/>
      <c r="T33" s="243"/>
      <c r="U33" s="243"/>
      <c r="V33" s="243"/>
      <c r="W33" s="243"/>
      <c r="X33" s="243"/>
      <c r="Y33" s="243"/>
      <c r="Z33" s="243"/>
      <c r="AA33" s="243"/>
      <c r="AB33" s="243"/>
      <c r="AC33" s="243"/>
      <c r="AD33" s="243"/>
      <c r="AE33" s="243"/>
      <c r="AF33" s="243"/>
    </row>
    <row r="34" spans="1:32" s="462" customFormat="1">
      <c r="B34" s="463"/>
      <c r="C34" s="1250"/>
      <c r="D34" s="160"/>
      <c r="E34" s="1055"/>
      <c r="F34" s="1030"/>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c r="AE34" s="243"/>
      <c r="AF34" s="243"/>
    </row>
    <row r="35" spans="1:32" s="462" customFormat="1">
      <c r="B35" s="463"/>
      <c r="C35" s="1250"/>
      <c r="D35" s="160"/>
      <c r="E35" s="1055"/>
      <c r="F35" s="1030"/>
      <c r="G35" s="243"/>
      <c r="H35" s="243"/>
      <c r="I35" s="243"/>
      <c r="J35" s="243"/>
      <c r="K35" s="243"/>
      <c r="L35" s="243"/>
      <c r="M35" s="243"/>
      <c r="N35" s="243"/>
      <c r="O35" s="243"/>
      <c r="P35" s="243"/>
      <c r="Q35" s="243"/>
      <c r="R35" s="243"/>
      <c r="S35" s="243"/>
      <c r="T35" s="243"/>
      <c r="U35" s="243"/>
      <c r="V35" s="243"/>
      <c r="W35" s="243"/>
      <c r="X35" s="243"/>
      <c r="Y35" s="243"/>
      <c r="Z35" s="243"/>
      <c r="AA35" s="243"/>
      <c r="AB35" s="243"/>
      <c r="AC35" s="243"/>
      <c r="AD35" s="243"/>
      <c r="AE35" s="243"/>
      <c r="AF35" s="243"/>
    </row>
    <row r="36" spans="1:32" s="462" customFormat="1">
      <c r="B36" s="463"/>
      <c r="C36" s="1250"/>
      <c r="D36" s="160"/>
      <c r="E36" s="1055"/>
      <c r="F36" s="1030"/>
      <c r="G36" s="243"/>
      <c r="H36" s="243"/>
      <c r="I36" s="243"/>
      <c r="J36" s="243"/>
      <c r="K36" s="243"/>
      <c r="L36" s="243"/>
      <c r="M36" s="243"/>
      <c r="N36" s="243"/>
      <c r="O36" s="243"/>
      <c r="P36" s="243"/>
      <c r="Q36" s="243"/>
      <c r="R36" s="243"/>
      <c r="S36" s="243"/>
      <c r="T36" s="243"/>
      <c r="U36" s="243"/>
      <c r="V36" s="243"/>
      <c r="W36" s="243"/>
      <c r="X36" s="243"/>
      <c r="Y36" s="243"/>
      <c r="Z36" s="243"/>
      <c r="AA36" s="243"/>
      <c r="AB36" s="243"/>
      <c r="AC36" s="243"/>
      <c r="AD36" s="243"/>
      <c r="AE36" s="243"/>
      <c r="AF36" s="243"/>
    </row>
    <row r="37" spans="1:32" s="462" customFormat="1">
      <c r="B37" s="464"/>
      <c r="C37" s="1250"/>
      <c r="D37" s="160"/>
      <c r="E37" s="1055"/>
      <c r="F37" s="1030"/>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243"/>
      <c r="AF37" s="243"/>
    </row>
    <row r="38" spans="1:32">
      <c r="C38" s="47"/>
      <c r="D38" s="46"/>
      <c r="E38" s="1033"/>
      <c r="F38" s="1046"/>
      <c r="G38" s="250"/>
      <c r="H38" s="250"/>
      <c r="I38" s="250"/>
      <c r="J38" s="250"/>
      <c r="K38" s="250"/>
      <c r="L38" s="250"/>
      <c r="M38" s="250"/>
      <c r="N38" s="250"/>
      <c r="O38" s="250"/>
      <c r="P38" s="250"/>
      <c r="Q38" s="250"/>
      <c r="R38" s="250"/>
      <c r="S38" s="250"/>
      <c r="T38" s="250"/>
      <c r="U38" s="250"/>
      <c r="V38" s="250"/>
      <c r="W38" s="250"/>
      <c r="X38" s="250"/>
      <c r="Y38" s="250"/>
      <c r="Z38" s="250"/>
      <c r="AA38" s="250"/>
      <c r="AB38" s="250"/>
      <c r="AC38" s="250"/>
      <c r="AD38" s="250"/>
      <c r="AE38" s="250"/>
      <c r="AF38" s="250"/>
    </row>
    <row r="39" spans="1:32" ht="52.8">
      <c r="B39" s="165" t="s">
        <v>349</v>
      </c>
      <c r="C39" s="1249" t="s">
        <v>409</v>
      </c>
      <c r="D39" s="51" t="s">
        <v>300</v>
      </c>
      <c r="E39" s="1052" t="s">
        <v>175</v>
      </c>
      <c r="F39" s="1046" t="s">
        <v>457</v>
      </c>
      <c r="G39" s="241">
        <v>1.5435999999999849E-2</v>
      </c>
      <c r="H39" s="241">
        <v>1.2638999999999964E-2</v>
      </c>
      <c r="I39" s="241">
        <v>7.8030000000000209E-3</v>
      </c>
      <c r="J39" s="241">
        <v>8.2572000000000756E-3</v>
      </c>
      <c r="K39" s="241">
        <v>0</v>
      </c>
      <c r="L39" s="241">
        <v>4.5781999999999823E-2</v>
      </c>
      <c r="M39" s="241">
        <v>4.0839999999999765E-3</v>
      </c>
      <c r="N39" s="241">
        <v>1.6999999999999999E-3</v>
      </c>
      <c r="O39" s="241">
        <v>6.0000000000000001E-3</v>
      </c>
      <c r="P39" s="241">
        <v>2E-3</v>
      </c>
      <c r="Q39" s="241">
        <v>2E-3</v>
      </c>
      <c r="R39" s="241">
        <v>2E-3</v>
      </c>
      <c r="S39" s="241">
        <v>2E-3</v>
      </c>
      <c r="T39" s="241">
        <v>2E-3</v>
      </c>
      <c r="U39" s="241">
        <v>2E-3</v>
      </c>
      <c r="V39" s="241">
        <v>0.01</v>
      </c>
      <c r="W39" s="241">
        <v>0.01</v>
      </c>
      <c r="X39" s="241">
        <v>0.01</v>
      </c>
      <c r="Y39" s="241">
        <v>0.01</v>
      </c>
      <c r="Z39" s="241">
        <v>0.01</v>
      </c>
      <c r="AA39" s="241">
        <v>0.01</v>
      </c>
      <c r="AB39" s="241">
        <v>0.01</v>
      </c>
      <c r="AC39" s="241">
        <v>0.01</v>
      </c>
      <c r="AD39" s="241">
        <v>0.01</v>
      </c>
      <c r="AE39" s="241">
        <v>0.01</v>
      </c>
      <c r="AF39" s="241">
        <v>0.01</v>
      </c>
    </row>
    <row r="40" spans="1:32" s="462" customFormat="1">
      <c r="A40" s="9"/>
      <c r="B40" s="63"/>
      <c r="C40" s="81"/>
      <c r="D40" s="53"/>
      <c r="E40" s="1053"/>
      <c r="F40" s="1047"/>
      <c r="G40" s="242"/>
      <c r="H40" s="242"/>
      <c r="I40" s="242"/>
      <c r="J40" s="242"/>
      <c r="K40" s="242"/>
      <c r="L40" s="242"/>
      <c r="M40" s="242"/>
      <c r="N40" s="242"/>
      <c r="O40" s="242"/>
      <c r="P40" s="242"/>
      <c r="Q40" s="242"/>
      <c r="R40" s="242"/>
      <c r="S40" s="242"/>
      <c r="T40" s="242"/>
      <c r="U40" s="242"/>
      <c r="V40" s="242"/>
      <c r="W40" s="242"/>
      <c r="X40" s="242"/>
      <c r="Y40" s="242"/>
      <c r="Z40" s="242"/>
      <c r="AA40" s="242"/>
      <c r="AB40" s="242"/>
      <c r="AC40" s="242"/>
      <c r="AD40" s="242"/>
      <c r="AE40" s="242"/>
      <c r="AF40" s="242"/>
    </row>
    <row r="41" spans="1:32">
      <c r="B41" s="63"/>
      <c r="C41" s="81" t="s">
        <v>410</v>
      </c>
      <c r="D41" s="53" t="s">
        <v>48</v>
      </c>
      <c r="E41" s="1053" t="s">
        <v>178</v>
      </c>
      <c r="G41" s="242"/>
      <c r="H41" s="242"/>
      <c r="I41" s="242"/>
      <c r="J41" s="242"/>
      <c r="K41" s="242"/>
      <c r="L41" s="242"/>
      <c r="M41" s="242"/>
      <c r="N41" s="242"/>
      <c r="O41" s="242"/>
      <c r="P41" s="242"/>
      <c r="Q41" s="242">
        <v>0</v>
      </c>
      <c r="R41" s="242">
        <v>0</v>
      </c>
      <c r="S41" s="242">
        <v>0</v>
      </c>
      <c r="T41" s="242">
        <v>0</v>
      </c>
      <c r="U41" s="242">
        <v>0</v>
      </c>
      <c r="V41" s="242">
        <v>0</v>
      </c>
      <c r="W41" s="242">
        <v>0</v>
      </c>
      <c r="X41" s="242">
        <v>0</v>
      </c>
      <c r="Y41" s="242">
        <v>0</v>
      </c>
      <c r="Z41" s="242">
        <v>0</v>
      </c>
      <c r="AA41" s="242">
        <v>0</v>
      </c>
      <c r="AB41" s="242">
        <v>0</v>
      </c>
      <c r="AC41" s="242">
        <v>0</v>
      </c>
      <c r="AD41" s="242">
        <v>0</v>
      </c>
      <c r="AE41" s="242">
        <v>0</v>
      </c>
      <c r="AF41" s="242">
        <v>0</v>
      </c>
    </row>
    <row r="42" spans="1:32">
      <c r="B42" s="63"/>
      <c r="C42" s="81"/>
      <c r="D42" s="322"/>
      <c r="E42" s="490"/>
      <c r="G42" s="242"/>
      <c r="H42" s="242"/>
      <c r="I42" s="242"/>
      <c r="J42" s="242"/>
      <c r="K42" s="242"/>
      <c r="L42" s="242"/>
      <c r="M42" s="242"/>
      <c r="N42" s="242"/>
      <c r="O42" s="242"/>
      <c r="P42" s="242"/>
      <c r="Q42" s="242"/>
      <c r="R42" s="242"/>
      <c r="S42" s="242"/>
      <c r="T42" s="242"/>
      <c r="U42" s="242"/>
      <c r="V42" s="242"/>
      <c r="W42" s="242"/>
      <c r="X42" s="242"/>
      <c r="Y42" s="242"/>
      <c r="Z42" s="242"/>
      <c r="AA42" s="242"/>
      <c r="AB42" s="242"/>
      <c r="AC42" s="242"/>
      <c r="AD42" s="242"/>
      <c r="AE42" s="242"/>
      <c r="AF42" s="242"/>
    </row>
    <row r="43" spans="1:32">
      <c r="B43" s="63"/>
      <c r="C43" s="81"/>
      <c r="D43" s="322"/>
      <c r="E43" s="490"/>
      <c r="G43" s="242"/>
      <c r="H43" s="242"/>
      <c r="I43" s="242"/>
      <c r="J43" s="242"/>
      <c r="K43" s="242"/>
      <c r="L43" s="242"/>
      <c r="M43" s="242"/>
      <c r="N43" s="242"/>
      <c r="O43" s="242"/>
      <c r="P43" s="242"/>
      <c r="Q43" s="242"/>
      <c r="R43" s="242"/>
      <c r="S43" s="242"/>
      <c r="T43" s="242"/>
      <c r="U43" s="242"/>
      <c r="V43" s="242"/>
      <c r="W43" s="242"/>
      <c r="X43" s="242"/>
      <c r="Y43" s="242"/>
      <c r="Z43" s="242"/>
      <c r="AA43" s="242"/>
      <c r="AB43" s="242"/>
      <c r="AC43" s="242"/>
      <c r="AD43" s="242"/>
      <c r="AE43" s="242"/>
      <c r="AF43" s="242"/>
    </row>
    <row r="44" spans="1:32" s="462" customFormat="1">
      <c r="A44" s="9"/>
      <c r="B44" s="63"/>
      <c r="C44" s="81"/>
      <c r="D44" s="53"/>
      <c r="E44" s="1053"/>
      <c r="F44" s="1047"/>
      <c r="G44" s="242"/>
      <c r="H44" s="242"/>
      <c r="I44" s="242"/>
      <c r="J44" s="242"/>
      <c r="K44" s="242"/>
      <c r="L44" s="242"/>
      <c r="M44" s="242"/>
      <c r="N44" s="242"/>
      <c r="O44" s="242"/>
      <c r="P44" s="242"/>
      <c r="Q44" s="242"/>
      <c r="R44" s="242"/>
      <c r="S44" s="242"/>
      <c r="T44" s="242"/>
      <c r="U44" s="242"/>
      <c r="V44" s="242"/>
      <c r="W44" s="242"/>
      <c r="X44" s="242"/>
      <c r="Y44" s="242"/>
      <c r="Z44" s="242"/>
      <c r="AA44" s="242"/>
      <c r="AB44" s="242"/>
      <c r="AC44" s="242"/>
      <c r="AD44" s="242"/>
      <c r="AE44" s="242"/>
      <c r="AF44" s="242"/>
    </row>
    <row r="45" spans="1:32" s="462" customFormat="1" ht="39.6">
      <c r="A45" s="9"/>
      <c r="B45" s="63"/>
      <c r="C45" s="63" t="s">
        <v>411</v>
      </c>
      <c r="D45" s="53" t="s">
        <v>300</v>
      </c>
      <c r="E45" s="487" t="s">
        <v>224</v>
      </c>
      <c r="F45" s="1049" t="s">
        <v>455</v>
      </c>
      <c r="G45" s="242"/>
      <c r="H45" s="242"/>
      <c r="I45" s="242"/>
      <c r="J45" s="242"/>
      <c r="K45" s="242"/>
      <c r="L45" s="242"/>
      <c r="M45" s="242"/>
      <c r="N45" s="242"/>
      <c r="O45" s="242"/>
      <c r="P45" s="242"/>
      <c r="Q45" s="242">
        <v>4.0000000000000001E-3</v>
      </c>
      <c r="R45" s="242">
        <v>4.0000000000000001E-3</v>
      </c>
      <c r="S45" s="242">
        <v>4.0000000000000001E-3</v>
      </c>
      <c r="T45" s="242">
        <v>4.0000000000000001E-3</v>
      </c>
      <c r="U45" s="242">
        <v>4.0000000000000001E-3</v>
      </c>
      <c r="V45" s="242">
        <v>4.0000000000000001E-3</v>
      </c>
      <c r="W45" s="242">
        <f t="shared" ref="W45:AF46" si="3">W$39</f>
        <v>0.01</v>
      </c>
      <c r="X45" s="242">
        <f t="shared" si="3"/>
        <v>0.01</v>
      </c>
      <c r="Y45" s="242">
        <f t="shared" si="3"/>
        <v>0.01</v>
      </c>
      <c r="Z45" s="242">
        <f t="shared" si="3"/>
        <v>0.01</v>
      </c>
      <c r="AA45" s="242">
        <f t="shared" si="3"/>
        <v>0.01</v>
      </c>
      <c r="AB45" s="242">
        <f t="shared" si="3"/>
        <v>0.01</v>
      </c>
      <c r="AC45" s="242">
        <f t="shared" si="3"/>
        <v>0.01</v>
      </c>
      <c r="AD45" s="242">
        <f t="shared" si="3"/>
        <v>0.01</v>
      </c>
      <c r="AE45" s="242">
        <f t="shared" si="3"/>
        <v>0.01</v>
      </c>
      <c r="AF45" s="242">
        <f t="shared" si="3"/>
        <v>0.01</v>
      </c>
    </row>
    <row r="46" spans="1:32" s="462" customFormat="1" ht="39.6">
      <c r="A46" s="9"/>
      <c r="B46" s="63"/>
      <c r="C46" s="63" t="s">
        <v>412</v>
      </c>
      <c r="D46" s="53" t="s">
        <v>300</v>
      </c>
      <c r="E46" s="487" t="s">
        <v>225</v>
      </c>
      <c r="F46" s="1049" t="s">
        <v>456</v>
      </c>
      <c r="G46" s="242"/>
      <c r="H46" s="242"/>
      <c r="I46" s="242"/>
      <c r="J46" s="242"/>
      <c r="K46" s="242"/>
      <c r="L46" s="242"/>
      <c r="M46" s="242"/>
      <c r="N46" s="242"/>
      <c r="O46" s="242"/>
      <c r="P46" s="242"/>
      <c r="Q46" s="242">
        <v>0.1</v>
      </c>
      <c r="R46" s="242">
        <v>0.1</v>
      </c>
      <c r="S46" s="242">
        <v>0.1</v>
      </c>
      <c r="T46" s="242">
        <v>0.1</v>
      </c>
      <c r="U46" s="242">
        <v>0.1</v>
      </c>
      <c r="V46" s="242">
        <v>0.1</v>
      </c>
      <c r="W46" s="242">
        <f t="shared" si="3"/>
        <v>0.01</v>
      </c>
      <c r="X46" s="242">
        <f t="shared" si="3"/>
        <v>0.01</v>
      </c>
      <c r="Y46" s="242">
        <f t="shared" si="3"/>
        <v>0.01</v>
      </c>
      <c r="Z46" s="242">
        <f t="shared" si="3"/>
        <v>0.01</v>
      </c>
      <c r="AA46" s="242">
        <f t="shared" si="3"/>
        <v>0.01</v>
      </c>
      <c r="AB46" s="242">
        <f t="shared" si="3"/>
        <v>0.01</v>
      </c>
      <c r="AC46" s="242">
        <f t="shared" si="3"/>
        <v>0.01</v>
      </c>
      <c r="AD46" s="242">
        <f t="shared" si="3"/>
        <v>0.01</v>
      </c>
      <c r="AE46" s="242">
        <f t="shared" si="3"/>
        <v>0.01</v>
      </c>
      <c r="AF46" s="242">
        <f t="shared" si="3"/>
        <v>0.01</v>
      </c>
    </row>
    <row r="47" spans="1:32" s="462" customFormat="1">
      <c r="B47" s="463"/>
      <c r="C47" s="1250"/>
      <c r="D47" s="160"/>
      <c r="E47" s="1055"/>
      <c r="F47" s="1030"/>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c r="AE47" s="243"/>
      <c r="AF47" s="243"/>
    </row>
    <row r="48" spans="1:32" s="462" customFormat="1">
      <c r="B48" s="463"/>
      <c r="C48" s="1250"/>
      <c r="D48" s="160"/>
      <c r="E48" s="1055"/>
      <c r="F48" s="1030"/>
      <c r="G48" s="243"/>
      <c r="H48" s="243"/>
      <c r="I48" s="243"/>
      <c r="J48" s="243"/>
      <c r="K48" s="243"/>
      <c r="L48" s="243"/>
      <c r="M48" s="243"/>
      <c r="N48" s="243"/>
      <c r="O48" s="243"/>
      <c r="P48" s="243"/>
      <c r="Q48" s="243"/>
      <c r="R48" s="243"/>
      <c r="S48" s="243"/>
      <c r="T48" s="243"/>
      <c r="U48" s="243"/>
      <c r="V48" s="243"/>
      <c r="W48" s="243"/>
      <c r="X48" s="243"/>
      <c r="Y48" s="243"/>
      <c r="Z48" s="243"/>
      <c r="AA48" s="243"/>
      <c r="AB48" s="243"/>
      <c r="AC48" s="243"/>
      <c r="AD48" s="243"/>
      <c r="AE48" s="243"/>
      <c r="AF48" s="243"/>
    </row>
    <row r="49" spans="2:32" s="462" customFormat="1">
      <c r="B49" s="463"/>
      <c r="C49" s="1250"/>
      <c r="D49" s="160"/>
      <c r="E49" s="1055"/>
      <c r="F49" s="1030"/>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row>
    <row r="50" spans="2:32" s="462" customFormat="1">
      <c r="B50" s="463"/>
      <c r="C50" s="1250"/>
      <c r="D50" s="160"/>
      <c r="E50" s="1055"/>
      <c r="F50" s="1030"/>
      <c r="G50" s="243"/>
      <c r="H50" s="243"/>
      <c r="I50" s="243"/>
      <c r="J50" s="243"/>
      <c r="K50" s="243"/>
      <c r="L50" s="243"/>
      <c r="M50" s="243"/>
      <c r="N50" s="243"/>
      <c r="O50" s="243"/>
      <c r="P50" s="243"/>
      <c r="Q50" s="243"/>
      <c r="R50" s="243"/>
      <c r="S50" s="243"/>
      <c r="T50" s="243"/>
      <c r="U50" s="243"/>
      <c r="V50" s="243"/>
      <c r="W50" s="243"/>
      <c r="X50" s="243"/>
      <c r="Y50" s="243"/>
      <c r="Z50" s="243"/>
      <c r="AA50" s="243"/>
      <c r="AB50" s="243"/>
      <c r="AC50" s="243"/>
      <c r="AD50" s="243"/>
      <c r="AE50" s="243"/>
      <c r="AF50" s="243"/>
    </row>
    <row r="51" spans="2:32" s="462" customFormat="1">
      <c r="B51" s="463"/>
      <c r="C51" s="1250"/>
      <c r="D51" s="160"/>
      <c r="E51" s="1055"/>
      <c r="F51" s="1030"/>
      <c r="G51" s="243"/>
      <c r="H51" s="243"/>
      <c r="I51" s="243"/>
      <c r="J51" s="243"/>
      <c r="K51" s="243"/>
      <c r="L51" s="243"/>
      <c r="M51" s="243"/>
      <c r="N51" s="243"/>
      <c r="O51" s="243"/>
      <c r="P51" s="243"/>
      <c r="Q51" s="243"/>
      <c r="R51" s="243"/>
      <c r="S51" s="243"/>
      <c r="T51" s="243"/>
      <c r="U51" s="243"/>
      <c r="V51" s="243"/>
      <c r="W51" s="243"/>
      <c r="X51" s="243"/>
      <c r="Y51" s="243"/>
      <c r="Z51" s="243"/>
      <c r="AA51" s="243"/>
      <c r="AB51" s="243"/>
      <c r="AC51" s="243"/>
      <c r="AD51" s="243"/>
      <c r="AE51" s="243"/>
      <c r="AF51" s="243"/>
    </row>
    <row r="52" spans="2:32" s="462" customFormat="1">
      <c r="B52" s="463"/>
      <c r="C52" s="1250"/>
      <c r="D52" s="160"/>
      <c r="E52" s="1055"/>
      <c r="F52" s="1030"/>
      <c r="G52" s="243"/>
      <c r="H52" s="243"/>
      <c r="I52" s="243"/>
      <c r="J52" s="243"/>
      <c r="K52" s="243"/>
      <c r="L52" s="243"/>
      <c r="M52" s="243"/>
      <c r="N52" s="243"/>
      <c r="O52" s="243"/>
      <c r="P52" s="243"/>
      <c r="Q52" s="243"/>
      <c r="R52" s="243"/>
      <c r="S52" s="243"/>
      <c r="T52" s="243"/>
      <c r="U52" s="243"/>
      <c r="V52" s="243"/>
      <c r="W52" s="243"/>
      <c r="X52" s="243"/>
      <c r="Y52" s="243"/>
      <c r="Z52" s="243"/>
      <c r="AA52" s="243"/>
      <c r="AB52" s="243"/>
      <c r="AC52" s="243"/>
      <c r="AD52" s="243"/>
      <c r="AE52" s="243"/>
      <c r="AF52" s="243"/>
    </row>
    <row r="53" spans="2:32" s="462" customFormat="1">
      <c r="B53" s="463"/>
      <c r="C53" s="1250"/>
      <c r="D53" s="160"/>
      <c r="E53" s="1055"/>
      <c r="F53" s="1030"/>
      <c r="G53" s="243"/>
      <c r="H53" s="243"/>
      <c r="I53" s="243"/>
      <c r="J53" s="243"/>
      <c r="K53" s="243"/>
      <c r="L53" s="243"/>
      <c r="M53" s="243"/>
      <c r="N53" s="243"/>
      <c r="O53" s="243"/>
      <c r="P53" s="243"/>
      <c r="Q53" s="243"/>
      <c r="R53" s="243"/>
      <c r="S53" s="243"/>
      <c r="T53" s="243"/>
      <c r="U53" s="243"/>
      <c r="V53" s="243"/>
      <c r="W53" s="243"/>
      <c r="X53" s="243"/>
      <c r="Y53" s="243"/>
      <c r="Z53" s="243"/>
      <c r="AA53" s="243"/>
      <c r="AB53" s="243"/>
      <c r="AC53" s="243"/>
      <c r="AD53" s="243"/>
      <c r="AE53" s="243"/>
      <c r="AF53" s="243"/>
    </row>
    <row r="54" spans="2:32" s="462" customFormat="1">
      <c r="B54" s="463"/>
      <c r="C54" s="1250"/>
      <c r="D54" s="160"/>
      <c r="E54" s="1055"/>
      <c r="F54" s="1030"/>
      <c r="G54" s="243"/>
      <c r="H54" s="243"/>
      <c r="I54" s="243"/>
      <c r="J54" s="243"/>
      <c r="K54" s="243"/>
      <c r="L54" s="243"/>
      <c r="M54" s="243"/>
      <c r="N54" s="243"/>
      <c r="O54" s="243"/>
      <c r="P54" s="243"/>
      <c r="Q54" s="243"/>
      <c r="R54" s="243"/>
      <c r="S54" s="243"/>
      <c r="T54" s="243"/>
      <c r="U54" s="243"/>
      <c r="V54" s="243"/>
      <c r="W54" s="243"/>
      <c r="X54" s="243"/>
      <c r="Y54" s="243"/>
      <c r="Z54" s="243"/>
      <c r="AA54" s="243"/>
      <c r="AB54" s="243"/>
      <c r="AC54" s="243"/>
      <c r="AD54" s="243"/>
      <c r="AE54" s="243"/>
      <c r="AF54" s="243"/>
    </row>
    <row r="55" spans="2:32" s="462" customFormat="1">
      <c r="B55" s="463"/>
      <c r="C55" s="1250"/>
      <c r="D55" s="160"/>
      <c r="E55" s="1055"/>
      <c r="F55" s="1030"/>
      <c r="G55" s="243"/>
      <c r="H55" s="243"/>
      <c r="I55" s="243"/>
      <c r="J55" s="243"/>
      <c r="K55" s="243"/>
      <c r="L55" s="243"/>
      <c r="M55" s="243"/>
      <c r="N55" s="243"/>
      <c r="O55" s="243"/>
      <c r="P55" s="243"/>
      <c r="Q55" s="243"/>
      <c r="R55" s="243"/>
      <c r="S55" s="243"/>
      <c r="T55" s="243"/>
      <c r="U55" s="243"/>
      <c r="V55" s="243"/>
      <c r="W55" s="243"/>
      <c r="X55" s="243"/>
      <c r="Y55" s="243"/>
      <c r="Z55" s="243"/>
      <c r="AA55" s="243"/>
      <c r="AB55" s="243"/>
      <c r="AC55" s="243"/>
      <c r="AD55" s="243"/>
      <c r="AE55" s="243"/>
      <c r="AF55" s="243"/>
    </row>
    <row r="56" spans="2:32" s="462" customFormat="1">
      <c r="B56" s="463"/>
      <c r="C56" s="1250"/>
      <c r="D56" s="160"/>
      <c r="E56" s="1055"/>
      <c r="F56" s="1030"/>
      <c r="G56" s="243"/>
      <c r="H56" s="243"/>
      <c r="I56" s="243"/>
      <c r="J56" s="243"/>
      <c r="K56" s="243"/>
      <c r="L56" s="243"/>
      <c r="M56" s="243"/>
      <c r="N56" s="243"/>
      <c r="O56" s="243"/>
      <c r="P56" s="243"/>
      <c r="Q56" s="243"/>
      <c r="R56" s="243"/>
      <c r="S56" s="243"/>
      <c r="T56" s="243"/>
      <c r="U56" s="243"/>
      <c r="V56" s="243"/>
      <c r="W56" s="243"/>
      <c r="X56" s="243"/>
      <c r="Y56" s="243"/>
      <c r="Z56" s="243"/>
      <c r="AA56" s="243"/>
      <c r="AB56" s="243"/>
      <c r="AC56" s="243"/>
      <c r="AD56" s="243"/>
      <c r="AE56" s="243"/>
      <c r="AF56" s="243"/>
    </row>
    <row r="57" spans="2:32" s="462" customFormat="1">
      <c r="B57" s="463"/>
      <c r="C57" s="1250"/>
      <c r="D57" s="160"/>
      <c r="E57" s="1055"/>
      <c r="F57" s="1030"/>
      <c r="G57" s="243"/>
      <c r="H57" s="243"/>
      <c r="I57" s="243"/>
      <c r="J57" s="243"/>
      <c r="K57" s="243"/>
      <c r="L57" s="243"/>
      <c r="M57" s="243"/>
      <c r="N57" s="243"/>
      <c r="O57" s="243"/>
      <c r="P57" s="243"/>
      <c r="Q57" s="243"/>
      <c r="R57" s="243"/>
      <c r="S57" s="243"/>
      <c r="T57" s="243"/>
      <c r="U57" s="243"/>
      <c r="V57" s="243"/>
      <c r="W57" s="243"/>
      <c r="X57" s="243"/>
      <c r="Y57" s="243"/>
      <c r="Z57" s="243"/>
      <c r="AA57" s="243"/>
      <c r="AB57" s="243"/>
      <c r="AC57" s="243"/>
      <c r="AD57" s="243"/>
      <c r="AE57" s="243"/>
      <c r="AF57" s="243"/>
    </row>
    <row r="58" spans="2:32" s="462" customFormat="1">
      <c r="B58" s="463"/>
      <c r="C58" s="1250"/>
      <c r="D58" s="160"/>
      <c r="E58" s="1055"/>
      <c r="F58" s="1030"/>
      <c r="G58" s="243"/>
      <c r="H58" s="243"/>
      <c r="I58" s="243"/>
      <c r="J58" s="243"/>
      <c r="K58" s="243"/>
      <c r="L58" s="243"/>
      <c r="M58" s="243"/>
      <c r="N58" s="243"/>
      <c r="O58" s="243"/>
      <c r="P58" s="243"/>
      <c r="Q58" s="243"/>
      <c r="R58" s="243"/>
      <c r="S58" s="243"/>
      <c r="T58" s="243"/>
      <c r="U58" s="243"/>
      <c r="V58" s="243"/>
      <c r="W58" s="243"/>
      <c r="X58" s="243"/>
      <c r="Y58" s="243"/>
      <c r="Z58" s="243"/>
      <c r="AA58" s="243"/>
      <c r="AB58" s="243"/>
      <c r="AC58" s="243"/>
      <c r="AD58" s="243"/>
      <c r="AE58" s="243"/>
      <c r="AF58" s="243"/>
    </row>
    <row r="59" spans="2:32" s="462" customFormat="1">
      <c r="B59" s="463"/>
      <c r="C59" s="1250"/>
      <c r="D59" s="160"/>
      <c r="E59" s="1055"/>
      <c r="F59" s="1030"/>
      <c r="G59" s="243"/>
      <c r="H59" s="243"/>
      <c r="I59" s="243"/>
      <c r="J59" s="243"/>
      <c r="K59" s="243"/>
      <c r="L59" s="243"/>
      <c r="M59" s="243"/>
      <c r="N59" s="243"/>
      <c r="O59" s="243"/>
      <c r="P59" s="243"/>
      <c r="Q59" s="243"/>
      <c r="R59" s="243"/>
      <c r="S59" s="243"/>
      <c r="T59" s="243"/>
      <c r="U59" s="243"/>
      <c r="V59" s="243"/>
      <c r="W59" s="243"/>
      <c r="X59" s="243"/>
      <c r="Y59" s="243"/>
      <c r="Z59" s="243"/>
      <c r="AA59" s="243"/>
      <c r="AB59" s="243"/>
      <c r="AC59" s="243"/>
      <c r="AD59" s="243"/>
      <c r="AE59" s="243"/>
      <c r="AF59" s="243"/>
    </row>
    <row r="60" spans="2:32" s="462" customFormat="1">
      <c r="B60" s="463"/>
      <c r="C60" s="1250"/>
      <c r="D60" s="160"/>
      <c r="E60" s="1055"/>
      <c r="F60" s="1030"/>
      <c r="G60" s="243"/>
      <c r="H60" s="243"/>
      <c r="I60" s="243"/>
      <c r="J60" s="243"/>
      <c r="K60" s="243"/>
      <c r="L60" s="243"/>
      <c r="M60" s="243"/>
      <c r="N60" s="243"/>
      <c r="O60" s="243"/>
      <c r="P60" s="243"/>
      <c r="Q60" s="243"/>
      <c r="R60" s="243"/>
      <c r="S60" s="243"/>
      <c r="T60" s="243"/>
      <c r="U60" s="243"/>
      <c r="V60" s="243"/>
      <c r="W60" s="243"/>
      <c r="X60" s="243"/>
      <c r="Y60" s="243"/>
      <c r="Z60" s="243"/>
      <c r="AA60" s="243"/>
      <c r="AB60" s="243"/>
      <c r="AC60" s="243"/>
      <c r="AD60" s="243"/>
      <c r="AE60" s="243"/>
      <c r="AF60" s="243"/>
    </row>
    <row r="61" spans="2:32" s="462" customFormat="1">
      <c r="B61" s="463"/>
      <c r="C61" s="1250"/>
      <c r="D61" s="160"/>
      <c r="E61" s="1055"/>
      <c r="F61" s="1030"/>
      <c r="G61" s="243"/>
      <c r="H61" s="243"/>
      <c r="I61" s="243"/>
      <c r="J61" s="243"/>
      <c r="K61" s="243"/>
      <c r="L61" s="243"/>
      <c r="M61" s="243"/>
      <c r="N61" s="243"/>
      <c r="O61" s="243"/>
      <c r="P61" s="243"/>
      <c r="Q61" s="243"/>
      <c r="R61" s="243"/>
      <c r="S61" s="243"/>
      <c r="T61" s="243"/>
      <c r="U61" s="243"/>
      <c r="V61" s="243"/>
      <c r="W61" s="243"/>
      <c r="X61" s="243"/>
      <c r="Y61" s="243"/>
      <c r="Z61" s="243"/>
      <c r="AA61" s="243"/>
      <c r="AB61" s="243"/>
      <c r="AC61" s="243"/>
      <c r="AD61" s="243"/>
      <c r="AE61" s="243"/>
      <c r="AF61" s="243"/>
    </row>
    <row r="62" spans="2:32" s="462" customFormat="1">
      <c r="B62" s="463"/>
      <c r="C62" s="1250"/>
      <c r="D62" s="160"/>
      <c r="E62" s="1055"/>
      <c r="F62" s="1030"/>
      <c r="G62" s="243"/>
      <c r="H62" s="243"/>
      <c r="I62" s="243"/>
      <c r="J62" s="243"/>
      <c r="K62" s="243"/>
      <c r="L62" s="243"/>
      <c r="M62" s="243"/>
      <c r="N62" s="243"/>
      <c r="O62" s="243"/>
      <c r="P62" s="243"/>
      <c r="Q62" s="243"/>
      <c r="R62" s="243"/>
      <c r="S62" s="243"/>
      <c r="T62" s="243"/>
      <c r="U62" s="243"/>
      <c r="V62" s="243"/>
      <c r="W62" s="243"/>
      <c r="X62" s="243"/>
      <c r="Y62" s="243"/>
      <c r="Z62" s="243"/>
      <c r="AA62" s="243"/>
      <c r="AB62" s="243"/>
      <c r="AC62" s="243"/>
      <c r="AD62" s="243"/>
      <c r="AE62" s="243"/>
      <c r="AF62" s="243"/>
    </row>
    <row r="63" spans="2:32" s="462" customFormat="1">
      <c r="B63" s="464"/>
      <c r="C63" s="1250"/>
      <c r="D63" s="160"/>
      <c r="E63" s="1055"/>
      <c r="F63" s="1030"/>
      <c r="G63" s="243"/>
      <c r="H63" s="243"/>
      <c r="I63" s="243"/>
      <c r="J63" s="243"/>
      <c r="K63" s="243"/>
      <c r="L63" s="243"/>
      <c r="M63" s="243"/>
      <c r="N63" s="243"/>
      <c r="O63" s="243"/>
      <c r="P63" s="243"/>
      <c r="Q63" s="243"/>
      <c r="R63" s="243"/>
      <c r="S63" s="243"/>
      <c r="T63" s="243"/>
      <c r="U63" s="243"/>
      <c r="V63" s="243"/>
      <c r="W63" s="243"/>
      <c r="X63" s="243"/>
      <c r="Y63" s="243"/>
      <c r="Z63" s="243"/>
      <c r="AA63" s="243"/>
      <c r="AB63" s="243"/>
      <c r="AC63" s="243"/>
      <c r="AD63" s="243"/>
      <c r="AE63" s="243"/>
      <c r="AF63" s="243"/>
    </row>
    <row r="64" spans="2:32">
      <c r="C64" s="47"/>
      <c r="D64" s="46"/>
      <c r="E64" s="1033"/>
      <c r="F64" s="1046"/>
      <c r="G64" s="250"/>
      <c r="H64" s="250"/>
      <c r="I64" s="250"/>
      <c r="J64" s="250"/>
      <c r="K64" s="250"/>
      <c r="L64" s="250"/>
      <c r="M64" s="250"/>
      <c r="N64" s="250"/>
      <c r="O64" s="250"/>
      <c r="P64" s="250"/>
      <c r="Q64" s="250"/>
      <c r="R64" s="250"/>
      <c r="S64" s="250"/>
      <c r="T64" s="250"/>
      <c r="U64" s="250"/>
      <c r="V64" s="250"/>
      <c r="W64" s="250"/>
      <c r="X64" s="250"/>
      <c r="Y64" s="250"/>
      <c r="Z64" s="250"/>
      <c r="AA64" s="250"/>
      <c r="AB64" s="250"/>
      <c r="AC64" s="250"/>
      <c r="AD64" s="250"/>
      <c r="AE64" s="250"/>
      <c r="AF64" s="250"/>
    </row>
    <row r="65" spans="2:32" ht="26.4">
      <c r="B65" s="166" t="s">
        <v>11</v>
      </c>
      <c r="C65" s="1249" t="s">
        <v>409</v>
      </c>
      <c r="D65" s="51" t="s">
        <v>300</v>
      </c>
      <c r="E65" s="1052" t="s">
        <v>182</v>
      </c>
      <c r="F65" s="1158" t="s">
        <v>460</v>
      </c>
      <c r="G65" s="241">
        <v>0.54100080000000128</v>
      </c>
      <c r="H65" s="241">
        <v>0.92484900000000014</v>
      </c>
      <c r="I65" s="241">
        <v>0.2370309999999996</v>
      </c>
      <c r="J65" s="241">
        <v>0.21040099999999845</v>
      </c>
      <c r="K65" s="241">
        <v>0.63719819999999994</v>
      </c>
      <c r="L65" s="241">
        <v>1.2571299999999432E-2</v>
      </c>
      <c r="M65" s="241">
        <v>0.15215899999999888</v>
      </c>
      <c r="N65" s="241">
        <v>0.221</v>
      </c>
      <c r="O65" s="241">
        <v>0.33500000000000002</v>
      </c>
      <c r="P65" s="241">
        <v>0.19500000000000001</v>
      </c>
      <c r="Q65" s="241">
        <v>0.17599999999999999</v>
      </c>
      <c r="R65" s="241">
        <v>0.124</v>
      </c>
      <c r="S65" s="241">
        <v>3.5999999999999997E-2</v>
      </c>
      <c r="T65" s="241">
        <v>0.04</v>
      </c>
      <c r="U65" s="241">
        <v>4.2999999999999997E-2</v>
      </c>
      <c r="V65" s="241">
        <v>4.4999999999999998E-2</v>
      </c>
      <c r="W65" s="241">
        <v>0.2</v>
      </c>
      <c r="X65" s="241">
        <v>0.2</v>
      </c>
      <c r="Y65" s="241">
        <v>0.2</v>
      </c>
      <c r="Z65" s="241">
        <v>0.2</v>
      </c>
      <c r="AA65" s="241">
        <v>0.2</v>
      </c>
      <c r="AB65" s="241">
        <v>0.2</v>
      </c>
      <c r="AC65" s="241">
        <v>0.2</v>
      </c>
      <c r="AD65" s="241">
        <v>0.2</v>
      </c>
      <c r="AE65" s="241">
        <v>0.2</v>
      </c>
      <c r="AF65" s="241">
        <v>0.2</v>
      </c>
    </row>
    <row r="66" spans="2:32">
      <c r="B66" s="63"/>
      <c r="C66" s="81" t="s">
        <v>410</v>
      </c>
      <c r="D66" s="53" t="s">
        <v>48</v>
      </c>
      <c r="E66" s="1053" t="s">
        <v>178</v>
      </c>
      <c r="G66" s="242"/>
      <c r="H66" s="242"/>
      <c r="I66" s="242"/>
      <c r="J66" s="242"/>
      <c r="K66" s="242"/>
      <c r="L66" s="242"/>
      <c r="M66" s="242"/>
      <c r="N66" s="242"/>
      <c r="O66" s="242"/>
      <c r="P66" s="242"/>
      <c r="Q66" s="242">
        <v>0</v>
      </c>
      <c r="R66" s="242">
        <v>0</v>
      </c>
      <c r="S66" s="242">
        <v>0</v>
      </c>
      <c r="T66" s="242">
        <v>0</v>
      </c>
      <c r="U66" s="242">
        <v>0</v>
      </c>
      <c r="V66" s="242">
        <v>0</v>
      </c>
      <c r="W66" s="242">
        <v>0</v>
      </c>
      <c r="X66" s="242">
        <v>0</v>
      </c>
      <c r="Y66" s="242">
        <v>0</v>
      </c>
      <c r="Z66" s="242">
        <v>0</v>
      </c>
      <c r="AA66" s="242">
        <v>0</v>
      </c>
      <c r="AB66" s="242">
        <v>0</v>
      </c>
      <c r="AC66" s="242">
        <v>0</v>
      </c>
      <c r="AD66" s="242">
        <v>0</v>
      </c>
      <c r="AE66" s="242">
        <v>0</v>
      </c>
      <c r="AF66" s="242">
        <v>0</v>
      </c>
    </row>
    <row r="67" spans="2:32">
      <c r="B67" s="63"/>
      <c r="C67" s="81" t="s">
        <v>355</v>
      </c>
      <c r="D67" s="53" t="s">
        <v>48</v>
      </c>
      <c r="E67" s="1053" t="s">
        <v>181</v>
      </c>
      <c r="G67" s="242"/>
      <c r="H67" s="242"/>
      <c r="I67" s="242"/>
      <c r="J67" s="242"/>
      <c r="K67" s="242"/>
      <c r="L67" s="242"/>
      <c r="M67" s="242"/>
      <c r="N67" s="242"/>
      <c r="O67" s="242"/>
      <c r="P67" s="242"/>
      <c r="Q67" s="242">
        <v>0.1</v>
      </c>
      <c r="R67" s="242">
        <v>0.1</v>
      </c>
      <c r="S67" s="242">
        <v>0.1</v>
      </c>
      <c r="T67" s="242">
        <v>0.1</v>
      </c>
      <c r="U67" s="242">
        <v>0.1</v>
      </c>
      <c r="V67" s="242">
        <v>0.1</v>
      </c>
      <c r="W67" s="242">
        <v>0.1</v>
      </c>
      <c r="X67" s="242">
        <v>0.1</v>
      </c>
      <c r="Y67" s="242">
        <v>0.1</v>
      </c>
      <c r="Z67" s="242">
        <v>0.1</v>
      </c>
      <c r="AA67" s="242">
        <v>0.1</v>
      </c>
      <c r="AB67" s="242">
        <v>0.1</v>
      </c>
      <c r="AC67" s="242">
        <v>0.1</v>
      </c>
      <c r="AD67" s="242">
        <v>0.1</v>
      </c>
      <c r="AE67" s="242">
        <v>0.1</v>
      </c>
      <c r="AF67" s="242">
        <v>0.1</v>
      </c>
    </row>
    <row r="68" spans="2:32">
      <c r="B68" s="63"/>
      <c r="C68" s="81" t="s">
        <v>356</v>
      </c>
      <c r="D68" s="53" t="s">
        <v>48</v>
      </c>
      <c r="E68" s="1053" t="s">
        <v>182</v>
      </c>
      <c r="G68" s="242"/>
      <c r="H68" s="242"/>
      <c r="I68" s="242"/>
      <c r="J68" s="242"/>
      <c r="K68" s="242"/>
      <c r="L68" s="242"/>
      <c r="M68" s="242"/>
      <c r="N68" s="242"/>
      <c r="O68" s="242"/>
      <c r="P68" s="242"/>
      <c r="Q68" s="242">
        <v>0.2</v>
      </c>
      <c r="R68" s="242">
        <v>0.2</v>
      </c>
      <c r="S68" s="242">
        <v>0.2</v>
      </c>
      <c r="T68" s="242">
        <v>0.2</v>
      </c>
      <c r="U68" s="242">
        <v>0.2</v>
      </c>
      <c r="V68" s="242">
        <v>0.2</v>
      </c>
      <c r="W68" s="242">
        <v>0.2</v>
      </c>
      <c r="X68" s="242">
        <v>0.2</v>
      </c>
      <c r="Y68" s="242">
        <v>0.2</v>
      </c>
      <c r="Z68" s="242">
        <v>0.2</v>
      </c>
      <c r="AA68" s="242">
        <v>0.2</v>
      </c>
      <c r="AB68" s="242">
        <v>0.2</v>
      </c>
      <c r="AC68" s="242">
        <v>0.2</v>
      </c>
      <c r="AD68" s="242">
        <v>0.2</v>
      </c>
      <c r="AE68" s="242">
        <v>0.2</v>
      </c>
      <c r="AF68" s="242">
        <v>0.2</v>
      </c>
    </row>
    <row r="69" spans="2:32">
      <c r="B69" s="63"/>
      <c r="C69" s="81" t="s">
        <v>357</v>
      </c>
      <c r="D69" s="53" t="s">
        <v>48</v>
      </c>
      <c r="E69" s="1053" t="s">
        <v>183</v>
      </c>
      <c r="G69" s="242"/>
      <c r="H69" s="242"/>
      <c r="I69" s="242"/>
      <c r="J69" s="242"/>
      <c r="K69" s="242"/>
      <c r="L69" s="242"/>
      <c r="M69" s="242"/>
      <c r="N69" s="242"/>
      <c r="O69" s="242"/>
      <c r="P69" s="242"/>
      <c r="Q69" s="242">
        <v>0.3</v>
      </c>
      <c r="R69" s="242">
        <v>0.3</v>
      </c>
      <c r="S69" s="242">
        <v>0.3</v>
      </c>
      <c r="T69" s="242">
        <v>0.3</v>
      </c>
      <c r="U69" s="242">
        <v>0.3</v>
      </c>
      <c r="V69" s="242">
        <v>0.3</v>
      </c>
      <c r="W69" s="242">
        <v>0.3</v>
      </c>
      <c r="X69" s="242">
        <v>0.3</v>
      </c>
      <c r="Y69" s="242">
        <v>0.3</v>
      </c>
      <c r="Z69" s="242">
        <v>0.3</v>
      </c>
      <c r="AA69" s="242">
        <v>0.3</v>
      </c>
      <c r="AB69" s="242">
        <v>0.3</v>
      </c>
      <c r="AC69" s="242">
        <v>0.3</v>
      </c>
      <c r="AD69" s="242">
        <v>0.3</v>
      </c>
      <c r="AE69" s="242">
        <v>0.3</v>
      </c>
      <c r="AF69" s="242">
        <v>0.3</v>
      </c>
    </row>
    <row r="70" spans="2:32">
      <c r="B70" s="63"/>
      <c r="C70" s="81" t="s">
        <v>358</v>
      </c>
      <c r="D70" s="53" t="s">
        <v>48</v>
      </c>
      <c r="E70" s="1053" t="s">
        <v>184</v>
      </c>
      <c r="G70" s="242"/>
      <c r="H70" s="242"/>
      <c r="I70" s="242"/>
      <c r="J70" s="242"/>
      <c r="K70" s="242"/>
      <c r="L70" s="242"/>
      <c r="M70" s="242"/>
      <c r="N70" s="242"/>
      <c r="O70" s="242"/>
      <c r="P70" s="242"/>
      <c r="Q70" s="242">
        <v>0.4</v>
      </c>
      <c r="R70" s="242">
        <v>0.4</v>
      </c>
      <c r="S70" s="242">
        <v>0.4</v>
      </c>
      <c r="T70" s="242">
        <v>0.4</v>
      </c>
      <c r="U70" s="242">
        <v>0.4</v>
      </c>
      <c r="V70" s="242">
        <v>0.4</v>
      </c>
      <c r="W70" s="242">
        <v>0.4</v>
      </c>
      <c r="X70" s="242">
        <v>0.4</v>
      </c>
      <c r="Y70" s="242">
        <v>0.4</v>
      </c>
      <c r="Z70" s="242">
        <v>0.4</v>
      </c>
      <c r="AA70" s="242">
        <v>0.4</v>
      </c>
      <c r="AB70" s="242">
        <v>0.4</v>
      </c>
      <c r="AC70" s="242">
        <v>0.4</v>
      </c>
      <c r="AD70" s="242">
        <v>0.4</v>
      </c>
      <c r="AE70" s="242">
        <v>0.4</v>
      </c>
      <c r="AF70" s="242">
        <v>0.4</v>
      </c>
    </row>
    <row r="71" spans="2:32">
      <c r="B71" s="63"/>
      <c r="C71" s="1251"/>
      <c r="D71" s="53"/>
      <c r="E71" s="1053"/>
      <c r="G71" s="242"/>
      <c r="H71" s="242"/>
      <c r="I71" s="242"/>
      <c r="J71" s="242"/>
      <c r="K71" s="242"/>
      <c r="L71" s="242"/>
      <c r="M71" s="242"/>
      <c r="N71" s="242"/>
      <c r="O71" s="242"/>
      <c r="P71" s="242"/>
      <c r="Q71" s="242"/>
      <c r="R71" s="242"/>
      <c r="S71" s="242"/>
      <c r="T71" s="242"/>
      <c r="U71" s="242"/>
      <c r="V71" s="242"/>
      <c r="W71" s="242"/>
      <c r="X71" s="242"/>
      <c r="Y71" s="242"/>
      <c r="Z71" s="242"/>
      <c r="AA71" s="242"/>
      <c r="AB71" s="242"/>
      <c r="AC71" s="242"/>
      <c r="AD71" s="242"/>
      <c r="AE71" s="242"/>
      <c r="AF71" s="242"/>
    </row>
    <row r="72" spans="2:32" ht="39.6">
      <c r="B72" s="63"/>
      <c r="C72" s="63" t="s">
        <v>411</v>
      </c>
      <c r="D72" s="322" t="s">
        <v>300</v>
      </c>
      <c r="E72" s="16" t="s">
        <v>411</v>
      </c>
      <c r="F72" s="1049" t="s">
        <v>461</v>
      </c>
      <c r="G72" s="242"/>
      <c r="H72" s="242"/>
      <c r="I72" s="242"/>
      <c r="J72" s="242"/>
      <c r="K72" s="242"/>
      <c r="L72" s="242"/>
      <c r="M72" s="242"/>
      <c r="N72" s="242"/>
      <c r="O72" s="242"/>
      <c r="P72" s="242"/>
      <c r="Q72" s="242">
        <v>0.17399999999999999</v>
      </c>
      <c r="R72" s="242">
        <v>0.129</v>
      </c>
      <c r="S72" s="242">
        <v>4.4999999999999998E-2</v>
      </c>
      <c r="T72" s="242">
        <v>4.7E-2</v>
      </c>
      <c r="U72" s="242">
        <v>4.7E-2</v>
      </c>
      <c r="V72" s="242">
        <v>4.8000000000000001E-2</v>
      </c>
      <c r="W72" s="242">
        <f t="shared" ref="W72:AF73" si="4">W$65</f>
        <v>0.2</v>
      </c>
      <c r="X72" s="242">
        <f t="shared" si="4"/>
        <v>0.2</v>
      </c>
      <c r="Y72" s="242">
        <f t="shared" si="4"/>
        <v>0.2</v>
      </c>
      <c r="Z72" s="242">
        <f t="shared" si="4"/>
        <v>0.2</v>
      </c>
      <c r="AA72" s="242">
        <f t="shared" si="4"/>
        <v>0.2</v>
      </c>
      <c r="AB72" s="242">
        <f t="shared" si="4"/>
        <v>0.2</v>
      </c>
      <c r="AC72" s="242">
        <f t="shared" si="4"/>
        <v>0.2</v>
      </c>
      <c r="AD72" s="242">
        <f t="shared" si="4"/>
        <v>0.2</v>
      </c>
      <c r="AE72" s="242">
        <f t="shared" si="4"/>
        <v>0.2</v>
      </c>
      <c r="AF72" s="242">
        <f t="shared" si="4"/>
        <v>0.2</v>
      </c>
    </row>
    <row r="73" spans="2:32" ht="39.6">
      <c r="B73" s="63"/>
      <c r="C73" s="63" t="s">
        <v>412</v>
      </c>
      <c r="D73" s="322" t="s">
        <v>300</v>
      </c>
      <c r="E73" s="16" t="s">
        <v>412</v>
      </c>
      <c r="F73" s="1049" t="s">
        <v>462</v>
      </c>
      <c r="G73" s="242"/>
      <c r="H73" s="242"/>
      <c r="I73" s="242"/>
      <c r="J73" s="242"/>
      <c r="K73" s="242"/>
      <c r="L73" s="242"/>
      <c r="M73" s="242"/>
      <c r="N73" s="242"/>
      <c r="O73" s="242"/>
      <c r="P73" s="242"/>
      <c r="Q73" s="242">
        <v>0.17399999999999999</v>
      </c>
      <c r="R73" s="242">
        <v>0.11899999999999999</v>
      </c>
      <c r="S73" s="242">
        <v>2.5999999999999999E-2</v>
      </c>
      <c r="T73" s="242">
        <v>0.03</v>
      </c>
      <c r="U73" s="242">
        <v>3.4000000000000002E-2</v>
      </c>
      <c r="V73" s="242">
        <v>3.6999999999999998E-2</v>
      </c>
      <c r="W73" s="242">
        <f t="shared" si="4"/>
        <v>0.2</v>
      </c>
      <c r="X73" s="242">
        <f t="shared" si="4"/>
        <v>0.2</v>
      </c>
      <c r="Y73" s="242">
        <f t="shared" si="4"/>
        <v>0.2</v>
      </c>
      <c r="Z73" s="242">
        <f t="shared" si="4"/>
        <v>0.2</v>
      </c>
      <c r="AA73" s="242">
        <f t="shared" si="4"/>
        <v>0.2</v>
      </c>
      <c r="AB73" s="242">
        <f t="shared" si="4"/>
        <v>0.2</v>
      </c>
      <c r="AC73" s="242">
        <f t="shared" si="4"/>
        <v>0.2</v>
      </c>
      <c r="AD73" s="242">
        <f t="shared" si="4"/>
        <v>0.2</v>
      </c>
      <c r="AE73" s="242">
        <f t="shared" si="4"/>
        <v>0.2</v>
      </c>
      <c r="AF73" s="242">
        <f t="shared" si="4"/>
        <v>0.2</v>
      </c>
    </row>
    <row r="74" spans="2:32" s="462" customFormat="1">
      <c r="B74" s="463"/>
      <c r="C74" s="463"/>
      <c r="D74" s="162"/>
      <c r="E74" s="592"/>
      <c r="F74" s="1186"/>
      <c r="G74" s="243"/>
      <c r="H74" s="243"/>
      <c r="I74" s="243"/>
      <c r="J74" s="243"/>
      <c r="K74" s="243"/>
      <c r="L74" s="243"/>
      <c r="M74" s="243"/>
      <c r="N74" s="243"/>
      <c r="O74" s="243"/>
      <c r="P74" s="243"/>
      <c r="Q74" s="243"/>
      <c r="R74" s="243"/>
      <c r="S74" s="243"/>
      <c r="T74" s="243"/>
      <c r="U74" s="243"/>
      <c r="V74" s="243"/>
      <c r="W74" s="243"/>
      <c r="X74" s="243"/>
      <c r="Y74" s="243"/>
      <c r="Z74" s="243"/>
      <c r="AA74" s="243"/>
      <c r="AB74" s="243"/>
      <c r="AC74" s="243"/>
      <c r="AD74" s="243"/>
      <c r="AE74" s="243"/>
      <c r="AF74" s="243"/>
    </row>
    <row r="75" spans="2:32" s="462" customFormat="1" ht="39.6">
      <c r="B75" s="463"/>
      <c r="C75" s="1250" t="s">
        <v>458</v>
      </c>
      <c r="D75" s="160" t="s">
        <v>300</v>
      </c>
      <c r="E75" s="1055" t="s">
        <v>459</v>
      </c>
      <c r="F75" s="1029" t="s">
        <v>463</v>
      </c>
      <c r="G75" s="243"/>
      <c r="H75" s="243"/>
      <c r="I75" s="243"/>
      <c r="J75" s="243"/>
      <c r="K75" s="243"/>
      <c r="L75" s="243"/>
      <c r="M75" s="243"/>
      <c r="N75" s="243"/>
      <c r="O75" s="243"/>
      <c r="P75" s="243"/>
      <c r="Q75" s="243">
        <v>0.2</v>
      </c>
      <c r="R75" s="243">
        <v>0.2</v>
      </c>
      <c r="S75" s="243">
        <v>0.2</v>
      </c>
      <c r="T75" s="243">
        <v>0.5</v>
      </c>
      <c r="U75" s="243">
        <v>0.5</v>
      </c>
      <c r="V75" s="243">
        <v>0.5</v>
      </c>
      <c r="W75" s="243">
        <v>0.5</v>
      </c>
      <c r="X75" s="243">
        <v>0.5</v>
      </c>
      <c r="Y75" s="243">
        <v>0.5</v>
      </c>
      <c r="Z75" s="243">
        <v>0.5</v>
      </c>
      <c r="AA75" s="243">
        <v>0.3</v>
      </c>
      <c r="AB75" s="243">
        <v>0.3</v>
      </c>
      <c r="AC75" s="243">
        <v>0.3</v>
      </c>
      <c r="AD75" s="243">
        <v>0.3</v>
      </c>
      <c r="AE75" s="243">
        <v>0.3</v>
      </c>
      <c r="AF75" s="243">
        <v>0.3</v>
      </c>
    </row>
    <row r="76" spans="2:32" s="462" customFormat="1">
      <c r="B76" s="463"/>
      <c r="C76" s="1250"/>
      <c r="D76" s="160"/>
      <c r="E76" s="1055"/>
      <c r="F76" s="1030"/>
      <c r="G76" s="243"/>
      <c r="H76" s="243"/>
      <c r="I76" s="243"/>
      <c r="J76" s="243"/>
      <c r="K76" s="243"/>
      <c r="L76" s="243"/>
      <c r="M76" s="243"/>
      <c r="N76" s="243"/>
      <c r="O76" s="243"/>
      <c r="P76" s="243"/>
      <c r="Q76" s="243"/>
      <c r="R76" s="243"/>
      <c r="S76" s="243"/>
      <c r="T76" s="243"/>
      <c r="U76" s="243"/>
      <c r="V76" s="243"/>
      <c r="W76" s="243"/>
      <c r="X76" s="243"/>
      <c r="Y76" s="243"/>
      <c r="Z76" s="243"/>
      <c r="AA76" s="243"/>
      <c r="AB76" s="243"/>
      <c r="AC76" s="243"/>
      <c r="AD76" s="243"/>
      <c r="AE76" s="243"/>
      <c r="AF76" s="243"/>
    </row>
    <row r="77" spans="2:32" s="462" customFormat="1">
      <c r="B77" s="463"/>
      <c r="C77" s="1250"/>
      <c r="D77" s="160"/>
      <c r="E77" s="1055"/>
      <c r="F77" s="1030"/>
      <c r="G77" s="243"/>
      <c r="H77" s="243"/>
      <c r="I77" s="243"/>
      <c r="J77" s="243"/>
      <c r="K77" s="243"/>
      <c r="L77" s="243"/>
      <c r="M77" s="243"/>
      <c r="N77" s="243"/>
      <c r="O77" s="243"/>
      <c r="P77" s="243"/>
      <c r="Q77" s="243"/>
      <c r="R77" s="243"/>
      <c r="S77" s="243"/>
      <c r="T77" s="243"/>
      <c r="U77" s="243"/>
      <c r="V77" s="243"/>
      <c r="W77" s="243"/>
      <c r="X77" s="243"/>
      <c r="Y77" s="243"/>
      <c r="Z77" s="243"/>
      <c r="AA77" s="243"/>
      <c r="AB77" s="243"/>
      <c r="AC77" s="243"/>
      <c r="AD77" s="243"/>
      <c r="AE77" s="243"/>
      <c r="AF77" s="243"/>
    </row>
    <row r="78" spans="2:32" s="462" customFormat="1">
      <c r="B78" s="463"/>
      <c r="C78" s="1250"/>
      <c r="D78" s="160"/>
      <c r="E78" s="1055"/>
      <c r="F78" s="1030"/>
      <c r="G78" s="243"/>
      <c r="H78" s="243"/>
      <c r="I78" s="243"/>
      <c r="J78" s="243"/>
      <c r="K78" s="243"/>
      <c r="L78" s="243"/>
      <c r="M78" s="243"/>
      <c r="N78" s="243"/>
      <c r="O78" s="243"/>
      <c r="P78" s="243"/>
      <c r="Q78" s="243"/>
      <c r="R78" s="243"/>
      <c r="S78" s="243"/>
      <c r="T78" s="243"/>
      <c r="U78" s="243"/>
      <c r="V78" s="243"/>
      <c r="W78" s="243"/>
      <c r="X78" s="243"/>
      <c r="Y78" s="243"/>
      <c r="Z78" s="243"/>
      <c r="AA78" s="243"/>
      <c r="AB78" s="243"/>
      <c r="AC78" s="243"/>
      <c r="AD78" s="243"/>
      <c r="AE78" s="243"/>
      <c r="AF78" s="243"/>
    </row>
    <row r="79" spans="2:32" s="462" customFormat="1">
      <c r="B79" s="463"/>
      <c r="C79" s="1250"/>
      <c r="D79" s="160"/>
      <c r="E79" s="1055"/>
      <c r="F79" s="1030"/>
      <c r="G79" s="243"/>
      <c r="H79" s="243"/>
      <c r="I79" s="243"/>
      <c r="J79" s="243"/>
      <c r="K79" s="243"/>
      <c r="L79" s="243"/>
      <c r="M79" s="243"/>
      <c r="N79" s="243"/>
      <c r="O79" s="243"/>
      <c r="P79" s="243"/>
      <c r="Q79" s="243"/>
      <c r="R79" s="243"/>
      <c r="S79" s="243"/>
      <c r="T79" s="243"/>
      <c r="U79" s="243"/>
      <c r="V79" s="243"/>
      <c r="W79" s="243"/>
      <c r="X79" s="243"/>
      <c r="Y79" s="243"/>
      <c r="Z79" s="243"/>
      <c r="AA79" s="243"/>
      <c r="AB79" s="243"/>
      <c r="AC79" s="243"/>
      <c r="AD79" s="243"/>
      <c r="AE79" s="243"/>
      <c r="AF79" s="243"/>
    </row>
    <row r="80" spans="2:32" s="462" customFormat="1">
      <c r="B80" s="463"/>
      <c r="C80" s="1250"/>
      <c r="D80" s="160"/>
      <c r="E80" s="1055"/>
      <c r="F80" s="1030"/>
      <c r="G80" s="243"/>
      <c r="H80" s="243"/>
      <c r="I80" s="243"/>
      <c r="J80" s="243"/>
      <c r="K80" s="243"/>
      <c r="L80" s="243"/>
      <c r="M80" s="243"/>
      <c r="N80" s="243"/>
      <c r="O80" s="243"/>
      <c r="P80" s="243"/>
      <c r="Q80" s="243"/>
      <c r="R80" s="243"/>
      <c r="S80" s="243"/>
      <c r="T80" s="243"/>
      <c r="U80" s="243"/>
      <c r="V80" s="243"/>
      <c r="W80" s="243"/>
      <c r="X80" s="243"/>
      <c r="Y80" s="243"/>
      <c r="Z80" s="243"/>
      <c r="AA80" s="243"/>
      <c r="AB80" s="243"/>
      <c r="AC80" s="243"/>
      <c r="AD80" s="243"/>
      <c r="AE80" s="243"/>
      <c r="AF80" s="243"/>
    </row>
    <row r="81" spans="1:32" s="462" customFormat="1">
      <c r="B81" s="463"/>
      <c r="C81" s="1250"/>
      <c r="D81" s="160"/>
      <c r="E81" s="1055"/>
      <c r="F81" s="1030"/>
      <c r="G81" s="243"/>
      <c r="H81" s="243"/>
      <c r="I81" s="243"/>
      <c r="J81" s="243"/>
      <c r="K81" s="243"/>
      <c r="L81" s="243"/>
      <c r="M81" s="243"/>
      <c r="N81" s="243"/>
      <c r="O81" s="243"/>
      <c r="P81" s="243"/>
      <c r="Q81" s="243"/>
      <c r="R81" s="243"/>
      <c r="S81" s="243"/>
      <c r="T81" s="243"/>
      <c r="U81" s="243"/>
      <c r="V81" s="243"/>
      <c r="W81" s="243"/>
      <c r="X81" s="243"/>
      <c r="Y81" s="243"/>
      <c r="Z81" s="243"/>
      <c r="AA81" s="243"/>
      <c r="AB81" s="243"/>
      <c r="AC81" s="243"/>
      <c r="AD81" s="243"/>
      <c r="AE81" s="243"/>
      <c r="AF81" s="243"/>
    </row>
    <row r="82" spans="1:32" s="462" customFormat="1">
      <c r="B82" s="463"/>
      <c r="C82" s="1250"/>
      <c r="D82" s="160"/>
      <c r="E82" s="1055"/>
      <c r="F82" s="1030"/>
      <c r="G82" s="243"/>
      <c r="H82" s="243"/>
      <c r="I82" s="243"/>
      <c r="J82" s="243"/>
      <c r="K82" s="243"/>
      <c r="L82" s="243"/>
      <c r="M82" s="243"/>
      <c r="N82" s="243"/>
      <c r="O82" s="243"/>
      <c r="P82" s="243"/>
      <c r="Q82" s="243"/>
      <c r="R82" s="243"/>
      <c r="S82" s="243"/>
      <c r="T82" s="243"/>
      <c r="U82" s="243"/>
      <c r="V82" s="243"/>
      <c r="W82" s="243"/>
      <c r="X82" s="243"/>
      <c r="Y82" s="243"/>
      <c r="Z82" s="243"/>
      <c r="AA82" s="243"/>
      <c r="AB82" s="243"/>
      <c r="AC82" s="243"/>
      <c r="AD82" s="243"/>
      <c r="AE82" s="243"/>
      <c r="AF82" s="243"/>
    </row>
    <row r="83" spans="1:32" s="462" customFormat="1">
      <c r="B83" s="463"/>
      <c r="C83" s="1250"/>
      <c r="D83" s="160"/>
      <c r="E83" s="1055"/>
      <c r="F83" s="1030"/>
      <c r="G83" s="243"/>
      <c r="H83" s="243"/>
      <c r="I83" s="243"/>
      <c r="J83" s="243"/>
      <c r="K83" s="243"/>
      <c r="L83" s="243"/>
      <c r="M83" s="243"/>
      <c r="N83" s="243"/>
      <c r="O83" s="243"/>
      <c r="P83" s="243"/>
      <c r="Q83" s="243"/>
      <c r="R83" s="243"/>
      <c r="S83" s="243"/>
      <c r="T83" s="243"/>
      <c r="U83" s="243"/>
      <c r="V83" s="243"/>
      <c r="W83" s="243"/>
      <c r="X83" s="243"/>
      <c r="Y83" s="243"/>
      <c r="Z83" s="243"/>
      <c r="AA83" s="243"/>
      <c r="AB83" s="243"/>
      <c r="AC83" s="243"/>
      <c r="AD83" s="243"/>
      <c r="AE83" s="243"/>
      <c r="AF83" s="243"/>
    </row>
    <row r="84" spans="1:32" s="462" customFormat="1">
      <c r="B84" s="463"/>
      <c r="C84" s="1250"/>
      <c r="D84" s="160"/>
      <c r="E84" s="1055"/>
      <c r="F84" s="1030"/>
      <c r="G84" s="243"/>
      <c r="H84" s="243"/>
      <c r="I84" s="243"/>
      <c r="J84" s="243"/>
      <c r="K84" s="243"/>
      <c r="L84" s="243"/>
      <c r="M84" s="243"/>
      <c r="N84" s="243"/>
      <c r="O84" s="243"/>
      <c r="P84" s="243"/>
      <c r="Q84" s="243"/>
      <c r="R84" s="243"/>
      <c r="S84" s="243"/>
      <c r="T84" s="243"/>
      <c r="U84" s="243"/>
      <c r="V84" s="243"/>
      <c r="W84" s="243"/>
      <c r="X84" s="243"/>
      <c r="Y84" s="243"/>
      <c r="Z84" s="243"/>
      <c r="AA84" s="243"/>
      <c r="AB84" s="243"/>
      <c r="AC84" s="243"/>
      <c r="AD84" s="243"/>
      <c r="AE84" s="243"/>
      <c r="AF84" s="243"/>
    </row>
    <row r="85" spans="1:32" s="462" customFormat="1">
      <c r="B85" s="463"/>
      <c r="C85" s="1250"/>
      <c r="D85" s="160"/>
      <c r="E85" s="1055"/>
      <c r="F85" s="1030"/>
      <c r="G85" s="243"/>
      <c r="H85" s="243"/>
      <c r="I85" s="243"/>
      <c r="J85" s="243"/>
      <c r="K85" s="243"/>
      <c r="L85" s="243"/>
      <c r="M85" s="243"/>
      <c r="N85" s="243"/>
      <c r="O85" s="243"/>
      <c r="P85" s="243"/>
      <c r="Q85" s="243"/>
      <c r="R85" s="243"/>
      <c r="S85" s="243"/>
      <c r="T85" s="243"/>
      <c r="U85" s="243"/>
      <c r="V85" s="243"/>
      <c r="W85" s="243"/>
      <c r="X85" s="243"/>
      <c r="Y85" s="243"/>
      <c r="Z85" s="243"/>
      <c r="AA85" s="243"/>
      <c r="AB85" s="243"/>
      <c r="AC85" s="243"/>
      <c r="AD85" s="243"/>
      <c r="AE85" s="243"/>
      <c r="AF85" s="243"/>
    </row>
    <row r="86" spans="1:32" s="462" customFormat="1">
      <c r="B86" s="463"/>
      <c r="C86" s="1250"/>
      <c r="D86" s="160"/>
      <c r="E86" s="1055"/>
      <c r="F86" s="1030"/>
      <c r="G86" s="243"/>
      <c r="H86" s="243"/>
      <c r="I86" s="243"/>
      <c r="J86" s="243"/>
      <c r="K86" s="243"/>
      <c r="L86" s="243"/>
      <c r="M86" s="243"/>
      <c r="N86" s="243"/>
      <c r="O86" s="243"/>
      <c r="P86" s="243"/>
      <c r="Q86" s="243"/>
      <c r="R86" s="243"/>
      <c r="S86" s="243"/>
      <c r="T86" s="243"/>
      <c r="U86" s="243"/>
      <c r="V86" s="243"/>
      <c r="W86" s="243"/>
      <c r="X86" s="243"/>
      <c r="Y86" s="243"/>
      <c r="Z86" s="243"/>
      <c r="AA86" s="243"/>
      <c r="AB86" s="243"/>
      <c r="AC86" s="243"/>
      <c r="AD86" s="243"/>
      <c r="AE86" s="243"/>
      <c r="AF86" s="243"/>
    </row>
    <row r="87" spans="1:32" s="462" customFormat="1">
      <c r="B87" s="463"/>
      <c r="C87" s="1250"/>
      <c r="D87" s="160"/>
      <c r="E87" s="1055"/>
      <c r="F87" s="1030"/>
      <c r="G87" s="243"/>
      <c r="H87" s="243"/>
      <c r="I87" s="243"/>
      <c r="J87" s="243"/>
      <c r="K87" s="243"/>
      <c r="L87" s="243"/>
      <c r="M87" s="243"/>
      <c r="N87" s="243"/>
      <c r="O87" s="243"/>
      <c r="P87" s="243"/>
      <c r="Q87" s="243"/>
      <c r="R87" s="243"/>
      <c r="S87" s="243"/>
      <c r="T87" s="243"/>
      <c r="U87" s="243"/>
      <c r="V87" s="243"/>
      <c r="W87" s="243"/>
      <c r="X87" s="243"/>
      <c r="Y87" s="243"/>
      <c r="Z87" s="243"/>
      <c r="AA87" s="243"/>
      <c r="AB87" s="243"/>
      <c r="AC87" s="243"/>
      <c r="AD87" s="243"/>
      <c r="AE87" s="243"/>
      <c r="AF87" s="243"/>
    </row>
    <row r="88" spans="1:32" s="462" customFormat="1">
      <c r="B88" s="463"/>
      <c r="C88" s="1250"/>
      <c r="D88" s="160"/>
      <c r="E88" s="1055"/>
      <c r="F88" s="1030"/>
      <c r="G88" s="243"/>
      <c r="H88" s="243"/>
      <c r="I88" s="243"/>
      <c r="J88" s="243"/>
      <c r="K88" s="243"/>
      <c r="L88" s="243"/>
      <c r="M88" s="243"/>
      <c r="N88" s="243"/>
      <c r="O88" s="243"/>
      <c r="P88" s="243"/>
      <c r="Q88" s="243"/>
      <c r="R88" s="243"/>
      <c r="S88" s="243"/>
      <c r="T88" s="243"/>
      <c r="U88" s="243"/>
      <c r="V88" s="243"/>
      <c r="W88" s="243"/>
      <c r="X88" s="243"/>
      <c r="Y88" s="243"/>
      <c r="Z88" s="243"/>
      <c r="AA88" s="243"/>
      <c r="AB88" s="243"/>
      <c r="AC88" s="243"/>
      <c r="AD88" s="243"/>
      <c r="AE88" s="243"/>
      <c r="AF88" s="243"/>
    </row>
    <row r="89" spans="1:32" s="462" customFormat="1">
      <c r="B89" s="464"/>
      <c r="C89" s="1250"/>
      <c r="D89" s="160"/>
      <c r="E89" s="1055"/>
      <c r="F89" s="1030"/>
      <c r="G89" s="243"/>
      <c r="H89" s="243"/>
      <c r="I89" s="243"/>
      <c r="J89" s="243"/>
      <c r="K89" s="243"/>
      <c r="L89" s="243"/>
      <c r="M89" s="243"/>
      <c r="N89" s="243"/>
      <c r="O89" s="243"/>
      <c r="P89" s="243"/>
      <c r="Q89" s="243"/>
      <c r="R89" s="243"/>
      <c r="S89" s="243"/>
      <c r="T89" s="243"/>
      <c r="U89" s="243"/>
      <c r="V89" s="243"/>
      <c r="W89" s="243"/>
      <c r="X89" s="243"/>
      <c r="Y89" s="243"/>
      <c r="Z89" s="243"/>
      <c r="AA89" s="243"/>
      <c r="AB89" s="243"/>
      <c r="AC89" s="243"/>
      <c r="AD89" s="243"/>
      <c r="AE89" s="243"/>
      <c r="AF89" s="243"/>
    </row>
    <row r="90" spans="1:32">
      <c r="C90" s="47"/>
      <c r="D90" s="46"/>
      <c r="E90" s="1033"/>
      <c r="F90" s="1046"/>
      <c r="G90" s="250"/>
      <c r="H90" s="250"/>
      <c r="I90" s="250"/>
      <c r="J90" s="250"/>
      <c r="K90" s="250"/>
      <c r="L90" s="250"/>
      <c r="M90" s="250"/>
      <c r="N90" s="250"/>
      <c r="O90" s="250"/>
      <c r="P90" s="250"/>
      <c r="Q90" s="250"/>
      <c r="R90" s="250"/>
      <c r="S90" s="250"/>
      <c r="T90" s="250"/>
      <c r="U90" s="250"/>
      <c r="V90" s="250"/>
      <c r="W90" s="250"/>
      <c r="X90" s="250"/>
      <c r="Y90" s="250"/>
      <c r="Z90" s="250"/>
      <c r="AA90" s="250"/>
      <c r="AB90" s="250"/>
      <c r="AC90" s="250"/>
      <c r="AD90" s="250"/>
      <c r="AE90" s="250"/>
      <c r="AF90" s="250"/>
    </row>
    <row r="91" spans="1:32" ht="52.8">
      <c r="B91" s="166" t="s">
        <v>10</v>
      </c>
      <c r="C91" s="1249" t="s">
        <v>409</v>
      </c>
      <c r="D91" s="51" t="s">
        <v>300</v>
      </c>
      <c r="E91" s="1052" t="s">
        <v>175</v>
      </c>
      <c r="F91" s="1046" t="s">
        <v>464</v>
      </c>
      <c r="G91" s="241">
        <v>0</v>
      </c>
      <c r="H91" s="1144">
        <v>0</v>
      </c>
      <c r="I91" s="1144">
        <v>1.1799999999999998E-2</v>
      </c>
      <c r="J91" s="1144">
        <v>1.132E-2</v>
      </c>
      <c r="K91" s="1144">
        <v>3.7300000000000041E-3</v>
      </c>
      <c r="L91" s="241">
        <v>0</v>
      </c>
      <c r="M91" s="241">
        <v>4.9999999999999984E-3</v>
      </c>
      <c r="N91" s="241">
        <v>2E-3</v>
      </c>
      <c r="O91" s="241">
        <v>5.0000000000000001E-3</v>
      </c>
      <c r="P91" s="241">
        <v>4.0000000000000001E-3</v>
      </c>
      <c r="Q91" s="241">
        <v>5.0000000000000001E-3</v>
      </c>
      <c r="R91" s="241">
        <v>8.9999999999999993E-3</v>
      </c>
      <c r="S91" s="241">
        <v>2.5000000000000001E-2</v>
      </c>
      <c r="T91" s="241">
        <v>1.4E-2</v>
      </c>
      <c r="U91" s="241">
        <v>6.0000000000000001E-3</v>
      </c>
      <c r="V91" s="241">
        <v>6.0000000000000001E-3</v>
      </c>
      <c r="W91" s="241">
        <v>0.01</v>
      </c>
      <c r="X91" s="241">
        <v>0.01</v>
      </c>
      <c r="Y91" s="241">
        <v>0.01</v>
      </c>
      <c r="Z91" s="241">
        <v>0.01</v>
      </c>
      <c r="AA91" s="241">
        <v>0.01</v>
      </c>
      <c r="AB91" s="241">
        <v>0.01</v>
      </c>
      <c r="AC91" s="241">
        <v>0.01</v>
      </c>
      <c r="AD91" s="241">
        <v>0.01</v>
      </c>
      <c r="AE91" s="241">
        <v>0.01</v>
      </c>
      <c r="AF91" s="241">
        <v>0.01</v>
      </c>
    </row>
    <row r="92" spans="1:32" s="462" customFormat="1">
      <c r="A92" s="9"/>
      <c r="B92" s="63"/>
      <c r="C92" s="81"/>
      <c r="D92" s="53"/>
      <c r="E92" s="1053"/>
      <c r="F92" s="1047"/>
      <c r="G92" s="242"/>
      <c r="H92" s="242"/>
      <c r="I92" s="242"/>
      <c r="J92" s="242"/>
      <c r="K92" s="242"/>
      <c r="L92" s="242"/>
      <c r="M92" s="242"/>
      <c r="N92" s="242"/>
      <c r="O92" s="242"/>
      <c r="P92" s="242"/>
      <c r="Q92" s="242"/>
      <c r="R92" s="242"/>
      <c r="S92" s="242"/>
      <c r="T92" s="242"/>
      <c r="U92" s="242"/>
      <c r="V92" s="242"/>
      <c r="W92" s="242"/>
      <c r="X92" s="242"/>
      <c r="Y92" s="242"/>
      <c r="Z92" s="242"/>
      <c r="AA92" s="242"/>
      <c r="AB92" s="242"/>
      <c r="AC92" s="242"/>
      <c r="AD92" s="242"/>
      <c r="AE92" s="242"/>
      <c r="AF92" s="242"/>
    </row>
    <row r="93" spans="1:32" s="462" customFormat="1">
      <c r="A93" s="9"/>
      <c r="B93" s="63"/>
      <c r="C93" s="81" t="s">
        <v>410</v>
      </c>
      <c r="D93" s="53" t="s">
        <v>48</v>
      </c>
      <c r="E93" s="1053" t="s">
        <v>178</v>
      </c>
      <c r="F93" s="1047"/>
      <c r="G93" s="242"/>
      <c r="H93" s="242"/>
      <c r="I93" s="242"/>
      <c r="J93" s="242"/>
      <c r="K93" s="242"/>
      <c r="L93" s="242"/>
      <c r="M93" s="242"/>
      <c r="N93" s="242"/>
      <c r="O93" s="242"/>
      <c r="P93" s="242"/>
      <c r="Q93" s="242">
        <v>0</v>
      </c>
      <c r="R93" s="242">
        <v>0</v>
      </c>
      <c r="S93" s="242">
        <v>0</v>
      </c>
      <c r="T93" s="242">
        <v>0</v>
      </c>
      <c r="U93" s="242">
        <v>0</v>
      </c>
      <c r="V93" s="242">
        <v>0</v>
      </c>
      <c r="W93" s="242">
        <v>0</v>
      </c>
      <c r="X93" s="242">
        <v>0</v>
      </c>
      <c r="Y93" s="242">
        <v>0</v>
      </c>
      <c r="Z93" s="242">
        <v>0</v>
      </c>
      <c r="AA93" s="242">
        <v>0</v>
      </c>
      <c r="AB93" s="242">
        <v>0</v>
      </c>
      <c r="AC93" s="242">
        <v>0</v>
      </c>
      <c r="AD93" s="242">
        <v>0</v>
      </c>
      <c r="AE93" s="242">
        <v>0</v>
      </c>
      <c r="AF93" s="242">
        <v>0</v>
      </c>
    </row>
    <row r="94" spans="1:32" s="462" customFormat="1">
      <c r="A94" s="9"/>
      <c r="B94" s="63"/>
      <c r="C94" s="81"/>
      <c r="D94" s="53"/>
      <c r="E94" s="1053"/>
      <c r="F94" s="1047"/>
      <c r="G94" s="242"/>
      <c r="H94" s="242"/>
      <c r="I94" s="242"/>
      <c r="J94" s="242"/>
      <c r="K94" s="242"/>
      <c r="L94" s="242"/>
      <c r="M94" s="242"/>
      <c r="N94" s="242"/>
      <c r="O94" s="242"/>
      <c r="P94" s="242"/>
      <c r="Q94" s="242"/>
      <c r="R94" s="242"/>
      <c r="S94" s="242"/>
      <c r="T94" s="242"/>
      <c r="U94" s="242"/>
      <c r="V94" s="242"/>
      <c r="W94" s="242"/>
      <c r="X94" s="242"/>
      <c r="Y94" s="242"/>
      <c r="Z94" s="242"/>
      <c r="AA94" s="242"/>
      <c r="AB94" s="242"/>
      <c r="AC94" s="242"/>
      <c r="AD94" s="242"/>
      <c r="AE94" s="242"/>
      <c r="AF94" s="242"/>
    </row>
    <row r="95" spans="1:32" s="462" customFormat="1">
      <c r="A95" s="9"/>
      <c r="B95" s="63"/>
      <c r="C95" s="81"/>
      <c r="D95" s="53"/>
      <c r="E95" s="1053"/>
      <c r="F95" s="1047"/>
      <c r="G95" s="242"/>
      <c r="H95" s="242"/>
      <c r="I95" s="242"/>
      <c r="J95" s="242"/>
      <c r="K95" s="242"/>
      <c r="L95" s="242"/>
      <c r="M95" s="242"/>
      <c r="N95" s="242"/>
      <c r="O95" s="242"/>
      <c r="P95" s="242"/>
      <c r="Q95" s="242"/>
      <c r="R95" s="242"/>
      <c r="S95" s="242"/>
      <c r="T95" s="242"/>
      <c r="U95" s="242"/>
      <c r="V95" s="242"/>
      <c r="W95" s="242"/>
      <c r="X95" s="242"/>
      <c r="Y95" s="242"/>
      <c r="Z95" s="242"/>
      <c r="AA95" s="242"/>
      <c r="AB95" s="242"/>
      <c r="AC95" s="242"/>
      <c r="AD95" s="242"/>
      <c r="AE95" s="242"/>
      <c r="AF95" s="242"/>
    </row>
    <row r="96" spans="1:32" s="462" customFormat="1">
      <c r="A96" s="9"/>
      <c r="B96" s="63"/>
      <c r="C96" s="81"/>
      <c r="D96" s="53"/>
      <c r="E96" s="1053"/>
      <c r="F96" s="1047"/>
      <c r="G96" s="242"/>
      <c r="H96" s="242"/>
      <c r="I96" s="242"/>
      <c r="J96" s="242"/>
      <c r="K96" s="242"/>
      <c r="L96" s="242"/>
      <c r="M96" s="242"/>
      <c r="N96" s="242"/>
      <c r="O96" s="242"/>
      <c r="P96" s="242"/>
      <c r="Q96" s="242"/>
      <c r="R96" s="242"/>
      <c r="S96" s="242"/>
      <c r="T96" s="242"/>
      <c r="U96" s="242"/>
      <c r="V96" s="242"/>
      <c r="W96" s="242"/>
      <c r="X96" s="242"/>
      <c r="Y96" s="242"/>
      <c r="Z96" s="242"/>
      <c r="AA96" s="242"/>
      <c r="AB96" s="242"/>
      <c r="AC96" s="242"/>
      <c r="AD96" s="242"/>
      <c r="AE96" s="242"/>
      <c r="AF96" s="242"/>
    </row>
    <row r="97" spans="1:32" ht="39.6">
      <c r="B97" s="63"/>
      <c r="C97" s="63" t="s">
        <v>411</v>
      </c>
      <c r="D97" s="322" t="s">
        <v>300</v>
      </c>
      <c r="E97" s="487" t="s">
        <v>224</v>
      </c>
      <c r="F97" s="1049" t="s">
        <v>461</v>
      </c>
      <c r="G97" s="242"/>
      <c r="H97" s="242"/>
      <c r="I97" s="242"/>
      <c r="J97" s="242"/>
      <c r="K97" s="242"/>
      <c r="L97" s="242"/>
      <c r="M97" s="242"/>
      <c r="N97" s="242"/>
      <c r="O97" s="242"/>
      <c r="P97" s="242"/>
      <c r="Q97" s="242">
        <v>4.0000000000000001E-3</v>
      </c>
      <c r="R97" s="242">
        <v>0.01</v>
      </c>
      <c r="S97" s="242">
        <v>3.3000000000000002E-2</v>
      </c>
      <c r="T97" s="242">
        <v>1.7999999999999999E-2</v>
      </c>
      <c r="U97" s="242">
        <v>8.0000000000000002E-3</v>
      </c>
      <c r="V97" s="242">
        <v>8.0000000000000002E-3</v>
      </c>
      <c r="W97" s="242">
        <f t="shared" ref="W97:AF98" si="5">W$91</f>
        <v>0.01</v>
      </c>
      <c r="X97" s="242">
        <f t="shared" si="5"/>
        <v>0.01</v>
      </c>
      <c r="Y97" s="242">
        <f t="shared" si="5"/>
        <v>0.01</v>
      </c>
      <c r="Z97" s="242">
        <f t="shared" si="5"/>
        <v>0.01</v>
      </c>
      <c r="AA97" s="242">
        <f t="shared" si="5"/>
        <v>0.01</v>
      </c>
      <c r="AB97" s="242">
        <f t="shared" si="5"/>
        <v>0.01</v>
      </c>
      <c r="AC97" s="242">
        <f t="shared" si="5"/>
        <v>0.01</v>
      </c>
      <c r="AD97" s="242">
        <f t="shared" si="5"/>
        <v>0.01</v>
      </c>
      <c r="AE97" s="242">
        <f t="shared" si="5"/>
        <v>0.01</v>
      </c>
      <c r="AF97" s="242">
        <f t="shared" si="5"/>
        <v>0.01</v>
      </c>
    </row>
    <row r="98" spans="1:32" ht="39.6">
      <c r="B98" s="63"/>
      <c r="C98" s="63" t="s">
        <v>412</v>
      </c>
      <c r="D98" s="322" t="s">
        <v>300</v>
      </c>
      <c r="E98" s="487" t="s">
        <v>225</v>
      </c>
      <c r="F98" s="1049" t="s">
        <v>462</v>
      </c>
      <c r="G98" s="242"/>
      <c r="H98" s="242"/>
      <c r="I98" s="242"/>
      <c r="J98" s="242"/>
      <c r="K98" s="242"/>
      <c r="L98" s="242"/>
      <c r="M98" s="242"/>
      <c r="N98" s="242"/>
      <c r="O98" s="242"/>
      <c r="P98" s="242"/>
      <c r="Q98" s="242">
        <v>4.0000000000000001E-3</v>
      </c>
      <c r="R98" s="242">
        <v>8.0000000000000002E-3</v>
      </c>
      <c r="S98" s="242">
        <v>1.7000000000000001E-2</v>
      </c>
      <c r="T98" s="242">
        <v>0.01</v>
      </c>
      <c r="U98" s="242">
        <v>4.0000000000000001E-3</v>
      </c>
      <c r="V98" s="242">
        <v>4.0000000000000001E-3</v>
      </c>
      <c r="W98" s="242">
        <f t="shared" si="5"/>
        <v>0.01</v>
      </c>
      <c r="X98" s="242">
        <f t="shared" si="5"/>
        <v>0.01</v>
      </c>
      <c r="Y98" s="242">
        <f t="shared" si="5"/>
        <v>0.01</v>
      </c>
      <c r="Z98" s="242">
        <f t="shared" si="5"/>
        <v>0.01</v>
      </c>
      <c r="AA98" s="242">
        <f t="shared" si="5"/>
        <v>0.01</v>
      </c>
      <c r="AB98" s="242">
        <f t="shared" si="5"/>
        <v>0.01</v>
      </c>
      <c r="AC98" s="242">
        <f t="shared" si="5"/>
        <v>0.01</v>
      </c>
      <c r="AD98" s="242">
        <f t="shared" si="5"/>
        <v>0.01</v>
      </c>
      <c r="AE98" s="242">
        <f t="shared" si="5"/>
        <v>0.01</v>
      </c>
      <c r="AF98" s="242">
        <f t="shared" si="5"/>
        <v>0.01</v>
      </c>
    </row>
    <row r="99" spans="1:32">
      <c r="A99" s="462"/>
      <c r="B99" s="463"/>
      <c r="C99" s="463"/>
      <c r="D99" s="162"/>
      <c r="E99" s="1185"/>
      <c r="F99" s="1186"/>
      <c r="G99" s="243"/>
      <c r="H99" s="243"/>
      <c r="I99" s="243"/>
      <c r="J99" s="243"/>
      <c r="K99" s="243"/>
      <c r="L99" s="243"/>
      <c r="M99" s="243"/>
      <c r="N99" s="243"/>
      <c r="O99" s="243"/>
      <c r="P99" s="243"/>
      <c r="Q99" s="243"/>
      <c r="R99" s="243"/>
      <c r="S99" s="243"/>
      <c r="T99" s="243"/>
      <c r="U99" s="243"/>
      <c r="V99" s="243"/>
      <c r="W99" s="243"/>
      <c r="X99" s="243"/>
      <c r="Y99" s="243"/>
      <c r="Z99" s="243"/>
      <c r="AA99" s="243"/>
      <c r="AB99" s="243"/>
      <c r="AC99" s="243"/>
      <c r="AD99" s="243"/>
      <c r="AE99" s="243"/>
      <c r="AF99" s="243"/>
    </row>
    <row r="100" spans="1:32" s="462" customFormat="1">
      <c r="B100" s="463"/>
      <c r="C100" s="1250"/>
      <c r="D100" s="160"/>
      <c r="E100" s="1055"/>
      <c r="F100" s="1030"/>
      <c r="G100" s="243"/>
      <c r="H100" s="243"/>
      <c r="I100" s="243"/>
      <c r="J100" s="243"/>
      <c r="K100" s="243"/>
      <c r="L100" s="243"/>
      <c r="M100" s="243"/>
      <c r="N100" s="243"/>
      <c r="O100" s="243"/>
      <c r="P100" s="243"/>
      <c r="Q100" s="243"/>
      <c r="R100" s="243"/>
      <c r="S100" s="243"/>
      <c r="T100" s="243"/>
      <c r="U100" s="243"/>
      <c r="V100" s="243"/>
      <c r="W100" s="243"/>
      <c r="X100" s="243"/>
      <c r="Y100" s="243"/>
      <c r="Z100" s="243"/>
      <c r="AA100" s="243"/>
      <c r="AB100" s="243"/>
      <c r="AC100" s="243"/>
      <c r="AD100" s="243"/>
      <c r="AE100" s="243"/>
      <c r="AF100" s="243"/>
    </row>
    <row r="101" spans="1:32" s="462" customFormat="1">
      <c r="B101" s="463"/>
      <c r="C101" s="1250"/>
      <c r="D101" s="160"/>
      <c r="E101" s="1055"/>
      <c r="F101" s="1030"/>
      <c r="G101" s="243"/>
      <c r="H101" s="243"/>
      <c r="I101" s="243"/>
      <c r="J101" s="243"/>
      <c r="K101" s="243"/>
      <c r="L101" s="243"/>
      <c r="M101" s="243"/>
      <c r="N101" s="243"/>
      <c r="O101" s="243"/>
      <c r="P101" s="243"/>
      <c r="Q101" s="243"/>
      <c r="R101" s="243"/>
      <c r="S101" s="243"/>
      <c r="T101" s="243"/>
      <c r="U101" s="243"/>
      <c r="V101" s="243"/>
      <c r="W101" s="243"/>
      <c r="X101" s="243"/>
      <c r="Y101" s="243"/>
      <c r="Z101" s="243"/>
      <c r="AA101" s="243"/>
      <c r="AB101" s="243"/>
      <c r="AC101" s="243"/>
      <c r="AD101" s="243"/>
      <c r="AE101" s="243"/>
      <c r="AF101" s="243"/>
    </row>
    <row r="102" spans="1:32" s="462" customFormat="1">
      <c r="B102" s="463"/>
      <c r="C102" s="1250"/>
      <c r="D102" s="160"/>
      <c r="E102" s="1055"/>
      <c r="F102" s="1030"/>
      <c r="G102" s="243"/>
      <c r="H102" s="243"/>
      <c r="I102" s="243"/>
      <c r="J102" s="243"/>
      <c r="K102" s="243"/>
      <c r="L102" s="243"/>
      <c r="M102" s="243"/>
      <c r="N102" s="243"/>
      <c r="O102" s="243"/>
      <c r="P102" s="243"/>
      <c r="Q102" s="243"/>
      <c r="R102" s="243"/>
      <c r="S102" s="243"/>
      <c r="T102" s="243"/>
      <c r="U102" s="243"/>
      <c r="V102" s="243"/>
      <c r="W102" s="243"/>
      <c r="X102" s="243"/>
      <c r="Y102" s="243"/>
      <c r="Z102" s="243"/>
      <c r="AA102" s="243"/>
      <c r="AB102" s="243"/>
      <c r="AC102" s="243"/>
      <c r="AD102" s="243"/>
      <c r="AE102" s="243"/>
      <c r="AF102" s="243"/>
    </row>
    <row r="103" spans="1:32" s="462" customFormat="1">
      <c r="B103" s="463"/>
      <c r="C103" s="1250"/>
      <c r="D103" s="160"/>
      <c r="E103" s="1055"/>
      <c r="F103" s="1030"/>
      <c r="G103" s="243"/>
      <c r="H103" s="243"/>
      <c r="I103" s="243"/>
      <c r="J103" s="243"/>
      <c r="K103" s="243"/>
      <c r="L103" s="243"/>
      <c r="M103" s="243"/>
      <c r="N103" s="243"/>
      <c r="O103" s="243"/>
      <c r="P103" s="243"/>
      <c r="Q103" s="243"/>
      <c r="R103" s="243"/>
      <c r="S103" s="243"/>
      <c r="T103" s="243"/>
      <c r="U103" s="243"/>
      <c r="V103" s="243"/>
      <c r="W103" s="243"/>
      <c r="X103" s="243"/>
      <c r="Y103" s="243"/>
      <c r="Z103" s="243"/>
      <c r="AA103" s="243"/>
      <c r="AB103" s="243"/>
      <c r="AC103" s="243"/>
      <c r="AD103" s="243"/>
      <c r="AE103" s="243"/>
      <c r="AF103" s="243"/>
    </row>
    <row r="104" spans="1:32" s="462" customFormat="1">
      <c r="B104" s="463"/>
      <c r="C104" s="1250"/>
      <c r="D104" s="160"/>
      <c r="E104" s="1055"/>
      <c r="F104" s="1030"/>
      <c r="G104" s="243"/>
      <c r="H104" s="243"/>
      <c r="I104" s="243"/>
      <c r="J104" s="243"/>
      <c r="K104" s="243"/>
      <c r="L104" s="243"/>
      <c r="M104" s="243"/>
      <c r="N104" s="243"/>
      <c r="O104" s="243"/>
      <c r="P104" s="243"/>
      <c r="Q104" s="243"/>
      <c r="R104" s="243"/>
      <c r="S104" s="243"/>
      <c r="T104" s="243"/>
      <c r="U104" s="243"/>
      <c r="V104" s="243"/>
      <c r="W104" s="243"/>
      <c r="X104" s="243"/>
      <c r="Y104" s="243"/>
      <c r="Z104" s="243"/>
      <c r="AA104" s="243"/>
      <c r="AB104" s="243"/>
      <c r="AC104" s="243"/>
      <c r="AD104" s="243"/>
      <c r="AE104" s="243"/>
      <c r="AF104" s="243"/>
    </row>
    <row r="105" spans="1:32" s="462" customFormat="1">
      <c r="B105" s="463"/>
      <c r="C105" s="1250"/>
      <c r="D105" s="160"/>
      <c r="E105" s="1055"/>
      <c r="F105" s="1030"/>
      <c r="G105" s="243"/>
      <c r="H105" s="243"/>
      <c r="I105" s="243"/>
      <c r="J105" s="243"/>
      <c r="K105" s="243"/>
      <c r="L105" s="243"/>
      <c r="M105" s="243"/>
      <c r="N105" s="243"/>
      <c r="O105" s="243"/>
      <c r="P105" s="243"/>
      <c r="Q105" s="243"/>
      <c r="R105" s="243"/>
      <c r="S105" s="243"/>
      <c r="T105" s="243"/>
      <c r="U105" s="243"/>
      <c r="V105" s="243"/>
      <c r="W105" s="243"/>
      <c r="X105" s="243"/>
      <c r="Y105" s="243"/>
      <c r="Z105" s="243"/>
      <c r="AA105" s="243"/>
      <c r="AB105" s="243"/>
      <c r="AC105" s="243"/>
      <c r="AD105" s="243"/>
      <c r="AE105" s="243"/>
      <c r="AF105" s="243"/>
    </row>
    <row r="106" spans="1:32" s="462" customFormat="1">
      <c r="B106" s="463"/>
      <c r="C106" s="1250"/>
      <c r="D106" s="160"/>
      <c r="E106" s="1055"/>
      <c r="F106" s="1030"/>
      <c r="G106" s="243"/>
      <c r="H106" s="243"/>
      <c r="I106" s="243"/>
      <c r="J106" s="243"/>
      <c r="K106" s="243"/>
      <c r="L106" s="243"/>
      <c r="M106" s="243"/>
      <c r="N106" s="243"/>
      <c r="O106" s="243"/>
      <c r="P106" s="243"/>
      <c r="Q106" s="243"/>
      <c r="R106" s="243"/>
      <c r="S106" s="243"/>
      <c r="T106" s="243"/>
      <c r="U106" s="243"/>
      <c r="V106" s="243"/>
      <c r="W106" s="243"/>
      <c r="X106" s="243"/>
      <c r="Y106" s="243"/>
      <c r="Z106" s="243"/>
      <c r="AA106" s="243"/>
      <c r="AB106" s="243"/>
      <c r="AC106" s="243"/>
      <c r="AD106" s="243"/>
      <c r="AE106" s="243"/>
      <c r="AF106" s="243"/>
    </row>
    <row r="107" spans="1:32" s="462" customFormat="1">
      <c r="B107" s="463"/>
      <c r="C107" s="1250"/>
      <c r="D107" s="160"/>
      <c r="E107" s="1055"/>
      <c r="F107" s="1030"/>
      <c r="G107" s="243"/>
      <c r="H107" s="243"/>
      <c r="I107" s="243"/>
      <c r="J107" s="243"/>
      <c r="K107" s="243"/>
      <c r="L107" s="243"/>
      <c r="M107" s="243"/>
      <c r="N107" s="243"/>
      <c r="O107" s="243"/>
      <c r="P107" s="243"/>
      <c r="Q107" s="243"/>
      <c r="R107" s="243"/>
      <c r="S107" s="243"/>
      <c r="T107" s="243"/>
      <c r="U107" s="243"/>
      <c r="V107" s="243"/>
      <c r="W107" s="243"/>
      <c r="X107" s="243"/>
      <c r="Y107" s="243"/>
      <c r="Z107" s="243"/>
      <c r="AA107" s="243"/>
      <c r="AB107" s="243"/>
      <c r="AC107" s="243"/>
      <c r="AD107" s="243"/>
      <c r="AE107" s="243"/>
      <c r="AF107" s="243"/>
    </row>
    <row r="108" spans="1:32" s="462" customFormat="1">
      <c r="B108" s="463"/>
      <c r="C108" s="1250"/>
      <c r="D108" s="160"/>
      <c r="E108" s="1055"/>
      <c r="F108" s="1030"/>
      <c r="G108" s="243"/>
      <c r="H108" s="243"/>
      <c r="I108" s="243"/>
      <c r="J108" s="243"/>
      <c r="K108" s="243"/>
      <c r="L108" s="243"/>
      <c r="M108" s="243"/>
      <c r="N108" s="243"/>
      <c r="O108" s="243"/>
      <c r="P108" s="243"/>
      <c r="Q108" s="243"/>
      <c r="R108" s="243"/>
      <c r="S108" s="243"/>
      <c r="T108" s="243"/>
      <c r="U108" s="243"/>
      <c r="V108" s="243"/>
      <c r="W108" s="243"/>
      <c r="X108" s="243"/>
      <c r="Y108" s="243"/>
      <c r="Z108" s="243"/>
      <c r="AA108" s="243"/>
      <c r="AB108" s="243"/>
      <c r="AC108" s="243"/>
      <c r="AD108" s="243"/>
      <c r="AE108" s="243"/>
      <c r="AF108" s="243"/>
    </row>
    <row r="109" spans="1:32" s="462" customFormat="1">
      <c r="B109" s="463"/>
      <c r="C109" s="1250"/>
      <c r="D109" s="160"/>
      <c r="E109" s="1055"/>
      <c r="F109" s="1030"/>
      <c r="G109" s="243"/>
      <c r="H109" s="243"/>
      <c r="I109" s="243"/>
      <c r="J109" s="243"/>
      <c r="K109" s="243"/>
      <c r="L109" s="243"/>
      <c r="M109" s="243"/>
      <c r="N109" s="243"/>
      <c r="O109" s="243"/>
      <c r="P109" s="243"/>
      <c r="Q109" s="243"/>
      <c r="R109" s="243"/>
      <c r="S109" s="243"/>
      <c r="T109" s="243"/>
      <c r="U109" s="243"/>
      <c r="V109" s="243"/>
      <c r="W109" s="243"/>
      <c r="X109" s="243"/>
      <c r="Y109" s="243"/>
      <c r="Z109" s="243"/>
      <c r="AA109" s="243"/>
      <c r="AB109" s="243"/>
      <c r="AC109" s="243"/>
      <c r="AD109" s="243"/>
      <c r="AE109" s="243"/>
      <c r="AF109" s="243"/>
    </row>
    <row r="110" spans="1:32" s="462" customFormat="1">
      <c r="B110" s="463"/>
      <c r="C110" s="1250"/>
      <c r="D110" s="160"/>
      <c r="E110" s="1055"/>
      <c r="F110" s="1030"/>
      <c r="G110" s="243"/>
      <c r="H110" s="243"/>
      <c r="I110" s="243"/>
      <c r="J110" s="243"/>
      <c r="K110" s="243"/>
      <c r="L110" s="243"/>
      <c r="M110" s="243"/>
      <c r="N110" s="243"/>
      <c r="O110" s="243"/>
      <c r="P110" s="243"/>
      <c r="Q110" s="243"/>
      <c r="R110" s="243"/>
      <c r="S110" s="243"/>
      <c r="T110" s="243"/>
      <c r="U110" s="243"/>
      <c r="V110" s="243"/>
      <c r="W110" s="243"/>
      <c r="X110" s="243"/>
      <c r="Y110" s="243"/>
      <c r="Z110" s="243"/>
      <c r="AA110" s="243"/>
      <c r="AB110" s="243"/>
      <c r="AC110" s="243"/>
      <c r="AD110" s="243"/>
      <c r="AE110" s="243"/>
      <c r="AF110" s="243"/>
    </row>
    <row r="111" spans="1:32" s="462" customFormat="1">
      <c r="B111" s="463"/>
      <c r="C111" s="1250"/>
      <c r="D111" s="160"/>
      <c r="E111" s="1055"/>
      <c r="F111" s="1030"/>
      <c r="G111" s="243"/>
      <c r="H111" s="243"/>
      <c r="I111" s="243"/>
      <c r="J111" s="243"/>
      <c r="K111" s="243"/>
      <c r="L111" s="243"/>
      <c r="M111" s="243"/>
      <c r="N111" s="243"/>
      <c r="O111" s="243"/>
      <c r="P111" s="243"/>
      <c r="Q111" s="243"/>
      <c r="R111" s="243"/>
      <c r="S111" s="243"/>
      <c r="T111" s="243"/>
      <c r="U111" s="243"/>
      <c r="V111" s="243"/>
      <c r="W111" s="243"/>
      <c r="X111" s="243"/>
      <c r="Y111" s="243"/>
      <c r="Z111" s="243"/>
      <c r="AA111" s="243"/>
      <c r="AB111" s="243"/>
      <c r="AC111" s="243"/>
      <c r="AD111" s="243"/>
      <c r="AE111" s="243"/>
      <c r="AF111" s="243"/>
    </row>
    <row r="112" spans="1:32" s="462" customFormat="1">
      <c r="B112" s="463"/>
      <c r="C112" s="1250"/>
      <c r="D112" s="160"/>
      <c r="E112" s="1055"/>
      <c r="F112" s="1030"/>
      <c r="G112" s="243"/>
      <c r="H112" s="243"/>
      <c r="I112" s="243"/>
      <c r="J112" s="243"/>
      <c r="K112" s="243"/>
      <c r="L112" s="243"/>
      <c r="M112" s="243"/>
      <c r="N112" s="243"/>
      <c r="O112" s="243"/>
      <c r="P112" s="243"/>
      <c r="Q112" s="243"/>
      <c r="R112" s="243"/>
      <c r="S112" s="243"/>
      <c r="T112" s="243"/>
      <c r="U112" s="243"/>
      <c r="V112" s="243"/>
      <c r="W112" s="243"/>
      <c r="X112" s="243"/>
      <c r="Y112" s="243"/>
      <c r="Z112" s="243"/>
      <c r="AA112" s="243"/>
      <c r="AB112" s="243"/>
      <c r="AC112" s="243"/>
      <c r="AD112" s="243"/>
      <c r="AE112" s="243"/>
      <c r="AF112" s="243"/>
    </row>
    <row r="113" spans="2:35" s="462" customFormat="1">
      <c r="B113" s="463"/>
      <c r="C113" s="1250"/>
      <c r="D113" s="160"/>
      <c r="E113" s="1055"/>
      <c r="F113" s="1030"/>
      <c r="G113" s="243"/>
      <c r="H113" s="243"/>
      <c r="I113" s="243"/>
      <c r="J113" s="243"/>
      <c r="K113" s="243"/>
      <c r="L113" s="243"/>
      <c r="M113" s="243"/>
      <c r="N113" s="243"/>
      <c r="O113" s="243"/>
      <c r="P113" s="243"/>
      <c r="Q113" s="243"/>
      <c r="R113" s="243"/>
      <c r="S113" s="243"/>
      <c r="T113" s="243"/>
      <c r="U113" s="243"/>
      <c r="V113" s="243"/>
      <c r="W113" s="243"/>
      <c r="X113" s="243"/>
      <c r="Y113" s="243"/>
      <c r="Z113" s="243"/>
      <c r="AA113" s="243"/>
      <c r="AB113" s="243"/>
      <c r="AC113" s="243"/>
      <c r="AD113" s="243"/>
      <c r="AE113" s="243"/>
      <c r="AF113" s="243"/>
    </row>
    <row r="114" spans="2:35" s="462" customFormat="1">
      <c r="B114" s="463"/>
      <c r="C114" s="1250"/>
      <c r="D114" s="160"/>
      <c r="E114" s="1055"/>
      <c r="F114" s="1030"/>
      <c r="G114" s="243"/>
      <c r="H114" s="243"/>
      <c r="I114" s="243"/>
      <c r="J114" s="243"/>
      <c r="K114" s="243"/>
      <c r="L114" s="243"/>
      <c r="M114" s="243"/>
      <c r="N114" s="243"/>
      <c r="O114" s="243"/>
      <c r="P114" s="243"/>
      <c r="Q114" s="243"/>
      <c r="R114" s="243"/>
      <c r="S114" s="243"/>
      <c r="T114" s="243"/>
      <c r="U114" s="243"/>
      <c r="V114" s="243"/>
      <c r="W114" s="243"/>
      <c r="X114" s="243"/>
      <c r="Y114" s="243"/>
      <c r="Z114" s="243"/>
      <c r="AA114" s="243"/>
      <c r="AB114" s="243"/>
      <c r="AC114" s="243"/>
      <c r="AD114" s="243"/>
      <c r="AE114" s="243"/>
      <c r="AF114" s="243"/>
    </row>
    <row r="115" spans="2:35" s="462" customFormat="1">
      <c r="B115" s="464"/>
      <c r="C115" s="1250"/>
      <c r="D115" s="160"/>
      <c r="E115" s="1055"/>
      <c r="F115" s="1030"/>
      <c r="G115" s="243"/>
      <c r="H115" s="243"/>
      <c r="I115" s="243"/>
      <c r="J115" s="243"/>
      <c r="K115" s="243"/>
      <c r="L115" s="243"/>
      <c r="M115" s="243"/>
      <c r="N115" s="243"/>
      <c r="O115" s="243"/>
      <c r="P115" s="243"/>
      <c r="Q115" s="243"/>
      <c r="R115" s="243"/>
      <c r="S115" s="243"/>
      <c r="T115" s="243"/>
      <c r="U115" s="243"/>
      <c r="V115" s="243"/>
      <c r="W115" s="243"/>
      <c r="X115" s="243"/>
      <c r="Y115" s="243"/>
      <c r="Z115" s="243"/>
      <c r="AA115" s="243"/>
      <c r="AB115" s="243"/>
      <c r="AC115" s="243"/>
      <c r="AD115" s="243"/>
      <c r="AE115" s="243"/>
      <c r="AF115" s="243"/>
    </row>
    <row r="116" spans="2:35">
      <c r="C116" s="47"/>
      <c r="D116" s="46"/>
      <c r="E116" s="1033"/>
      <c r="F116" s="1046"/>
      <c r="G116" s="250"/>
      <c r="H116" s="250"/>
      <c r="I116" s="250"/>
      <c r="J116" s="250"/>
      <c r="K116" s="250"/>
      <c r="L116" s="250"/>
      <c r="M116" s="250"/>
      <c r="N116" s="250"/>
      <c r="O116" s="250"/>
      <c r="P116" s="250"/>
      <c r="Q116" s="250"/>
      <c r="R116" s="250"/>
      <c r="S116" s="250"/>
      <c r="T116" s="250"/>
      <c r="U116" s="250"/>
      <c r="V116" s="250"/>
      <c r="W116" s="250"/>
      <c r="X116" s="250"/>
      <c r="Y116" s="250"/>
      <c r="Z116" s="250"/>
      <c r="AA116" s="250"/>
      <c r="AB116" s="250"/>
      <c r="AC116" s="250"/>
      <c r="AD116" s="250"/>
      <c r="AE116" s="250"/>
      <c r="AF116" s="250"/>
    </row>
    <row r="117" spans="2:35" ht="79.2">
      <c r="B117" s="166" t="s">
        <v>339</v>
      </c>
      <c r="C117" s="1249" t="s">
        <v>409</v>
      </c>
      <c r="D117" s="1163" t="s">
        <v>300</v>
      </c>
      <c r="E117" s="1052" t="s">
        <v>359</v>
      </c>
      <c r="F117" s="1096" t="s">
        <v>360</v>
      </c>
      <c r="G117" s="241">
        <v>1.4349999999999989</v>
      </c>
      <c r="H117" s="241">
        <v>1.8959999999999988</v>
      </c>
      <c r="I117" s="241">
        <v>2.2069999999999994</v>
      </c>
      <c r="J117" s="241">
        <v>2.9129999999999994</v>
      </c>
      <c r="K117" s="509">
        <v>4.2570000000000032</v>
      </c>
      <c r="L117" s="241">
        <v>3.536</v>
      </c>
      <c r="M117" s="241">
        <v>4.625</v>
      </c>
      <c r="N117" s="241">
        <v>5.2309999999999999</v>
      </c>
      <c r="O117" s="241">
        <v>3.4460000000000002</v>
      </c>
      <c r="P117" s="241">
        <v>1.3380000000000001</v>
      </c>
      <c r="Q117" s="241">
        <v>1.5</v>
      </c>
      <c r="R117" s="241">
        <v>1.5</v>
      </c>
      <c r="S117" s="241">
        <v>2</v>
      </c>
      <c r="T117" s="241">
        <v>2.5</v>
      </c>
      <c r="U117" s="241">
        <v>2.5</v>
      </c>
      <c r="V117" s="241">
        <v>2.5</v>
      </c>
      <c r="W117" s="241">
        <v>2.5</v>
      </c>
      <c r="X117" s="241">
        <v>2.5</v>
      </c>
      <c r="Y117" s="241">
        <v>2.5</v>
      </c>
      <c r="Z117" s="241">
        <v>2.5</v>
      </c>
      <c r="AA117" s="241">
        <v>2.5</v>
      </c>
      <c r="AB117" s="241">
        <v>2.5</v>
      </c>
      <c r="AC117" s="241">
        <v>2.5</v>
      </c>
      <c r="AD117" s="241">
        <v>2.5</v>
      </c>
      <c r="AE117" s="241">
        <v>2.5</v>
      </c>
      <c r="AF117" s="241">
        <v>2.5</v>
      </c>
    </row>
    <row r="118" spans="2:35">
      <c r="B118" s="165"/>
      <c r="C118" s="81"/>
      <c r="D118" s="26"/>
      <c r="E118" s="1053"/>
      <c r="F118" s="1049"/>
      <c r="G118" s="242"/>
      <c r="H118" s="242"/>
      <c r="I118" s="242"/>
      <c r="J118" s="242"/>
      <c r="K118" s="1093"/>
      <c r="L118" s="242"/>
      <c r="M118" s="242"/>
      <c r="N118" s="242"/>
      <c r="O118" s="242"/>
      <c r="P118" s="242"/>
      <c r="Q118" s="242"/>
      <c r="R118" s="242"/>
      <c r="S118" s="242"/>
      <c r="T118" s="242"/>
      <c r="U118" s="242"/>
      <c r="V118" s="242"/>
      <c r="W118" s="242"/>
      <c r="X118" s="242"/>
      <c r="Y118" s="242"/>
      <c r="Z118" s="242"/>
      <c r="AA118" s="242"/>
      <c r="AB118" s="242"/>
      <c r="AC118" s="242"/>
      <c r="AD118" s="242"/>
      <c r="AE118" s="242"/>
      <c r="AF118" s="242"/>
    </row>
    <row r="119" spans="2:35" ht="92.4">
      <c r="B119" s="165"/>
      <c r="C119" s="81" t="s">
        <v>354</v>
      </c>
      <c r="D119" s="26" t="s">
        <v>305</v>
      </c>
      <c r="E119" s="1053" t="s">
        <v>361</v>
      </c>
      <c r="F119" s="1049" t="s">
        <v>362</v>
      </c>
      <c r="G119" s="242"/>
      <c r="H119" s="242"/>
      <c r="I119" s="242"/>
      <c r="J119" s="242"/>
      <c r="K119" s="1093"/>
      <c r="L119" s="242"/>
      <c r="M119" s="242"/>
      <c r="N119" s="242"/>
      <c r="O119" s="242"/>
      <c r="P119" s="242"/>
      <c r="Q119" s="242">
        <v>3.286</v>
      </c>
      <c r="R119" s="242">
        <v>4.7619999999999996</v>
      </c>
      <c r="S119" s="242">
        <v>5.1160000000000005</v>
      </c>
      <c r="T119" s="242">
        <v>3.9870000000000001</v>
      </c>
      <c r="U119" s="242">
        <v>3.4289999999999998</v>
      </c>
      <c r="V119" s="242">
        <v>3.5</v>
      </c>
      <c r="W119" s="242">
        <f>V119</f>
        <v>3.5</v>
      </c>
      <c r="X119" s="242">
        <f t="shared" ref="X119:AF119" si="6">W119</f>
        <v>3.5</v>
      </c>
      <c r="Y119" s="242">
        <f t="shared" si="6"/>
        <v>3.5</v>
      </c>
      <c r="Z119" s="242">
        <f t="shared" si="6"/>
        <v>3.5</v>
      </c>
      <c r="AA119" s="242">
        <f t="shared" si="6"/>
        <v>3.5</v>
      </c>
      <c r="AB119" s="242">
        <f t="shared" si="6"/>
        <v>3.5</v>
      </c>
      <c r="AC119" s="242">
        <f t="shared" si="6"/>
        <v>3.5</v>
      </c>
      <c r="AD119" s="242">
        <f t="shared" si="6"/>
        <v>3.5</v>
      </c>
      <c r="AE119" s="242">
        <f t="shared" si="6"/>
        <v>3.5</v>
      </c>
      <c r="AF119" s="242">
        <f t="shared" si="6"/>
        <v>3.5</v>
      </c>
    </row>
    <row r="120" spans="2:35">
      <c r="B120" s="165"/>
      <c r="C120" s="81"/>
      <c r="D120" s="26"/>
      <c r="E120" s="1053"/>
      <c r="F120" s="1049"/>
      <c r="G120" s="242"/>
      <c r="H120" s="242"/>
      <c r="I120" s="242"/>
      <c r="J120" s="242"/>
      <c r="K120" s="1093"/>
      <c r="L120" s="242"/>
      <c r="M120" s="242"/>
      <c r="N120" s="242"/>
      <c r="O120" s="242"/>
      <c r="P120" s="242"/>
      <c r="Q120" s="242"/>
      <c r="R120" s="242"/>
      <c r="S120" s="242"/>
      <c r="T120" s="242"/>
      <c r="U120" s="242"/>
      <c r="V120" s="242"/>
      <c r="W120" s="242"/>
      <c r="X120" s="242"/>
      <c r="Y120" s="242"/>
      <c r="Z120" s="242"/>
      <c r="AA120" s="242"/>
      <c r="AB120" s="242"/>
      <c r="AC120" s="242"/>
      <c r="AD120" s="242"/>
      <c r="AE120" s="242"/>
      <c r="AF120" s="242"/>
    </row>
    <row r="121" spans="2:35">
      <c r="B121" s="63"/>
      <c r="C121" s="81" t="s">
        <v>410</v>
      </c>
      <c r="D121" s="48" t="s">
        <v>48</v>
      </c>
      <c r="E121" s="1053" t="s">
        <v>178</v>
      </c>
      <c r="G121" s="242"/>
      <c r="H121" s="242"/>
      <c r="I121" s="242"/>
      <c r="J121" s="242"/>
      <c r="K121" s="242"/>
      <c r="L121" s="242"/>
      <c r="M121" s="242"/>
      <c r="N121" s="242"/>
      <c r="O121" s="242"/>
      <c r="P121" s="242"/>
      <c r="Q121" s="242">
        <v>0</v>
      </c>
      <c r="R121" s="242">
        <v>0</v>
      </c>
      <c r="S121" s="242">
        <v>0</v>
      </c>
      <c r="T121" s="242">
        <v>0</v>
      </c>
      <c r="U121" s="242">
        <v>0</v>
      </c>
      <c r="V121" s="242">
        <v>0</v>
      </c>
      <c r="W121" s="242">
        <v>0</v>
      </c>
      <c r="X121" s="242">
        <v>0</v>
      </c>
      <c r="Y121" s="242">
        <v>0</v>
      </c>
      <c r="Z121" s="242">
        <v>0</v>
      </c>
      <c r="AA121" s="242">
        <v>0</v>
      </c>
      <c r="AB121" s="242">
        <v>0</v>
      </c>
      <c r="AC121" s="242">
        <v>0</v>
      </c>
      <c r="AD121" s="242">
        <v>0</v>
      </c>
      <c r="AE121" s="242">
        <v>0</v>
      </c>
      <c r="AF121" s="242">
        <v>0</v>
      </c>
      <c r="AI121" s="245"/>
    </row>
    <row r="122" spans="2:35">
      <c r="B122" s="63"/>
      <c r="C122" s="81" t="s">
        <v>355</v>
      </c>
      <c r="D122" s="48" t="s">
        <v>48</v>
      </c>
      <c r="E122" s="1053" t="s">
        <v>126</v>
      </c>
      <c r="G122" s="242"/>
      <c r="H122" s="242"/>
      <c r="I122" s="242"/>
      <c r="J122" s="242"/>
      <c r="K122" s="242"/>
      <c r="L122" s="242"/>
      <c r="M122" s="242"/>
      <c r="N122" s="242"/>
      <c r="O122" s="242"/>
      <c r="P122" s="242"/>
      <c r="Q122" s="242">
        <v>1.5</v>
      </c>
      <c r="R122" s="242">
        <v>1.5</v>
      </c>
      <c r="S122" s="242">
        <v>1.5</v>
      </c>
      <c r="T122" s="242">
        <v>1.5</v>
      </c>
      <c r="U122" s="242">
        <v>1.5</v>
      </c>
      <c r="V122" s="242">
        <v>1.5</v>
      </c>
      <c r="W122" s="242">
        <v>1.5</v>
      </c>
      <c r="X122" s="242">
        <v>1.5</v>
      </c>
      <c r="Y122" s="242">
        <v>1.5</v>
      </c>
      <c r="Z122" s="242">
        <v>1.5</v>
      </c>
      <c r="AA122" s="242">
        <v>1.5</v>
      </c>
      <c r="AB122" s="242">
        <v>1.5</v>
      </c>
      <c r="AC122" s="242">
        <v>1.5</v>
      </c>
      <c r="AD122" s="242">
        <v>1.5</v>
      </c>
      <c r="AE122" s="242">
        <v>1.5</v>
      </c>
      <c r="AF122" s="242">
        <v>1.5</v>
      </c>
    </row>
    <row r="123" spans="2:35">
      <c r="B123" s="63"/>
      <c r="C123" s="81" t="s">
        <v>356</v>
      </c>
      <c r="D123" s="48" t="s">
        <v>48</v>
      </c>
      <c r="E123" s="1053" t="s">
        <v>185</v>
      </c>
      <c r="G123" s="242"/>
      <c r="H123" s="242"/>
      <c r="I123" s="242"/>
      <c r="J123" s="242"/>
      <c r="K123" s="242"/>
      <c r="L123" s="242"/>
      <c r="M123" s="242"/>
      <c r="N123" s="242"/>
      <c r="O123" s="242"/>
      <c r="P123" s="242"/>
      <c r="Q123" s="242">
        <v>3</v>
      </c>
      <c r="R123" s="242">
        <v>3</v>
      </c>
      <c r="S123" s="242">
        <v>3</v>
      </c>
      <c r="T123" s="242">
        <v>3</v>
      </c>
      <c r="U123" s="242">
        <v>3</v>
      </c>
      <c r="V123" s="242">
        <v>3</v>
      </c>
      <c r="W123" s="242">
        <v>3</v>
      </c>
      <c r="X123" s="242">
        <v>3</v>
      </c>
      <c r="Y123" s="242">
        <v>3</v>
      </c>
      <c r="Z123" s="242">
        <v>3</v>
      </c>
      <c r="AA123" s="242">
        <v>3</v>
      </c>
      <c r="AB123" s="242">
        <v>3</v>
      </c>
      <c r="AC123" s="242">
        <v>3</v>
      </c>
      <c r="AD123" s="242">
        <v>3</v>
      </c>
      <c r="AE123" s="242">
        <v>3</v>
      </c>
      <c r="AF123" s="242">
        <v>3</v>
      </c>
    </row>
    <row r="124" spans="2:35">
      <c r="B124" s="63"/>
      <c r="C124" s="81" t="s">
        <v>357</v>
      </c>
      <c r="D124" s="48" t="s">
        <v>48</v>
      </c>
      <c r="E124" s="1053" t="s">
        <v>186</v>
      </c>
      <c r="G124" s="242"/>
      <c r="H124" s="242"/>
      <c r="I124" s="242"/>
      <c r="J124" s="242"/>
      <c r="K124" s="242"/>
      <c r="L124" s="242"/>
      <c r="M124" s="242"/>
      <c r="N124" s="242"/>
      <c r="O124" s="242"/>
      <c r="P124" s="242"/>
      <c r="Q124" s="242">
        <v>4.5</v>
      </c>
      <c r="R124" s="242">
        <v>4.5</v>
      </c>
      <c r="S124" s="242">
        <v>4.5</v>
      </c>
      <c r="T124" s="242">
        <v>4.5</v>
      </c>
      <c r="U124" s="242">
        <v>4.5</v>
      </c>
      <c r="V124" s="242">
        <v>4.5</v>
      </c>
      <c r="W124" s="242">
        <v>4.5</v>
      </c>
      <c r="X124" s="242">
        <v>4.5</v>
      </c>
      <c r="Y124" s="242">
        <v>4.5</v>
      </c>
      <c r="Z124" s="242">
        <v>4.5</v>
      </c>
      <c r="AA124" s="242">
        <v>4.5</v>
      </c>
      <c r="AB124" s="242">
        <v>4.5</v>
      </c>
      <c r="AC124" s="242">
        <v>4.5</v>
      </c>
      <c r="AD124" s="242">
        <v>4.5</v>
      </c>
      <c r="AE124" s="242">
        <v>4.5</v>
      </c>
      <c r="AF124" s="242">
        <v>4.5</v>
      </c>
    </row>
    <row r="125" spans="2:35">
      <c r="B125" s="63"/>
      <c r="C125" s="81" t="s">
        <v>358</v>
      </c>
      <c r="D125" s="48" t="s">
        <v>48</v>
      </c>
      <c r="E125" s="1053" t="s">
        <v>187</v>
      </c>
      <c r="G125" s="242"/>
      <c r="H125" s="242"/>
      <c r="I125" s="242"/>
      <c r="J125" s="242"/>
      <c r="K125" s="242"/>
      <c r="L125" s="242"/>
      <c r="M125" s="242"/>
      <c r="N125" s="242"/>
      <c r="O125" s="242"/>
      <c r="P125" s="242"/>
      <c r="Q125" s="242">
        <v>6</v>
      </c>
      <c r="R125" s="242">
        <v>6</v>
      </c>
      <c r="S125" s="242">
        <v>6</v>
      </c>
      <c r="T125" s="242">
        <v>6</v>
      </c>
      <c r="U125" s="242">
        <v>6</v>
      </c>
      <c r="V125" s="242">
        <v>6</v>
      </c>
      <c r="W125" s="242">
        <v>6</v>
      </c>
      <c r="X125" s="242">
        <v>6</v>
      </c>
      <c r="Y125" s="242">
        <v>6</v>
      </c>
      <c r="Z125" s="242">
        <v>6</v>
      </c>
      <c r="AA125" s="242">
        <v>6</v>
      </c>
      <c r="AB125" s="242">
        <v>6</v>
      </c>
      <c r="AC125" s="242">
        <v>6</v>
      </c>
      <c r="AD125" s="242">
        <v>6</v>
      </c>
      <c r="AE125" s="242">
        <v>6</v>
      </c>
      <c r="AF125" s="242">
        <v>6</v>
      </c>
    </row>
    <row r="126" spans="2:35">
      <c r="B126" s="63"/>
      <c r="C126" s="1251"/>
      <c r="E126" s="1053"/>
      <c r="G126" s="242"/>
      <c r="H126" s="242"/>
      <c r="I126" s="242"/>
      <c r="J126" s="242"/>
      <c r="K126" s="242"/>
      <c r="L126" s="242"/>
      <c r="M126" s="242"/>
      <c r="N126" s="242"/>
      <c r="O126" s="242"/>
      <c r="P126" s="242"/>
      <c r="Q126" s="242"/>
      <c r="R126" s="242"/>
      <c r="S126" s="242"/>
      <c r="T126" s="242"/>
      <c r="U126" s="242"/>
      <c r="V126" s="242"/>
      <c r="W126" s="242"/>
      <c r="X126" s="242"/>
      <c r="Y126" s="242"/>
      <c r="Z126" s="242"/>
      <c r="AA126" s="242"/>
      <c r="AB126" s="242"/>
      <c r="AC126" s="242"/>
      <c r="AD126" s="242"/>
      <c r="AE126" s="242"/>
      <c r="AF126" s="242"/>
    </row>
    <row r="127" spans="2:35">
      <c r="B127" s="63"/>
      <c r="C127" s="81"/>
      <c r="E127" s="1053"/>
      <c r="F127" s="1164"/>
      <c r="G127" s="242"/>
      <c r="H127" s="242"/>
      <c r="I127" s="242"/>
      <c r="J127" s="242"/>
      <c r="K127" s="242"/>
      <c r="L127" s="242"/>
      <c r="M127" s="242"/>
      <c r="N127" s="242"/>
      <c r="O127" s="242"/>
      <c r="P127" s="242"/>
      <c r="Q127" s="242"/>
      <c r="R127" s="242"/>
      <c r="S127" s="242"/>
      <c r="T127" s="242"/>
      <c r="U127" s="242"/>
      <c r="V127" s="242"/>
      <c r="W127" s="242"/>
      <c r="X127" s="242"/>
      <c r="Y127" s="242"/>
      <c r="Z127" s="242"/>
      <c r="AA127" s="242"/>
      <c r="AB127" s="242"/>
      <c r="AC127" s="242"/>
      <c r="AD127" s="242"/>
      <c r="AE127" s="242"/>
      <c r="AF127" s="242"/>
    </row>
    <row r="128" spans="2:35" ht="66">
      <c r="B128" s="63"/>
      <c r="C128" s="63" t="s">
        <v>363</v>
      </c>
      <c r="D128" s="1147" t="s">
        <v>300</v>
      </c>
      <c r="E128" s="490" t="s">
        <v>363</v>
      </c>
      <c r="F128" s="1049" t="s">
        <v>364</v>
      </c>
      <c r="G128" s="242"/>
      <c r="H128" s="242"/>
      <c r="I128" s="242"/>
      <c r="J128" s="242"/>
      <c r="K128" s="242"/>
      <c r="L128" s="242"/>
      <c r="M128" s="242"/>
      <c r="N128" s="242"/>
      <c r="O128" s="242"/>
      <c r="P128" s="242"/>
      <c r="Q128" s="242">
        <v>2.2410000000000001</v>
      </c>
      <c r="R128" s="242">
        <v>2.3410000000000002</v>
      </c>
      <c r="S128" s="242">
        <v>3.0859999999999999</v>
      </c>
      <c r="T128" s="242">
        <v>2.9470000000000001</v>
      </c>
      <c r="U128" s="242">
        <v>3.3450000000000002</v>
      </c>
      <c r="V128" s="242">
        <v>3.3929999999999998</v>
      </c>
      <c r="W128" s="242">
        <v>2.61</v>
      </c>
      <c r="X128" s="242">
        <v>2.61</v>
      </c>
      <c r="Y128" s="242">
        <v>2.61</v>
      </c>
      <c r="Z128" s="242">
        <v>2.61</v>
      </c>
      <c r="AA128" s="242">
        <v>2.61</v>
      </c>
      <c r="AB128" s="242">
        <v>2.61</v>
      </c>
      <c r="AC128" s="242">
        <v>2.61</v>
      </c>
      <c r="AD128" s="242">
        <v>2.61</v>
      </c>
      <c r="AE128" s="242">
        <v>2.61</v>
      </c>
      <c r="AF128" s="242">
        <v>2.61</v>
      </c>
    </row>
    <row r="129" spans="1:32" s="462" customFormat="1" ht="66">
      <c r="A129" s="9"/>
      <c r="B129" s="63"/>
      <c r="C129" s="63" t="s">
        <v>411</v>
      </c>
      <c r="D129" s="1147" t="s">
        <v>300</v>
      </c>
      <c r="E129" s="16" t="s">
        <v>411</v>
      </c>
      <c r="F129" s="1049" t="s">
        <v>466</v>
      </c>
      <c r="G129" s="242"/>
      <c r="H129" s="242"/>
      <c r="I129" s="242"/>
      <c r="J129" s="242"/>
      <c r="K129" s="242"/>
      <c r="L129" s="242"/>
      <c r="M129" s="242"/>
      <c r="N129" s="242"/>
      <c r="O129" s="242"/>
      <c r="P129" s="242"/>
      <c r="Q129" s="242">
        <v>2.4470000000000001</v>
      </c>
      <c r="R129" s="242">
        <v>2.5950000000000002</v>
      </c>
      <c r="S129" s="242">
        <v>3.2480000000000002</v>
      </c>
      <c r="T129" s="242">
        <v>3.1019999999999999</v>
      </c>
      <c r="U129" s="242">
        <v>3.5209999999999999</v>
      </c>
      <c r="V129" s="242">
        <v>3.5720000000000001</v>
      </c>
      <c r="W129" s="242">
        <v>2.61</v>
      </c>
      <c r="X129" s="242">
        <v>2.61</v>
      </c>
      <c r="Y129" s="242">
        <v>2.61</v>
      </c>
      <c r="Z129" s="242">
        <v>2.61</v>
      </c>
      <c r="AA129" s="242">
        <v>2.61</v>
      </c>
      <c r="AB129" s="242">
        <v>2.61</v>
      </c>
      <c r="AC129" s="242">
        <v>2.61</v>
      </c>
      <c r="AD129" s="242">
        <v>2.61</v>
      </c>
      <c r="AE129" s="242">
        <v>2.61</v>
      </c>
      <c r="AF129" s="242">
        <v>2.61</v>
      </c>
    </row>
    <row r="130" spans="1:32" s="462" customFormat="1" ht="66">
      <c r="A130" s="9"/>
      <c r="B130" s="63"/>
      <c r="C130" s="63" t="s">
        <v>412</v>
      </c>
      <c r="D130" s="1147" t="s">
        <v>300</v>
      </c>
      <c r="E130" s="16" t="s">
        <v>412</v>
      </c>
      <c r="F130" s="1049" t="s">
        <v>467</v>
      </c>
      <c r="G130" s="242"/>
      <c r="H130" s="242"/>
      <c r="I130" s="242"/>
      <c r="J130" s="242"/>
      <c r="K130" s="242"/>
      <c r="L130" s="242"/>
      <c r="M130" s="242"/>
      <c r="N130" s="242"/>
      <c r="O130" s="242"/>
      <c r="P130" s="242"/>
      <c r="Q130" s="242">
        <v>2.036</v>
      </c>
      <c r="R130" s="242">
        <v>2.0880000000000001</v>
      </c>
      <c r="S130" s="242">
        <v>2.923</v>
      </c>
      <c r="T130" s="242">
        <v>2.7290000000000001</v>
      </c>
      <c r="U130" s="242">
        <v>3.169</v>
      </c>
      <c r="V130" s="242">
        <v>3.2149999999999999</v>
      </c>
      <c r="W130" s="242">
        <v>2.61</v>
      </c>
      <c r="X130" s="242">
        <v>2.61</v>
      </c>
      <c r="Y130" s="242">
        <v>2.61</v>
      </c>
      <c r="Z130" s="242">
        <v>2.61</v>
      </c>
      <c r="AA130" s="242">
        <v>2.61</v>
      </c>
      <c r="AB130" s="242">
        <v>2.61</v>
      </c>
      <c r="AC130" s="242">
        <v>2.61</v>
      </c>
      <c r="AD130" s="242">
        <v>2.61</v>
      </c>
      <c r="AE130" s="242">
        <v>2.61</v>
      </c>
      <c r="AF130" s="242">
        <v>2.61</v>
      </c>
    </row>
    <row r="131" spans="1:32" s="1072" customFormat="1" ht="63" customHeight="1">
      <c r="A131" s="549"/>
      <c r="B131" s="1167"/>
      <c r="C131" s="1252" t="s">
        <v>113</v>
      </c>
      <c r="D131" s="1168" t="s">
        <v>107</v>
      </c>
      <c r="E131" s="1169" t="s">
        <v>465</v>
      </c>
      <c r="F131" s="1170" t="s">
        <v>468</v>
      </c>
      <c r="G131" s="1093"/>
      <c r="H131" s="1093"/>
      <c r="I131" s="1093"/>
      <c r="J131" s="1093"/>
      <c r="K131" s="242"/>
      <c r="L131" s="242"/>
      <c r="M131" s="1093"/>
      <c r="N131" s="242"/>
      <c r="O131" s="242"/>
      <c r="P131" s="242"/>
      <c r="Q131" s="242">
        <v>3.0430000000000001</v>
      </c>
      <c r="R131" s="242">
        <v>3.3149999999999999</v>
      </c>
      <c r="S131" s="242">
        <v>2.827</v>
      </c>
      <c r="T131" s="242">
        <v>2.7280000000000002</v>
      </c>
      <c r="U131" s="1093">
        <v>2.9</v>
      </c>
      <c r="V131" s="1093">
        <v>2.9</v>
      </c>
      <c r="W131" s="1093">
        <v>2.9</v>
      </c>
      <c r="X131" s="1093">
        <v>2.9</v>
      </c>
      <c r="Y131" s="1093">
        <v>2.9</v>
      </c>
      <c r="Z131" s="1093">
        <v>2.9</v>
      </c>
      <c r="AA131" s="1093">
        <v>2.9</v>
      </c>
      <c r="AB131" s="1093">
        <v>2.9</v>
      </c>
      <c r="AC131" s="1093">
        <v>2.9</v>
      </c>
      <c r="AD131" s="1093">
        <v>2.9</v>
      </c>
      <c r="AE131" s="1093">
        <v>2.9</v>
      </c>
      <c r="AF131" s="1093">
        <v>2.9</v>
      </c>
    </row>
    <row r="132" spans="1:32" s="462" customFormat="1">
      <c r="B132" s="463"/>
      <c r="C132" s="463"/>
      <c r="D132" s="522"/>
      <c r="E132" s="1055"/>
      <c r="F132" s="1186"/>
      <c r="G132" s="243"/>
      <c r="H132" s="243"/>
      <c r="I132" s="243"/>
      <c r="J132" s="243"/>
      <c r="K132" s="243"/>
      <c r="L132" s="243"/>
      <c r="M132" s="243"/>
      <c r="N132" s="243"/>
      <c r="O132" s="243"/>
      <c r="P132" s="243"/>
      <c r="Q132" s="243"/>
      <c r="R132" s="243"/>
      <c r="S132" s="243"/>
      <c r="T132" s="243"/>
      <c r="U132" s="243"/>
      <c r="V132" s="243"/>
      <c r="W132" s="243"/>
      <c r="X132" s="243"/>
      <c r="Y132" s="243"/>
      <c r="Z132" s="243"/>
      <c r="AA132" s="243"/>
      <c r="AB132" s="243"/>
      <c r="AC132" s="243"/>
      <c r="AD132" s="243"/>
      <c r="AE132" s="243"/>
      <c r="AF132" s="243"/>
    </row>
    <row r="133" spans="1:32" s="462" customFormat="1">
      <c r="B133" s="463"/>
      <c r="C133" s="1253"/>
      <c r="D133" s="1148"/>
      <c r="E133" s="1074"/>
      <c r="F133" s="1075"/>
      <c r="G133" s="1076"/>
      <c r="H133" s="1076"/>
      <c r="I133" s="1076"/>
      <c r="J133" s="1076"/>
      <c r="K133" s="243"/>
      <c r="L133" s="243"/>
      <c r="M133" s="1076"/>
      <c r="N133" s="243"/>
      <c r="O133" s="243"/>
      <c r="P133" s="243"/>
      <c r="Q133" s="243"/>
      <c r="R133" s="243"/>
      <c r="S133" s="243"/>
      <c r="T133" s="243"/>
      <c r="U133" s="243"/>
      <c r="V133" s="243"/>
      <c r="W133" s="243"/>
      <c r="X133" s="243"/>
      <c r="Y133" s="243"/>
      <c r="Z133" s="243"/>
      <c r="AA133" s="243"/>
      <c r="AB133" s="243"/>
      <c r="AC133" s="243"/>
      <c r="AD133" s="243"/>
      <c r="AE133" s="243"/>
      <c r="AF133" s="243"/>
    </row>
    <row r="134" spans="1:32" s="462" customFormat="1">
      <c r="B134" s="463"/>
      <c r="C134" s="1250"/>
      <c r="D134" s="1149"/>
      <c r="E134" s="1055"/>
      <c r="F134" s="1162"/>
      <c r="G134" s="243"/>
      <c r="H134" s="243"/>
      <c r="I134" s="243"/>
      <c r="J134" s="243"/>
      <c r="K134" s="243"/>
      <c r="L134" s="243"/>
      <c r="M134" s="243"/>
      <c r="N134" s="243"/>
      <c r="O134" s="243"/>
      <c r="P134" s="243"/>
      <c r="Q134" s="243"/>
      <c r="R134" s="243"/>
      <c r="S134" s="243"/>
      <c r="T134" s="243"/>
      <c r="U134" s="243"/>
      <c r="V134" s="243"/>
      <c r="W134" s="243"/>
      <c r="X134" s="243"/>
      <c r="Y134" s="243"/>
      <c r="Z134" s="243"/>
      <c r="AA134" s="243"/>
      <c r="AB134" s="243"/>
      <c r="AC134" s="243"/>
      <c r="AD134" s="243"/>
      <c r="AE134" s="243"/>
      <c r="AF134" s="243"/>
    </row>
    <row r="135" spans="1:32" s="462" customFormat="1">
      <c r="B135" s="463"/>
      <c r="C135" s="1250"/>
      <c r="D135" s="1149"/>
      <c r="E135" s="1055"/>
      <c r="F135" s="1030"/>
      <c r="G135" s="243"/>
      <c r="H135" s="243"/>
      <c r="I135" s="243"/>
      <c r="J135" s="243"/>
      <c r="K135" s="243"/>
      <c r="L135" s="243"/>
      <c r="M135" s="243"/>
      <c r="N135" s="243"/>
      <c r="O135" s="243"/>
      <c r="P135" s="243"/>
      <c r="Q135" s="243"/>
      <c r="R135" s="243"/>
      <c r="S135" s="243"/>
      <c r="T135" s="243"/>
      <c r="U135" s="243"/>
      <c r="V135" s="243"/>
      <c r="W135" s="243"/>
      <c r="X135" s="243"/>
      <c r="Y135" s="243"/>
      <c r="Z135" s="243"/>
      <c r="AA135" s="243"/>
      <c r="AB135" s="243"/>
      <c r="AC135" s="243"/>
      <c r="AD135" s="243"/>
      <c r="AE135" s="243"/>
      <c r="AF135" s="243"/>
    </row>
    <row r="136" spans="1:32" s="462" customFormat="1">
      <c r="B136" s="463"/>
      <c r="C136" s="1250"/>
      <c r="D136" s="1149"/>
      <c r="E136" s="1055"/>
      <c r="F136" s="1030"/>
      <c r="G136" s="243"/>
      <c r="H136" s="243"/>
      <c r="I136" s="243"/>
      <c r="J136" s="243"/>
      <c r="K136" s="243"/>
      <c r="L136" s="243"/>
      <c r="M136" s="243"/>
      <c r="N136" s="243"/>
      <c r="O136" s="243"/>
      <c r="P136" s="243"/>
      <c r="Q136" s="243"/>
      <c r="R136" s="243"/>
      <c r="S136" s="243"/>
      <c r="T136" s="243"/>
      <c r="U136" s="243"/>
      <c r="V136" s="243"/>
      <c r="W136" s="243"/>
      <c r="X136" s="243"/>
      <c r="Y136" s="243"/>
      <c r="Z136" s="243"/>
      <c r="AA136" s="243"/>
      <c r="AB136" s="243"/>
      <c r="AC136" s="243"/>
      <c r="AD136" s="243"/>
      <c r="AE136" s="243"/>
      <c r="AF136" s="243"/>
    </row>
    <row r="137" spans="1:32" s="462" customFormat="1">
      <c r="B137" s="463"/>
      <c r="C137" s="1250"/>
      <c r="D137" s="1149"/>
      <c r="E137" s="1055"/>
      <c r="F137" s="1030"/>
      <c r="G137" s="243"/>
      <c r="H137" s="243"/>
      <c r="I137" s="243"/>
      <c r="J137" s="243"/>
      <c r="K137" s="243"/>
      <c r="L137" s="243"/>
      <c r="M137" s="243"/>
      <c r="N137" s="243"/>
      <c r="O137" s="243"/>
      <c r="P137" s="243"/>
      <c r="Q137" s="243"/>
      <c r="R137" s="243"/>
      <c r="S137" s="243"/>
      <c r="T137" s="243"/>
      <c r="U137" s="243"/>
      <c r="V137" s="243"/>
      <c r="W137" s="243"/>
      <c r="X137" s="243"/>
      <c r="Y137" s="243"/>
      <c r="Z137" s="243"/>
      <c r="AA137" s="243"/>
      <c r="AB137" s="243"/>
      <c r="AC137" s="243"/>
      <c r="AD137" s="243"/>
      <c r="AE137" s="243"/>
      <c r="AF137" s="243"/>
    </row>
    <row r="138" spans="1:32" s="462" customFormat="1">
      <c r="B138" s="463"/>
      <c r="C138" s="1250"/>
      <c r="D138" s="1149"/>
      <c r="E138" s="1055"/>
      <c r="F138" s="1030"/>
      <c r="G138" s="243"/>
      <c r="H138" s="243"/>
      <c r="I138" s="243"/>
      <c r="J138" s="243"/>
      <c r="K138" s="243"/>
      <c r="L138" s="243"/>
      <c r="M138" s="243"/>
      <c r="N138" s="243"/>
      <c r="O138" s="243"/>
      <c r="P138" s="243"/>
      <c r="Q138" s="243"/>
      <c r="R138" s="243"/>
      <c r="S138" s="243"/>
      <c r="T138" s="243"/>
      <c r="U138" s="243"/>
      <c r="V138" s="243"/>
      <c r="W138" s="243"/>
      <c r="X138" s="243"/>
      <c r="Y138" s="243"/>
      <c r="Z138" s="243"/>
      <c r="AA138" s="243"/>
      <c r="AB138" s="243"/>
      <c r="AC138" s="243"/>
      <c r="AD138" s="243"/>
      <c r="AE138" s="243"/>
      <c r="AF138" s="243"/>
    </row>
    <row r="139" spans="1:32" s="462" customFormat="1">
      <c r="B139" s="463"/>
      <c r="C139" s="1250"/>
      <c r="D139" s="1149"/>
      <c r="E139" s="1055"/>
      <c r="F139" s="1030"/>
      <c r="G139" s="243"/>
      <c r="H139" s="243"/>
      <c r="I139" s="243"/>
      <c r="J139" s="243"/>
      <c r="K139" s="243"/>
      <c r="L139" s="243"/>
      <c r="M139" s="243"/>
      <c r="N139" s="243"/>
      <c r="O139" s="243"/>
      <c r="P139" s="243"/>
      <c r="Q139" s="243"/>
      <c r="R139" s="243"/>
      <c r="S139" s="243"/>
      <c r="T139" s="243"/>
      <c r="U139" s="243"/>
      <c r="V139" s="243"/>
      <c r="W139" s="243"/>
      <c r="X139" s="243"/>
      <c r="Y139" s="243"/>
      <c r="Z139" s="243"/>
      <c r="AA139" s="243"/>
      <c r="AB139" s="243"/>
      <c r="AC139" s="243"/>
      <c r="AD139" s="243"/>
      <c r="AE139" s="243"/>
      <c r="AF139" s="243"/>
    </row>
    <row r="140" spans="1:32" s="462" customFormat="1">
      <c r="B140" s="463"/>
      <c r="C140" s="1250"/>
      <c r="D140" s="1149"/>
      <c r="E140" s="1055"/>
      <c r="F140" s="1030"/>
      <c r="G140" s="243"/>
      <c r="H140" s="243"/>
      <c r="I140" s="243"/>
      <c r="J140" s="243"/>
      <c r="K140" s="243"/>
      <c r="L140" s="243"/>
      <c r="M140" s="243"/>
      <c r="N140" s="243"/>
      <c r="O140" s="243"/>
      <c r="P140" s="243"/>
      <c r="Q140" s="243"/>
      <c r="R140" s="243"/>
      <c r="S140" s="243"/>
      <c r="T140" s="243"/>
      <c r="U140" s="243"/>
      <c r="V140" s="243"/>
      <c r="W140" s="243"/>
      <c r="X140" s="243"/>
      <c r="Y140" s="243"/>
      <c r="Z140" s="243"/>
      <c r="AA140" s="243"/>
      <c r="AB140" s="243"/>
      <c r="AC140" s="243"/>
      <c r="AD140" s="243"/>
      <c r="AE140" s="243"/>
      <c r="AF140" s="243"/>
    </row>
    <row r="141" spans="1:32" s="462" customFormat="1">
      <c r="B141" s="463"/>
      <c r="C141" s="1250"/>
      <c r="D141" s="1149"/>
      <c r="E141" s="1055"/>
      <c r="F141" s="1032"/>
      <c r="G141" s="243"/>
      <c r="H141" s="243"/>
      <c r="I141" s="243"/>
      <c r="J141" s="243"/>
      <c r="K141" s="243"/>
      <c r="L141" s="243"/>
      <c r="M141" s="243"/>
      <c r="N141" s="243"/>
      <c r="O141" s="243"/>
      <c r="P141" s="243"/>
      <c r="Q141" s="243"/>
      <c r="R141" s="243"/>
      <c r="S141" s="243"/>
      <c r="T141" s="243"/>
      <c r="U141" s="243"/>
      <c r="V141" s="243"/>
      <c r="W141" s="243"/>
      <c r="X141" s="243"/>
      <c r="Y141" s="243"/>
      <c r="Z141" s="243"/>
      <c r="AA141" s="243"/>
      <c r="AB141" s="243"/>
      <c r="AC141" s="243"/>
      <c r="AD141" s="243"/>
      <c r="AE141" s="243"/>
      <c r="AF141" s="243"/>
    </row>
    <row r="142" spans="1:32" s="462" customFormat="1">
      <c r="B142" s="463"/>
      <c r="C142" s="1250"/>
      <c r="D142" s="1149"/>
      <c r="E142" s="1055"/>
      <c r="F142" s="1030"/>
      <c r="G142" s="243"/>
      <c r="H142" s="243"/>
      <c r="I142" s="243"/>
      <c r="J142" s="243"/>
      <c r="K142" s="243"/>
      <c r="L142" s="243"/>
      <c r="M142" s="243"/>
      <c r="N142" s="243"/>
      <c r="O142" s="243"/>
      <c r="P142" s="243"/>
      <c r="Q142" s="243"/>
      <c r="R142" s="243"/>
      <c r="S142" s="243"/>
      <c r="T142" s="243"/>
      <c r="U142" s="243"/>
      <c r="V142" s="243"/>
      <c r="W142" s="243"/>
      <c r="X142" s="243"/>
      <c r="Y142" s="243"/>
      <c r="Z142" s="243"/>
      <c r="AA142" s="243"/>
      <c r="AB142" s="243"/>
      <c r="AC142" s="243"/>
      <c r="AD142" s="243"/>
      <c r="AE142" s="243"/>
      <c r="AF142" s="243"/>
    </row>
    <row r="143" spans="1:32" s="462" customFormat="1">
      <c r="B143" s="463"/>
      <c r="C143" s="1250"/>
      <c r="D143" s="1149"/>
      <c r="E143" s="1055"/>
      <c r="F143" s="1030"/>
      <c r="G143" s="243"/>
      <c r="H143" s="243"/>
      <c r="I143" s="243"/>
      <c r="J143" s="243"/>
      <c r="K143" s="243"/>
      <c r="L143" s="243"/>
      <c r="M143" s="243"/>
      <c r="N143" s="243"/>
      <c r="O143" s="243"/>
      <c r="P143" s="243"/>
      <c r="Q143" s="243"/>
      <c r="R143" s="243"/>
      <c r="S143" s="243"/>
      <c r="T143" s="243"/>
      <c r="U143" s="243"/>
      <c r="V143" s="243"/>
      <c r="W143" s="243"/>
      <c r="X143" s="243"/>
      <c r="Y143" s="243"/>
      <c r="Z143" s="243"/>
      <c r="AA143" s="243"/>
      <c r="AB143" s="243"/>
      <c r="AC143" s="243"/>
      <c r="AD143" s="243"/>
      <c r="AE143" s="243"/>
      <c r="AF143" s="243"/>
    </row>
    <row r="144" spans="1:32" s="462" customFormat="1">
      <c r="B144" s="464"/>
      <c r="C144" s="1250"/>
      <c r="D144" s="1149"/>
      <c r="E144" s="1150"/>
      <c r="F144" s="1030"/>
      <c r="G144" s="243"/>
      <c r="H144" s="243"/>
      <c r="I144" s="243"/>
      <c r="J144" s="243"/>
      <c r="K144" s="243"/>
      <c r="L144" s="243"/>
      <c r="M144" s="243"/>
      <c r="N144" s="243"/>
      <c r="O144" s="243"/>
      <c r="P144" s="243"/>
      <c r="Q144" s="243"/>
      <c r="R144" s="243"/>
      <c r="S144" s="243"/>
      <c r="T144" s="243"/>
      <c r="U144" s="243"/>
      <c r="V144" s="243"/>
      <c r="W144" s="243"/>
      <c r="X144" s="243"/>
      <c r="Y144" s="243"/>
      <c r="Z144" s="243"/>
      <c r="AA144" s="243"/>
      <c r="AB144" s="243"/>
      <c r="AC144" s="243"/>
      <c r="AD144" s="243"/>
      <c r="AE144" s="243"/>
      <c r="AF144" s="243"/>
    </row>
    <row r="145" spans="1:34">
      <c r="C145" s="47"/>
      <c r="D145" s="46"/>
      <c r="E145" s="1033"/>
      <c r="F145" s="1046"/>
      <c r="G145" s="250"/>
      <c r="H145" s="250"/>
      <c r="I145" s="250"/>
      <c r="J145" s="250"/>
      <c r="K145" s="250"/>
      <c r="L145" s="250"/>
      <c r="M145" s="250"/>
      <c r="N145" s="250"/>
      <c r="O145" s="250"/>
      <c r="P145" s="250"/>
      <c r="Q145" s="250"/>
      <c r="R145" s="250"/>
      <c r="S145" s="250"/>
      <c r="T145" s="250"/>
      <c r="U145" s="250"/>
      <c r="V145" s="250"/>
      <c r="W145" s="250"/>
      <c r="X145" s="250"/>
      <c r="Y145" s="250"/>
      <c r="Z145" s="250"/>
      <c r="AA145" s="250"/>
      <c r="AB145" s="250"/>
      <c r="AC145" s="250"/>
      <c r="AD145" s="250"/>
      <c r="AE145" s="250"/>
      <c r="AF145" s="250"/>
    </row>
    <row r="146" spans="1:34" ht="39.6">
      <c r="B146" s="166" t="s">
        <v>340</v>
      </c>
      <c r="C146" s="1249" t="s">
        <v>409</v>
      </c>
      <c r="D146" s="51" t="s">
        <v>300</v>
      </c>
      <c r="E146" s="1052" t="s">
        <v>1016</v>
      </c>
      <c r="F146" s="1047" t="s">
        <v>1017</v>
      </c>
      <c r="G146" s="1095">
        <v>4.4999999999999998E-2</v>
      </c>
      <c r="H146" s="1095">
        <v>0.108</v>
      </c>
      <c r="I146" s="1095">
        <v>9.2299999999999993E-2</v>
      </c>
      <c r="J146" s="1095">
        <v>0.24</v>
      </c>
      <c r="K146" s="509">
        <v>0.47770000000000001</v>
      </c>
      <c r="L146" s="509">
        <v>2.2849999999999997</v>
      </c>
      <c r="M146" s="509">
        <v>0.81799999999999995</v>
      </c>
      <c r="N146" s="509">
        <f>0.901+0.405</f>
        <v>1.306</v>
      </c>
      <c r="O146" s="509">
        <v>0.95</v>
      </c>
      <c r="P146" s="509">
        <v>1.409</v>
      </c>
      <c r="Q146" s="509">
        <v>0</v>
      </c>
      <c r="R146" s="509">
        <f>R148</f>
        <v>0</v>
      </c>
      <c r="S146" s="509">
        <v>0.34200000000000003</v>
      </c>
      <c r="T146" s="509">
        <v>0.97499999999999998</v>
      </c>
      <c r="U146" s="509">
        <v>0.9</v>
      </c>
      <c r="V146" s="509">
        <v>0.9</v>
      </c>
      <c r="W146" s="509">
        <f>V146</f>
        <v>0.9</v>
      </c>
      <c r="X146" s="509">
        <f>W146</f>
        <v>0.9</v>
      </c>
      <c r="Y146" s="509">
        <f t="shared" ref="Y146:AF146" si="7">X146</f>
        <v>0.9</v>
      </c>
      <c r="Z146" s="509">
        <f t="shared" si="7"/>
        <v>0.9</v>
      </c>
      <c r="AA146" s="509">
        <f t="shared" si="7"/>
        <v>0.9</v>
      </c>
      <c r="AB146" s="509">
        <f t="shared" si="7"/>
        <v>0.9</v>
      </c>
      <c r="AC146" s="509">
        <f t="shared" si="7"/>
        <v>0.9</v>
      </c>
      <c r="AD146" s="509">
        <f t="shared" si="7"/>
        <v>0.9</v>
      </c>
      <c r="AE146" s="509">
        <f t="shared" si="7"/>
        <v>0.9</v>
      </c>
      <c r="AF146" s="509">
        <f t="shared" si="7"/>
        <v>0.9</v>
      </c>
      <c r="AH146" s="70"/>
    </row>
    <row r="147" spans="1:34">
      <c r="B147" s="165"/>
      <c r="C147" s="81"/>
      <c r="D147" s="53"/>
      <c r="E147" s="1053"/>
      <c r="G147" s="1207"/>
      <c r="H147" s="1207"/>
      <c r="I147" s="1207"/>
      <c r="J147" s="1207"/>
      <c r="K147" s="1093"/>
      <c r="L147" s="1093"/>
      <c r="M147" s="1093"/>
      <c r="N147" s="1093"/>
      <c r="O147" s="1093"/>
      <c r="P147" s="1093"/>
      <c r="Q147" s="1093"/>
      <c r="R147" s="1093"/>
      <c r="S147" s="1093"/>
      <c r="T147" s="1093"/>
      <c r="U147" s="1093"/>
      <c r="V147" s="1093"/>
      <c r="W147" s="1093"/>
      <c r="X147" s="1093"/>
      <c r="Y147" s="1093"/>
      <c r="Z147" s="1093"/>
      <c r="AA147" s="1093"/>
      <c r="AB147" s="1093"/>
      <c r="AC147" s="1093"/>
      <c r="AD147" s="1093"/>
      <c r="AE147" s="1093"/>
      <c r="AF147" s="1093"/>
      <c r="AH147" s="70"/>
    </row>
    <row r="148" spans="1:34">
      <c r="B148" s="165"/>
      <c r="C148" s="81"/>
      <c r="D148" s="53"/>
      <c r="E148" s="1053"/>
      <c r="G148" s="1207"/>
      <c r="H148" s="1207"/>
      <c r="I148" s="1207"/>
      <c r="J148" s="1207"/>
      <c r="K148" s="1093"/>
      <c r="L148" s="1093"/>
      <c r="M148" s="1093"/>
      <c r="N148" s="1093"/>
      <c r="O148" s="1093"/>
      <c r="P148" s="1093"/>
      <c r="Q148" s="1093"/>
      <c r="R148" s="1093"/>
      <c r="S148" s="1093"/>
      <c r="T148" s="1093"/>
      <c r="U148" s="1093"/>
      <c r="V148" s="1093"/>
      <c r="W148" s="1093"/>
      <c r="X148" s="1093"/>
      <c r="Y148" s="1093"/>
      <c r="Z148" s="1093"/>
      <c r="AA148" s="1093"/>
      <c r="AB148" s="1093"/>
      <c r="AC148" s="1093"/>
      <c r="AD148" s="1093"/>
      <c r="AE148" s="1093"/>
      <c r="AF148" s="1093"/>
      <c r="AH148" s="70"/>
    </row>
    <row r="149" spans="1:34">
      <c r="B149" s="165"/>
      <c r="C149" s="81"/>
      <c r="D149" s="53"/>
      <c r="E149" s="1053"/>
      <c r="G149" s="1207"/>
      <c r="H149" s="1207"/>
      <c r="I149" s="1207"/>
      <c r="J149" s="1207"/>
      <c r="K149" s="1093"/>
      <c r="L149" s="1093"/>
      <c r="M149" s="1093"/>
      <c r="N149" s="1093"/>
      <c r="O149" s="1093"/>
      <c r="P149" s="1093"/>
      <c r="Q149" s="1093"/>
      <c r="R149" s="1093"/>
      <c r="S149" s="1093"/>
      <c r="T149" s="1093"/>
      <c r="U149" s="1093"/>
      <c r="V149" s="1093"/>
      <c r="W149" s="1093"/>
      <c r="X149" s="1093"/>
      <c r="Y149" s="1093"/>
      <c r="Z149" s="1093"/>
      <c r="AA149" s="1093"/>
      <c r="AB149" s="1093"/>
      <c r="AC149" s="1093"/>
      <c r="AD149" s="1093"/>
      <c r="AE149" s="1093"/>
      <c r="AF149" s="1093"/>
      <c r="AH149" s="70"/>
    </row>
    <row r="150" spans="1:34">
      <c r="B150" s="63"/>
      <c r="C150" s="81" t="s">
        <v>410</v>
      </c>
      <c r="D150" s="53" t="s">
        <v>48</v>
      </c>
      <c r="E150" s="1053" t="s">
        <v>178</v>
      </c>
      <c r="G150" s="242"/>
      <c r="H150" s="242"/>
      <c r="I150" s="242"/>
      <c r="J150" s="242"/>
      <c r="K150" s="242"/>
      <c r="L150" s="242"/>
      <c r="M150" s="242"/>
      <c r="N150" s="242"/>
      <c r="O150" s="242"/>
      <c r="P150" s="242"/>
      <c r="Q150" s="242">
        <v>0</v>
      </c>
      <c r="R150" s="242">
        <v>0</v>
      </c>
      <c r="S150" s="242">
        <v>0</v>
      </c>
      <c r="T150" s="242">
        <v>0</v>
      </c>
      <c r="U150" s="242">
        <v>0</v>
      </c>
      <c r="V150" s="242">
        <v>0</v>
      </c>
      <c r="W150" s="242">
        <v>0</v>
      </c>
      <c r="X150" s="242">
        <v>0</v>
      </c>
      <c r="Y150" s="242">
        <v>0</v>
      </c>
      <c r="Z150" s="242">
        <v>0</v>
      </c>
      <c r="AA150" s="242">
        <v>0</v>
      </c>
      <c r="AB150" s="242">
        <v>0</v>
      </c>
      <c r="AC150" s="242">
        <v>0</v>
      </c>
      <c r="AD150" s="242">
        <v>0</v>
      </c>
      <c r="AE150" s="242">
        <v>0</v>
      </c>
      <c r="AF150" s="242">
        <v>0</v>
      </c>
    </row>
    <row r="151" spans="1:34">
      <c r="B151" s="63"/>
      <c r="C151" s="81" t="s">
        <v>355</v>
      </c>
      <c r="D151" s="53" t="s">
        <v>106</v>
      </c>
      <c r="E151" s="1053" t="s">
        <v>124</v>
      </c>
      <c r="G151" s="242"/>
      <c r="H151" s="242"/>
      <c r="I151" s="242"/>
      <c r="J151" s="242"/>
      <c r="K151" s="242"/>
      <c r="L151" s="242"/>
      <c r="M151" s="242"/>
      <c r="N151" s="242"/>
      <c r="O151" s="242"/>
      <c r="P151" s="242"/>
      <c r="Q151" s="242">
        <v>0.5</v>
      </c>
      <c r="R151" s="242">
        <v>0.5</v>
      </c>
      <c r="S151" s="242">
        <v>0.5</v>
      </c>
      <c r="T151" s="242">
        <v>0.5</v>
      </c>
      <c r="U151" s="242">
        <v>0.5</v>
      </c>
      <c r="V151" s="242">
        <v>0.5</v>
      </c>
      <c r="W151" s="242">
        <v>0.5</v>
      </c>
      <c r="X151" s="242">
        <v>0.5</v>
      </c>
      <c r="Y151" s="242">
        <v>0.5</v>
      </c>
      <c r="Z151" s="242">
        <v>0.5</v>
      </c>
      <c r="AA151" s="242">
        <v>0.5</v>
      </c>
      <c r="AB151" s="242">
        <v>0.5</v>
      </c>
      <c r="AC151" s="242">
        <v>0.5</v>
      </c>
      <c r="AD151" s="242">
        <v>0.5</v>
      </c>
      <c r="AE151" s="242">
        <v>0.5</v>
      </c>
      <c r="AF151" s="242">
        <v>0.5</v>
      </c>
    </row>
    <row r="152" spans="1:34">
      <c r="B152" s="63"/>
      <c r="C152" s="81" t="s">
        <v>356</v>
      </c>
      <c r="D152" s="53" t="s">
        <v>106</v>
      </c>
      <c r="E152" s="1053" t="s">
        <v>125</v>
      </c>
      <c r="G152" s="242"/>
      <c r="H152" s="242"/>
      <c r="I152" s="242"/>
      <c r="J152" s="242"/>
      <c r="K152" s="242"/>
      <c r="L152" s="242"/>
      <c r="M152" s="242"/>
      <c r="N152" s="242"/>
      <c r="O152" s="242"/>
      <c r="P152" s="242"/>
      <c r="Q152" s="242">
        <v>1</v>
      </c>
      <c r="R152" s="242">
        <v>1</v>
      </c>
      <c r="S152" s="242">
        <v>1</v>
      </c>
      <c r="T152" s="242">
        <v>1</v>
      </c>
      <c r="U152" s="242">
        <v>1</v>
      </c>
      <c r="V152" s="242">
        <v>1</v>
      </c>
      <c r="W152" s="242">
        <v>1</v>
      </c>
      <c r="X152" s="242">
        <v>1</v>
      </c>
      <c r="Y152" s="242">
        <v>1</v>
      </c>
      <c r="Z152" s="242">
        <v>1</v>
      </c>
      <c r="AA152" s="242">
        <v>1</v>
      </c>
      <c r="AB152" s="242">
        <v>1</v>
      </c>
      <c r="AC152" s="242">
        <v>1</v>
      </c>
      <c r="AD152" s="242">
        <v>1</v>
      </c>
      <c r="AE152" s="242">
        <v>1</v>
      </c>
      <c r="AF152" s="242">
        <v>1</v>
      </c>
    </row>
    <row r="153" spans="1:34">
      <c r="B153" s="63"/>
      <c r="C153" s="81" t="s">
        <v>357</v>
      </c>
      <c r="D153" s="53" t="s">
        <v>106</v>
      </c>
      <c r="E153" s="1053" t="s">
        <v>126</v>
      </c>
      <c r="G153" s="242"/>
      <c r="H153" s="242"/>
      <c r="I153" s="242"/>
      <c r="J153" s="242"/>
      <c r="K153" s="242"/>
      <c r="L153" s="242"/>
      <c r="M153" s="242"/>
      <c r="N153" s="242"/>
      <c r="O153" s="242"/>
      <c r="P153" s="242"/>
      <c r="Q153" s="242">
        <v>1.5</v>
      </c>
      <c r="R153" s="242">
        <v>1.5</v>
      </c>
      <c r="S153" s="242">
        <v>1.5</v>
      </c>
      <c r="T153" s="242">
        <v>1.5</v>
      </c>
      <c r="U153" s="242">
        <v>1.5</v>
      </c>
      <c r="V153" s="242">
        <v>1.5</v>
      </c>
      <c r="W153" s="242">
        <v>1.5</v>
      </c>
      <c r="X153" s="242">
        <v>1.5</v>
      </c>
      <c r="Y153" s="242">
        <v>1.5</v>
      </c>
      <c r="Z153" s="242">
        <v>1.5</v>
      </c>
      <c r="AA153" s="242">
        <v>1.5</v>
      </c>
      <c r="AB153" s="242">
        <v>1.5</v>
      </c>
      <c r="AC153" s="242">
        <v>1.5</v>
      </c>
      <c r="AD153" s="242">
        <v>1.5</v>
      </c>
      <c r="AE153" s="242">
        <v>1.5</v>
      </c>
      <c r="AF153" s="242">
        <v>1.5</v>
      </c>
    </row>
    <row r="154" spans="1:34">
      <c r="B154" s="63"/>
      <c r="C154" s="81" t="s">
        <v>358</v>
      </c>
      <c r="D154" s="53" t="s">
        <v>106</v>
      </c>
      <c r="E154" s="1053" t="s">
        <v>127</v>
      </c>
      <c r="G154" s="242"/>
      <c r="H154" s="242"/>
      <c r="I154" s="242"/>
      <c r="J154" s="242"/>
      <c r="K154" s="242"/>
      <c r="L154" s="242"/>
      <c r="M154" s="242"/>
      <c r="N154" s="242"/>
      <c r="O154" s="242"/>
      <c r="P154" s="242"/>
      <c r="Q154" s="242">
        <v>2</v>
      </c>
      <c r="R154" s="242">
        <v>2</v>
      </c>
      <c r="S154" s="242">
        <v>2</v>
      </c>
      <c r="T154" s="242">
        <v>2</v>
      </c>
      <c r="U154" s="242">
        <v>2</v>
      </c>
      <c r="V154" s="242">
        <v>2</v>
      </c>
      <c r="W154" s="242">
        <v>2</v>
      </c>
      <c r="X154" s="242">
        <v>2</v>
      </c>
      <c r="Y154" s="242">
        <v>2</v>
      </c>
      <c r="Z154" s="242">
        <v>2</v>
      </c>
      <c r="AA154" s="242">
        <v>2</v>
      </c>
      <c r="AB154" s="242">
        <v>2</v>
      </c>
      <c r="AC154" s="242">
        <v>2</v>
      </c>
      <c r="AD154" s="242">
        <v>2</v>
      </c>
      <c r="AE154" s="242">
        <v>2</v>
      </c>
      <c r="AF154" s="242">
        <v>2</v>
      </c>
    </row>
    <row r="155" spans="1:34">
      <c r="B155" s="63"/>
      <c r="C155" s="1251"/>
      <c r="D155" s="53"/>
      <c r="E155" s="1053"/>
      <c r="G155" s="527"/>
      <c r="H155" s="527"/>
      <c r="I155" s="527"/>
      <c r="J155" s="527"/>
      <c r="K155" s="242"/>
      <c r="L155" s="242"/>
      <c r="M155" s="242"/>
      <c r="N155" s="242"/>
      <c r="O155" s="242"/>
      <c r="P155" s="242"/>
      <c r="Q155" s="242"/>
      <c r="R155" s="242"/>
      <c r="S155" s="242"/>
      <c r="T155" s="242"/>
      <c r="U155" s="242"/>
      <c r="V155" s="242"/>
      <c r="W155" s="242"/>
      <c r="X155" s="242"/>
      <c r="Y155" s="242"/>
      <c r="Z155" s="242"/>
      <c r="AA155" s="242"/>
      <c r="AB155" s="242"/>
      <c r="AC155" s="242"/>
      <c r="AD155" s="242"/>
      <c r="AE155" s="242"/>
      <c r="AF155" s="242"/>
    </row>
    <row r="156" spans="1:34" ht="26.4">
      <c r="B156" s="63"/>
      <c r="C156" s="81" t="s">
        <v>469</v>
      </c>
      <c r="D156" s="1171" t="s">
        <v>48</v>
      </c>
      <c r="E156" s="53" t="s">
        <v>469</v>
      </c>
      <c r="F156" s="1172" t="s">
        <v>471</v>
      </c>
      <c r="G156" s="242"/>
      <c r="H156" s="242"/>
      <c r="I156" s="242"/>
      <c r="J156" s="242"/>
      <c r="K156" s="242"/>
      <c r="L156" s="242"/>
      <c r="M156" s="242"/>
      <c r="N156" s="242"/>
      <c r="O156" s="242"/>
      <c r="P156" s="242"/>
      <c r="Q156" s="242">
        <v>0.98899999999999999</v>
      </c>
      <c r="R156" s="242">
        <v>0.5</v>
      </c>
      <c r="S156" s="242">
        <v>0.5</v>
      </c>
      <c r="T156" s="242">
        <v>0.7</v>
      </c>
      <c r="U156" s="242">
        <v>0.7</v>
      </c>
      <c r="V156" s="242">
        <v>0.7</v>
      </c>
      <c r="W156" s="242">
        <v>0.95</v>
      </c>
      <c r="X156" s="242">
        <v>0.95</v>
      </c>
      <c r="Y156" s="242">
        <v>0.95</v>
      </c>
      <c r="Z156" s="242">
        <v>2.9</v>
      </c>
      <c r="AA156" s="242">
        <v>3.5</v>
      </c>
      <c r="AB156" s="242">
        <v>1</v>
      </c>
      <c r="AC156" s="242">
        <v>1</v>
      </c>
      <c r="AD156" s="242">
        <v>1</v>
      </c>
      <c r="AE156" s="242">
        <v>1</v>
      </c>
      <c r="AF156" s="242">
        <v>1</v>
      </c>
    </row>
    <row r="157" spans="1:34" ht="66">
      <c r="B157" s="63"/>
      <c r="C157" s="63" t="s">
        <v>470</v>
      </c>
      <c r="D157" s="322" t="s">
        <v>300</v>
      </c>
      <c r="E157" s="16" t="s">
        <v>470</v>
      </c>
      <c r="F157" s="1049" t="s">
        <v>472</v>
      </c>
      <c r="G157" s="1173"/>
      <c r="H157" s="1173"/>
      <c r="I157" s="1173"/>
      <c r="J157" s="1173"/>
      <c r="K157" s="1173"/>
      <c r="L157" s="1173"/>
      <c r="M157" s="1173"/>
      <c r="N157" s="1173"/>
      <c r="O157" s="1173"/>
      <c r="P157" s="1173"/>
      <c r="Q157" s="1173">
        <v>0.24399999999999999</v>
      </c>
      <c r="R157" s="1173">
        <v>0</v>
      </c>
      <c r="S157" s="1173">
        <v>0.34200000000000003</v>
      </c>
      <c r="T157" s="1173">
        <v>0.97499999999999998</v>
      </c>
      <c r="U157" s="1173">
        <v>0.9</v>
      </c>
      <c r="V157" s="1173">
        <v>0.9</v>
      </c>
      <c r="W157" s="1173">
        <f t="shared" ref="W157:AF157" si="8">W$156</f>
        <v>0.95</v>
      </c>
      <c r="X157" s="1173">
        <f t="shared" si="8"/>
        <v>0.95</v>
      </c>
      <c r="Y157" s="1173">
        <f t="shared" si="8"/>
        <v>0.95</v>
      </c>
      <c r="Z157" s="1173">
        <f t="shared" si="8"/>
        <v>2.9</v>
      </c>
      <c r="AA157" s="1173">
        <f t="shared" si="8"/>
        <v>3.5</v>
      </c>
      <c r="AB157" s="1173">
        <f t="shared" si="8"/>
        <v>1</v>
      </c>
      <c r="AC157" s="1173">
        <f t="shared" si="8"/>
        <v>1</v>
      </c>
      <c r="AD157" s="1173">
        <f t="shared" si="8"/>
        <v>1</v>
      </c>
      <c r="AE157" s="1173">
        <f t="shared" si="8"/>
        <v>1</v>
      </c>
      <c r="AF157" s="1173">
        <f t="shared" si="8"/>
        <v>1</v>
      </c>
      <c r="AG157" s="581"/>
      <c r="AH157" s="1031"/>
    </row>
    <row r="158" spans="1:34" s="462" customFormat="1" ht="66">
      <c r="A158" s="9"/>
      <c r="B158" s="63"/>
      <c r="C158" s="63" t="s">
        <v>411</v>
      </c>
      <c r="D158" s="322" t="s">
        <v>300</v>
      </c>
      <c r="E158" s="16" t="s">
        <v>411</v>
      </c>
      <c r="F158" s="1049" t="s">
        <v>473</v>
      </c>
      <c r="G158" s="1173"/>
      <c r="H158" s="1173"/>
      <c r="I158" s="1173"/>
      <c r="J158" s="1173"/>
      <c r="K158" s="1173"/>
      <c r="L158" s="1173"/>
      <c r="M158" s="1173"/>
      <c r="N158" s="1173"/>
      <c r="O158" s="1173"/>
      <c r="P158" s="1173"/>
      <c r="Q158" s="1173">
        <v>0.24399999999999999</v>
      </c>
      <c r="R158" s="1173">
        <v>0</v>
      </c>
      <c r="S158" s="1173">
        <v>0.46600000000000003</v>
      </c>
      <c r="T158" s="1173">
        <v>1.032</v>
      </c>
      <c r="U158" s="1173">
        <v>1.395</v>
      </c>
      <c r="V158" s="1173">
        <v>0.22500000000000001</v>
      </c>
      <c r="W158" s="1173">
        <f t="shared" ref="W158:AF158" si="9">W156</f>
        <v>0.95</v>
      </c>
      <c r="X158" s="1173">
        <f t="shared" si="9"/>
        <v>0.95</v>
      </c>
      <c r="Y158" s="1173">
        <f t="shared" si="9"/>
        <v>0.95</v>
      </c>
      <c r="Z158" s="1173">
        <f t="shared" si="9"/>
        <v>2.9</v>
      </c>
      <c r="AA158" s="1173">
        <f t="shared" si="9"/>
        <v>3.5</v>
      </c>
      <c r="AB158" s="1173">
        <f t="shared" si="9"/>
        <v>1</v>
      </c>
      <c r="AC158" s="1173">
        <f t="shared" si="9"/>
        <v>1</v>
      </c>
      <c r="AD158" s="1173">
        <f t="shared" si="9"/>
        <v>1</v>
      </c>
      <c r="AE158" s="1173">
        <f t="shared" si="9"/>
        <v>1</v>
      </c>
      <c r="AF158" s="1173">
        <f t="shared" si="9"/>
        <v>1</v>
      </c>
      <c r="AG158" s="1032"/>
      <c r="AH158" s="1031"/>
    </row>
    <row r="159" spans="1:34" s="462" customFormat="1" ht="66">
      <c r="A159" s="9"/>
      <c r="B159" s="63"/>
      <c r="C159" s="63" t="s">
        <v>412</v>
      </c>
      <c r="D159" s="322" t="s">
        <v>300</v>
      </c>
      <c r="E159" s="16" t="s">
        <v>412</v>
      </c>
      <c r="F159" s="1049" t="s">
        <v>474</v>
      </c>
      <c r="G159" s="242"/>
      <c r="H159" s="242"/>
      <c r="I159" s="242"/>
      <c r="J159" s="242"/>
      <c r="K159" s="242"/>
      <c r="L159" s="242"/>
      <c r="M159" s="242"/>
      <c r="N159" s="1093"/>
      <c r="O159" s="242"/>
      <c r="P159" s="242"/>
      <c r="Q159" s="242">
        <v>0.24399999999999999</v>
      </c>
      <c r="R159" s="1173">
        <v>0</v>
      </c>
      <c r="S159" s="1173">
        <v>0.34200000000000003</v>
      </c>
      <c r="T159" s="1173">
        <v>0.54600000000000004</v>
      </c>
      <c r="U159" s="1173">
        <v>1.165</v>
      </c>
      <c r="V159" s="1173">
        <v>1.0649999999999999</v>
      </c>
      <c r="W159" s="1173">
        <f t="shared" ref="W159:AF159" si="10">W156</f>
        <v>0.95</v>
      </c>
      <c r="X159" s="1173">
        <f t="shared" si="10"/>
        <v>0.95</v>
      </c>
      <c r="Y159" s="1173">
        <f t="shared" si="10"/>
        <v>0.95</v>
      </c>
      <c r="Z159" s="1173">
        <f t="shared" si="10"/>
        <v>2.9</v>
      </c>
      <c r="AA159" s="1173">
        <f t="shared" si="10"/>
        <v>3.5</v>
      </c>
      <c r="AB159" s="1173">
        <f t="shared" si="10"/>
        <v>1</v>
      </c>
      <c r="AC159" s="1173">
        <f t="shared" si="10"/>
        <v>1</v>
      </c>
      <c r="AD159" s="1173">
        <f t="shared" si="10"/>
        <v>1</v>
      </c>
      <c r="AE159" s="1173">
        <f t="shared" si="10"/>
        <v>1</v>
      </c>
      <c r="AF159" s="1173">
        <f t="shared" si="10"/>
        <v>1</v>
      </c>
    </row>
    <row r="160" spans="1:34" s="462" customFormat="1">
      <c r="B160" s="463"/>
      <c r="C160" s="463"/>
      <c r="D160" s="160"/>
      <c r="E160" s="160"/>
      <c r="F160" s="1029"/>
      <c r="G160" s="243"/>
      <c r="H160" s="243"/>
      <c r="I160" s="243"/>
      <c r="J160" s="243"/>
      <c r="K160" s="243"/>
      <c r="L160" s="243"/>
      <c r="M160" s="243"/>
      <c r="N160" s="243"/>
      <c r="O160" s="243"/>
      <c r="P160" s="243"/>
      <c r="Q160" s="243"/>
      <c r="R160" s="243"/>
      <c r="S160" s="243"/>
      <c r="T160" s="243"/>
      <c r="U160" s="243"/>
      <c r="V160" s="243"/>
      <c r="W160" s="243"/>
      <c r="X160" s="243"/>
      <c r="Y160" s="243"/>
      <c r="Z160" s="243"/>
      <c r="AA160" s="243"/>
      <c r="AB160" s="243"/>
      <c r="AC160" s="243"/>
      <c r="AD160" s="243"/>
      <c r="AE160" s="243"/>
      <c r="AF160" s="243"/>
    </row>
    <row r="161" spans="2:32" s="462" customFormat="1">
      <c r="B161" s="463"/>
      <c r="C161" s="1253"/>
      <c r="D161" s="1077"/>
      <c r="E161" s="1074"/>
      <c r="F161" s="1029"/>
      <c r="G161" s="243"/>
      <c r="H161" s="243"/>
      <c r="I161" s="243"/>
      <c r="J161" s="243"/>
      <c r="K161" s="243"/>
      <c r="L161" s="243"/>
      <c r="M161" s="243"/>
      <c r="N161" s="243"/>
      <c r="O161" s="243"/>
      <c r="P161" s="243"/>
      <c r="Q161" s="243"/>
      <c r="R161" s="243"/>
      <c r="S161" s="243"/>
      <c r="T161" s="243"/>
      <c r="U161" s="243"/>
      <c r="V161" s="243"/>
      <c r="W161" s="243"/>
      <c r="X161" s="243"/>
      <c r="Y161" s="243"/>
      <c r="Z161" s="243"/>
      <c r="AA161" s="243"/>
      <c r="AB161" s="243"/>
      <c r="AC161" s="243"/>
      <c r="AD161" s="243"/>
      <c r="AE161" s="243"/>
      <c r="AF161" s="243"/>
    </row>
    <row r="162" spans="2:32" s="462" customFormat="1">
      <c r="B162" s="463"/>
      <c r="C162" s="1250"/>
      <c r="D162" s="160"/>
      <c r="E162" s="1055"/>
      <c r="F162" s="1030"/>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row>
    <row r="163" spans="2:32" s="462" customFormat="1">
      <c r="B163" s="463"/>
      <c r="C163" s="1250"/>
      <c r="D163" s="160"/>
      <c r="E163" s="1055"/>
      <c r="F163" s="1030"/>
      <c r="G163" s="243"/>
      <c r="H163" s="243"/>
      <c r="I163" s="243"/>
      <c r="J163" s="243"/>
      <c r="K163" s="243"/>
      <c r="L163" s="243"/>
      <c r="M163" s="243"/>
      <c r="N163" s="243"/>
      <c r="O163" s="243"/>
      <c r="P163" s="243"/>
      <c r="Q163" s="243"/>
      <c r="R163" s="243"/>
      <c r="S163" s="243"/>
      <c r="T163" s="243"/>
      <c r="U163" s="243"/>
      <c r="V163" s="243"/>
      <c r="W163" s="243"/>
      <c r="X163" s="243"/>
      <c r="Y163" s="243"/>
      <c r="Z163" s="243"/>
      <c r="AA163" s="243"/>
      <c r="AB163" s="243"/>
      <c r="AC163" s="243"/>
      <c r="AD163" s="243"/>
      <c r="AE163" s="243"/>
      <c r="AF163" s="243"/>
    </row>
    <row r="164" spans="2:32" s="462" customFormat="1">
      <c r="B164" s="463"/>
      <c r="C164" s="1250"/>
      <c r="D164" s="160"/>
      <c r="E164" s="1055"/>
      <c r="F164" s="1030"/>
      <c r="G164" s="243"/>
      <c r="H164" s="243"/>
      <c r="I164" s="243"/>
      <c r="J164" s="243"/>
      <c r="K164" s="243"/>
      <c r="L164" s="243"/>
      <c r="M164" s="243"/>
      <c r="N164" s="243"/>
      <c r="O164" s="243"/>
      <c r="P164" s="243"/>
      <c r="Q164" s="243"/>
      <c r="R164" s="243"/>
      <c r="S164" s="243"/>
      <c r="T164" s="243"/>
      <c r="U164" s="243"/>
      <c r="V164" s="243"/>
      <c r="W164" s="243"/>
      <c r="X164" s="243"/>
      <c r="Y164" s="243"/>
      <c r="Z164" s="243"/>
      <c r="AA164" s="243"/>
      <c r="AB164" s="243"/>
      <c r="AC164" s="243"/>
      <c r="AD164" s="243"/>
      <c r="AE164" s="243"/>
      <c r="AF164" s="243"/>
    </row>
    <row r="165" spans="2:32" s="462" customFormat="1">
      <c r="B165" s="463"/>
      <c r="C165" s="1250"/>
      <c r="D165" s="160"/>
      <c r="E165" s="1055"/>
      <c r="F165" s="1030"/>
      <c r="G165" s="243"/>
      <c r="H165" s="243"/>
      <c r="I165" s="243"/>
      <c r="J165" s="243"/>
      <c r="K165" s="243"/>
      <c r="L165" s="243"/>
      <c r="M165" s="243"/>
      <c r="N165" s="243"/>
      <c r="O165" s="243"/>
      <c r="P165" s="243"/>
      <c r="Q165" s="243"/>
      <c r="R165" s="243"/>
      <c r="S165" s="243"/>
      <c r="T165" s="243"/>
      <c r="U165" s="243"/>
      <c r="V165" s="243"/>
      <c r="W165" s="243"/>
      <c r="X165" s="243"/>
      <c r="Y165" s="243"/>
      <c r="Z165" s="243"/>
      <c r="AA165" s="243"/>
      <c r="AB165" s="243"/>
      <c r="AC165" s="243"/>
      <c r="AD165" s="243"/>
      <c r="AE165" s="243"/>
      <c r="AF165" s="243"/>
    </row>
    <row r="166" spans="2:32" s="462" customFormat="1">
      <c r="B166" s="463"/>
      <c r="C166" s="1250"/>
      <c r="D166" s="160"/>
      <c r="E166" s="1055"/>
      <c r="F166" s="1030"/>
      <c r="G166" s="243"/>
      <c r="H166" s="243"/>
      <c r="I166" s="243"/>
      <c r="J166" s="243"/>
      <c r="K166" s="243"/>
      <c r="L166" s="243"/>
      <c r="M166" s="243"/>
      <c r="N166" s="243"/>
      <c r="O166" s="243"/>
      <c r="P166" s="243"/>
      <c r="Q166" s="243"/>
      <c r="R166" s="243"/>
      <c r="S166" s="243"/>
      <c r="T166" s="243"/>
      <c r="U166" s="243"/>
      <c r="V166" s="243"/>
      <c r="W166" s="243"/>
      <c r="X166" s="243"/>
      <c r="Y166" s="243"/>
      <c r="Z166" s="243"/>
      <c r="AA166" s="243"/>
      <c r="AB166" s="243"/>
      <c r="AC166" s="243"/>
      <c r="AD166" s="243"/>
      <c r="AE166" s="243"/>
      <c r="AF166" s="243"/>
    </row>
    <row r="167" spans="2:32" s="462" customFormat="1">
      <c r="B167" s="463"/>
      <c r="C167" s="1250"/>
      <c r="D167" s="160"/>
      <c r="E167" s="1055"/>
      <c r="F167" s="1030"/>
      <c r="G167" s="243"/>
      <c r="H167" s="243"/>
      <c r="I167" s="243"/>
      <c r="J167" s="243"/>
      <c r="K167" s="243"/>
      <c r="L167" s="243"/>
      <c r="M167" s="243"/>
      <c r="N167" s="243"/>
      <c r="O167" s="243"/>
      <c r="P167" s="243"/>
      <c r="Q167" s="243"/>
      <c r="R167" s="243"/>
      <c r="S167" s="243"/>
      <c r="T167" s="243"/>
      <c r="U167" s="243"/>
      <c r="V167" s="243"/>
      <c r="W167" s="243"/>
      <c r="X167" s="243"/>
      <c r="Y167" s="243"/>
      <c r="Z167" s="243"/>
      <c r="AA167" s="243"/>
      <c r="AB167" s="243"/>
      <c r="AC167" s="243"/>
      <c r="AD167" s="243"/>
      <c r="AE167" s="243"/>
      <c r="AF167" s="243"/>
    </row>
    <row r="168" spans="2:32" s="462" customFormat="1">
      <c r="B168" s="463"/>
      <c r="C168" s="1250"/>
      <c r="D168" s="160"/>
      <c r="E168" s="1055"/>
      <c r="F168" s="1030"/>
      <c r="G168" s="243"/>
      <c r="H168" s="243"/>
      <c r="I168" s="243"/>
      <c r="J168" s="243"/>
      <c r="K168" s="243"/>
      <c r="L168" s="243"/>
      <c r="M168" s="243"/>
      <c r="N168" s="243"/>
      <c r="O168" s="243"/>
      <c r="P168" s="243"/>
      <c r="Q168" s="243"/>
      <c r="R168" s="243"/>
      <c r="S168" s="243"/>
      <c r="T168" s="243"/>
      <c r="U168" s="243"/>
      <c r="V168" s="243"/>
      <c r="W168" s="243"/>
      <c r="X168" s="243"/>
      <c r="Y168" s="243"/>
      <c r="Z168" s="243"/>
      <c r="AA168" s="243"/>
      <c r="AB168" s="243"/>
      <c r="AC168" s="243"/>
      <c r="AD168" s="243"/>
      <c r="AE168" s="243"/>
      <c r="AF168" s="243"/>
    </row>
    <row r="169" spans="2:32" s="462" customFormat="1">
      <c r="B169" s="463"/>
      <c r="C169" s="1250"/>
      <c r="D169" s="160"/>
      <c r="E169" s="1055"/>
      <c r="F169" s="1030"/>
      <c r="G169" s="243"/>
      <c r="H169" s="243"/>
      <c r="I169" s="243"/>
      <c r="J169" s="243"/>
      <c r="K169" s="243"/>
      <c r="L169" s="243"/>
      <c r="M169" s="243"/>
      <c r="N169" s="243"/>
      <c r="O169" s="243"/>
      <c r="P169" s="243"/>
      <c r="Q169" s="243"/>
      <c r="R169" s="243"/>
      <c r="S169" s="243"/>
      <c r="T169" s="243"/>
      <c r="U169" s="243"/>
      <c r="V169" s="243"/>
      <c r="W169" s="243"/>
      <c r="X169" s="243"/>
      <c r="Y169" s="243"/>
      <c r="Z169" s="243"/>
      <c r="AA169" s="243"/>
      <c r="AB169" s="243"/>
      <c r="AC169" s="243"/>
      <c r="AD169" s="243"/>
      <c r="AE169" s="243"/>
      <c r="AF169" s="243"/>
    </row>
    <row r="170" spans="2:32" s="462" customFormat="1">
      <c r="B170" s="463"/>
      <c r="C170" s="1250"/>
      <c r="D170" s="160"/>
      <c r="E170" s="1055"/>
      <c r="F170" s="1030"/>
      <c r="G170" s="243"/>
      <c r="H170" s="243"/>
      <c r="I170" s="243"/>
      <c r="J170" s="243"/>
      <c r="K170" s="243"/>
      <c r="L170" s="243"/>
      <c r="M170" s="243"/>
      <c r="N170" s="243"/>
      <c r="O170" s="243"/>
      <c r="P170" s="243"/>
      <c r="Q170" s="243"/>
      <c r="R170" s="243"/>
      <c r="S170" s="243"/>
      <c r="T170" s="243"/>
      <c r="U170" s="243"/>
      <c r="V170" s="243"/>
      <c r="W170" s="243"/>
      <c r="X170" s="243"/>
      <c r="Y170" s="243"/>
      <c r="Z170" s="243"/>
      <c r="AA170" s="243"/>
      <c r="AB170" s="243"/>
      <c r="AC170" s="243"/>
      <c r="AD170" s="243"/>
      <c r="AE170" s="243"/>
      <c r="AF170" s="243"/>
    </row>
    <row r="171" spans="2:32" s="462" customFormat="1">
      <c r="B171" s="463"/>
      <c r="C171" s="1250"/>
      <c r="D171" s="160"/>
      <c r="E171" s="1055"/>
      <c r="F171" s="1030"/>
      <c r="G171" s="243"/>
      <c r="H171" s="243"/>
      <c r="I171" s="243"/>
      <c r="J171" s="243"/>
      <c r="K171" s="243"/>
      <c r="L171" s="243"/>
      <c r="M171" s="243"/>
      <c r="N171" s="243"/>
      <c r="O171" s="243"/>
      <c r="P171" s="243"/>
      <c r="Q171" s="243"/>
      <c r="R171" s="243"/>
      <c r="S171" s="243"/>
      <c r="T171" s="243"/>
      <c r="U171" s="243"/>
      <c r="V171" s="243"/>
      <c r="W171" s="243"/>
      <c r="X171" s="243"/>
      <c r="Y171" s="243"/>
      <c r="Z171" s="243"/>
      <c r="AA171" s="243"/>
      <c r="AB171" s="243"/>
      <c r="AC171" s="243"/>
      <c r="AD171" s="243"/>
      <c r="AE171" s="243"/>
      <c r="AF171" s="243"/>
    </row>
    <row r="172" spans="2:32" s="462" customFormat="1">
      <c r="B172" s="463"/>
      <c r="C172" s="1250"/>
      <c r="D172" s="160"/>
      <c r="E172" s="1055"/>
      <c r="F172" s="1030"/>
      <c r="G172" s="243"/>
      <c r="H172" s="243"/>
      <c r="I172" s="243"/>
      <c r="J172" s="243"/>
      <c r="K172" s="243"/>
      <c r="L172" s="243"/>
      <c r="M172" s="243"/>
      <c r="N172" s="243"/>
      <c r="O172" s="243"/>
      <c r="P172" s="243"/>
      <c r="Q172" s="243"/>
      <c r="R172" s="243"/>
      <c r="S172" s="243"/>
      <c r="T172" s="243"/>
      <c r="U172" s="243"/>
      <c r="V172" s="243"/>
      <c r="W172" s="243"/>
      <c r="X172" s="243"/>
      <c r="Y172" s="243"/>
      <c r="Z172" s="243"/>
      <c r="AA172" s="243"/>
      <c r="AB172" s="243"/>
      <c r="AC172" s="243"/>
      <c r="AD172" s="243"/>
      <c r="AE172" s="243"/>
      <c r="AF172" s="243"/>
    </row>
    <row r="173" spans="2:32" s="462" customFormat="1">
      <c r="B173" s="464"/>
      <c r="C173" s="1250"/>
      <c r="D173" s="160"/>
      <c r="E173" s="1055"/>
      <c r="F173" s="1030"/>
      <c r="G173" s="243"/>
      <c r="H173" s="243"/>
      <c r="I173" s="243"/>
      <c r="J173" s="243"/>
      <c r="K173" s="243"/>
      <c r="L173" s="243"/>
      <c r="M173" s="243"/>
      <c r="N173" s="243"/>
      <c r="O173" s="243"/>
      <c r="P173" s="243"/>
      <c r="Q173" s="243"/>
      <c r="R173" s="243"/>
      <c r="S173" s="243"/>
      <c r="T173" s="243"/>
      <c r="U173" s="243"/>
      <c r="V173" s="243"/>
      <c r="W173" s="243"/>
      <c r="X173" s="243"/>
      <c r="Y173" s="243"/>
      <c r="Z173" s="243"/>
      <c r="AA173" s="243"/>
      <c r="AB173" s="243"/>
      <c r="AC173" s="243"/>
      <c r="AD173" s="243"/>
      <c r="AE173" s="243"/>
      <c r="AF173" s="243"/>
    </row>
    <row r="174" spans="2:32">
      <c r="C174" s="47"/>
      <c r="D174" s="46"/>
      <c r="E174" s="1033"/>
      <c r="F174" s="1046"/>
      <c r="G174" s="250"/>
      <c r="H174" s="250"/>
      <c r="I174" s="250"/>
      <c r="J174" s="250"/>
      <c r="K174" s="250"/>
      <c r="L174" s="250"/>
      <c r="M174" s="250"/>
      <c r="N174" s="250"/>
      <c r="O174" s="250"/>
      <c r="P174" s="250"/>
      <c r="Q174" s="250"/>
      <c r="R174" s="250"/>
      <c r="S174" s="250"/>
      <c r="T174" s="250"/>
      <c r="U174" s="250"/>
      <c r="V174" s="250"/>
      <c r="W174" s="250"/>
      <c r="X174" s="250"/>
      <c r="Y174" s="250"/>
      <c r="Z174" s="250"/>
      <c r="AA174" s="250"/>
      <c r="AB174" s="250"/>
      <c r="AC174" s="250"/>
      <c r="AD174" s="250"/>
      <c r="AE174" s="250"/>
      <c r="AF174" s="250"/>
    </row>
    <row r="175" spans="2:32" ht="117.6" customHeight="1">
      <c r="B175" s="1174" t="s">
        <v>12</v>
      </c>
      <c r="C175" s="1249" t="s">
        <v>409</v>
      </c>
      <c r="D175" s="1175" t="s">
        <v>300</v>
      </c>
      <c r="E175" s="1176" t="s">
        <v>476</v>
      </c>
      <c r="F175" s="1096" t="s">
        <v>475</v>
      </c>
      <c r="G175" s="1187">
        <v>7.3779999999999983</v>
      </c>
      <c r="H175" s="1187">
        <v>7.4849999999999994</v>
      </c>
      <c r="I175" s="1187">
        <v>7.6040000000000028</v>
      </c>
      <c r="J175" s="1187">
        <v>3.304000000000002</v>
      </c>
      <c r="K175" s="1187">
        <v>0.7958877419999979</v>
      </c>
      <c r="L175" s="1187">
        <v>1.498</v>
      </c>
      <c r="M175" s="1187">
        <v>1.5249999999999999</v>
      </c>
      <c r="N175" s="1177">
        <f>1.695+0.549</f>
        <v>2.2440000000000002</v>
      </c>
      <c r="O175" s="1177">
        <v>2.4039999999999999</v>
      </c>
      <c r="P175" s="1177">
        <v>2.6869999999999998</v>
      </c>
      <c r="Q175" s="1177">
        <v>3.9910000000000001</v>
      </c>
      <c r="R175" s="1177">
        <v>5.4139999999999997</v>
      </c>
      <c r="S175" s="1177">
        <v>4.9379999999999997</v>
      </c>
      <c r="T175" s="1177">
        <v>3.1520000000000001</v>
      </c>
      <c r="U175" s="1177">
        <v>3.0219999999999998</v>
      </c>
      <c r="V175" s="1177">
        <v>3.129</v>
      </c>
      <c r="W175" s="1177">
        <v>2.5</v>
      </c>
      <c r="X175" s="1177">
        <v>2.5</v>
      </c>
      <c r="Y175" s="1177">
        <v>2.5</v>
      </c>
      <c r="Z175" s="1177">
        <v>2.5</v>
      </c>
      <c r="AA175" s="1177">
        <v>2.5</v>
      </c>
      <c r="AB175" s="1177">
        <v>2.5</v>
      </c>
      <c r="AC175" s="1177">
        <v>2.5</v>
      </c>
      <c r="AD175" s="1177">
        <v>2.5</v>
      </c>
      <c r="AE175" s="1177">
        <v>2.5</v>
      </c>
      <c r="AF175" s="1177">
        <v>2.5</v>
      </c>
    </row>
    <row r="176" spans="2:32" ht="44.25" customHeight="1">
      <c r="B176" s="1206"/>
      <c r="C176" s="81"/>
      <c r="D176" s="1047"/>
      <c r="E176" s="1180"/>
      <c r="F176" s="1049"/>
      <c r="G176" s="1173"/>
      <c r="H176" s="1173"/>
      <c r="I176" s="1173"/>
      <c r="J176" s="1173"/>
      <c r="K176" s="1173"/>
      <c r="L176" s="1173"/>
      <c r="M176" s="1173"/>
      <c r="N176" s="1179"/>
      <c r="O176" s="1179"/>
      <c r="P176" s="1179"/>
      <c r="Q176" s="1179"/>
      <c r="R176" s="1179"/>
      <c r="S176" s="1179"/>
      <c r="T176" s="1179"/>
      <c r="U176" s="1179"/>
      <c r="V176" s="1179"/>
      <c r="W176" s="1179"/>
      <c r="X176" s="1179"/>
      <c r="Y176" s="1179"/>
      <c r="Z176" s="1179"/>
      <c r="AA176" s="1179"/>
      <c r="AB176" s="1179"/>
      <c r="AC176" s="1179"/>
      <c r="AD176" s="1179"/>
      <c r="AE176" s="1179"/>
      <c r="AF176" s="1179"/>
    </row>
    <row r="177" spans="1:32" ht="117.6" customHeight="1">
      <c r="B177" s="1206"/>
      <c r="C177" s="81" t="s">
        <v>354</v>
      </c>
      <c r="D177" s="1047" t="s">
        <v>304</v>
      </c>
      <c r="E177" s="1180" t="s">
        <v>477</v>
      </c>
      <c r="F177" s="1049" t="s">
        <v>478</v>
      </c>
      <c r="G177" s="1173"/>
      <c r="H177" s="1173"/>
      <c r="I177" s="1173"/>
      <c r="J177" s="1173"/>
      <c r="K177" s="1173"/>
      <c r="L177" s="1173"/>
      <c r="M177" s="1173"/>
      <c r="N177" s="1179"/>
      <c r="O177" s="1179"/>
      <c r="P177" s="1179"/>
      <c r="Q177" s="1179">
        <f>Q175</f>
        <v>3.9910000000000001</v>
      </c>
      <c r="R177" s="1179">
        <f>R175</f>
        <v>5.4139999999999997</v>
      </c>
      <c r="S177" s="1179">
        <f>S175+0.9*1.6</f>
        <v>6.3780000000000001</v>
      </c>
      <c r="T177" s="1179">
        <f>T175+2</f>
        <v>5.1520000000000001</v>
      </c>
      <c r="U177" s="1179">
        <f>U175+2</f>
        <v>5.0220000000000002</v>
      </c>
      <c r="V177" s="1179">
        <v>6</v>
      </c>
      <c r="W177" s="1179">
        <f>V177</f>
        <v>6</v>
      </c>
      <c r="X177" s="1179">
        <f t="shared" ref="X177:AF177" si="11">W177</f>
        <v>6</v>
      </c>
      <c r="Y177" s="1179">
        <f t="shared" si="11"/>
        <v>6</v>
      </c>
      <c r="Z177" s="1179">
        <f t="shared" si="11"/>
        <v>6</v>
      </c>
      <c r="AA177" s="1179">
        <f t="shared" si="11"/>
        <v>6</v>
      </c>
      <c r="AB177" s="1179">
        <f t="shared" si="11"/>
        <v>6</v>
      </c>
      <c r="AC177" s="1179">
        <f t="shared" si="11"/>
        <v>6</v>
      </c>
      <c r="AD177" s="1179">
        <f t="shared" si="11"/>
        <v>6</v>
      </c>
      <c r="AE177" s="1179">
        <f t="shared" si="11"/>
        <v>6</v>
      </c>
      <c r="AF177" s="1179">
        <f t="shared" si="11"/>
        <v>6</v>
      </c>
    </row>
    <row r="178" spans="1:32" ht="48" customHeight="1">
      <c r="B178" s="1206"/>
      <c r="C178" s="81"/>
      <c r="D178" s="1047"/>
      <c r="E178" s="1180"/>
      <c r="F178" s="1049"/>
      <c r="G178" s="1173"/>
      <c r="H178" s="1173"/>
      <c r="I178" s="1173"/>
      <c r="J178" s="1173"/>
      <c r="K178" s="1173"/>
      <c r="L178" s="1173"/>
      <c r="M178" s="1173"/>
      <c r="N178" s="1179"/>
      <c r="O178" s="1179"/>
      <c r="P178" s="1179"/>
      <c r="Q178" s="1179"/>
      <c r="R178" s="1179"/>
      <c r="S178" s="1179"/>
      <c r="T178" s="1179"/>
      <c r="U178" s="1179"/>
      <c r="V178" s="1179"/>
      <c r="W178" s="1179"/>
      <c r="X178" s="1179"/>
      <c r="Y178" s="1179"/>
      <c r="Z178" s="1179"/>
      <c r="AA178" s="1179"/>
      <c r="AB178" s="1179"/>
      <c r="AC178" s="1179"/>
      <c r="AD178" s="1179"/>
      <c r="AE178" s="1179"/>
      <c r="AF178" s="1179"/>
    </row>
    <row r="179" spans="1:32">
      <c r="B179" s="1178"/>
      <c r="C179" s="81" t="s">
        <v>410</v>
      </c>
      <c r="D179" s="1047" t="s">
        <v>48</v>
      </c>
      <c r="E179" s="1172" t="s">
        <v>178</v>
      </c>
      <c r="G179" s="1173"/>
      <c r="H179" s="1173"/>
      <c r="I179" s="1173"/>
      <c r="J179" s="1173"/>
      <c r="K179" s="1173"/>
      <c r="L179" s="1173"/>
      <c r="M179" s="1173"/>
      <c r="N179" s="1173"/>
      <c r="O179" s="1173"/>
      <c r="P179" s="1173"/>
      <c r="Q179" s="1173">
        <v>0</v>
      </c>
      <c r="R179" s="1173">
        <v>0</v>
      </c>
      <c r="S179" s="1173">
        <v>0</v>
      </c>
      <c r="T179" s="1173">
        <v>0</v>
      </c>
      <c r="U179" s="1173">
        <v>0</v>
      </c>
      <c r="V179" s="1173">
        <v>0</v>
      </c>
      <c r="W179" s="1173">
        <v>0</v>
      </c>
      <c r="X179" s="1173">
        <v>0</v>
      </c>
      <c r="Y179" s="1173">
        <v>0</v>
      </c>
      <c r="Z179" s="1173">
        <v>0</v>
      </c>
      <c r="AA179" s="1173">
        <v>0</v>
      </c>
      <c r="AB179" s="1173">
        <v>0</v>
      </c>
      <c r="AC179" s="1173">
        <v>0</v>
      </c>
      <c r="AD179" s="1173">
        <v>0</v>
      </c>
      <c r="AE179" s="1173">
        <v>0</v>
      </c>
      <c r="AF179" s="1173">
        <v>0</v>
      </c>
    </row>
    <row r="180" spans="1:32">
      <c r="B180" s="1178"/>
      <c r="C180" s="81" t="s">
        <v>355</v>
      </c>
      <c r="D180" s="1047" t="s">
        <v>48</v>
      </c>
      <c r="E180" s="1172" t="s">
        <v>126</v>
      </c>
      <c r="G180" s="1173"/>
      <c r="H180" s="1173"/>
      <c r="I180" s="1173"/>
      <c r="J180" s="1173"/>
      <c r="K180" s="1173"/>
      <c r="L180" s="1173"/>
      <c r="M180" s="1173"/>
      <c r="N180" s="1173"/>
      <c r="O180" s="1173"/>
      <c r="P180" s="1173"/>
      <c r="Q180" s="1173">
        <v>1.5</v>
      </c>
      <c r="R180" s="1173">
        <v>1.5</v>
      </c>
      <c r="S180" s="1173">
        <v>1.5</v>
      </c>
      <c r="T180" s="1173">
        <v>1.5</v>
      </c>
      <c r="U180" s="1173">
        <v>1.5</v>
      </c>
      <c r="V180" s="1173">
        <v>1.5</v>
      </c>
      <c r="W180" s="1173">
        <v>1.5</v>
      </c>
      <c r="X180" s="1173">
        <v>1.5</v>
      </c>
      <c r="Y180" s="1173">
        <v>1.5</v>
      </c>
      <c r="Z180" s="1173">
        <v>1.5</v>
      </c>
      <c r="AA180" s="1173">
        <v>1.5</v>
      </c>
      <c r="AB180" s="1173">
        <v>1.5</v>
      </c>
      <c r="AC180" s="1173">
        <v>1.5</v>
      </c>
      <c r="AD180" s="1173">
        <v>1.5</v>
      </c>
      <c r="AE180" s="1173">
        <v>1.5</v>
      </c>
      <c r="AF180" s="1173">
        <v>1.5</v>
      </c>
    </row>
    <row r="181" spans="1:32">
      <c r="B181" s="1178"/>
      <c r="C181" s="81" t="s">
        <v>356</v>
      </c>
      <c r="D181" s="1047" t="s">
        <v>48</v>
      </c>
      <c r="E181" s="1172" t="s">
        <v>185</v>
      </c>
      <c r="G181" s="1173"/>
      <c r="H181" s="1173"/>
      <c r="I181" s="1173"/>
      <c r="J181" s="1173"/>
      <c r="K181" s="1173"/>
      <c r="L181" s="1173"/>
      <c r="M181" s="1173"/>
      <c r="N181" s="1173"/>
      <c r="O181" s="1173"/>
      <c r="P181" s="1173"/>
      <c r="Q181" s="1173">
        <v>3</v>
      </c>
      <c r="R181" s="1173">
        <v>3</v>
      </c>
      <c r="S181" s="1173">
        <v>3</v>
      </c>
      <c r="T181" s="1173">
        <v>3</v>
      </c>
      <c r="U181" s="1173">
        <v>3</v>
      </c>
      <c r="V181" s="1173">
        <v>3</v>
      </c>
      <c r="W181" s="1173">
        <v>3</v>
      </c>
      <c r="X181" s="1173">
        <v>3</v>
      </c>
      <c r="Y181" s="1173">
        <v>3</v>
      </c>
      <c r="Z181" s="1173">
        <v>3</v>
      </c>
      <c r="AA181" s="1173">
        <v>3</v>
      </c>
      <c r="AB181" s="1173">
        <v>3</v>
      </c>
      <c r="AC181" s="1173">
        <v>3</v>
      </c>
      <c r="AD181" s="1173">
        <v>3</v>
      </c>
      <c r="AE181" s="1173">
        <v>3</v>
      </c>
      <c r="AF181" s="1173">
        <v>3</v>
      </c>
    </row>
    <row r="182" spans="1:32">
      <c r="B182" s="1178"/>
      <c r="C182" s="81" t="s">
        <v>357</v>
      </c>
      <c r="D182" s="1047" t="s">
        <v>48</v>
      </c>
      <c r="E182" s="1172" t="s">
        <v>186</v>
      </c>
      <c r="G182" s="1173"/>
      <c r="H182" s="1173"/>
      <c r="I182" s="1173"/>
      <c r="J182" s="1173"/>
      <c r="K182" s="1173"/>
      <c r="L182" s="1173"/>
      <c r="M182" s="1173"/>
      <c r="N182" s="1173"/>
      <c r="O182" s="1173"/>
      <c r="P182" s="1173"/>
      <c r="Q182" s="1173">
        <v>4.5</v>
      </c>
      <c r="R182" s="1173">
        <v>4.5</v>
      </c>
      <c r="S182" s="1173">
        <v>4.5</v>
      </c>
      <c r="T182" s="1173">
        <v>4.5</v>
      </c>
      <c r="U182" s="1173">
        <v>4.5</v>
      </c>
      <c r="V182" s="1173">
        <v>4.5</v>
      </c>
      <c r="W182" s="1173">
        <v>4.5</v>
      </c>
      <c r="X182" s="1173">
        <v>4.5</v>
      </c>
      <c r="Y182" s="1173">
        <v>4.5</v>
      </c>
      <c r="Z182" s="1173">
        <v>4.5</v>
      </c>
      <c r="AA182" s="1173">
        <v>4.5</v>
      </c>
      <c r="AB182" s="1173">
        <v>4.5</v>
      </c>
      <c r="AC182" s="1173">
        <v>4.5</v>
      </c>
      <c r="AD182" s="1173">
        <v>4.5</v>
      </c>
      <c r="AE182" s="1173">
        <v>4.5</v>
      </c>
      <c r="AF182" s="1173">
        <v>4.5</v>
      </c>
    </row>
    <row r="183" spans="1:32">
      <c r="B183" s="1178"/>
      <c r="C183" s="81" t="s">
        <v>358</v>
      </c>
      <c r="D183" s="1047" t="s">
        <v>48</v>
      </c>
      <c r="E183" s="1172" t="s">
        <v>187</v>
      </c>
      <c r="G183" s="1173"/>
      <c r="H183" s="1173"/>
      <c r="I183" s="1173"/>
      <c r="J183" s="1173"/>
      <c r="K183" s="1173"/>
      <c r="L183" s="1173"/>
      <c r="M183" s="1173"/>
      <c r="N183" s="1173"/>
      <c r="O183" s="1173"/>
      <c r="P183" s="1173"/>
      <c r="Q183" s="1173">
        <v>6</v>
      </c>
      <c r="R183" s="1173">
        <v>6</v>
      </c>
      <c r="S183" s="1173">
        <v>6</v>
      </c>
      <c r="T183" s="1173">
        <v>6</v>
      </c>
      <c r="U183" s="1173">
        <v>6</v>
      </c>
      <c r="V183" s="1173">
        <v>6</v>
      </c>
      <c r="W183" s="1173">
        <v>6</v>
      </c>
      <c r="X183" s="1173">
        <v>6</v>
      </c>
      <c r="Y183" s="1173">
        <v>6</v>
      </c>
      <c r="Z183" s="1173">
        <v>6</v>
      </c>
      <c r="AA183" s="1173">
        <v>6</v>
      </c>
      <c r="AB183" s="1173">
        <v>6</v>
      </c>
      <c r="AC183" s="1173">
        <v>6</v>
      </c>
      <c r="AD183" s="1173">
        <v>6</v>
      </c>
      <c r="AE183" s="1173">
        <v>6</v>
      </c>
      <c r="AF183" s="1173">
        <v>6</v>
      </c>
    </row>
    <row r="184" spans="1:32">
      <c r="B184" s="1178"/>
      <c r="C184" s="1254"/>
      <c r="D184" s="1047"/>
      <c r="E184" s="1172"/>
      <c r="G184" s="1173"/>
      <c r="H184" s="1173"/>
      <c r="I184" s="1173"/>
      <c r="J184" s="1173"/>
      <c r="K184" s="1173"/>
      <c r="L184" s="1173"/>
      <c r="M184" s="1173"/>
      <c r="N184" s="1173"/>
      <c r="O184" s="1173"/>
      <c r="P184" s="1173"/>
      <c r="Q184" s="1173"/>
      <c r="R184" s="1173"/>
      <c r="S184" s="1173"/>
      <c r="T184" s="1173"/>
      <c r="U184" s="1173"/>
      <c r="V184" s="1173"/>
      <c r="W184" s="1173"/>
      <c r="X184" s="1173"/>
      <c r="Y184" s="1173"/>
      <c r="Z184" s="1173"/>
      <c r="AA184" s="1173"/>
      <c r="AB184" s="1173"/>
      <c r="AC184" s="1173"/>
      <c r="AD184" s="1173"/>
      <c r="AE184" s="1173"/>
      <c r="AF184" s="1173"/>
    </row>
    <row r="185" spans="1:32">
      <c r="B185" s="1178"/>
      <c r="C185" s="1255"/>
      <c r="D185" s="1047"/>
      <c r="E185" s="1172"/>
      <c r="F185" s="1164"/>
      <c r="G185" s="1173"/>
      <c r="H185" s="1173"/>
      <c r="I185" s="1173"/>
      <c r="J185" s="1173"/>
      <c r="K185" s="1173"/>
      <c r="L185" s="1173"/>
      <c r="M185" s="1173"/>
      <c r="N185" s="1173"/>
      <c r="O185" s="1173"/>
      <c r="P185" s="1179"/>
      <c r="Q185" s="1179"/>
      <c r="R185" s="1179"/>
      <c r="S185" s="1179"/>
      <c r="T185" s="1179"/>
      <c r="U185" s="1179"/>
      <c r="V185" s="1179"/>
      <c r="W185" s="1179"/>
      <c r="X185" s="1179"/>
      <c r="Y185" s="1179"/>
      <c r="Z185" s="1179"/>
      <c r="AA185" s="1179"/>
      <c r="AB185" s="1179"/>
      <c r="AC185" s="1179"/>
      <c r="AD185" s="1179"/>
      <c r="AE185" s="1179"/>
      <c r="AF185" s="1179"/>
    </row>
    <row r="186" spans="1:32" ht="52.8">
      <c r="B186" s="1178"/>
      <c r="C186" s="63" t="s">
        <v>470</v>
      </c>
      <c r="D186" s="1181" t="s">
        <v>300</v>
      </c>
      <c r="E186" s="16" t="s">
        <v>470</v>
      </c>
      <c r="F186" s="1049" t="s">
        <v>475</v>
      </c>
      <c r="G186" s="1173"/>
      <c r="H186" s="1173"/>
      <c r="I186" s="1173"/>
      <c r="J186" s="1173"/>
      <c r="K186" s="1173"/>
      <c r="L186" s="1173"/>
      <c r="M186" s="1173"/>
      <c r="N186" s="1173"/>
      <c r="O186" s="1173"/>
      <c r="P186" s="1179"/>
      <c r="Q186" s="1179">
        <v>4.2270000000000003</v>
      </c>
      <c r="R186" s="1179">
        <v>5.4139999999999997</v>
      </c>
      <c r="S186" s="1179">
        <v>4.9379999999999997</v>
      </c>
      <c r="T186" s="1173">
        <v>3.1520000000000001</v>
      </c>
      <c r="U186" s="1173">
        <v>3.0219999999999998</v>
      </c>
      <c r="V186" s="1173">
        <v>3.129</v>
      </c>
      <c r="W186" s="1173">
        <v>2.5</v>
      </c>
      <c r="X186" s="1173">
        <v>2.5</v>
      </c>
      <c r="Y186" s="1173">
        <v>2.5</v>
      </c>
      <c r="Z186" s="1173">
        <v>2.5</v>
      </c>
      <c r="AA186" s="1173">
        <v>2.5</v>
      </c>
      <c r="AB186" s="1173">
        <v>2.5</v>
      </c>
      <c r="AC186" s="1173">
        <v>2.5</v>
      </c>
      <c r="AD186" s="1173">
        <v>2.5</v>
      </c>
      <c r="AE186" s="1173">
        <v>2.5</v>
      </c>
      <c r="AF186" s="1173">
        <v>2.5</v>
      </c>
    </row>
    <row r="187" spans="1:32" s="462" customFormat="1" ht="52.8">
      <c r="A187" s="9"/>
      <c r="B187" s="1178"/>
      <c r="C187" s="63" t="s">
        <v>411</v>
      </c>
      <c r="D187" s="1181" t="s">
        <v>300</v>
      </c>
      <c r="E187" s="16" t="s">
        <v>411</v>
      </c>
      <c r="F187" s="1049" t="s">
        <v>480</v>
      </c>
      <c r="G187" s="1173"/>
      <c r="H187" s="1173"/>
      <c r="I187" s="1173"/>
      <c r="J187" s="1182"/>
      <c r="K187" s="1173"/>
      <c r="L187" s="1173"/>
      <c r="M187" s="1173"/>
      <c r="N187" s="1173"/>
      <c r="O187" s="1173"/>
      <c r="P187" s="1173"/>
      <c r="Q187" s="1179">
        <v>4.5579999999999998</v>
      </c>
      <c r="R187" s="1179">
        <v>6.0309999999999997</v>
      </c>
      <c r="S187" s="1173">
        <v>5.4889999999999999</v>
      </c>
      <c r="T187" s="1173">
        <v>3.6960000000000002</v>
      </c>
      <c r="U187" s="1173">
        <v>3.6579999999999999</v>
      </c>
      <c r="V187" s="1173">
        <v>3.8220000000000001</v>
      </c>
      <c r="W187" s="1173">
        <v>2.5</v>
      </c>
      <c r="X187" s="1173">
        <v>2.5</v>
      </c>
      <c r="Y187" s="1173">
        <v>2.5</v>
      </c>
      <c r="Z187" s="1173">
        <v>2.5</v>
      </c>
      <c r="AA187" s="1173">
        <v>2.5</v>
      </c>
      <c r="AB187" s="1173">
        <v>2.5</v>
      </c>
      <c r="AC187" s="1173">
        <v>2.5</v>
      </c>
      <c r="AD187" s="1173">
        <v>2.5</v>
      </c>
      <c r="AE187" s="1173">
        <v>2.5</v>
      </c>
      <c r="AF187" s="1173">
        <v>2.5</v>
      </c>
    </row>
    <row r="188" spans="1:32" s="462" customFormat="1" ht="52.8">
      <c r="A188" s="9"/>
      <c r="B188" s="1178"/>
      <c r="C188" s="63" t="s">
        <v>412</v>
      </c>
      <c r="D188" s="1181" t="s">
        <v>300</v>
      </c>
      <c r="E188" s="16" t="s">
        <v>412</v>
      </c>
      <c r="F188" s="1049" t="s">
        <v>481</v>
      </c>
      <c r="G188" s="1173"/>
      <c r="H188" s="1173"/>
      <c r="I188" s="1173"/>
      <c r="J188" s="1173"/>
      <c r="K188" s="1173"/>
      <c r="L188" s="1173"/>
      <c r="M188" s="1173"/>
      <c r="N188" s="1173"/>
      <c r="O188" s="1173"/>
      <c r="P188" s="1173"/>
      <c r="Q188" s="1173">
        <v>3.8929999999999998</v>
      </c>
      <c r="R188" s="1173">
        <v>4.6459999999999999</v>
      </c>
      <c r="S188" s="1173">
        <v>4.3579999999999997</v>
      </c>
      <c r="T188" s="1173">
        <v>2.657</v>
      </c>
      <c r="U188" s="1173">
        <v>2.4180000000000001</v>
      </c>
      <c r="V188" s="1173">
        <v>2.4260000000000002</v>
      </c>
      <c r="W188" s="1173">
        <v>2.5</v>
      </c>
      <c r="X188" s="1173">
        <v>2.5</v>
      </c>
      <c r="Y188" s="1173">
        <v>2.5</v>
      </c>
      <c r="Z188" s="1173">
        <v>2.5</v>
      </c>
      <c r="AA188" s="1173">
        <v>2.5</v>
      </c>
      <c r="AB188" s="1173">
        <v>2.5</v>
      </c>
      <c r="AC188" s="1173">
        <v>2.5</v>
      </c>
      <c r="AD188" s="1173">
        <v>2.5</v>
      </c>
      <c r="AE188" s="1173">
        <v>2.5</v>
      </c>
      <c r="AF188" s="1173">
        <v>2.5</v>
      </c>
    </row>
    <row r="189" spans="1:32" s="462" customFormat="1">
      <c r="B189" s="463"/>
      <c r="C189" s="463"/>
      <c r="D189" s="522"/>
      <c r="E189" s="1055"/>
      <c r="F189" s="1151"/>
      <c r="G189" s="243"/>
      <c r="H189" s="243"/>
      <c r="I189" s="243"/>
      <c r="J189" s="243"/>
      <c r="K189" s="243"/>
      <c r="L189" s="243"/>
      <c r="M189" s="243"/>
      <c r="N189" s="243"/>
      <c r="O189" s="243"/>
      <c r="P189" s="243"/>
      <c r="Q189" s="243"/>
      <c r="R189" s="243"/>
      <c r="S189" s="243"/>
      <c r="T189" s="243"/>
      <c r="U189" s="243"/>
      <c r="V189" s="243"/>
      <c r="W189" s="243"/>
      <c r="X189" s="243"/>
      <c r="Y189" s="243"/>
      <c r="Z189" s="243"/>
      <c r="AA189" s="243"/>
      <c r="AB189" s="243"/>
      <c r="AC189" s="243"/>
      <c r="AD189" s="243"/>
      <c r="AE189" s="243"/>
      <c r="AF189" s="243"/>
    </row>
    <row r="190" spans="1:32" s="462" customFormat="1" ht="52.8">
      <c r="B190" s="463"/>
      <c r="C190" s="1253" t="s">
        <v>458</v>
      </c>
      <c r="D190" s="1148" t="s">
        <v>300</v>
      </c>
      <c r="E190" s="1074" t="s">
        <v>479</v>
      </c>
      <c r="F190" s="1151" t="s">
        <v>482</v>
      </c>
      <c r="G190" s="243"/>
      <c r="H190" s="243"/>
      <c r="I190" s="243"/>
      <c r="J190" s="243"/>
      <c r="K190" s="243"/>
      <c r="L190" s="243"/>
      <c r="M190" s="243"/>
      <c r="N190" s="243"/>
      <c r="O190" s="243"/>
      <c r="P190" s="243"/>
      <c r="Q190" s="243"/>
      <c r="R190" s="243">
        <v>4.5999999999999996</v>
      </c>
      <c r="S190" s="243">
        <v>4.8</v>
      </c>
      <c r="T190" s="243">
        <v>4.8</v>
      </c>
      <c r="U190" s="243">
        <v>4.8</v>
      </c>
      <c r="V190" s="243">
        <v>4.8</v>
      </c>
      <c r="W190" s="243">
        <v>5.3</v>
      </c>
      <c r="X190" s="243">
        <v>5.4</v>
      </c>
      <c r="Y190" s="243">
        <v>5.5</v>
      </c>
      <c r="Z190" s="243">
        <v>5.6</v>
      </c>
      <c r="AA190" s="243">
        <v>5.6</v>
      </c>
      <c r="AB190" s="243">
        <v>5.6</v>
      </c>
      <c r="AC190" s="243">
        <v>5.6</v>
      </c>
      <c r="AD190" s="243">
        <v>5.6</v>
      </c>
      <c r="AE190" s="243">
        <v>5.6</v>
      </c>
      <c r="AF190" s="243">
        <v>5.6</v>
      </c>
    </row>
    <row r="191" spans="1:32" s="462" customFormat="1">
      <c r="B191" s="463"/>
      <c r="C191" s="1250"/>
      <c r="D191" s="1149"/>
      <c r="E191" s="1055"/>
      <c r="F191" s="1030"/>
      <c r="G191" s="243"/>
      <c r="H191" s="243"/>
      <c r="I191" s="243"/>
      <c r="J191" s="243"/>
      <c r="K191" s="243"/>
      <c r="L191" s="243"/>
      <c r="M191" s="243"/>
      <c r="N191" s="243"/>
      <c r="O191" s="243"/>
      <c r="P191" s="243"/>
      <c r="Q191" s="243"/>
      <c r="R191" s="243"/>
      <c r="S191" s="243"/>
      <c r="T191" s="243"/>
      <c r="U191" s="243"/>
      <c r="V191" s="243"/>
      <c r="W191" s="243"/>
      <c r="X191" s="243"/>
      <c r="Y191" s="243"/>
      <c r="Z191" s="243"/>
      <c r="AA191" s="243"/>
      <c r="AB191" s="243"/>
      <c r="AC191" s="243"/>
      <c r="AD191" s="243"/>
      <c r="AE191" s="243"/>
      <c r="AF191" s="243"/>
    </row>
    <row r="192" spans="1:32" s="462" customFormat="1">
      <c r="B192" s="463"/>
      <c r="C192" s="1250"/>
      <c r="D192" s="1149"/>
      <c r="E192" s="1055"/>
      <c r="F192" s="1030"/>
      <c r="G192" s="243"/>
      <c r="H192" s="243"/>
      <c r="I192" s="243"/>
      <c r="J192" s="243"/>
      <c r="K192" s="243"/>
      <c r="L192" s="243"/>
      <c r="M192" s="243"/>
      <c r="N192" s="243"/>
      <c r="O192" s="243"/>
      <c r="P192" s="243"/>
      <c r="Q192" s="243"/>
      <c r="R192" s="243"/>
      <c r="S192" s="243"/>
      <c r="T192" s="243"/>
      <c r="U192" s="243"/>
      <c r="V192" s="243"/>
      <c r="W192" s="243"/>
      <c r="X192" s="243"/>
      <c r="Y192" s="243"/>
      <c r="Z192" s="243"/>
      <c r="AA192" s="243"/>
      <c r="AB192" s="243"/>
      <c r="AC192" s="243"/>
      <c r="AD192" s="243"/>
      <c r="AE192" s="243"/>
      <c r="AF192" s="243"/>
    </row>
    <row r="193" spans="2:32" s="462" customFormat="1">
      <c r="B193" s="463"/>
      <c r="C193" s="1250"/>
      <c r="D193" s="1149"/>
      <c r="E193" s="1055"/>
      <c r="F193" s="1030"/>
      <c r="G193" s="243"/>
      <c r="H193" s="243"/>
      <c r="I193" s="243"/>
      <c r="J193" s="243"/>
      <c r="K193" s="243"/>
      <c r="L193" s="243"/>
      <c r="M193" s="243"/>
      <c r="N193" s="243"/>
      <c r="O193" s="243"/>
      <c r="P193" s="243"/>
      <c r="Q193" s="243"/>
      <c r="R193" s="243"/>
      <c r="S193" s="243"/>
      <c r="T193" s="243"/>
      <c r="U193" s="243"/>
      <c r="V193" s="243"/>
      <c r="W193" s="243"/>
      <c r="X193" s="243"/>
      <c r="Y193" s="243"/>
      <c r="Z193" s="243"/>
      <c r="AA193" s="243"/>
      <c r="AB193" s="243"/>
      <c r="AC193" s="243"/>
      <c r="AD193" s="243"/>
      <c r="AE193" s="243"/>
      <c r="AF193" s="243"/>
    </row>
    <row r="194" spans="2:32" s="462" customFormat="1">
      <c r="B194" s="463"/>
      <c r="C194" s="1250"/>
      <c r="D194" s="1149"/>
      <c r="E194" s="1055"/>
      <c r="F194" s="1030"/>
      <c r="G194" s="243"/>
      <c r="H194" s="243"/>
      <c r="I194" s="243"/>
      <c r="J194" s="243"/>
      <c r="K194" s="243"/>
      <c r="L194" s="243"/>
      <c r="M194" s="243"/>
      <c r="N194" s="243"/>
      <c r="O194" s="243"/>
      <c r="P194" s="243"/>
      <c r="Q194" s="243"/>
      <c r="R194" s="243"/>
      <c r="S194" s="243"/>
      <c r="T194" s="243"/>
      <c r="U194" s="243"/>
      <c r="V194" s="243"/>
      <c r="W194" s="243"/>
      <c r="X194" s="243"/>
      <c r="Y194" s="243"/>
      <c r="Z194" s="243"/>
      <c r="AA194" s="243"/>
      <c r="AB194" s="243"/>
      <c r="AC194" s="243"/>
      <c r="AD194" s="243"/>
      <c r="AE194" s="243"/>
      <c r="AF194" s="243"/>
    </row>
    <row r="195" spans="2:32" s="462" customFormat="1">
      <c r="B195" s="463"/>
      <c r="C195" s="1250"/>
      <c r="D195" s="1149"/>
      <c r="E195" s="1055"/>
      <c r="F195" s="1030"/>
      <c r="G195" s="243"/>
      <c r="H195" s="243"/>
      <c r="I195" s="243"/>
      <c r="J195" s="243"/>
      <c r="K195" s="243"/>
      <c r="L195" s="243"/>
      <c r="M195" s="243"/>
      <c r="N195" s="243"/>
      <c r="O195" s="243"/>
      <c r="P195" s="243"/>
      <c r="Q195" s="243"/>
      <c r="R195" s="243"/>
      <c r="S195" s="243"/>
      <c r="T195" s="243"/>
      <c r="U195" s="243"/>
      <c r="V195" s="243"/>
      <c r="W195" s="243"/>
      <c r="X195" s="243"/>
      <c r="Y195" s="243"/>
      <c r="Z195" s="243"/>
      <c r="AA195" s="243"/>
      <c r="AB195" s="243"/>
      <c r="AC195" s="243"/>
      <c r="AD195" s="243"/>
      <c r="AE195" s="243"/>
      <c r="AF195" s="243"/>
    </row>
    <row r="196" spans="2:32" s="462" customFormat="1">
      <c r="B196" s="463"/>
      <c r="C196" s="1250"/>
      <c r="D196" s="1149"/>
      <c r="E196" s="1055"/>
      <c r="F196" s="1030"/>
      <c r="G196" s="243"/>
      <c r="H196" s="243"/>
      <c r="I196" s="243"/>
      <c r="J196" s="243"/>
      <c r="K196" s="243"/>
      <c r="L196" s="243"/>
      <c r="M196" s="243"/>
      <c r="N196" s="243"/>
      <c r="O196" s="243"/>
      <c r="P196" s="243"/>
      <c r="Q196" s="243"/>
      <c r="R196" s="243"/>
      <c r="S196" s="243"/>
      <c r="T196" s="243"/>
      <c r="U196" s="243"/>
      <c r="V196" s="243"/>
      <c r="W196" s="243"/>
      <c r="X196" s="243"/>
      <c r="Y196" s="243"/>
      <c r="Z196" s="243"/>
      <c r="AA196" s="243"/>
      <c r="AB196" s="243"/>
      <c r="AC196" s="243"/>
      <c r="AD196" s="243"/>
      <c r="AE196" s="243"/>
      <c r="AF196" s="243"/>
    </row>
    <row r="197" spans="2:32" s="462" customFormat="1">
      <c r="B197" s="463"/>
      <c r="C197" s="1250"/>
      <c r="D197" s="1149"/>
      <c r="E197" s="1055"/>
      <c r="F197" s="1030"/>
      <c r="G197" s="243"/>
      <c r="H197" s="243"/>
      <c r="I197" s="243"/>
      <c r="J197" s="243"/>
      <c r="K197" s="243"/>
      <c r="L197" s="243"/>
      <c r="M197" s="243"/>
      <c r="N197" s="243"/>
      <c r="O197" s="243"/>
      <c r="P197" s="243"/>
      <c r="Q197" s="243"/>
      <c r="R197" s="243"/>
      <c r="S197" s="243"/>
      <c r="T197" s="243"/>
      <c r="U197" s="243"/>
      <c r="V197" s="243"/>
      <c r="W197" s="243"/>
      <c r="X197" s="243"/>
      <c r="Y197" s="243"/>
      <c r="Z197" s="243"/>
      <c r="AA197" s="243"/>
      <c r="AB197" s="243"/>
      <c r="AC197" s="243"/>
      <c r="AD197" s="243"/>
      <c r="AE197" s="243"/>
      <c r="AF197" s="243"/>
    </row>
    <row r="198" spans="2:32" s="462" customFormat="1">
      <c r="B198" s="463"/>
      <c r="C198" s="1250"/>
      <c r="D198" s="1149"/>
      <c r="E198" s="1055"/>
      <c r="F198" s="1030"/>
      <c r="G198" s="243"/>
      <c r="H198" s="243"/>
      <c r="I198" s="243"/>
      <c r="J198" s="243"/>
      <c r="K198" s="243"/>
      <c r="L198" s="243"/>
      <c r="M198" s="243"/>
      <c r="N198" s="243"/>
      <c r="O198" s="243"/>
      <c r="P198" s="243"/>
      <c r="Q198" s="243"/>
      <c r="R198" s="243"/>
      <c r="S198" s="243"/>
      <c r="T198" s="243"/>
      <c r="U198" s="243"/>
      <c r="V198" s="243"/>
      <c r="W198" s="243"/>
      <c r="X198" s="243"/>
      <c r="Y198" s="243"/>
      <c r="Z198" s="243"/>
      <c r="AA198" s="243"/>
      <c r="AB198" s="243"/>
      <c r="AC198" s="243"/>
      <c r="AD198" s="243"/>
      <c r="AE198" s="243"/>
      <c r="AF198" s="243"/>
    </row>
    <row r="199" spans="2:32" s="462" customFormat="1">
      <c r="B199" s="463"/>
      <c r="C199" s="1250"/>
      <c r="D199" s="1149"/>
      <c r="E199" s="1055"/>
      <c r="F199" s="1030"/>
      <c r="G199" s="243"/>
      <c r="H199" s="243"/>
      <c r="I199" s="243"/>
      <c r="J199" s="243"/>
      <c r="K199" s="243"/>
      <c r="L199" s="243"/>
      <c r="M199" s="243"/>
      <c r="N199" s="243"/>
      <c r="O199" s="243"/>
      <c r="P199" s="243"/>
      <c r="Q199" s="243"/>
      <c r="R199" s="243"/>
      <c r="S199" s="243"/>
      <c r="T199" s="243"/>
      <c r="U199" s="243"/>
      <c r="V199" s="243"/>
      <c r="W199" s="243"/>
      <c r="X199" s="243"/>
      <c r="Y199" s="243"/>
      <c r="Z199" s="243"/>
      <c r="AA199" s="243"/>
      <c r="AB199" s="243"/>
      <c r="AC199" s="243"/>
      <c r="AD199" s="243"/>
      <c r="AE199" s="243"/>
      <c r="AF199" s="243"/>
    </row>
    <row r="200" spans="2:32" s="462" customFormat="1">
      <c r="B200" s="463"/>
      <c r="C200" s="1250"/>
      <c r="D200" s="1149"/>
      <c r="E200" s="1055"/>
      <c r="F200" s="1030"/>
      <c r="G200" s="243"/>
      <c r="H200" s="243"/>
      <c r="I200" s="243"/>
      <c r="J200" s="243"/>
      <c r="K200" s="243"/>
      <c r="L200" s="243"/>
      <c r="M200" s="243"/>
      <c r="N200" s="243"/>
      <c r="O200" s="243"/>
      <c r="P200" s="243"/>
      <c r="Q200" s="243"/>
      <c r="R200" s="243"/>
      <c r="S200" s="243"/>
      <c r="T200" s="243"/>
      <c r="U200" s="243"/>
      <c r="V200" s="243"/>
      <c r="W200" s="243"/>
      <c r="X200" s="243"/>
      <c r="Y200" s="243"/>
      <c r="Z200" s="243"/>
      <c r="AA200" s="243"/>
      <c r="AB200" s="243"/>
      <c r="AC200" s="243"/>
      <c r="AD200" s="243"/>
      <c r="AE200" s="243"/>
      <c r="AF200" s="243"/>
    </row>
    <row r="201" spans="2:32" s="462" customFormat="1">
      <c r="B201" s="463"/>
      <c r="C201" s="1250"/>
      <c r="D201" s="1149"/>
      <c r="E201" s="1055"/>
      <c r="F201" s="1030"/>
      <c r="G201" s="243"/>
      <c r="H201" s="243"/>
      <c r="I201" s="243"/>
      <c r="J201" s="243"/>
      <c r="K201" s="243"/>
      <c r="L201" s="243"/>
      <c r="M201" s="243"/>
      <c r="N201" s="243"/>
      <c r="O201" s="243"/>
      <c r="P201" s="243"/>
      <c r="Q201" s="243"/>
      <c r="R201" s="243"/>
      <c r="S201" s="243"/>
      <c r="T201" s="243"/>
      <c r="U201" s="243"/>
      <c r="V201" s="243"/>
      <c r="W201" s="243"/>
      <c r="X201" s="243"/>
      <c r="Y201" s="243"/>
      <c r="Z201" s="243"/>
      <c r="AA201" s="243"/>
      <c r="AB201" s="243"/>
      <c r="AC201" s="243"/>
      <c r="AD201" s="243"/>
      <c r="AE201" s="243"/>
      <c r="AF201" s="243"/>
    </row>
    <row r="202" spans="2:32" s="462" customFormat="1">
      <c r="B202" s="464"/>
      <c r="C202" s="1250"/>
      <c r="D202" s="1149"/>
      <c r="E202" s="1150"/>
      <c r="F202" s="1030"/>
      <c r="G202" s="243"/>
      <c r="H202" s="243"/>
      <c r="I202" s="243"/>
      <c r="J202" s="243"/>
      <c r="K202" s="243"/>
      <c r="L202" s="243"/>
      <c r="M202" s="243"/>
      <c r="N202" s="243"/>
      <c r="O202" s="251"/>
      <c r="P202" s="251"/>
      <c r="Q202" s="251"/>
      <c r="R202" s="251"/>
      <c r="S202" s="251"/>
      <c r="T202" s="251"/>
      <c r="U202" s="251"/>
      <c r="V202" s="251"/>
      <c r="W202" s="251"/>
      <c r="X202" s="251"/>
      <c r="Y202" s="251"/>
      <c r="Z202" s="251"/>
      <c r="AA202" s="251"/>
      <c r="AB202" s="251"/>
      <c r="AC202" s="251"/>
      <c r="AD202" s="251"/>
      <c r="AE202" s="251"/>
      <c r="AF202" s="251"/>
    </row>
    <row r="203" spans="2:32">
      <c r="C203" s="47"/>
      <c r="D203" s="46"/>
      <c r="F203" s="1046"/>
      <c r="G203" s="250"/>
      <c r="H203" s="250"/>
      <c r="I203" s="250"/>
      <c r="J203" s="250"/>
      <c r="K203" s="250"/>
      <c r="L203" s="250"/>
      <c r="M203" s="250"/>
      <c r="N203" s="250"/>
      <c r="O203" s="250"/>
      <c r="P203" s="250"/>
      <c r="Q203" s="250"/>
      <c r="R203" s="250"/>
      <c r="S203" s="250"/>
      <c r="T203" s="250"/>
      <c r="U203" s="250"/>
      <c r="V203" s="250"/>
      <c r="W203" s="250"/>
      <c r="X203" s="250"/>
      <c r="Y203" s="250"/>
      <c r="Z203" s="250"/>
      <c r="AA203" s="250"/>
      <c r="AB203" s="250"/>
      <c r="AC203" s="250"/>
      <c r="AD203" s="250"/>
      <c r="AE203" s="250"/>
      <c r="AF203" s="250"/>
    </row>
    <row r="204" spans="2:32">
      <c r="G204" s="70"/>
      <c r="H204" s="70"/>
      <c r="I204" s="70"/>
      <c r="J204" s="70"/>
      <c r="K204" s="70"/>
      <c r="L204" s="70"/>
      <c r="M204" s="70"/>
      <c r="N204" s="70"/>
      <c r="O204" s="70"/>
      <c r="P204" s="70"/>
      <c r="Q204" s="70"/>
      <c r="R204" s="70"/>
      <c r="S204" s="70"/>
      <c r="T204" s="70"/>
      <c r="U204" s="70"/>
      <c r="V204" s="70"/>
      <c r="W204" s="70"/>
      <c r="X204" s="70"/>
      <c r="Y204" s="70"/>
      <c r="Z204" s="70"/>
      <c r="AA204" s="70"/>
      <c r="AB204" s="70"/>
      <c r="AC204" s="70"/>
      <c r="AD204" s="70"/>
      <c r="AE204" s="70"/>
      <c r="AF204" s="70"/>
    </row>
    <row r="205" spans="2:32">
      <c r="G205" s="70"/>
      <c r="H205" s="70"/>
      <c r="I205" s="70"/>
      <c r="J205" s="70"/>
      <c r="K205" s="70"/>
      <c r="L205" s="70"/>
      <c r="M205" s="70"/>
      <c r="N205" s="70"/>
      <c r="O205" s="70"/>
      <c r="P205" s="70"/>
      <c r="Q205" s="70"/>
      <c r="R205" s="70"/>
      <c r="S205" s="70"/>
      <c r="T205" s="70"/>
      <c r="U205" s="70"/>
      <c r="V205" s="70"/>
      <c r="W205" s="70"/>
      <c r="X205" s="70"/>
      <c r="Y205" s="70"/>
      <c r="Z205" s="70"/>
      <c r="AA205" s="70"/>
      <c r="AB205" s="70"/>
      <c r="AC205" s="70"/>
      <c r="AD205" s="70"/>
      <c r="AE205" s="70"/>
      <c r="AF205" s="70"/>
    </row>
    <row r="206" spans="2:32">
      <c r="G206" s="70"/>
      <c r="H206" s="70"/>
      <c r="I206" s="70"/>
      <c r="J206" s="70"/>
      <c r="K206" s="70"/>
      <c r="L206" s="70"/>
      <c r="M206" s="70"/>
      <c r="N206" s="70"/>
      <c r="O206" s="70"/>
      <c r="P206" s="70"/>
      <c r="Q206" s="70"/>
      <c r="R206" s="70"/>
      <c r="S206" s="70"/>
      <c r="T206" s="70"/>
      <c r="U206" s="70"/>
      <c r="V206" s="70"/>
      <c r="W206" s="70"/>
      <c r="X206" s="70"/>
      <c r="Y206" s="70"/>
      <c r="Z206" s="70"/>
      <c r="AA206" s="70"/>
      <c r="AB206" s="70"/>
      <c r="AC206" s="70"/>
      <c r="AD206" s="70"/>
      <c r="AE206" s="70"/>
      <c r="AF206" s="70"/>
    </row>
    <row r="207" spans="2:32">
      <c r="G207" s="70"/>
      <c r="H207" s="70"/>
      <c r="I207" s="70"/>
      <c r="J207" s="70"/>
      <c r="K207" s="70"/>
      <c r="L207" s="70"/>
      <c r="M207" s="70"/>
      <c r="N207" s="70"/>
      <c r="O207" s="70"/>
      <c r="P207" s="70"/>
      <c r="Q207" s="70"/>
      <c r="R207" s="70"/>
      <c r="S207" s="70"/>
      <c r="T207" s="70"/>
      <c r="U207" s="70"/>
      <c r="V207" s="70"/>
      <c r="W207" s="70"/>
      <c r="X207" s="70"/>
      <c r="Y207" s="70"/>
      <c r="Z207" s="70"/>
      <c r="AA207" s="70"/>
      <c r="AB207" s="70"/>
      <c r="AC207" s="70"/>
      <c r="AD207" s="70"/>
      <c r="AE207" s="70"/>
      <c r="AF207" s="70"/>
    </row>
    <row r="208" spans="2:32">
      <c r="G208" s="70"/>
      <c r="H208" s="70"/>
      <c r="I208" s="70"/>
      <c r="J208" s="70"/>
      <c r="K208" s="70"/>
      <c r="L208" s="70"/>
      <c r="M208" s="70"/>
      <c r="N208" s="70"/>
      <c r="O208" s="70"/>
      <c r="P208" s="70"/>
      <c r="Q208" s="70"/>
      <c r="R208" s="70"/>
      <c r="S208" s="70"/>
      <c r="T208" s="70"/>
      <c r="U208" s="70"/>
      <c r="V208" s="70"/>
      <c r="W208" s="70"/>
      <c r="X208" s="70"/>
      <c r="Y208" s="70"/>
      <c r="Z208" s="70"/>
      <c r="AA208" s="70"/>
      <c r="AB208" s="70"/>
      <c r="AC208" s="70"/>
      <c r="AD208" s="70"/>
      <c r="AE208" s="70"/>
      <c r="AF208" s="70"/>
    </row>
    <row r="209" spans="7:32">
      <c r="G209" s="70"/>
      <c r="H209" s="70"/>
      <c r="I209" s="70"/>
      <c r="J209" s="70"/>
      <c r="K209" s="70"/>
      <c r="L209" s="70"/>
      <c r="M209" s="70"/>
      <c r="N209" s="70"/>
      <c r="O209" s="70"/>
      <c r="P209" s="70"/>
      <c r="Q209" s="70"/>
      <c r="R209" s="70"/>
      <c r="S209" s="70"/>
      <c r="T209" s="70"/>
      <c r="U209" s="70"/>
      <c r="V209" s="70"/>
      <c r="W209" s="70"/>
      <c r="X209" s="70"/>
      <c r="Y209" s="70"/>
      <c r="Z209" s="70"/>
      <c r="AA209" s="70"/>
      <c r="AB209" s="70"/>
      <c r="AC209" s="70"/>
      <c r="AD209" s="70"/>
      <c r="AE209" s="70"/>
      <c r="AF209" s="70"/>
    </row>
    <row r="210" spans="7:32">
      <c r="G210" s="70"/>
      <c r="H210" s="70"/>
      <c r="I210" s="70"/>
      <c r="J210" s="70"/>
      <c r="K210" s="70"/>
      <c r="L210" s="70"/>
      <c r="M210" s="70"/>
      <c r="N210" s="70"/>
      <c r="O210" s="70"/>
      <c r="P210" s="70"/>
      <c r="Q210" s="70"/>
      <c r="R210" s="70"/>
      <c r="S210" s="70"/>
      <c r="T210" s="70"/>
      <c r="U210" s="70"/>
      <c r="V210" s="70"/>
      <c r="W210" s="70"/>
      <c r="X210" s="70"/>
      <c r="Y210" s="70"/>
      <c r="Z210" s="70"/>
      <c r="AA210" s="70"/>
      <c r="AB210" s="70"/>
      <c r="AC210" s="70"/>
      <c r="AD210" s="70"/>
      <c r="AE210" s="70"/>
      <c r="AF210" s="70"/>
    </row>
    <row r="211" spans="7:32">
      <c r="G211" s="70"/>
      <c r="H211" s="70"/>
      <c r="I211" s="70"/>
      <c r="J211" s="70"/>
      <c r="K211" s="70"/>
      <c r="L211" s="70"/>
      <c r="M211" s="70"/>
      <c r="N211" s="70"/>
      <c r="O211" s="70"/>
      <c r="P211" s="70"/>
      <c r="Q211" s="70"/>
      <c r="R211" s="70"/>
      <c r="S211" s="70"/>
      <c r="T211" s="70"/>
      <c r="U211" s="70"/>
      <c r="V211" s="70"/>
      <c r="W211" s="70"/>
      <c r="X211" s="70"/>
      <c r="Y211" s="70"/>
      <c r="Z211" s="70"/>
      <c r="AA211" s="70"/>
      <c r="AB211" s="70"/>
      <c r="AC211" s="70"/>
      <c r="AD211" s="70"/>
      <c r="AE211" s="70"/>
      <c r="AF211" s="70"/>
    </row>
    <row r="212" spans="7:32">
      <c r="G212" s="70"/>
      <c r="H212" s="70"/>
      <c r="I212" s="70"/>
      <c r="J212" s="70"/>
      <c r="K212" s="70"/>
      <c r="L212" s="70"/>
      <c r="M212" s="70"/>
      <c r="N212" s="70"/>
      <c r="O212" s="70"/>
      <c r="P212" s="70"/>
      <c r="Q212" s="70"/>
      <c r="R212" s="70"/>
      <c r="S212" s="70"/>
      <c r="T212" s="70"/>
      <c r="U212" s="70"/>
      <c r="V212" s="70"/>
      <c r="W212" s="70"/>
      <c r="X212" s="70"/>
      <c r="Y212" s="70"/>
      <c r="Z212" s="70"/>
      <c r="AA212" s="70"/>
      <c r="AB212" s="70"/>
      <c r="AC212" s="70"/>
      <c r="AD212" s="70"/>
      <c r="AE212" s="70"/>
      <c r="AF212" s="70"/>
    </row>
    <row r="213" spans="7:32">
      <c r="G213" s="70"/>
      <c r="H213" s="70"/>
      <c r="I213" s="70"/>
      <c r="J213" s="70"/>
      <c r="K213" s="70"/>
      <c r="L213" s="70"/>
      <c r="M213" s="70"/>
      <c r="N213" s="70"/>
      <c r="O213" s="70"/>
      <c r="P213" s="70"/>
      <c r="Q213" s="70"/>
      <c r="R213" s="70"/>
      <c r="S213" s="70"/>
      <c r="T213" s="70"/>
      <c r="U213" s="70"/>
      <c r="V213" s="70"/>
      <c r="W213" s="70"/>
      <c r="X213" s="70"/>
      <c r="Y213" s="70"/>
      <c r="Z213" s="70"/>
      <c r="AA213" s="70"/>
      <c r="AB213" s="70"/>
      <c r="AC213" s="70"/>
      <c r="AD213" s="70"/>
      <c r="AE213" s="70"/>
      <c r="AF213" s="70"/>
    </row>
    <row r="214" spans="7:32">
      <c r="G214" s="70"/>
      <c r="H214" s="70"/>
      <c r="I214" s="70"/>
      <c r="J214" s="70"/>
      <c r="K214" s="70"/>
      <c r="L214" s="70"/>
      <c r="M214" s="70"/>
      <c r="N214" s="70"/>
      <c r="O214" s="70"/>
      <c r="P214" s="70"/>
      <c r="Q214" s="70"/>
      <c r="R214" s="70"/>
      <c r="S214" s="70"/>
      <c r="T214" s="70"/>
      <c r="U214" s="70"/>
      <c r="V214" s="70"/>
      <c r="W214" s="70"/>
      <c r="X214" s="70"/>
      <c r="Y214" s="70"/>
      <c r="Z214" s="70"/>
      <c r="AA214" s="70"/>
      <c r="AB214" s="70"/>
      <c r="AC214" s="70"/>
      <c r="AD214" s="70"/>
      <c r="AE214" s="70"/>
      <c r="AF214" s="70"/>
    </row>
    <row r="215" spans="7:32">
      <c r="G215" s="70"/>
      <c r="H215" s="70"/>
      <c r="I215" s="70"/>
      <c r="J215" s="70"/>
      <c r="K215" s="70"/>
      <c r="L215" s="70"/>
      <c r="M215" s="70"/>
      <c r="N215" s="70"/>
      <c r="O215" s="70"/>
      <c r="P215" s="70"/>
      <c r="Q215" s="70"/>
      <c r="R215" s="70"/>
      <c r="S215" s="70"/>
      <c r="T215" s="70"/>
      <c r="U215" s="70"/>
      <c r="V215" s="70"/>
      <c r="W215" s="70"/>
      <c r="X215" s="70"/>
      <c r="Y215" s="70"/>
      <c r="Z215" s="70"/>
      <c r="AA215" s="70"/>
      <c r="AB215" s="70"/>
      <c r="AC215" s="70"/>
      <c r="AD215" s="70"/>
      <c r="AE215" s="70"/>
      <c r="AF215" s="70"/>
    </row>
    <row r="216" spans="7:32">
      <c r="G216" s="70"/>
      <c r="H216" s="70"/>
      <c r="I216" s="70"/>
      <c r="J216" s="70"/>
      <c r="K216" s="70"/>
      <c r="L216" s="70"/>
      <c r="M216" s="70"/>
      <c r="N216" s="70"/>
      <c r="O216" s="70"/>
      <c r="P216" s="70"/>
      <c r="Q216" s="70"/>
      <c r="R216" s="70"/>
      <c r="S216" s="70"/>
      <c r="T216" s="70"/>
      <c r="U216" s="70"/>
      <c r="V216" s="70"/>
      <c r="W216" s="70"/>
      <c r="X216" s="70"/>
      <c r="Y216" s="70"/>
      <c r="Z216" s="70"/>
      <c r="AA216" s="70"/>
      <c r="AB216" s="70"/>
      <c r="AC216" s="70"/>
      <c r="AD216" s="70"/>
      <c r="AE216" s="70"/>
      <c r="AF216" s="70"/>
    </row>
    <row r="217" spans="7:32">
      <c r="G217" s="70"/>
      <c r="H217" s="70"/>
      <c r="I217" s="70"/>
      <c r="J217" s="70"/>
      <c r="K217" s="70"/>
      <c r="L217" s="70"/>
      <c r="M217" s="70"/>
      <c r="N217" s="70"/>
      <c r="O217" s="70"/>
      <c r="P217" s="70"/>
      <c r="Q217" s="70"/>
      <c r="R217" s="70"/>
      <c r="S217" s="70"/>
      <c r="T217" s="70"/>
      <c r="U217" s="70"/>
      <c r="V217" s="70"/>
      <c r="W217" s="70"/>
      <c r="X217" s="70"/>
      <c r="Y217" s="70"/>
      <c r="Z217" s="70"/>
      <c r="AA217" s="70"/>
      <c r="AB217" s="70"/>
      <c r="AC217" s="70"/>
      <c r="AD217" s="70"/>
      <c r="AE217" s="70"/>
      <c r="AF217" s="70"/>
    </row>
    <row r="218" spans="7:32">
      <c r="G218" s="70"/>
      <c r="H218" s="70"/>
      <c r="I218" s="70"/>
      <c r="J218" s="70"/>
      <c r="K218" s="70"/>
      <c r="L218" s="70"/>
      <c r="M218" s="70"/>
      <c r="N218" s="70"/>
      <c r="O218" s="70"/>
      <c r="P218" s="70"/>
      <c r="Q218" s="70"/>
      <c r="R218" s="70"/>
      <c r="S218" s="70"/>
      <c r="T218" s="70"/>
      <c r="U218" s="70"/>
      <c r="V218" s="70"/>
      <c r="W218" s="70"/>
      <c r="X218" s="70"/>
      <c r="Y218" s="70"/>
      <c r="Z218" s="70"/>
      <c r="AA218" s="70"/>
      <c r="AB218" s="70"/>
      <c r="AC218" s="70"/>
      <c r="AD218" s="70"/>
      <c r="AE218" s="70"/>
      <c r="AF218" s="70"/>
    </row>
    <row r="219" spans="7:32">
      <c r="G219" s="70"/>
      <c r="H219" s="70"/>
      <c r="I219" s="70"/>
      <c r="J219" s="70"/>
      <c r="K219" s="70"/>
      <c r="L219" s="70"/>
      <c r="M219" s="70"/>
      <c r="N219" s="70"/>
      <c r="O219" s="70"/>
      <c r="P219" s="70"/>
      <c r="Q219" s="70"/>
      <c r="R219" s="70"/>
      <c r="S219" s="70"/>
      <c r="T219" s="70"/>
      <c r="U219" s="70"/>
      <c r="V219" s="70"/>
      <c r="W219" s="70"/>
      <c r="X219" s="70"/>
      <c r="Y219" s="70"/>
      <c r="Z219" s="70"/>
      <c r="AA219" s="70"/>
      <c r="AB219" s="70"/>
      <c r="AC219" s="70"/>
      <c r="AD219" s="70"/>
      <c r="AE219" s="70"/>
      <c r="AF219" s="70"/>
    </row>
    <row r="220" spans="7:32">
      <c r="G220" s="70"/>
      <c r="H220" s="70"/>
      <c r="I220" s="70"/>
      <c r="J220" s="70"/>
      <c r="K220" s="70"/>
      <c r="L220" s="70"/>
      <c r="M220" s="70"/>
      <c r="N220" s="70"/>
      <c r="O220" s="70"/>
      <c r="P220" s="70"/>
      <c r="Q220" s="70"/>
      <c r="R220" s="70"/>
      <c r="S220" s="70"/>
      <c r="T220" s="70"/>
      <c r="U220" s="70"/>
      <c r="V220" s="70"/>
      <c r="W220" s="70"/>
      <c r="X220" s="70"/>
      <c r="Y220" s="70"/>
      <c r="Z220" s="70"/>
      <c r="AA220" s="70"/>
      <c r="AB220" s="70"/>
      <c r="AC220" s="70"/>
      <c r="AD220" s="70"/>
      <c r="AE220" s="70"/>
      <c r="AF220" s="70"/>
    </row>
    <row r="221" spans="7:32">
      <c r="G221" s="70"/>
      <c r="H221" s="70"/>
      <c r="I221" s="70"/>
      <c r="J221" s="70"/>
      <c r="K221" s="70"/>
      <c r="L221" s="70"/>
      <c r="M221" s="70"/>
      <c r="N221" s="70"/>
      <c r="O221" s="70"/>
      <c r="P221" s="70"/>
      <c r="Q221" s="70"/>
      <c r="R221" s="70"/>
      <c r="S221" s="70"/>
      <c r="T221" s="70"/>
      <c r="U221" s="70"/>
      <c r="V221" s="70"/>
      <c r="W221" s="70"/>
      <c r="X221" s="70"/>
      <c r="Y221" s="70"/>
      <c r="Z221" s="70"/>
      <c r="AA221" s="70"/>
      <c r="AB221" s="70"/>
      <c r="AC221" s="70"/>
      <c r="AD221" s="70"/>
      <c r="AE221" s="70"/>
      <c r="AF221" s="70"/>
    </row>
    <row r="222" spans="7:32">
      <c r="G222" s="70"/>
      <c r="H222" s="70"/>
      <c r="I222" s="70"/>
      <c r="J222" s="70"/>
      <c r="K222" s="70"/>
      <c r="L222" s="70"/>
      <c r="M222" s="70"/>
      <c r="N222" s="70"/>
      <c r="O222" s="70"/>
      <c r="P222" s="70"/>
      <c r="Q222" s="70"/>
      <c r="R222" s="70"/>
      <c r="S222" s="70"/>
      <c r="T222" s="70"/>
      <c r="U222" s="70"/>
      <c r="V222" s="70"/>
      <c r="W222" s="70"/>
      <c r="X222" s="70"/>
      <c r="Y222" s="70"/>
      <c r="Z222" s="70"/>
      <c r="AA222" s="70"/>
      <c r="AB222" s="70"/>
      <c r="AC222" s="70"/>
      <c r="AD222" s="70"/>
      <c r="AE222" s="70"/>
      <c r="AF222" s="70"/>
    </row>
    <row r="223" spans="7:32">
      <c r="G223" s="70"/>
      <c r="H223" s="70"/>
      <c r="I223" s="70"/>
      <c r="J223" s="70"/>
      <c r="K223" s="70"/>
      <c r="L223" s="70"/>
      <c r="M223" s="70"/>
      <c r="N223" s="70"/>
      <c r="O223" s="70"/>
      <c r="P223" s="70"/>
      <c r="Q223" s="70"/>
      <c r="R223" s="70"/>
      <c r="S223" s="70"/>
      <c r="T223" s="70"/>
      <c r="U223" s="70"/>
      <c r="V223" s="70"/>
      <c r="W223" s="70"/>
      <c r="X223" s="70"/>
      <c r="Y223" s="70"/>
      <c r="Z223" s="70"/>
      <c r="AA223" s="70"/>
      <c r="AB223" s="70"/>
      <c r="AC223" s="70"/>
      <c r="AD223" s="70"/>
      <c r="AE223" s="70"/>
      <c r="AF223" s="70"/>
    </row>
    <row r="224" spans="7:32">
      <c r="G224" s="70"/>
      <c r="H224" s="70"/>
      <c r="I224" s="70"/>
      <c r="J224" s="70"/>
      <c r="K224" s="70"/>
      <c r="L224" s="70"/>
      <c r="M224" s="70"/>
      <c r="N224" s="70"/>
      <c r="O224" s="70"/>
      <c r="P224" s="70"/>
      <c r="Q224" s="70"/>
      <c r="R224" s="70"/>
      <c r="S224" s="70"/>
      <c r="T224" s="70"/>
      <c r="U224" s="70"/>
      <c r="V224" s="70"/>
      <c r="W224" s="70"/>
      <c r="X224" s="70"/>
      <c r="Y224" s="70"/>
      <c r="Z224" s="70"/>
      <c r="AA224" s="70"/>
      <c r="AB224" s="70"/>
      <c r="AC224" s="70"/>
      <c r="AD224" s="70"/>
      <c r="AE224" s="70"/>
      <c r="AF224" s="70"/>
    </row>
    <row r="225" spans="7:32">
      <c r="G225" s="70"/>
      <c r="H225" s="70"/>
      <c r="I225" s="70"/>
      <c r="J225" s="70"/>
      <c r="K225" s="70"/>
      <c r="L225" s="70"/>
      <c r="M225" s="70"/>
      <c r="N225" s="70"/>
      <c r="O225" s="70"/>
      <c r="P225" s="70"/>
      <c r="Q225" s="70"/>
      <c r="R225" s="70"/>
      <c r="S225" s="70"/>
      <c r="T225" s="70"/>
      <c r="U225" s="70"/>
      <c r="V225" s="70"/>
      <c r="W225" s="70"/>
      <c r="X225" s="70"/>
      <c r="Y225" s="70"/>
      <c r="Z225" s="70"/>
      <c r="AA225" s="70"/>
      <c r="AB225" s="70"/>
      <c r="AC225" s="70"/>
      <c r="AD225" s="70"/>
      <c r="AE225" s="70"/>
      <c r="AF225" s="70"/>
    </row>
    <row r="226" spans="7:32">
      <c r="G226" s="70"/>
      <c r="H226" s="70"/>
      <c r="I226" s="70"/>
      <c r="J226" s="70"/>
      <c r="K226" s="70"/>
      <c r="L226" s="70"/>
      <c r="M226" s="70"/>
      <c r="N226" s="70"/>
      <c r="O226" s="70"/>
      <c r="P226" s="70"/>
      <c r="Q226" s="70"/>
      <c r="R226" s="70"/>
      <c r="S226" s="70"/>
      <c r="T226" s="70"/>
      <c r="U226" s="70"/>
      <c r="V226" s="70"/>
      <c r="W226" s="70"/>
      <c r="X226" s="70"/>
      <c r="Y226" s="70"/>
      <c r="Z226" s="70"/>
      <c r="AA226" s="70"/>
      <c r="AB226" s="70"/>
      <c r="AC226" s="70"/>
      <c r="AD226" s="70"/>
      <c r="AE226" s="70"/>
      <c r="AF226" s="70"/>
    </row>
    <row r="227" spans="7:32">
      <c r="G227" s="70"/>
      <c r="H227" s="70"/>
      <c r="I227" s="70"/>
      <c r="J227" s="70"/>
      <c r="K227" s="70"/>
      <c r="L227" s="70"/>
      <c r="M227" s="70"/>
      <c r="N227" s="70"/>
      <c r="O227" s="70"/>
      <c r="P227" s="70"/>
      <c r="Q227" s="70"/>
      <c r="R227" s="70"/>
      <c r="S227" s="70"/>
      <c r="T227" s="70"/>
      <c r="U227" s="70"/>
      <c r="V227" s="70"/>
      <c r="W227" s="70"/>
      <c r="X227" s="70"/>
      <c r="Y227" s="70"/>
      <c r="Z227" s="70"/>
      <c r="AA227" s="70"/>
      <c r="AB227" s="70"/>
      <c r="AC227" s="70"/>
      <c r="AD227" s="70"/>
      <c r="AE227" s="70"/>
      <c r="AF227" s="70"/>
    </row>
    <row r="228" spans="7:32">
      <c r="G228" s="70"/>
      <c r="H228" s="70"/>
      <c r="I228" s="70"/>
      <c r="J228" s="70"/>
      <c r="K228" s="70"/>
      <c r="L228" s="70"/>
      <c r="M228" s="70"/>
      <c r="N228" s="70"/>
      <c r="O228" s="70"/>
      <c r="P228" s="70"/>
      <c r="Q228" s="70"/>
      <c r="R228" s="70"/>
      <c r="S228" s="70"/>
      <c r="T228" s="70"/>
      <c r="U228" s="70"/>
      <c r="V228" s="70"/>
      <c r="W228" s="70"/>
      <c r="X228" s="70"/>
      <c r="Y228" s="70"/>
      <c r="Z228" s="70"/>
      <c r="AA228" s="70"/>
      <c r="AB228" s="70"/>
      <c r="AC228" s="70"/>
      <c r="AD228" s="70"/>
      <c r="AE228" s="70"/>
      <c r="AF228" s="70"/>
    </row>
    <row r="229" spans="7:32">
      <c r="G229" s="70"/>
      <c r="H229" s="70"/>
      <c r="I229" s="70"/>
      <c r="J229" s="70"/>
      <c r="K229" s="70"/>
      <c r="L229" s="70"/>
      <c r="M229" s="70"/>
      <c r="N229" s="70"/>
      <c r="O229" s="70"/>
      <c r="P229" s="70"/>
      <c r="Q229" s="70"/>
      <c r="R229" s="70"/>
      <c r="S229" s="70"/>
      <c r="T229" s="70"/>
      <c r="U229" s="70"/>
      <c r="V229" s="70"/>
      <c r="W229" s="70"/>
      <c r="X229" s="70"/>
      <c r="Y229" s="70"/>
      <c r="Z229" s="70"/>
      <c r="AA229" s="70"/>
      <c r="AB229" s="70"/>
      <c r="AC229" s="70"/>
      <c r="AD229" s="70"/>
      <c r="AE229" s="70"/>
      <c r="AF229" s="70"/>
    </row>
    <row r="230" spans="7:32">
      <c r="G230" s="70"/>
      <c r="H230" s="70"/>
      <c r="I230" s="70"/>
      <c r="J230" s="70"/>
      <c r="K230" s="70"/>
      <c r="L230" s="70"/>
      <c r="M230" s="70"/>
      <c r="N230" s="70"/>
      <c r="O230" s="70"/>
      <c r="P230" s="70"/>
      <c r="Q230" s="70"/>
      <c r="R230" s="70"/>
      <c r="S230" s="70"/>
      <c r="T230" s="70"/>
      <c r="U230" s="70"/>
      <c r="V230" s="70"/>
      <c r="W230" s="70"/>
      <c r="X230" s="70"/>
      <c r="Y230" s="70"/>
      <c r="Z230" s="70"/>
      <c r="AA230" s="70"/>
      <c r="AB230" s="70"/>
      <c r="AC230" s="70"/>
      <c r="AD230" s="70"/>
      <c r="AE230" s="70"/>
      <c r="AF230" s="70"/>
    </row>
    <row r="231" spans="7:32">
      <c r="G231" s="70"/>
      <c r="H231" s="70"/>
      <c r="I231" s="70"/>
      <c r="J231" s="70"/>
      <c r="K231" s="70"/>
      <c r="L231" s="70"/>
      <c r="M231" s="70"/>
      <c r="N231" s="70"/>
      <c r="O231" s="70"/>
      <c r="P231" s="70"/>
      <c r="Q231" s="70"/>
      <c r="R231" s="70"/>
      <c r="S231" s="70"/>
      <c r="T231" s="70"/>
      <c r="U231" s="70"/>
      <c r="V231" s="70"/>
      <c r="W231" s="70"/>
      <c r="X231" s="70"/>
      <c r="Y231" s="70"/>
      <c r="Z231" s="70"/>
      <c r="AA231" s="70"/>
      <c r="AB231" s="70"/>
      <c r="AC231" s="70"/>
      <c r="AD231" s="70"/>
      <c r="AE231" s="70"/>
      <c r="AF231" s="70"/>
    </row>
    <row r="232" spans="7:32">
      <c r="G232" s="70"/>
      <c r="H232" s="70"/>
      <c r="I232" s="70"/>
      <c r="J232" s="70"/>
      <c r="K232" s="70"/>
      <c r="L232" s="70"/>
      <c r="M232" s="70"/>
      <c r="N232" s="70"/>
      <c r="O232" s="70"/>
      <c r="P232" s="70"/>
      <c r="Q232" s="70"/>
      <c r="R232" s="70"/>
      <c r="S232" s="70"/>
      <c r="T232" s="70"/>
      <c r="U232" s="70"/>
      <c r="V232" s="70"/>
      <c r="W232" s="70"/>
      <c r="X232" s="70"/>
      <c r="Y232" s="70"/>
      <c r="Z232" s="70"/>
      <c r="AA232" s="70"/>
      <c r="AB232" s="70"/>
      <c r="AC232" s="70"/>
      <c r="AD232" s="70"/>
      <c r="AE232" s="70"/>
      <c r="AF232" s="70"/>
    </row>
    <row r="233" spans="7:32">
      <c r="G233" s="70"/>
      <c r="H233" s="70"/>
      <c r="I233" s="70"/>
      <c r="J233" s="70"/>
      <c r="K233" s="70"/>
      <c r="L233" s="70"/>
      <c r="M233" s="70"/>
      <c r="N233" s="70"/>
      <c r="O233" s="70"/>
      <c r="P233" s="70"/>
      <c r="Q233" s="70"/>
      <c r="R233" s="70"/>
      <c r="S233" s="70"/>
      <c r="T233" s="70"/>
      <c r="U233" s="70"/>
      <c r="V233" s="70"/>
      <c r="W233" s="70"/>
      <c r="X233" s="70"/>
      <c r="Y233" s="70"/>
      <c r="Z233" s="70"/>
      <c r="AA233" s="70"/>
      <c r="AB233" s="70"/>
      <c r="AC233" s="70"/>
      <c r="AD233" s="70"/>
      <c r="AE233" s="70"/>
      <c r="AF233" s="70"/>
    </row>
    <row r="234" spans="7:32">
      <c r="G234" s="70"/>
      <c r="H234" s="70"/>
      <c r="I234" s="70"/>
      <c r="J234" s="70"/>
      <c r="K234" s="70"/>
      <c r="L234" s="70"/>
      <c r="M234" s="70"/>
      <c r="N234" s="70"/>
      <c r="O234" s="70"/>
      <c r="P234" s="70"/>
      <c r="Q234" s="70"/>
      <c r="R234" s="70"/>
      <c r="S234" s="70"/>
      <c r="T234" s="70"/>
      <c r="U234" s="70"/>
      <c r="V234" s="70"/>
      <c r="W234" s="70"/>
      <c r="X234" s="70"/>
      <c r="Y234" s="70"/>
      <c r="Z234" s="70"/>
      <c r="AA234" s="70"/>
      <c r="AB234" s="70"/>
      <c r="AC234" s="70"/>
      <c r="AD234" s="70"/>
      <c r="AE234" s="70"/>
      <c r="AF234" s="70"/>
    </row>
    <row r="235" spans="7:32">
      <c r="G235" s="70"/>
      <c r="H235" s="70"/>
      <c r="I235" s="70"/>
      <c r="J235" s="70"/>
      <c r="K235" s="70"/>
      <c r="L235" s="70"/>
      <c r="M235" s="70"/>
      <c r="N235" s="70"/>
      <c r="O235" s="70"/>
      <c r="P235" s="70"/>
      <c r="Q235" s="70"/>
      <c r="R235" s="70"/>
      <c r="S235" s="70"/>
      <c r="T235" s="70"/>
      <c r="U235" s="70"/>
      <c r="V235" s="70"/>
      <c r="W235" s="70"/>
      <c r="X235" s="70"/>
      <c r="Y235" s="70"/>
      <c r="Z235" s="70"/>
      <c r="AA235" s="70"/>
      <c r="AB235" s="70"/>
      <c r="AC235" s="70"/>
      <c r="AD235" s="70"/>
      <c r="AE235" s="70"/>
      <c r="AF235" s="70"/>
    </row>
    <row r="236" spans="7:32">
      <c r="G236" s="70"/>
      <c r="H236" s="70"/>
      <c r="I236" s="70"/>
      <c r="J236" s="70"/>
      <c r="K236" s="70"/>
      <c r="L236" s="70"/>
      <c r="M236" s="70"/>
      <c r="N236" s="70"/>
      <c r="O236" s="70"/>
      <c r="P236" s="70"/>
      <c r="Q236" s="70"/>
      <c r="R236" s="70"/>
      <c r="S236" s="70"/>
      <c r="T236" s="70"/>
      <c r="U236" s="70"/>
      <c r="V236" s="70"/>
      <c r="W236" s="70"/>
      <c r="X236" s="70"/>
      <c r="Y236" s="70"/>
      <c r="Z236" s="70"/>
      <c r="AA236" s="70"/>
      <c r="AB236" s="70"/>
      <c r="AC236" s="70"/>
      <c r="AD236" s="70"/>
      <c r="AE236" s="70"/>
      <c r="AF236" s="70"/>
    </row>
    <row r="237" spans="7:32">
      <c r="G237" s="70"/>
      <c r="H237" s="70"/>
      <c r="I237" s="70"/>
      <c r="J237" s="70"/>
      <c r="K237" s="70"/>
      <c r="L237" s="70"/>
      <c r="M237" s="70"/>
      <c r="N237" s="70"/>
      <c r="O237" s="70"/>
      <c r="P237" s="70"/>
      <c r="Q237" s="70"/>
      <c r="R237" s="70"/>
      <c r="S237" s="70"/>
      <c r="T237" s="70"/>
      <c r="U237" s="70"/>
      <c r="V237" s="70"/>
      <c r="W237" s="70"/>
      <c r="X237" s="70"/>
      <c r="Y237" s="70"/>
      <c r="Z237" s="70"/>
      <c r="AA237" s="70"/>
      <c r="AB237" s="70"/>
      <c r="AC237" s="70"/>
      <c r="AD237" s="70"/>
      <c r="AE237" s="70"/>
      <c r="AF237" s="70"/>
    </row>
    <row r="238" spans="7:32">
      <c r="G238" s="70"/>
      <c r="H238" s="70"/>
      <c r="I238" s="70"/>
      <c r="J238" s="70"/>
      <c r="K238" s="70"/>
      <c r="L238" s="70"/>
      <c r="M238" s="70"/>
      <c r="N238" s="70"/>
      <c r="O238" s="70"/>
      <c r="P238" s="70"/>
      <c r="Q238" s="70"/>
      <c r="R238" s="70"/>
      <c r="S238" s="70"/>
      <c r="T238" s="70"/>
      <c r="U238" s="70"/>
      <c r="V238" s="70"/>
      <c r="W238" s="70"/>
      <c r="X238" s="70"/>
      <c r="Y238" s="70"/>
      <c r="Z238" s="70"/>
      <c r="AA238" s="70"/>
      <c r="AB238" s="70"/>
      <c r="AC238" s="70"/>
      <c r="AD238" s="70"/>
      <c r="AE238" s="70"/>
      <c r="AF238" s="70"/>
    </row>
  </sheetData>
  <hyperlinks>
    <hyperlink ref="A1" location="'Start-Experte'!A1" display="zurück" xr:uid="{00000000-0004-0000-0F00-000000000000}"/>
  </hyperlinks>
  <pageMargins left="0.78740157480314965" right="0.78740157480314965" top="0.98425196850393704" bottom="0.98425196850393704" header="0.59055118110236227" footer="0.59055118110236227"/>
  <pageSetup paperSize="9" scale="58" fitToHeight="4"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5" max="16383" man="1"/>
  </rowBreaks>
  <legacyDrawing r:id="rId2"/>
  <extLst>
    <ext xmlns:x14="http://schemas.microsoft.com/office/spreadsheetml/2009/9/main" uri="{78C0D931-6437-407d-A8EE-F0AAD7539E65}">
      <x14:conditionalFormattings>
        <x14:conditionalFormatting xmlns:xm="http://schemas.microsoft.com/office/excel/2006/main">
          <x14:cfRule type="cellIs" priority="1" operator="greaterThan" id="{652B0D23-C6BA-4964-A45D-36B3838F971F}">
            <xm:f>ControlPanel!$D$59-1</xm:f>
            <x14:dxf>
              <font>
                <color rgb="FF9C6500"/>
              </font>
              <fill>
                <patternFill>
                  <fgColor indexed="64"/>
                  <bgColor rgb="FFFFEB9C"/>
                </patternFill>
              </fill>
            </x14:dxf>
          </x14:cfRule>
          <x14:cfRule type="cellIs" priority="2" operator="lessThan" id="{8A3BE508-5721-47AF-9A24-475605C10B58}">
            <xm:f>ControlPanel!$D$59</xm:f>
            <x14:dxf>
              <font>
                <color rgb="FF006100"/>
              </font>
              <fill>
                <patternFill>
                  <fgColor indexed="64"/>
                  <bgColor rgb="FFC6EFCE"/>
                </patternFill>
              </fill>
            </x14:dxf>
          </x14:cfRule>
          <x14:cfRule type="cellIs" priority="3" operator="lessThan" id="{C92541A8-5213-430E-85FC-BD347B9B9ED6}">
            <xm:f>ControlPanel!$D$59+1</xm:f>
            <x14:dxf>
              <font>
                <color rgb="FF006100"/>
              </font>
              <fill>
                <patternFill>
                  <fgColor indexed="64"/>
                  <bgColor rgb="FFC6EFCE"/>
                </patternFill>
              </fill>
            </x14:dxf>
          </x14:cfRule>
          <xm:sqref>G4:AF4</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38">
    <tabColor theme="9" tint="0.39997558519241921"/>
  </sheetPr>
  <dimension ref="A1:AG1191"/>
  <sheetViews>
    <sheetView zoomScaleNormal="100" workbookViewId="0">
      <pane xSplit="6" ySplit="4" topLeftCell="K103" activePane="bottomRight" state="frozen"/>
      <selection activeCell="I45" sqref="I45"/>
      <selection pane="topRight" activeCell="I45" sqref="I45"/>
      <selection pane="bottomLeft" activeCell="I45" sqref="I45"/>
      <selection pane="bottomRight" activeCell="R116" sqref="R116"/>
    </sheetView>
  </sheetViews>
  <sheetFormatPr defaultColWidth="11.5546875" defaultRowHeight="13.2" outlineLevelCol="2"/>
  <cols>
    <col min="1" max="1" width="3.6640625" style="9" customWidth="1"/>
    <col min="2" max="2" width="12.44140625" style="9" customWidth="1"/>
    <col min="3" max="3" width="12" style="9" customWidth="1"/>
    <col min="4" max="4" width="20.6640625" style="10" customWidth="1" outlineLevel="2"/>
    <col min="5" max="5" width="12.88671875" style="10" customWidth="1"/>
    <col min="6" max="6" width="16.5546875" style="10" customWidth="1"/>
    <col min="7" max="7" width="9.33203125" style="9" bestFit="1" customWidth="1"/>
    <col min="8" max="8" width="8.6640625" style="9" customWidth="1"/>
    <col min="9" max="9" width="9.33203125" style="9" bestFit="1" customWidth="1"/>
    <col min="10" max="14" width="8.6640625" style="9" customWidth="1"/>
    <col min="15" max="32" width="8.6640625" style="9" customWidth="1" outlineLevel="1"/>
    <col min="33" max="16384" width="11.5546875" style="9"/>
  </cols>
  <sheetData>
    <row r="1" spans="1:32">
      <c r="A1" s="41" t="s">
        <v>74</v>
      </c>
      <c r="B1" s="61" t="s">
        <v>809</v>
      </c>
      <c r="C1" s="61"/>
      <c r="D1" s="19"/>
      <c r="E1" s="19"/>
      <c r="F1" s="19"/>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35</v>
      </c>
      <c r="H5" s="323" t="s">
        <v>35</v>
      </c>
      <c r="I5" s="323" t="s">
        <v>35</v>
      </c>
      <c r="J5" s="323" t="s">
        <v>35</v>
      </c>
      <c r="K5" s="323" t="s">
        <v>35</v>
      </c>
      <c r="L5" s="323" t="s">
        <v>35</v>
      </c>
      <c r="M5" s="323" t="s">
        <v>35</v>
      </c>
      <c r="N5" s="323" t="s">
        <v>35</v>
      </c>
      <c r="O5" s="323" t="s">
        <v>35</v>
      </c>
      <c r="P5" s="323" t="s">
        <v>35</v>
      </c>
      <c r="Q5" s="323" t="s">
        <v>35</v>
      </c>
      <c r="R5" s="323" t="s">
        <v>35</v>
      </c>
      <c r="S5" s="323" t="s">
        <v>35</v>
      </c>
      <c r="T5" s="323" t="s">
        <v>35</v>
      </c>
      <c r="U5" s="323" t="s">
        <v>35</v>
      </c>
      <c r="V5" s="323" t="s">
        <v>35</v>
      </c>
      <c r="W5" s="323" t="s">
        <v>35</v>
      </c>
      <c r="X5" s="323" t="s">
        <v>35</v>
      </c>
      <c r="Y5" s="323" t="s">
        <v>35</v>
      </c>
      <c r="Z5" s="323" t="s">
        <v>35</v>
      </c>
      <c r="AA5" s="323" t="s">
        <v>35</v>
      </c>
      <c r="AB5" s="323" t="s">
        <v>35</v>
      </c>
      <c r="AC5" s="323" t="s">
        <v>35</v>
      </c>
      <c r="AD5" s="323" t="s">
        <v>35</v>
      </c>
      <c r="AE5" s="323" t="s">
        <v>35</v>
      </c>
      <c r="AF5" s="323" t="s">
        <v>35</v>
      </c>
    </row>
    <row r="6" spans="1:32" ht="27" thickBot="1">
      <c r="B6" s="166" t="s">
        <v>529</v>
      </c>
      <c r="C6" s="175" t="str">
        <f>ControlPanel!E39</f>
        <v>Référence</v>
      </c>
      <c r="D6" s="15" t="str">
        <f>VLOOKUP($C$6,$C$13:$AF$37,2,FALSE)</f>
        <v>fh</v>
      </c>
      <c r="E6" s="486" t="str">
        <f>VLOOKUP($C$6,$C$13:$AF$37,3,FALSE)</f>
        <v>Tendance MFP</v>
      </c>
      <c r="F6" s="15" t="str">
        <f>VLOOKUP($C$6,$C$13:$AF$37,4,FALSE)</f>
        <v>Identique au scénario de référence MFP jusqu'en 2025, ensuite constant</v>
      </c>
      <c r="G6" s="39">
        <f>IF(G$4&lt;ControlPanel!$D$59,VLOOKUP("Référence",$C$13:$AF$37,G$4-$G$4+5,FALSE),VLOOKUP($C$6,$C$13:$AF$37,G$4-$G$4+5,FALSE))</f>
        <v>0</v>
      </c>
      <c r="H6" s="39">
        <f>IF(H$4&lt;ControlPanel!$D$59,VLOOKUP("Référence",$C$13:$AF$37,H$4-$G$4+5,FALSE),VLOOKUP($C$6,$C$13:$AF$37,H$4-$G$4+5,FALSE))</f>
        <v>0</v>
      </c>
      <c r="I6" s="39">
        <f>IF(I$4&lt;ControlPanel!$D$59,VLOOKUP("Référence",$C$13:$AF$37,I$4-$G$4+5,FALSE),VLOOKUP($C$6,$C$13:$AF$37,I$4-$G$4+5,FALSE))</f>
        <v>0</v>
      </c>
      <c r="J6" s="39">
        <f>IF(J$4&lt;ControlPanel!$D$59,VLOOKUP("Référence",$C$13:$AF$37,J$4-$G$4+5,FALSE),VLOOKUP($C$6,$C$13:$AF$37,J$4-$G$4+5,FALSE))</f>
        <v>0</v>
      </c>
      <c r="K6" s="39">
        <f>IF(K$4&lt;ControlPanel!$D$59,VLOOKUP("Référence",$C$13:$AF$37,K$4-$G$4+5,FALSE),VLOOKUP($C$6,$C$13:$AF$37,K$4-$G$4+5,FALSE))</f>
        <v>0</v>
      </c>
      <c r="L6" s="39">
        <f>IF(L$4&lt;ControlPanel!$D$59,VLOOKUP("Référence",$C$13:$AF$37,L$4-$G$4+5,FALSE),VLOOKUP($C$6,$C$13:$AF$37,L$4-$G$4+5,FALSE))</f>
        <v>0</v>
      </c>
      <c r="M6" s="39">
        <f>IF(M$4&lt;ControlPanel!$D$59,VLOOKUP("Référence",$C$13:$AF$37,M$4-$G$4+5,FALSE),VLOOKUP($C$6,$C$13:$AF$37,M$4-$G$4+5,FALSE))</f>
        <v>0</v>
      </c>
      <c r="N6" s="39">
        <f>IF(N$4&lt;ControlPanel!$D$59,VLOOKUP("Référence",$C$13:$AF$37,N$4-$G$4+5,FALSE),VLOOKUP($C$6,$C$13:$AF$37,N$4-$G$4+5,FALSE))</f>
        <v>0</v>
      </c>
      <c r="O6" s="39">
        <f>IF(O$4&lt;ControlPanel!$D$59,VLOOKUP("Référence",$C$13:$AF$37,O$4-$G$4+5,FALSE),VLOOKUP($C$6,$C$13:$AF$37,O$4-$G$4+5,FALSE))</f>
        <v>0</v>
      </c>
      <c r="P6" s="39">
        <f>IF(P$4&lt;ControlPanel!$D$59,VLOOKUP("Référence",$C$13:$AF$37,P$4-$G$4+5,FALSE),VLOOKUP($C$6,$C$13:$AF$37,P$4-$G$4+5,FALSE))</f>
        <v>0</v>
      </c>
      <c r="Q6" s="39">
        <f>IF(Q$4&lt;ControlPanel!$D$59,VLOOKUP("Référence",$C$13:$AF$37,Q$4-$G$4+5,FALSE),VLOOKUP($C$6,$C$13:$AF$37,Q$4-$G$4+5,FALSE))</f>
        <v>3956</v>
      </c>
      <c r="R6" s="39">
        <f>IF(R$4&lt;ControlPanel!$D$59,VLOOKUP("Référence",$C$13:$AF$37,R$4-$G$4+5,FALSE),VLOOKUP($C$6,$C$13:$AF$37,R$4-$G$4+5,FALSE))</f>
        <v>3950</v>
      </c>
      <c r="S6" s="39">
        <f>IF(S$4&lt;ControlPanel!$D$59,VLOOKUP("Référence",$C$13:$AF$37,S$4-$G$4+5,FALSE),VLOOKUP($C$6,$C$13:$AF$37,S$4-$G$4+5,FALSE))</f>
        <v>3950</v>
      </c>
      <c r="T6" s="39">
        <f>IF(T$4&lt;ControlPanel!$D$59,VLOOKUP("Référence",$C$13:$AF$37,T$4-$G$4+5,FALSE),VLOOKUP($C$6,$C$13:$AF$37,T$4-$G$4+5,FALSE))</f>
        <v>3950</v>
      </c>
      <c r="U6" s="39">
        <f>IF(U$4&lt;ControlPanel!$D$59,VLOOKUP("Référence",$C$13:$AF$37,U$4-$G$4+5,FALSE),VLOOKUP($C$6,$C$13:$AF$37,U$4-$G$4+5,FALSE))</f>
        <v>3960</v>
      </c>
      <c r="V6" s="39">
        <f>IF(V$4&lt;ControlPanel!$D$59,VLOOKUP("Référence",$C$13:$AF$37,V$4-$G$4+5,FALSE),VLOOKUP($C$6,$C$13:$AF$37,V$4-$G$4+5,FALSE))</f>
        <v>3950</v>
      </c>
      <c r="W6" s="39">
        <f>IF(W$4&lt;ControlPanel!$D$59,VLOOKUP("Référence",$C$13:$AF$37,W$4-$G$4+5,FALSE),VLOOKUP($C$6,$C$13:$AF$37,W$4-$G$4+5,FALSE))</f>
        <v>3950</v>
      </c>
      <c r="X6" s="39">
        <f>IF(X$4&lt;ControlPanel!$D$59,VLOOKUP("Référence",$C$13:$AF$37,X$4-$G$4+5,FALSE),VLOOKUP($C$6,$C$13:$AF$37,X$4-$G$4+5,FALSE))</f>
        <v>3950</v>
      </c>
      <c r="Y6" s="39">
        <f>IF(Y$4&lt;ControlPanel!$D$59,VLOOKUP("Référence",$C$13:$AF$37,Y$4-$G$4+5,FALSE),VLOOKUP($C$6,$C$13:$AF$37,Y$4-$G$4+5,FALSE))</f>
        <v>3950</v>
      </c>
      <c r="Z6" s="39">
        <f>IF(Z$4&lt;ControlPanel!$D$59,VLOOKUP("Référence",$C$13:$AF$37,Z$4-$G$4+5,FALSE),VLOOKUP($C$6,$C$13:$AF$37,Z$4-$G$4+5,FALSE))</f>
        <v>3950</v>
      </c>
      <c r="AA6" s="39">
        <f>IF(AA$4&lt;ControlPanel!$D$59,VLOOKUP("Référence",$C$13:$AF$37,AA$4-$G$4+5,FALSE),VLOOKUP($C$6,$C$13:$AF$37,AA$4-$G$4+5,FALSE))</f>
        <v>3950</v>
      </c>
      <c r="AB6" s="39">
        <f>IF(AB$4&lt;ControlPanel!$D$59,VLOOKUP("Référence",$C$13:$AF$37,AB$4-$G$4+5,FALSE),VLOOKUP($C$6,$C$13:$AF$37,AB$4-$G$4+5,FALSE))</f>
        <v>3950</v>
      </c>
      <c r="AC6" s="39">
        <f>IF(AC$4&lt;ControlPanel!$D$59,VLOOKUP("Référence",$C$13:$AF$37,AC$4-$G$4+5,FALSE),VLOOKUP($C$6,$C$13:$AF$37,AC$4-$G$4+5,FALSE))</f>
        <v>3950</v>
      </c>
      <c r="AD6" s="39">
        <f>IF(AD$4&lt;ControlPanel!$D$59,VLOOKUP("Référence",$C$13:$AF$37,AD$4-$G$4+5,FALSE),VLOOKUP($C$6,$C$13:$AF$37,AD$4-$G$4+5,FALSE))</f>
        <v>3950</v>
      </c>
      <c r="AE6" s="39">
        <f>IF(AE$4&lt;ControlPanel!$D$59,VLOOKUP("Référence",$C$13:$AF$37,AE$4-$G$4+5,FALSE),VLOOKUP($C$6,$C$13:$AF$37,AE$4-$G$4+5,FALSE))</f>
        <v>3950</v>
      </c>
      <c r="AF6" s="39">
        <f>IF(AF$4&lt;ControlPanel!$D$59,VLOOKUP("Référence",$C$13:$AF$37,AF$4-$G$4+5,FALSE),VLOOKUP($C$6,$C$13:$AF$37,AF$4-$G$4+5,FALSE))</f>
        <v>3950</v>
      </c>
    </row>
    <row r="7" spans="1:32" ht="27" thickBot="1">
      <c r="B7" s="165" t="s">
        <v>349</v>
      </c>
      <c r="C7" s="175" t="str">
        <f>ControlPanel!E40</f>
        <v>Référence</v>
      </c>
      <c r="D7" s="15" t="str">
        <f>VLOOKUP($C$7,$C$39:$AF$63,2,FALSE)</f>
        <v>fh</v>
      </c>
      <c r="E7" s="486" t="str">
        <f>VLOOKUP($C$7,$C$39:$AF$63,3,FALSE)</f>
        <v>Tendance MFP</v>
      </c>
      <c r="F7" s="15" t="str">
        <f>VLOOKUP($C$7,$C$39:$AF$63,4,FALSE)</f>
        <v>Identique au scénario de référence MFP jusqu'en 2025, ensuite constant</v>
      </c>
      <c r="G7" s="39">
        <f>IF(G$4&lt;ControlPanel!$D$59,VLOOKUP("Référence",$C$39:$AF$63,G$4-$G$4+5,FALSE),VLOOKUP($C$7,$C$39:$AF$63,G$4-$G$4+5,FALSE))</f>
        <v>0</v>
      </c>
      <c r="H7" s="39">
        <f>IF(H$4&lt;ControlPanel!$D$59,VLOOKUP("Référence",$C$39:$AF$63,H$4-$G$4+5,FALSE),VLOOKUP($C$7,$C$39:$AF$63,H$4-$G$4+5,FALSE))</f>
        <v>0</v>
      </c>
      <c r="I7" s="39">
        <f>IF(I$4&lt;ControlPanel!$D$59,VLOOKUP("Référence",$C$39:$AF$63,I$4-$G$4+5,FALSE),VLOOKUP($C$7,$C$39:$AF$63,I$4-$G$4+5,FALSE))</f>
        <v>0</v>
      </c>
      <c r="J7" s="39">
        <f>IF(J$4&lt;ControlPanel!$D$59,VLOOKUP("Référence",$C$39:$AF$63,J$4-$G$4+5,FALSE),VLOOKUP($C$7,$C$39:$AF$63,J$4-$G$4+5,FALSE))</f>
        <v>0</v>
      </c>
      <c r="K7" s="39">
        <f>IF(K$4&lt;ControlPanel!$D$59,VLOOKUP("Référence",$C$39:$AF$63,K$4-$G$4+5,FALSE),VLOOKUP($C$7,$C$39:$AF$63,K$4-$G$4+5,FALSE))</f>
        <v>0</v>
      </c>
      <c r="L7" s="39">
        <f>IF(L$4&lt;ControlPanel!$D$59,VLOOKUP("Référence",$C$39:$AF$63,L$4-$G$4+5,FALSE),VLOOKUP($C$7,$C$39:$AF$63,L$4-$G$4+5,FALSE))</f>
        <v>2901</v>
      </c>
      <c r="M7" s="39">
        <f>IF(M$4&lt;ControlPanel!$D$59,VLOOKUP("Référence",$C$39:$AF$63,M$4-$G$4+5,FALSE),VLOOKUP($C$7,$C$39:$AF$63,M$4-$G$4+5,FALSE))</f>
        <v>2901</v>
      </c>
      <c r="N7" s="39">
        <f>IF(N$4&lt;ControlPanel!$D$59,VLOOKUP("Référence",$C$39:$AF$63,N$4-$G$4+5,FALSE),VLOOKUP($C$7,$C$39:$AF$63,N$4-$G$4+5,FALSE))</f>
        <v>3944</v>
      </c>
      <c r="O7" s="39">
        <f>IF(O$4&lt;ControlPanel!$D$59,VLOOKUP("Référence",$C$39:$AF$63,O$4-$G$4+5,FALSE),VLOOKUP($C$7,$C$39:$AF$63,O$4-$G$4+5,FALSE))</f>
        <v>3767</v>
      </c>
      <c r="P7" s="39">
        <f>IF(P$4&lt;ControlPanel!$D$59,VLOOKUP("Référence",$C$39:$AF$63,P$4-$G$4+5,FALSE),VLOOKUP($C$7,$C$39:$AF$63,P$4-$G$4+5,FALSE))</f>
        <v>3685</v>
      </c>
      <c r="Q7" s="39">
        <f>IF(Q$4&lt;ControlPanel!$D$59,VLOOKUP("Référence",$C$39:$AF$63,Q$4-$G$4+5,FALSE),VLOOKUP($C$7,$C$39:$AF$63,Q$4-$G$4+5,FALSE))</f>
        <v>3372.3653395784545</v>
      </c>
      <c r="R7" s="39">
        <f>IF(R$4&lt;ControlPanel!$D$59,VLOOKUP("Référence",$C$39:$AF$63,R$4-$G$4+5,FALSE),VLOOKUP($C$7,$C$39:$AF$63,R$4-$G$4+5,FALSE))</f>
        <v>4128.712871287129</v>
      </c>
      <c r="S7" s="39">
        <f>IF(S$4&lt;ControlPanel!$D$59,VLOOKUP("Référence",$C$39:$AF$63,S$4-$G$4+5,FALSE),VLOOKUP($C$7,$C$39:$AF$63,S$4-$G$4+5,FALSE))</f>
        <v>4306.8592057761734</v>
      </c>
      <c r="T7" s="39">
        <f>IF(T$4&lt;ControlPanel!$D$59,VLOOKUP("Référence",$C$39:$AF$63,T$4-$G$4+5,FALSE),VLOOKUP($C$7,$C$39:$AF$63,T$4-$G$4+5,FALSE))</f>
        <v>5080.7174887892379</v>
      </c>
      <c r="U7" s="39">
        <f>IF(U$4&lt;ControlPanel!$D$59,VLOOKUP("Référence",$C$39:$AF$63,U$4-$G$4+5,FALSE),VLOOKUP($C$7,$C$39:$AF$63,U$4-$G$4+5,FALSE))</f>
        <v>5776.3975155279504</v>
      </c>
      <c r="V7" s="39">
        <f>IF(V$4&lt;ControlPanel!$D$59,VLOOKUP("Référence",$C$39:$AF$63,V$4-$G$4+5,FALSE),VLOOKUP($C$7,$C$39:$AF$63,V$4-$G$4+5,FALSE))</f>
        <v>5222.2222222222226</v>
      </c>
      <c r="W7" s="39">
        <f>IF(W$4&lt;ControlPanel!$D$59,VLOOKUP("Référence",$C$39:$AF$63,W$4-$G$4+5,FALSE),VLOOKUP($C$7,$C$39:$AF$63,W$4-$G$4+5,FALSE))</f>
        <v>5222.2222222222226</v>
      </c>
      <c r="X7" s="39">
        <f>IF(X$4&lt;ControlPanel!$D$59,VLOOKUP("Référence",$C$39:$AF$63,X$4-$G$4+5,FALSE),VLOOKUP($C$7,$C$39:$AF$63,X$4-$G$4+5,FALSE))</f>
        <v>5222.2222222222226</v>
      </c>
      <c r="Y7" s="39">
        <f>IF(Y$4&lt;ControlPanel!$D$59,VLOOKUP("Référence",$C$39:$AF$63,Y$4-$G$4+5,FALSE),VLOOKUP($C$7,$C$39:$AF$63,Y$4-$G$4+5,FALSE))</f>
        <v>5222.2222222222226</v>
      </c>
      <c r="Z7" s="39">
        <f>IF(Z$4&lt;ControlPanel!$D$59,VLOOKUP("Référence",$C$39:$AF$63,Z$4-$G$4+5,FALSE),VLOOKUP($C$7,$C$39:$AF$63,Z$4-$G$4+5,FALSE))</f>
        <v>5222.2222222222226</v>
      </c>
      <c r="AA7" s="39">
        <f>IF(AA$4&lt;ControlPanel!$D$59,VLOOKUP("Référence",$C$39:$AF$63,AA$4-$G$4+5,FALSE),VLOOKUP($C$7,$C$39:$AF$63,AA$4-$G$4+5,FALSE))</f>
        <v>5222.2222222222226</v>
      </c>
      <c r="AB7" s="39">
        <f>IF(AB$4&lt;ControlPanel!$D$59,VLOOKUP("Référence",$C$39:$AF$63,AB$4-$G$4+5,FALSE),VLOOKUP($C$7,$C$39:$AF$63,AB$4-$G$4+5,FALSE))</f>
        <v>5222.2222222222226</v>
      </c>
      <c r="AC7" s="39">
        <f>IF(AC$4&lt;ControlPanel!$D$59,VLOOKUP("Référence",$C$39:$AF$63,AC$4-$G$4+5,FALSE),VLOOKUP($C$7,$C$39:$AF$63,AC$4-$G$4+5,FALSE))</f>
        <v>5222.2222222222226</v>
      </c>
      <c r="AD7" s="39">
        <f>IF(AD$4&lt;ControlPanel!$D$59,VLOOKUP("Référence",$C$39:$AF$63,AD$4-$G$4+5,FALSE),VLOOKUP($C$7,$C$39:$AF$63,AD$4-$G$4+5,FALSE))</f>
        <v>5222.2222222222226</v>
      </c>
      <c r="AE7" s="39">
        <f>IF(AE$4&lt;ControlPanel!$D$59,VLOOKUP("Référence",$C$39:$AF$63,AE$4-$G$4+5,FALSE),VLOOKUP($C$7,$C$39:$AF$63,AE$4-$G$4+5,FALSE))</f>
        <v>5222.2222222222226</v>
      </c>
      <c r="AF7" s="39">
        <f>IF(AF$4&lt;ControlPanel!$D$59,VLOOKUP("Référence",$C$39:$AF$63,AF$4-$G$4+5,FALSE),VLOOKUP($C$7,$C$39:$AF$63,AF$4-$G$4+5,FALSE))</f>
        <v>5222.2222222222226</v>
      </c>
    </row>
    <row r="8" spans="1:32" ht="27" thickBot="1">
      <c r="B8" s="165" t="s">
        <v>11</v>
      </c>
      <c r="C8" s="175" t="str">
        <f>ControlPanel!E37</f>
        <v>Référence</v>
      </c>
      <c r="D8" s="15" t="str">
        <f>VLOOKUP($C$8,$C$65:$AF$89,2,FALSE)</f>
        <v>fh</v>
      </c>
      <c r="E8" s="486" t="str">
        <f>VLOOKUP($C$8,$C$65:$AF$89,3,FALSE)</f>
        <v>Tendance MFP</v>
      </c>
      <c r="F8" s="15" t="str">
        <f>VLOOKUP($C$8,$C$65:$AF$89,4,FALSE)</f>
        <v>Identique au scénario de référence MFP jusqu'en 2025, ensuite constant</v>
      </c>
      <c r="G8" s="39">
        <f>IF(G$4&lt;ControlPanel!$D$59,VLOOKUP("Référence",$C$65:$AF$89,G$4-$G$4+5,FALSE),VLOOKUP($C$8,$C$65:$AF$89,G$4-$G$4+5,FALSE))</f>
        <v>0</v>
      </c>
      <c r="H8" s="39">
        <f>IF(H$4&lt;ControlPanel!$D$59,VLOOKUP("Référence",$C$65:$AF$89,H$4-$G$4+5,FALSE),VLOOKUP($C$8,$C$65:$AF$89,H$4-$G$4+5,FALSE))</f>
        <v>0</v>
      </c>
      <c r="I8" s="39">
        <f>IF(I$4&lt;ControlPanel!$D$59,VLOOKUP("Référence",$C$65:$AF$89,I$4-$G$4+5,FALSE),VLOOKUP($C$8,$C$65:$AF$89,I$4-$G$4+5,FALSE))</f>
        <v>0</v>
      </c>
      <c r="J8" s="39">
        <f>IF(J$4&lt;ControlPanel!$D$59,VLOOKUP("Référence",$C$65:$AF$89,J$4-$G$4+5,FALSE),VLOOKUP($C$8,$C$65:$AF$89,J$4-$G$4+5,FALSE))</f>
        <v>0</v>
      </c>
      <c r="K8" s="39">
        <f>IF(K$4&lt;ControlPanel!$D$59,VLOOKUP("Référence",$C$65:$AF$89,K$4-$G$4+5,FALSE),VLOOKUP($C$8,$C$65:$AF$89,K$4-$G$4+5,FALSE))</f>
        <v>0</v>
      </c>
      <c r="L8" s="39">
        <f>IF(L$4&lt;ControlPanel!$D$59,VLOOKUP("Référence",$C$65:$AF$89,L$4-$G$4+5,FALSE),VLOOKUP($C$8,$C$65:$AF$89,L$4-$G$4+5,FALSE))</f>
        <v>5957</v>
      </c>
      <c r="M8" s="39">
        <f>IF(M$4&lt;ControlPanel!$D$59,VLOOKUP("Référence",$C$65:$AF$89,M$4-$G$4+5,FALSE),VLOOKUP($C$8,$C$65:$AF$89,M$4-$G$4+5,FALSE))</f>
        <v>5957</v>
      </c>
      <c r="N8" s="39">
        <f>IF(N$4&lt;ControlPanel!$D$59,VLOOKUP("Référence",$C$65:$AF$89,N$4-$G$4+5,FALSE),VLOOKUP($C$8,$C$65:$AF$89,N$4-$G$4+5,FALSE))</f>
        <v>5641</v>
      </c>
      <c r="O8" s="39">
        <f>IF(O$4&lt;ControlPanel!$D$59,VLOOKUP("Référence",$C$65:$AF$89,O$4-$G$4+5,FALSE),VLOOKUP($C$8,$C$65:$AF$89,O$4-$G$4+5,FALSE))</f>
        <v>5541</v>
      </c>
      <c r="P8" s="39">
        <f>IF(P$4&lt;ControlPanel!$D$59,VLOOKUP("Référence",$C$65:$AF$89,P$4-$G$4+5,FALSE),VLOOKUP($C$8,$C$65:$AF$89,P$4-$G$4+5,FALSE))</f>
        <v>5148</v>
      </c>
      <c r="Q8" s="39">
        <f>IF(Q$4&lt;ControlPanel!$D$59,VLOOKUP("Référence",$C$65:$AF$89,Q$4-$G$4+5,FALSE),VLOOKUP($C$8,$C$65:$AF$89,Q$4-$G$4+5,FALSE))</f>
        <v>5402</v>
      </c>
      <c r="R8" s="39">
        <f>IF(R$4&lt;ControlPanel!$D$59,VLOOKUP("Référence",$C$65:$AF$89,R$4-$G$4+5,FALSE),VLOOKUP($C$8,$C$65:$AF$89,R$4-$G$4+5,FALSE))</f>
        <v>5223</v>
      </c>
      <c r="S8" s="39">
        <f>IF(S$4&lt;ControlPanel!$D$59,VLOOKUP("Référence",$C$65:$AF$89,S$4-$G$4+5,FALSE),VLOOKUP($C$8,$C$65:$AF$89,S$4-$G$4+5,FALSE))</f>
        <v>5202</v>
      </c>
      <c r="T8" s="39">
        <f>IF(T$4&lt;ControlPanel!$D$59,VLOOKUP("Référence",$C$65:$AF$89,T$4-$G$4+5,FALSE),VLOOKUP($C$8,$C$65:$AF$89,T$4-$G$4+5,FALSE))</f>
        <v>5199</v>
      </c>
      <c r="U8" s="39">
        <f>IF(U$4&lt;ControlPanel!$D$59,VLOOKUP("Référence",$C$65:$AF$89,U$4-$G$4+5,FALSE),VLOOKUP($C$8,$C$65:$AF$89,U$4-$G$4+5,FALSE))</f>
        <v>5177</v>
      </c>
      <c r="V8" s="39">
        <f>IF(V$4&lt;ControlPanel!$D$59,VLOOKUP("Référence",$C$65:$AF$89,V$4-$G$4+5,FALSE),VLOOKUP($C$8,$C$65:$AF$89,V$4-$G$4+5,FALSE))</f>
        <v>5181</v>
      </c>
      <c r="W8" s="39">
        <f>IF(W$4&lt;ControlPanel!$D$59,VLOOKUP("Référence",$C$65:$AF$89,W$4-$G$4+5,FALSE),VLOOKUP($C$8,$C$65:$AF$89,W$4-$G$4+5,FALSE))</f>
        <v>5181</v>
      </c>
      <c r="X8" s="39">
        <f>IF(X$4&lt;ControlPanel!$D$59,VLOOKUP("Référence",$C$65:$AF$89,X$4-$G$4+5,FALSE),VLOOKUP($C$8,$C$65:$AF$89,X$4-$G$4+5,FALSE))</f>
        <v>5181</v>
      </c>
      <c r="Y8" s="39">
        <f>IF(Y$4&lt;ControlPanel!$D$59,VLOOKUP("Référence",$C$65:$AF$89,Y$4-$G$4+5,FALSE),VLOOKUP($C$8,$C$65:$AF$89,Y$4-$G$4+5,FALSE))</f>
        <v>5181</v>
      </c>
      <c r="Z8" s="39">
        <f>IF(Z$4&lt;ControlPanel!$D$59,VLOOKUP("Référence",$C$65:$AF$89,Z$4-$G$4+5,FALSE),VLOOKUP($C$8,$C$65:$AF$89,Z$4-$G$4+5,FALSE))</f>
        <v>5181</v>
      </c>
      <c r="AA8" s="39">
        <f>IF(AA$4&lt;ControlPanel!$D$59,VLOOKUP("Référence",$C$65:$AF$89,AA$4-$G$4+5,FALSE),VLOOKUP($C$8,$C$65:$AF$89,AA$4-$G$4+5,FALSE))</f>
        <v>5181</v>
      </c>
      <c r="AB8" s="39">
        <f>IF(AB$4&lt;ControlPanel!$D$59,VLOOKUP("Référence",$C$65:$AF$89,AB$4-$G$4+5,FALSE),VLOOKUP($C$8,$C$65:$AF$89,AB$4-$G$4+5,FALSE))</f>
        <v>5181</v>
      </c>
      <c r="AC8" s="39">
        <f>IF(AC$4&lt;ControlPanel!$D$59,VLOOKUP("Référence",$C$65:$AF$89,AC$4-$G$4+5,FALSE),VLOOKUP($C$8,$C$65:$AF$89,AC$4-$G$4+5,FALSE))</f>
        <v>5181</v>
      </c>
      <c r="AD8" s="39">
        <f>IF(AD$4&lt;ControlPanel!$D$59,VLOOKUP("Référence",$C$65:$AF$89,AD$4-$G$4+5,FALSE),VLOOKUP($C$8,$C$65:$AF$89,AD$4-$G$4+5,FALSE))</f>
        <v>5181</v>
      </c>
      <c r="AE8" s="39">
        <f>IF(AE$4&lt;ControlPanel!$D$59,VLOOKUP("Référence",$C$65:$AF$89,AE$4-$G$4+5,FALSE),VLOOKUP($C$8,$C$65:$AF$89,AE$4-$G$4+5,FALSE))</f>
        <v>5181</v>
      </c>
      <c r="AF8" s="39">
        <f>IF(AF$4&lt;ControlPanel!$D$59,VLOOKUP("Référence",$C$65:$AF$89,AF$4-$G$4+5,FALSE),VLOOKUP($C$8,$C$65:$AF$89,AF$4-$G$4+5,FALSE))</f>
        <v>5181</v>
      </c>
    </row>
    <row r="9" spans="1:32" ht="27" thickBot="1">
      <c r="B9" s="165" t="s">
        <v>10</v>
      </c>
      <c r="C9" s="175" t="str">
        <f>ControlPanel!E38</f>
        <v>Référence</v>
      </c>
      <c r="D9" s="15" t="str">
        <f>VLOOKUP($C$9,$C$91:$AF$115,2,FALSE)</f>
        <v>fh</v>
      </c>
      <c r="E9" s="486" t="str">
        <f>VLOOKUP($C$9,$C$91:$AF$115,3,FALSE)</f>
        <v>Tendance MFP</v>
      </c>
      <c r="F9" s="15" t="str">
        <f>VLOOKUP($C$9,$C$91:$AF$115,4,FALSE)</f>
        <v>Identique au scénario de référence MFP jusqu'en 2025, ensuite constant</v>
      </c>
      <c r="G9" s="39">
        <f>IF(G$4&lt;ControlPanel!$D$59,VLOOKUP("Référence",$C$91:$AF$115,G$4-$G$4+5,FALSE),VLOOKUP($C$9,$C$91:$AF$115,G$4-$G$4+5,FALSE))</f>
        <v>0</v>
      </c>
      <c r="H9" s="39">
        <f>IF(H$4&lt;ControlPanel!$D$59,VLOOKUP("Référence",$C$91:$AF$115,H$4-$G$4+5,FALSE),VLOOKUP($C$9,$C$91:$AF$115,H$4-$G$4+5,FALSE))</f>
        <v>0</v>
      </c>
      <c r="I9" s="39">
        <f>IF(I$4&lt;ControlPanel!$D$59,VLOOKUP("Référence",$C$91:$AF$115,I$4-$G$4+5,FALSE),VLOOKUP($C$9,$C$91:$AF$115,I$4-$G$4+5,FALSE))</f>
        <v>0</v>
      </c>
      <c r="J9" s="39">
        <f>IF(J$4&lt;ControlPanel!$D$59,VLOOKUP("Référence",$C$91:$AF$115,J$4-$G$4+5,FALSE),VLOOKUP($C$9,$C$91:$AF$115,J$4-$G$4+5,FALSE))</f>
        <v>0</v>
      </c>
      <c r="K9" s="39">
        <f>IF(K$4&lt;ControlPanel!$D$59,VLOOKUP("Référence",$C$91:$AF$115,K$4-$G$4+5,FALSE),VLOOKUP($C$9,$C$91:$AF$115,K$4-$G$4+5,FALSE))</f>
        <v>0</v>
      </c>
      <c r="L9" s="39">
        <f>IF(L$4&lt;ControlPanel!$D$59,VLOOKUP("Référence",$C$91:$AF$115,L$4-$G$4+5,FALSE),VLOOKUP($C$9,$C$91:$AF$115,L$4-$G$4+5,FALSE))</f>
        <v>4341</v>
      </c>
      <c r="M9" s="39">
        <f>IF(M$4&lt;ControlPanel!$D$59,VLOOKUP("Référence",$C$91:$AF$115,M$4-$G$4+5,FALSE),VLOOKUP($C$9,$C$91:$AF$115,M$4-$G$4+5,FALSE))</f>
        <v>4341</v>
      </c>
      <c r="N9" s="39">
        <f>IF(N$4&lt;ControlPanel!$D$59,VLOOKUP("Référence",$C$91:$AF$115,N$4-$G$4+5,FALSE),VLOOKUP($C$9,$C$91:$AF$115,N$4-$G$4+5,FALSE))</f>
        <v>6304</v>
      </c>
      <c r="O9" s="39">
        <f>IF(O$4&lt;ControlPanel!$D$59,VLOOKUP("Référence",$C$91:$AF$115,O$4-$G$4+5,FALSE),VLOOKUP($C$9,$C$91:$AF$115,O$4-$G$4+5,FALSE))</f>
        <v>6304</v>
      </c>
      <c r="P9" s="39">
        <f>IF(P$4&lt;ControlPanel!$D$59,VLOOKUP("Référence",$C$91:$AF$115,P$4-$G$4+5,FALSE),VLOOKUP($C$9,$C$91:$AF$115,P$4-$G$4+5,FALSE))</f>
        <v>6406</v>
      </c>
      <c r="Q9" s="39">
        <f>IF(Q$4&lt;ControlPanel!$D$59,VLOOKUP("Référence",$C$91:$AF$115,Q$4-$G$4+5,FALSE),VLOOKUP($C$9,$C$91:$AF$115,Q$4-$G$4+5,FALSE))</f>
        <v>5457</v>
      </c>
      <c r="R9" s="39">
        <f>IF(R$4&lt;ControlPanel!$D$59,VLOOKUP("Référence",$C$91:$AF$115,R$4-$G$4+5,FALSE),VLOOKUP($C$9,$C$91:$AF$115,R$4-$G$4+5,FALSE))</f>
        <v>5797</v>
      </c>
      <c r="S9" s="39">
        <f>IF(S$4&lt;ControlPanel!$D$59,VLOOKUP("Référence",$C$91:$AF$115,S$4-$G$4+5,FALSE),VLOOKUP($C$9,$C$91:$AF$115,S$4-$G$4+5,FALSE))</f>
        <v>5797</v>
      </c>
      <c r="T9" s="39">
        <f>IF(T$4&lt;ControlPanel!$D$59,VLOOKUP("Référence",$C$91:$AF$115,T$4-$G$4+5,FALSE),VLOOKUP($C$9,$C$91:$AF$115,T$4-$G$4+5,FALSE))</f>
        <v>5797</v>
      </c>
      <c r="U9" s="39">
        <f>IF(U$4&lt;ControlPanel!$D$59,VLOOKUP("Référence",$C$91:$AF$115,U$4-$G$4+5,FALSE),VLOOKUP($C$9,$C$91:$AF$115,U$4-$G$4+5,FALSE))</f>
        <v>5815</v>
      </c>
      <c r="V9" s="39">
        <f>IF(V$4&lt;ControlPanel!$D$59,VLOOKUP("Référence",$C$91:$AF$115,V$4-$G$4+5,FALSE),VLOOKUP($C$9,$C$91:$AF$115,V$4-$G$4+5,FALSE))</f>
        <v>5797</v>
      </c>
      <c r="W9" s="39">
        <f>IF(W$4&lt;ControlPanel!$D$59,VLOOKUP("Référence",$C$91:$AF$115,W$4-$G$4+5,FALSE),VLOOKUP($C$9,$C$91:$AF$115,W$4-$G$4+5,FALSE))</f>
        <v>5797</v>
      </c>
      <c r="X9" s="39">
        <f>IF(X$4&lt;ControlPanel!$D$59,VLOOKUP("Référence",$C$91:$AF$115,X$4-$G$4+5,FALSE),VLOOKUP($C$9,$C$91:$AF$115,X$4-$G$4+5,FALSE))</f>
        <v>5797</v>
      </c>
      <c r="Y9" s="39">
        <f>IF(Y$4&lt;ControlPanel!$D$59,VLOOKUP("Référence",$C$91:$AF$115,Y$4-$G$4+5,FALSE),VLOOKUP($C$9,$C$91:$AF$115,Y$4-$G$4+5,FALSE))</f>
        <v>5797</v>
      </c>
      <c r="Z9" s="39">
        <f>IF(Z$4&lt;ControlPanel!$D$59,VLOOKUP("Référence",$C$91:$AF$115,Z$4-$G$4+5,FALSE),VLOOKUP($C$9,$C$91:$AF$115,Z$4-$G$4+5,FALSE))</f>
        <v>5797</v>
      </c>
      <c r="AA9" s="39">
        <f>IF(AA$4&lt;ControlPanel!$D$59,VLOOKUP("Référence",$C$91:$AF$115,AA$4-$G$4+5,FALSE),VLOOKUP($C$9,$C$91:$AF$115,AA$4-$G$4+5,FALSE))</f>
        <v>5797</v>
      </c>
      <c r="AB9" s="39">
        <f>IF(AB$4&lt;ControlPanel!$D$59,VLOOKUP("Référence",$C$91:$AF$115,AB$4-$G$4+5,FALSE),VLOOKUP($C$9,$C$91:$AF$115,AB$4-$G$4+5,FALSE))</f>
        <v>5797</v>
      </c>
      <c r="AC9" s="39">
        <f>IF(AC$4&lt;ControlPanel!$D$59,VLOOKUP("Référence",$C$91:$AF$115,AC$4-$G$4+5,FALSE),VLOOKUP($C$9,$C$91:$AF$115,AC$4-$G$4+5,FALSE))</f>
        <v>5797</v>
      </c>
      <c r="AD9" s="39">
        <f>IF(AD$4&lt;ControlPanel!$D$59,VLOOKUP("Référence",$C$91:$AF$115,AD$4-$G$4+5,FALSE),VLOOKUP($C$9,$C$91:$AF$115,AD$4-$G$4+5,FALSE))</f>
        <v>5797</v>
      </c>
      <c r="AE9" s="39">
        <f>IF(AE$4&lt;ControlPanel!$D$59,VLOOKUP("Référence",$C$91:$AF$115,AE$4-$G$4+5,FALSE),VLOOKUP($C$9,$C$91:$AF$115,AE$4-$G$4+5,FALSE))</f>
        <v>5797</v>
      </c>
      <c r="AF9" s="39">
        <f>IF(AF$4&lt;ControlPanel!$D$59,VLOOKUP("Référence",$C$91:$AF$115,AF$4-$G$4+5,FALSE),VLOOKUP($C$9,$C$91:$AF$115,AF$4-$G$4+5,FALSE))</f>
        <v>5797</v>
      </c>
    </row>
    <row r="10" spans="1:32" ht="40.200000000000003" thickBot="1">
      <c r="B10" s="165" t="s">
        <v>339</v>
      </c>
      <c r="C10" s="175" t="str">
        <f>ControlPanel!E34</f>
        <v>Référence</v>
      </c>
      <c r="D10" s="15" t="str">
        <f>VLOOKUP($C$10,$C$117:$AF$141,2,FALSE)</f>
        <v>fh</v>
      </c>
      <c r="E10" s="486" t="str">
        <f>VLOOKUP($C$10,$C$117:$AF$141,3,FALSE)</f>
        <v>Augmentation à 2600h en 2035</v>
      </c>
      <c r="F10" s="15" t="str">
        <f>VLOOKUP($C$10,$C$117:$AF$141,4,FALSE)</f>
        <v>Identique au MFP jusqu'en 2025, puis augmentation dégressive à 2600h en 2035</v>
      </c>
      <c r="G10" s="39">
        <f>IF(G$4&lt;ControlPanel!$D$59,VLOOKUP("Référence",$C$117:$AF$141,G$4-$G$4+5,FALSE),VLOOKUP($C$10,$C$117:$AF$141,G$4-$G$4+5,FALSE))</f>
        <v>0</v>
      </c>
      <c r="H10" s="39">
        <f>IF(H$4&lt;ControlPanel!$D$59,VLOOKUP("Référence",$C$117:$AF$141,H$4-$G$4+5,FALSE),VLOOKUP($C$10,$C$117:$AF$141,H$4-$G$4+5,FALSE))</f>
        <v>0</v>
      </c>
      <c r="I10" s="39">
        <f>IF(I$4&lt;ControlPanel!$D$59,VLOOKUP("Référence",$C$117:$AF$141,I$4-$G$4+5,FALSE),VLOOKUP($C$10,$C$117:$AF$141,I$4-$G$4+5,FALSE))</f>
        <v>0</v>
      </c>
      <c r="J10" s="39">
        <f>IF(J$4&lt;ControlPanel!$D$59,VLOOKUP("Référence",$C$117:$AF$141,J$4-$G$4+5,FALSE),VLOOKUP($C$10,$C$117:$AF$141,J$4-$G$4+5,FALSE))</f>
        <v>0</v>
      </c>
      <c r="K10" s="39">
        <f>IF(K$4&lt;ControlPanel!$D$59,VLOOKUP("Référence",$C$117:$AF$141,K$4-$G$4+5,FALSE),VLOOKUP($C$10,$C$117:$AF$141,K$4-$G$4+5,FALSE))</f>
        <v>0</v>
      </c>
      <c r="L10" s="39">
        <f>IF(L$4&lt;ControlPanel!$D$59,VLOOKUP("Référence",$C$117:$AF$141,L$4-$G$4+5,FALSE),VLOOKUP($C$10,$C$117:$AF$141,L$4-$G$4+5,FALSE))</f>
        <v>1768</v>
      </c>
      <c r="M10" s="39">
        <f>IF(M$4&lt;ControlPanel!$D$59,VLOOKUP("Référence",$C$117:$AF$141,M$4-$G$4+5,FALSE),VLOOKUP($C$10,$C$117:$AF$141,M$4-$G$4+5,FALSE))</f>
        <v>1768</v>
      </c>
      <c r="N10" s="39">
        <f>IF(N$4&lt;ControlPanel!$D$59,VLOOKUP("Référence",$C$117:$AF$141,N$4-$G$4+5,FALSE),VLOOKUP($C$10,$C$117:$AF$141,N$4-$G$4+5,FALSE))</f>
        <v>1806</v>
      </c>
      <c r="O10" s="39">
        <f>IF(O$4&lt;ControlPanel!$D$59,VLOOKUP("Référence",$C$117:$AF$141,O$4-$G$4+5,FALSE),VLOOKUP($C$10,$C$117:$AF$141,O$4-$G$4+5,FALSE))</f>
        <v>1810</v>
      </c>
      <c r="P10" s="39">
        <f>IF(P$4&lt;ControlPanel!$D$59,VLOOKUP("Référence",$C$117:$AF$141,P$4-$G$4+5,FALSE),VLOOKUP($C$10,$C$117:$AF$141,P$4-$G$4+5,FALSE))</f>
        <v>1886</v>
      </c>
      <c r="Q10" s="39">
        <f>IF(Q$4&lt;ControlPanel!$D$59,VLOOKUP("Référence",$C$117:$AF$141,Q$4-$G$4+5,FALSE),VLOOKUP($C$10,$C$117:$AF$141,Q$4-$G$4+5,FALSE))</f>
        <v>2056</v>
      </c>
      <c r="R10" s="39">
        <f>IF(R$4&lt;ControlPanel!$D$59,VLOOKUP("Référence",$C$117:$AF$141,R$4-$G$4+5,FALSE),VLOOKUP($C$10,$C$117:$AF$141,R$4-$G$4+5,FALSE))</f>
        <v>2082</v>
      </c>
      <c r="S10" s="39">
        <f>IF(S$4&lt;ControlPanel!$D$59,VLOOKUP("Référence",$C$117:$AF$141,S$4-$G$4+5,FALSE),VLOOKUP($C$10,$C$117:$AF$141,S$4-$G$4+5,FALSE))</f>
        <v>2133</v>
      </c>
      <c r="T10" s="39">
        <f>IF(T$4&lt;ControlPanel!$D$59,VLOOKUP("Référence",$C$117:$AF$141,T$4-$G$4+5,FALSE),VLOOKUP($C$10,$C$117:$AF$141,T$4-$G$4+5,FALSE))</f>
        <v>2186</v>
      </c>
      <c r="U10" s="39">
        <f>IF(U$4&lt;ControlPanel!$D$59,VLOOKUP("Référence",$C$117:$AF$141,U$4-$G$4+5,FALSE),VLOOKUP($C$10,$C$117:$AF$141,U$4-$G$4+5,FALSE))</f>
        <v>2246</v>
      </c>
      <c r="V10" s="39">
        <f>IF(V$4&lt;ControlPanel!$D$59,VLOOKUP("Référence",$C$117:$AF$141,V$4-$G$4+5,FALSE),VLOOKUP($C$10,$C$117:$AF$141,V$4-$G$4+5,FALSE))</f>
        <v>2364</v>
      </c>
      <c r="W10" s="39">
        <f>IF(W$4&lt;ControlPanel!$D$59,VLOOKUP("Référence",$C$117:$AF$141,W$4-$G$4+5,FALSE),VLOOKUP($C$10,$C$117:$AF$141,W$4-$G$4+5,FALSE))</f>
        <v>2423</v>
      </c>
      <c r="X10" s="39">
        <f>IF(X$4&lt;ControlPanel!$D$59,VLOOKUP("Référence",$C$117:$AF$141,X$4-$G$4+5,FALSE),VLOOKUP($C$10,$C$117:$AF$141,X$4-$G$4+5,FALSE))</f>
        <v>2458.4</v>
      </c>
      <c r="Y10" s="39">
        <f>IF(Y$4&lt;ControlPanel!$D$59,VLOOKUP("Référence",$C$117:$AF$141,Y$4-$G$4+5,FALSE),VLOOKUP($C$10,$C$117:$AF$141,Y$4-$G$4+5,FALSE))</f>
        <v>2482</v>
      </c>
      <c r="Z10" s="39">
        <f>IF(Z$4&lt;ControlPanel!$D$59,VLOOKUP("Référence",$C$117:$AF$141,Z$4-$G$4+5,FALSE),VLOOKUP($C$10,$C$117:$AF$141,Z$4-$G$4+5,FALSE))</f>
        <v>2498.8571428571427</v>
      </c>
      <c r="AA10" s="39">
        <f>IF(AA$4&lt;ControlPanel!$D$59,VLOOKUP("Référence",$C$117:$AF$141,AA$4-$G$4+5,FALSE),VLOOKUP($C$10,$C$117:$AF$141,AA$4-$G$4+5,FALSE))</f>
        <v>2511.5</v>
      </c>
      <c r="AB10" s="39">
        <f>IF(AB$4&lt;ControlPanel!$D$59,VLOOKUP("Référence",$C$117:$AF$141,AB$4-$G$4+5,FALSE),VLOOKUP($C$10,$C$117:$AF$141,AB$4-$G$4+5,FALSE))</f>
        <v>2521.3333333333335</v>
      </c>
      <c r="AC10" s="39">
        <f>IF(AC$4&lt;ControlPanel!$D$59,VLOOKUP("Référence",$C$117:$AF$141,AC$4-$G$4+5,FALSE),VLOOKUP($C$10,$C$117:$AF$141,AC$4-$G$4+5,FALSE))</f>
        <v>2529.2000000000003</v>
      </c>
      <c r="AD10" s="39">
        <f>IF(AD$4&lt;ControlPanel!$D$59,VLOOKUP("Référence",$C$117:$AF$141,AD$4-$G$4+5,FALSE),VLOOKUP($C$10,$C$117:$AF$141,AD$4-$G$4+5,FALSE))</f>
        <v>2535.636363636364</v>
      </c>
      <c r="AE10" s="39">
        <f>IF(AE$4&lt;ControlPanel!$D$59,VLOOKUP("Référence",$C$117:$AF$141,AE$4-$G$4+5,FALSE),VLOOKUP($C$10,$C$117:$AF$141,AE$4-$G$4+5,FALSE))</f>
        <v>2541.0000000000005</v>
      </c>
      <c r="AF10" s="39">
        <f>IF(AF$4&lt;ControlPanel!$D$59,VLOOKUP("Référence",$C$117:$AF$141,AF$4-$G$4+5,FALSE),VLOOKUP($C$10,$C$117:$AF$141,AF$4-$G$4+5,FALSE))</f>
        <v>2600</v>
      </c>
    </row>
    <row r="11" spans="1:32" ht="40.200000000000003" thickBot="1">
      <c r="B11" s="165" t="s">
        <v>340</v>
      </c>
      <c r="C11" s="175" t="str">
        <f>ControlPanel!E35</f>
        <v>Référence</v>
      </c>
      <c r="D11" s="15" t="str">
        <f>VLOOKUP($C$11,$C$143:$AF$167,2,FALSE)</f>
        <v>as/pl/fh</v>
      </c>
      <c r="E11" s="486" t="str">
        <f>VLOOKUP($C$11,$C$143:$AF$167,3,FALSE)</f>
        <v>Augmentation à 4700 h en 2035</v>
      </c>
      <c r="F11" s="15" t="str">
        <f>VLOOKUP($C$11,$C$143:$AF$167,4,FALSE)</f>
        <v>Identique au MFP jusqu'en 2025, puis augmentation dégressive à 4700h en 2035</v>
      </c>
      <c r="G11" s="39">
        <f>IF(G$4&lt;ControlPanel!$D$59,VLOOKUP("Référence",$C$143:$AF$167,G$4-$G$4+5,FALSE),VLOOKUP($C$11,$C$143:$AF$167,G$4-$G$4+5,FALSE))</f>
        <v>0</v>
      </c>
      <c r="H11" s="39">
        <f>IF(H$4&lt;ControlPanel!$D$59,VLOOKUP("Référence",$C$143:$AF$167,H$4-$G$4+5,FALSE),VLOOKUP($C$11,$C$143:$AF$167,H$4-$G$4+5,FALSE))</f>
        <v>0</v>
      </c>
      <c r="I11" s="39">
        <f>IF(I$4&lt;ControlPanel!$D$59,VLOOKUP("Référence",$C$143:$AF$167,I$4-$G$4+5,FALSE),VLOOKUP($C$11,$C$143:$AF$167,I$4-$G$4+5,FALSE))</f>
        <v>0</v>
      </c>
      <c r="J11" s="39">
        <f>IF(J$4&lt;ControlPanel!$D$59,VLOOKUP("Référence",$C$143:$AF$167,J$4-$G$4+5,FALSE),VLOOKUP($C$11,$C$143:$AF$167,J$4-$G$4+5,FALSE))</f>
        <v>0</v>
      </c>
      <c r="K11" s="39">
        <f>IF(K$4&lt;ControlPanel!$D$59,VLOOKUP("Référence",$C$143:$AF$167,K$4-$G$4+5,FALSE),VLOOKUP($C$11,$C$143:$AF$167,K$4-$G$4+5,FALSE))</f>
        <v>0</v>
      </c>
      <c r="L11" s="39">
        <f>IF(L$4&lt;ControlPanel!$D$59,VLOOKUP("Référence",$C$143:$AF$167,L$4-$G$4+5,FALSE),VLOOKUP($C$11,$C$143:$AF$167,L$4-$G$4+5,FALSE))</f>
        <v>3280</v>
      </c>
      <c r="M11" s="39">
        <f>IF(M$4&lt;ControlPanel!$D$59,VLOOKUP("Référence",$C$143:$AF$167,M$4-$G$4+5,FALSE),VLOOKUP($C$11,$C$143:$AF$167,M$4-$G$4+5,FALSE))</f>
        <v>3280</v>
      </c>
      <c r="N11" s="39">
        <f>IF(N$4&lt;ControlPanel!$D$59,VLOOKUP("Référence",$C$143:$AF$167,N$4-$G$4+5,FALSE),VLOOKUP($C$11,$C$143:$AF$167,N$4-$G$4+5,FALSE))</f>
        <v>3658</v>
      </c>
      <c r="O11" s="39">
        <f>IF(O$4&lt;ControlPanel!$D$59,VLOOKUP("Référence",$C$143:$AF$167,O$4-$G$4+5,FALSE),VLOOKUP($C$11,$C$143:$AF$167,O$4-$G$4+5,FALSE))</f>
        <v>3600</v>
      </c>
      <c r="P11" s="39">
        <f>IF(P$4&lt;ControlPanel!$D$59,VLOOKUP("Référence",$C$143:$AF$167,P$4-$G$4+5,FALSE),VLOOKUP($C$11,$C$143:$AF$167,P$4-$G$4+5,FALSE))</f>
        <v>3518</v>
      </c>
      <c r="Q11" s="39">
        <f>IF(Q$4&lt;ControlPanel!$D$59,VLOOKUP("Référence",$C$143:$AF$167,Q$4-$G$4+5,FALSE),VLOOKUP($C$11,$C$143:$AF$167,Q$4-$G$4+5,FALSE))</f>
        <v>4278</v>
      </c>
      <c r="R11" s="39">
        <f>IF(R$4&lt;ControlPanel!$D$59,VLOOKUP("Référence",$C$143:$AF$167,R$4-$G$4+5,FALSE),VLOOKUP($C$11,$C$143:$AF$167,R$4-$G$4+5,FALSE))</f>
        <v>4259</v>
      </c>
      <c r="S11" s="39">
        <f>IF(S$4&lt;ControlPanel!$D$59,VLOOKUP("Référence",$C$143:$AF$167,S$4-$G$4+5,FALSE),VLOOKUP($C$11,$C$143:$AF$167,S$4-$G$4+5,FALSE))</f>
        <v>4270</v>
      </c>
      <c r="T11" s="39">
        <f>IF(T$4&lt;ControlPanel!$D$59,VLOOKUP("Référence",$C$143:$AF$167,T$4-$G$4+5,FALSE),VLOOKUP($C$11,$C$143:$AF$167,T$4-$G$4+5,FALSE))</f>
        <v>4302</v>
      </c>
      <c r="U11" s="39">
        <f>IF(U$4&lt;ControlPanel!$D$59,VLOOKUP("Référence",$C$143:$AF$167,U$4-$G$4+5,FALSE),VLOOKUP($C$11,$C$143:$AF$167,U$4-$G$4+5,FALSE))</f>
        <v>4360</v>
      </c>
      <c r="V11" s="39">
        <f>IF(V$4&lt;ControlPanel!$D$59,VLOOKUP("Référence",$C$143:$AF$167,V$4-$G$4+5,FALSE),VLOOKUP($C$11,$C$143:$AF$167,V$4-$G$4+5,FALSE))</f>
        <v>4473.333333333333</v>
      </c>
      <c r="W11" s="39">
        <f>IF(W$4&lt;ControlPanel!$D$59,VLOOKUP("Référence",$C$143:$AF$167,W$4-$G$4+5,FALSE),VLOOKUP($C$11,$C$143:$AF$167,W$4-$G$4+5,FALSE))</f>
        <v>4530</v>
      </c>
      <c r="X11" s="39">
        <f>IF(X$4&lt;ControlPanel!$D$59,VLOOKUP("Référence",$C$143:$AF$167,X$4-$G$4+5,FALSE),VLOOKUP($C$11,$C$143:$AF$167,X$4-$G$4+5,FALSE))</f>
        <v>4564</v>
      </c>
      <c r="Y11" s="39">
        <f>IF(Y$4&lt;ControlPanel!$D$59,VLOOKUP("Référence",$C$143:$AF$167,Y$4-$G$4+5,FALSE),VLOOKUP($C$11,$C$143:$AF$167,Y$4-$G$4+5,FALSE))</f>
        <v>4586.666666666667</v>
      </c>
      <c r="Z11" s="39">
        <f>IF(Z$4&lt;ControlPanel!$D$59,VLOOKUP("Référence",$C$143:$AF$167,Z$4-$G$4+5,FALSE),VLOOKUP($C$11,$C$143:$AF$167,Z$4-$G$4+5,FALSE))</f>
        <v>4602.8571428571431</v>
      </c>
      <c r="AA11" s="39">
        <f>IF(AA$4&lt;ControlPanel!$D$59,VLOOKUP("Référence",$C$143:$AF$167,AA$4-$G$4+5,FALSE),VLOOKUP($C$11,$C$143:$AF$167,AA$4-$G$4+5,FALSE))</f>
        <v>4615</v>
      </c>
      <c r="AB11" s="39">
        <f>IF(AB$4&lt;ControlPanel!$D$59,VLOOKUP("Référence",$C$143:$AF$167,AB$4-$G$4+5,FALSE),VLOOKUP($C$11,$C$143:$AF$167,AB$4-$G$4+5,FALSE))</f>
        <v>4624.4444444444443</v>
      </c>
      <c r="AC11" s="39">
        <f>IF(AC$4&lt;ControlPanel!$D$59,VLOOKUP("Référence",$C$143:$AF$167,AC$4-$G$4+5,FALSE),VLOOKUP($C$11,$C$143:$AF$167,AC$4-$G$4+5,FALSE))</f>
        <v>4632</v>
      </c>
      <c r="AD11" s="39">
        <f>IF(AD$4&lt;ControlPanel!$D$59,VLOOKUP("Référence",$C$143:$AF$167,AD$4-$G$4+5,FALSE),VLOOKUP($C$11,$C$143:$AF$167,AD$4-$G$4+5,FALSE))</f>
        <v>4638.181818181818</v>
      </c>
      <c r="AE11" s="39">
        <f>IF(AE$4&lt;ControlPanel!$D$59,VLOOKUP("Référence",$C$143:$AF$167,AE$4-$G$4+5,FALSE),VLOOKUP($C$11,$C$143:$AF$167,AE$4-$G$4+5,FALSE))</f>
        <v>4643.333333333333</v>
      </c>
      <c r="AF11" s="39">
        <f>IF(AF$4&lt;ControlPanel!$D$59,VLOOKUP("Référence",$C$143:$AF$167,AF$4-$G$4+5,FALSE),VLOOKUP($C$11,$C$143:$AF$167,AF$4-$G$4+5,FALSE))</f>
        <v>4700</v>
      </c>
    </row>
    <row r="12" spans="1:32" ht="26.25" customHeight="1" thickBot="1">
      <c r="B12" s="165" t="s">
        <v>530</v>
      </c>
      <c r="C12" s="177" t="str">
        <f>ControlPanel!E36</f>
        <v>Référence</v>
      </c>
      <c r="D12" s="40" t="str">
        <f>VLOOKUP($C$12,$C$169:$AF$193,2,FALSE)</f>
        <v>fh</v>
      </c>
      <c r="E12" s="648" t="str">
        <f>VLOOKUP($C$12,$C$169:$AF$193,3,FALSE)</f>
        <v>Augmentation à 950h en 2035</v>
      </c>
      <c r="F12" s="40" t="str">
        <f>VLOOKUP($C$12,$C$169:$AF$193,4,FALSE)</f>
        <v>Jusqu'en 2025 comme scénario de référence MFP, puis ajustement linéaire à 950h en 2035</v>
      </c>
      <c r="G12" s="39">
        <f>IF(G$4&lt;ControlPanel!$D$59,VLOOKUP("Référence",$C$169:$AF$193,G$4-$G$4+5,FALSE),VLOOKUP($C$12,$C$169:$AF$193,G$4-$G$4+5,FALSE))</f>
        <v>0</v>
      </c>
      <c r="H12" s="39">
        <f>IF(H$4&lt;ControlPanel!$D$59,VLOOKUP("Référence",$C$169:$AF$193,H$4-$G$4+5,FALSE),VLOOKUP($C$12,$C$169:$AF$193,H$4-$G$4+5,FALSE))</f>
        <v>0</v>
      </c>
      <c r="I12" s="39">
        <f>IF(I$4&lt;ControlPanel!$D$59,VLOOKUP("Référence",$C$169:$AF$193,I$4-$G$4+5,FALSE),VLOOKUP($C$12,$C$169:$AF$193,I$4-$G$4+5,FALSE))</f>
        <v>0</v>
      </c>
      <c r="J12" s="39">
        <f>IF(J$4&lt;ControlPanel!$D$59,VLOOKUP("Référence",$C$169:$AF$193,J$4-$G$4+5,FALSE),VLOOKUP($C$12,$C$169:$AF$193,J$4-$G$4+5,FALSE))</f>
        <v>0</v>
      </c>
      <c r="K12" s="39">
        <f>IF(K$4&lt;ControlPanel!$D$59,VLOOKUP("Référence",$C$169:$AF$193,K$4-$G$4+5,FALSE),VLOOKUP($C$12,$C$169:$AF$193,K$4-$G$4+5,FALSE))</f>
        <v>0</v>
      </c>
      <c r="L12" s="39">
        <f>IF(L$4&lt;ControlPanel!$D$59,VLOOKUP("Référence",$C$169:$AF$193,L$4-$G$4+5,FALSE),VLOOKUP($C$12,$C$169:$AF$193,L$4-$G$4+5,FALSE))</f>
        <v>941</v>
      </c>
      <c r="M12" s="39">
        <f>IF(M$4&lt;ControlPanel!$D$59,VLOOKUP("Référence",$C$169:$AF$193,M$4-$G$4+5,FALSE),VLOOKUP($C$12,$C$169:$AF$193,M$4-$G$4+5,FALSE))</f>
        <v>941</v>
      </c>
      <c r="N12" s="39">
        <f>IF(N$4&lt;ControlPanel!$D$59,VLOOKUP("Référence",$C$169:$AF$193,N$4-$G$4+5,FALSE),VLOOKUP($C$12,$C$169:$AF$193,N$4-$G$4+5,FALSE))</f>
        <v>932</v>
      </c>
      <c r="O12" s="39">
        <f>IF(O$4&lt;ControlPanel!$D$59,VLOOKUP("Référence",$C$169:$AF$193,O$4-$G$4+5,FALSE),VLOOKUP($C$12,$C$169:$AF$193,O$4-$G$4+5,FALSE))</f>
        <v>981</v>
      </c>
      <c r="P12" s="39">
        <f>IF(P$4&lt;ControlPanel!$D$59,VLOOKUP("Référence",$C$169:$AF$193,P$4-$G$4+5,FALSE),VLOOKUP($C$12,$C$169:$AF$193,P$4-$G$4+5,FALSE))</f>
        <v>927</v>
      </c>
      <c r="Q12" s="39">
        <f>IF(Q$4&lt;ControlPanel!$D$59,VLOOKUP("Référence",$C$169:$AF$193,Q$4-$G$4+5,FALSE),VLOOKUP($C$12,$C$169:$AF$193,Q$4-$G$4+5,FALSE))</f>
        <v>886.06344148903997</v>
      </c>
      <c r="R12" s="39">
        <f>IF(R$4&lt;ControlPanel!$D$59,VLOOKUP("Référence",$C$169:$AF$193,R$4-$G$4+5,FALSE),VLOOKUP($C$12,$C$169:$AF$193,R$4-$G$4+5,FALSE))</f>
        <v>867.49529719941631</v>
      </c>
      <c r="S12" s="39">
        <f>IF(S$4&lt;ControlPanel!$D$59,VLOOKUP("Référence",$C$169:$AF$193,S$4-$G$4+5,FALSE),VLOOKUP($C$12,$C$169:$AF$193,S$4-$G$4+5,FALSE))</f>
        <v>884.96877931993924</v>
      </c>
      <c r="T12" s="39">
        <f>IF(T$4&lt;ControlPanel!$D$59,VLOOKUP("Référence",$C$169:$AF$193,T$4-$G$4+5,FALSE),VLOOKUP($C$12,$C$169:$AF$193,T$4-$G$4+5,FALSE))</f>
        <v>899.03187575995446</v>
      </c>
      <c r="U12" s="39">
        <f>IF(U$4&lt;ControlPanel!$D$59,VLOOKUP("Référence",$C$169:$AF$193,U$4-$G$4+5,FALSE),VLOOKUP($C$12,$C$169:$AF$193,U$4-$G$4+5,FALSE))</f>
        <v>900.07794920065294</v>
      </c>
      <c r="V12" s="39">
        <f>IF(V$4&lt;ControlPanel!$D$59,VLOOKUP("Référence",$C$169:$AF$193,V$4-$G$4+5,FALSE),VLOOKUP($C$12,$C$169:$AF$193,V$4-$G$4+5,FALSE))</f>
        <v>900.01687241641127</v>
      </c>
      <c r="W12" s="39">
        <f>IF(W$4&lt;ControlPanel!$D$59,VLOOKUP("Référence",$C$169:$AF$193,W$4-$G$4+5,FALSE),VLOOKUP($C$12,$C$169:$AF$193,W$4-$G$4+5,FALSE))</f>
        <v>904.26421610308171</v>
      </c>
      <c r="X12" s="39">
        <f>IF(X$4&lt;ControlPanel!$D$59,VLOOKUP("Référence",$C$169:$AF$193,X$4-$G$4+5,FALSE),VLOOKUP($C$12,$C$169:$AF$193,X$4-$G$4+5,FALSE))</f>
        <v>908.51155978975214</v>
      </c>
      <c r="Y12" s="39">
        <f>IF(Y$4&lt;ControlPanel!$D$59,VLOOKUP("Référence",$C$169:$AF$193,Y$4-$G$4+5,FALSE),VLOOKUP($C$12,$C$169:$AF$193,Y$4-$G$4+5,FALSE))</f>
        <v>912.75890347642257</v>
      </c>
      <c r="Z12" s="39">
        <f>IF(Z$4&lt;ControlPanel!$D$59,VLOOKUP("Référence",$C$169:$AF$193,Z$4-$G$4+5,FALSE),VLOOKUP($C$12,$C$169:$AF$193,Z$4-$G$4+5,FALSE))</f>
        <v>917.00624716309301</v>
      </c>
      <c r="AA12" s="39">
        <f>IF(AA$4&lt;ControlPanel!$D$59,VLOOKUP("Référence",$C$169:$AF$193,AA$4-$G$4+5,FALSE),VLOOKUP($C$12,$C$169:$AF$193,AA$4-$G$4+5,FALSE))</f>
        <v>921.25359084976344</v>
      </c>
      <c r="AB12" s="39">
        <f>IF(AB$4&lt;ControlPanel!$D$59,VLOOKUP("Référence",$C$169:$AF$193,AB$4-$G$4+5,FALSE),VLOOKUP($C$12,$C$169:$AF$193,AB$4-$G$4+5,FALSE))</f>
        <v>925.50093453643387</v>
      </c>
      <c r="AC12" s="39">
        <f>IF(AC$4&lt;ControlPanel!$D$59,VLOOKUP("Référence",$C$169:$AF$193,AC$4-$G$4+5,FALSE),VLOOKUP($C$12,$C$169:$AF$193,AC$4-$G$4+5,FALSE))</f>
        <v>929.74827822310431</v>
      </c>
      <c r="AD12" s="39">
        <f>IF(AD$4&lt;ControlPanel!$D$59,VLOOKUP("Référence",$C$169:$AF$193,AD$4-$G$4+5,FALSE),VLOOKUP($C$12,$C$169:$AF$193,AD$4-$G$4+5,FALSE))</f>
        <v>933.99562190977474</v>
      </c>
      <c r="AE12" s="39">
        <f>IF(AE$4&lt;ControlPanel!$D$59,VLOOKUP("Référence",$C$169:$AF$193,AE$4-$G$4+5,FALSE),VLOOKUP($C$12,$C$169:$AF$193,AE$4-$G$4+5,FALSE))</f>
        <v>938.24296559644517</v>
      </c>
      <c r="AF12" s="39">
        <f>IF(AF$4&lt;ControlPanel!$D$59,VLOOKUP("Référence",$C$169:$AF$193,AF$4-$G$4+5,FALSE),VLOOKUP($C$12,$C$169:$AF$193,AF$4-$G$4+5,FALSE))</f>
        <v>950</v>
      </c>
    </row>
    <row r="13" spans="1:32" ht="66">
      <c r="B13" s="166" t="s">
        <v>529</v>
      </c>
      <c r="C13" s="314" t="s">
        <v>409</v>
      </c>
      <c r="D13" s="22" t="s">
        <v>300</v>
      </c>
      <c r="E13" s="650" t="s">
        <v>470</v>
      </c>
      <c r="F13" s="650" t="s">
        <v>810</v>
      </c>
      <c r="G13" s="321"/>
      <c r="H13" s="321"/>
      <c r="I13" s="321"/>
      <c r="J13" s="321"/>
      <c r="K13" s="321"/>
      <c r="L13" s="321"/>
      <c r="M13" s="321"/>
      <c r="N13" s="321"/>
      <c r="O13" s="321"/>
      <c r="P13" s="321"/>
      <c r="Q13" s="321">
        <v>3956</v>
      </c>
      <c r="R13" s="321">
        <v>3950</v>
      </c>
      <c r="S13" s="321">
        <v>3950</v>
      </c>
      <c r="T13" s="321">
        <v>3950</v>
      </c>
      <c r="U13" s="321">
        <v>3960</v>
      </c>
      <c r="V13" s="321">
        <v>3950</v>
      </c>
      <c r="W13" s="321">
        <f t="shared" ref="W13:AF13" si="0">V13</f>
        <v>3950</v>
      </c>
      <c r="X13" s="321">
        <f t="shared" si="0"/>
        <v>3950</v>
      </c>
      <c r="Y13" s="321">
        <f t="shared" si="0"/>
        <v>3950</v>
      </c>
      <c r="Z13" s="321">
        <f t="shared" si="0"/>
        <v>3950</v>
      </c>
      <c r="AA13" s="321">
        <f t="shared" si="0"/>
        <v>3950</v>
      </c>
      <c r="AB13" s="321">
        <f t="shared" si="0"/>
        <v>3950</v>
      </c>
      <c r="AC13" s="321">
        <f t="shared" si="0"/>
        <v>3950</v>
      </c>
      <c r="AD13" s="321">
        <f t="shared" si="0"/>
        <v>3950</v>
      </c>
      <c r="AE13" s="321">
        <f t="shared" si="0"/>
        <v>3950</v>
      </c>
      <c r="AF13" s="321">
        <f t="shared" si="0"/>
        <v>3950</v>
      </c>
    </row>
    <row r="14" spans="1:32" ht="15" customHeight="1">
      <c r="B14" s="63"/>
      <c r="C14" s="16"/>
      <c r="D14" s="1147"/>
      <c r="E14" s="168"/>
      <c r="F14" s="1183"/>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row>
    <row r="15" spans="1:32" ht="15" customHeight="1">
      <c r="B15" s="63"/>
      <c r="C15" s="16" t="s">
        <v>411</v>
      </c>
      <c r="D15" s="322" t="s">
        <v>300</v>
      </c>
      <c r="E15" s="16" t="s">
        <v>411</v>
      </c>
      <c r="F15" s="534" t="s">
        <v>811</v>
      </c>
      <c r="G15" s="321"/>
      <c r="H15" s="321"/>
      <c r="I15" s="321"/>
      <c r="J15" s="321"/>
      <c r="K15" s="321"/>
      <c r="L15" s="321"/>
      <c r="M15" s="321"/>
      <c r="N15" s="321"/>
      <c r="O15" s="321"/>
      <c r="P15" s="321"/>
      <c r="Q15" s="321">
        <v>4249</v>
      </c>
      <c r="R15" s="321">
        <v>4237</v>
      </c>
      <c r="S15" s="321">
        <v>4237</v>
      </c>
      <c r="T15" s="321">
        <v>4237</v>
      </c>
      <c r="U15" s="321">
        <v>4248</v>
      </c>
      <c r="V15" s="321">
        <v>4237</v>
      </c>
      <c r="W15" s="321">
        <f t="shared" ref="W15:AF15" si="1">V15</f>
        <v>4237</v>
      </c>
      <c r="X15" s="321">
        <f t="shared" si="1"/>
        <v>4237</v>
      </c>
      <c r="Y15" s="321">
        <f t="shared" si="1"/>
        <v>4237</v>
      </c>
      <c r="Z15" s="321">
        <f t="shared" si="1"/>
        <v>4237</v>
      </c>
      <c r="AA15" s="321">
        <f t="shared" si="1"/>
        <v>4237</v>
      </c>
      <c r="AB15" s="321">
        <f t="shared" si="1"/>
        <v>4237</v>
      </c>
      <c r="AC15" s="321">
        <f t="shared" si="1"/>
        <v>4237</v>
      </c>
      <c r="AD15" s="321">
        <f t="shared" si="1"/>
        <v>4237</v>
      </c>
      <c r="AE15" s="321">
        <f t="shared" si="1"/>
        <v>4237</v>
      </c>
      <c r="AF15" s="321">
        <f t="shared" si="1"/>
        <v>4237</v>
      </c>
    </row>
    <row r="16" spans="1:32" ht="15" customHeight="1">
      <c r="B16" s="63"/>
      <c r="C16" s="16" t="s">
        <v>412</v>
      </c>
      <c r="D16" s="322" t="s">
        <v>300</v>
      </c>
      <c r="E16" s="16" t="s">
        <v>412</v>
      </c>
      <c r="F16" s="534" t="s">
        <v>812</v>
      </c>
      <c r="G16" s="321"/>
      <c r="H16" s="321"/>
      <c r="I16" s="321"/>
      <c r="J16" s="321"/>
      <c r="K16" s="321"/>
      <c r="L16" s="321"/>
      <c r="M16" s="321"/>
      <c r="N16" s="321"/>
      <c r="O16" s="321"/>
      <c r="P16" s="321"/>
      <c r="Q16" s="321">
        <v>3672</v>
      </c>
      <c r="R16" s="321">
        <v>3662</v>
      </c>
      <c r="S16" s="321">
        <v>3662</v>
      </c>
      <c r="T16" s="321">
        <v>3662</v>
      </c>
      <c r="U16" s="321">
        <v>3672</v>
      </c>
      <c r="V16" s="321">
        <v>3662</v>
      </c>
      <c r="W16" s="321">
        <f t="shared" ref="W16:AF16" si="2">V16</f>
        <v>3662</v>
      </c>
      <c r="X16" s="321">
        <f t="shared" si="2"/>
        <v>3662</v>
      </c>
      <c r="Y16" s="321">
        <f t="shared" si="2"/>
        <v>3662</v>
      </c>
      <c r="Z16" s="321">
        <f t="shared" si="2"/>
        <v>3662</v>
      </c>
      <c r="AA16" s="321">
        <f t="shared" si="2"/>
        <v>3662</v>
      </c>
      <c r="AB16" s="321">
        <f t="shared" si="2"/>
        <v>3662</v>
      </c>
      <c r="AC16" s="321">
        <f t="shared" si="2"/>
        <v>3662</v>
      </c>
      <c r="AD16" s="321">
        <f t="shared" si="2"/>
        <v>3662</v>
      </c>
      <c r="AE16" s="321">
        <f t="shared" si="2"/>
        <v>3662</v>
      </c>
      <c r="AF16" s="321">
        <f t="shared" si="2"/>
        <v>3662</v>
      </c>
    </row>
    <row r="17" spans="2:32" s="462" customFormat="1" ht="15" customHeight="1">
      <c r="B17" s="463"/>
      <c r="C17" s="176"/>
      <c r="D17" s="162"/>
      <c r="E17" s="163"/>
      <c r="F17" s="651"/>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row>
    <row r="18" spans="2:32" s="462" customFormat="1" ht="15" customHeight="1">
      <c r="B18" s="463"/>
      <c r="C18" s="176"/>
      <c r="D18" s="162"/>
      <c r="E18" s="163"/>
      <c r="F18" s="651"/>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row>
    <row r="19" spans="2:32" s="462" customFormat="1" ht="15" customHeight="1">
      <c r="B19" s="463"/>
      <c r="C19" s="176"/>
      <c r="D19" s="162"/>
      <c r="E19" s="163"/>
      <c r="F19" s="651"/>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row>
    <row r="20" spans="2:32" s="462" customFormat="1" ht="15" customHeight="1">
      <c r="B20" s="463"/>
      <c r="C20" s="176"/>
      <c r="D20" s="162"/>
      <c r="E20" s="163"/>
      <c r="F20" s="651"/>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row>
    <row r="21" spans="2:32" s="462" customFormat="1" ht="15" customHeight="1">
      <c r="B21" s="463"/>
      <c r="C21" s="176"/>
      <c r="D21" s="179"/>
      <c r="E21" s="163"/>
      <c r="F21" s="651"/>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row>
    <row r="22" spans="2:32" s="462" customFormat="1" ht="15" customHeight="1">
      <c r="B22" s="463"/>
      <c r="C22" s="176"/>
      <c r="D22" s="179"/>
      <c r="E22" s="163"/>
      <c r="F22" s="651"/>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row>
    <row r="23" spans="2:32" s="462" customFormat="1" ht="15" customHeight="1">
      <c r="B23" s="463"/>
      <c r="C23" s="176"/>
      <c r="D23" s="179"/>
      <c r="E23" s="163"/>
      <c r="F23" s="651"/>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row>
    <row r="24" spans="2:32" s="462" customFormat="1" ht="15" customHeight="1">
      <c r="B24" s="463"/>
      <c r="C24" s="176"/>
      <c r="D24" s="179"/>
      <c r="E24" s="163"/>
      <c r="F24" s="651"/>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row>
    <row r="25" spans="2:32" s="462" customFormat="1" ht="15" customHeight="1">
      <c r="B25" s="463"/>
      <c r="C25" s="176"/>
      <c r="D25" s="179"/>
      <c r="E25" s="163"/>
      <c r="F25" s="651"/>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row>
    <row r="26" spans="2:32" s="462" customFormat="1" ht="15" customHeight="1">
      <c r="B26" s="463"/>
      <c r="C26" s="176"/>
      <c r="D26" s="179"/>
      <c r="E26" s="163"/>
      <c r="F26" s="651"/>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row>
    <row r="27" spans="2:32" s="462" customFormat="1" ht="15" customHeight="1">
      <c r="B27" s="463"/>
      <c r="C27" s="176"/>
      <c r="D27" s="179"/>
      <c r="E27" s="163"/>
      <c r="F27" s="651"/>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row>
    <row r="28" spans="2:32" s="462" customFormat="1" ht="15" customHeight="1">
      <c r="B28" s="463"/>
      <c r="C28" s="176"/>
      <c r="D28" s="179"/>
      <c r="E28" s="163"/>
      <c r="F28" s="651"/>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row>
    <row r="29" spans="2:32" s="462" customFormat="1" ht="15" customHeight="1">
      <c r="B29" s="463"/>
      <c r="C29" s="176"/>
      <c r="D29" s="179"/>
      <c r="E29" s="163"/>
      <c r="F29" s="651"/>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row>
    <row r="30" spans="2:32" s="462" customFormat="1" ht="15" customHeight="1">
      <c r="B30" s="463"/>
      <c r="C30" s="176"/>
      <c r="D30" s="179"/>
      <c r="E30" s="163"/>
      <c r="F30" s="651"/>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row>
    <row r="31" spans="2:32" s="462" customFormat="1" ht="15" customHeight="1">
      <c r="B31" s="463"/>
      <c r="C31" s="176"/>
      <c r="D31" s="179"/>
      <c r="E31" s="163"/>
      <c r="F31" s="651"/>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c r="AE31" s="180"/>
      <c r="AF31" s="180"/>
    </row>
    <row r="32" spans="2:32" s="462" customFormat="1" ht="15" customHeight="1">
      <c r="B32" s="463"/>
      <c r="C32" s="176"/>
      <c r="D32" s="179"/>
      <c r="E32" s="163"/>
      <c r="F32" s="651"/>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row>
    <row r="33" spans="2:32" s="462" customFormat="1" ht="15" customHeight="1">
      <c r="B33" s="463"/>
      <c r="C33" s="176"/>
      <c r="D33" s="179"/>
      <c r="E33" s="163"/>
      <c r="F33" s="651"/>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row>
    <row r="34" spans="2:32" s="462" customFormat="1" ht="15" customHeight="1">
      <c r="B34" s="463"/>
      <c r="C34" s="176"/>
      <c r="D34" s="179"/>
      <c r="E34" s="163"/>
      <c r="F34" s="651"/>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row>
    <row r="35" spans="2:32" s="462" customFormat="1" ht="15" customHeight="1">
      <c r="B35" s="463"/>
      <c r="C35" s="176"/>
      <c r="D35" s="179"/>
      <c r="E35" s="163"/>
      <c r="F35" s="651"/>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row>
    <row r="36" spans="2:32" s="462" customFormat="1" ht="15" customHeight="1">
      <c r="B36" s="463"/>
      <c r="C36" s="176"/>
      <c r="D36" s="179"/>
      <c r="E36" s="163"/>
      <c r="F36" s="651"/>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row>
    <row r="37" spans="2:32" s="462" customFormat="1" ht="15" customHeight="1">
      <c r="B37" s="464"/>
      <c r="C37" s="178"/>
      <c r="D37" s="181"/>
      <c r="E37" s="182"/>
      <c r="F37" s="652"/>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row>
    <row r="38" spans="2:32" ht="15" customHeight="1">
      <c r="C38" s="18"/>
      <c r="D38" s="18"/>
      <c r="E38" s="18"/>
      <c r="F38" s="18"/>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row>
    <row r="39" spans="2:32" ht="66">
      <c r="B39" s="166" t="s">
        <v>349</v>
      </c>
      <c r="C39" s="314" t="s">
        <v>409</v>
      </c>
      <c r="D39" s="22" t="s">
        <v>300</v>
      </c>
      <c r="E39" s="650" t="s">
        <v>470</v>
      </c>
      <c r="F39" s="650" t="s">
        <v>810</v>
      </c>
      <c r="G39" s="23"/>
      <c r="H39" s="23"/>
      <c r="I39" s="1005"/>
      <c r="J39" s="1005"/>
      <c r="K39" s="1005"/>
      <c r="L39" s="1005">
        <v>2901</v>
      </c>
      <c r="M39" s="1005">
        <v>2901</v>
      </c>
      <c r="N39" s="1005">
        <v>3944</v>
      </c>
      <c r="O39" s="1005">
        <v>3767</v>
      </c>
      <c r="P39" s="1005">
        <v>3685</v>
      </c>
      <c r="Q39" s="1005">
        <v>3372.3653395784545</v>
      </c>
      <c r="R39" s="1005">
        <v>4128.712871287129</v>
      </c>
      <c r="S39" s="1005">
        <v>4306.8592057761734</v>
      </c>
      <c r="T39" s="1005">
        <v>5080.7174887892379</v>
      </c>
      <c r="U39" s="1005">
        <v>5776.3975155279504</v>
      </c>
      <c r="V39" s="1005">
        <v>5222.2222222222226</v>
      </c>
      <c r="W39" s="1005">
        <f t="shared" ref="W39:AF39" si="3">V39</f>
        <v>5222.2222222222226</v>
      </c>
      <c r="X39" s="1005">
        <f t="shared" si="3"/>
        <v>5222.2222222222226</v>
      </c>
      <c r="Y39" s="1005">
        <f t="shared" si="3"/>
        <v>5222.2222222222226</v>
      </c>
      <c r="Z39" s="1005">
        <f t="shared" si="3"/>
        <v>5222.2222222222226</v>
      </c>
      <c r="AA39" s="1005">
        <f t="shared" si="3"/>
        <v>5222.2222222222226</v>
      </c>
      <c r="AB39" s="1005">
        <f t="shared" si="3"/>
        <v>5222.2222222222226</v>
      </c>
      <c r="AC39" s="1005">
        <f t="shared" si="3"/>
        <v>5222.2222222222226</v>
      </c>
      <c r="AD39" s="1005">
        <f t="shared" si="3"/>
        <v>5222.2222222222226</v>
      </c>
      <c r="AE39" s="1005">
        <f t="shared" si="3"/>
        <v>5222.2222222222226</v>
      </c>
      <c r="AF39" s="1005">
        <f t="shared" si="3"/>
        <v>5222.2222222222226</v>
      </c>
    </row>
    <row r="40" spans="2:32" ht="15" customHeight="1">
      <c r="B40" s="63"/>
      <c r="C40" s="16"/>
      <c r="D40" s="322"/>
      <c r="E40" s="168"/>
      <c r="F40" s="1183"/>
      <c r="G40" s="321"/>
      <c r="H40" s="321"/>
      <c r="I40" s="321"/>
      <c r="J40" s="321"/>
      <c r="K40" s="321"/>
      <c r="L40" s="321"/>
      <c r="M40" s="321"/>
      <c r="N40" s="321"/>
      <c r="O40" s="321"/>
      <c r="P40" s="321"/>
      <c r="Q40" s="321"/>
      <c r="R40" s="321"/>
      <c r="S40" s="321"/>
      <c r="T40" s="321"/>
      <c r="U40" s="321"/>
      <c r="V40" s="321"/>
      <c r="W40" s="321"/>
      <c r="X40" s="321"/>
      <c r="Y40" s="321"/>
      <c r="Z40" s="321"/>
      <c r="AA40" s="321"/>
      <c r="AB40" s="321"/>
      <c r="AC40" s="321"/>
      <c r="AD40" s="321"/>
      <c r="AE40" s="321"/>
      <c r="AF40" s="321"/>
    </row>
    <row r="41" spans="2:32" ht="15" customHeight="1">
      <c r="B41" s="63"/>
      <c r="C41" s="16" t="s">
        <v>411</v>
      </c>
      <c r="D41" s="322" t="s">
        <v>295</v>
      </c>
      <c r="E41" s="16" t="s">
        <v>411</v>
      </c>
      <c r="F41" s="534" t="s">
        <v>811</v>
      </c>
      <c r="G41" s="321"/>
      <c r="H41" s="321"/>
      <c r="I41" s="321"/>
      <c r="J41" s="321"/>
      <c r="K41" s="321"/>
      <c r="L41" s="321"/>
      <c r="M41" s="321"/>
      <c r="N41" s="321"/>
      <c r="O41" s="321"/>
      <c r="P41" s="321"/>
      <c r="Q41" s="321">
        <v>3847.3282442748095</v>
      </c>
      <c r="R41" s="321">
        <v>4367.7419354838712</v>
      </c>
      <c r="S41" s="321">
        <v>2215.2777777777778</v>
      </c>
      <c r="T41" s="321">
        <v>5451.4767932489449</v>
      </c>
      <c r="U41" s="321">
        <v>5755.5555555555557</v>
      </c>
      <c r="V41" s="321">
        <v>5344.5378151260502</v>
      </c>
      <c r="W41" s="321">
        <f t="shared" ref="W41:AF41" si="4">V41</f>
        <v>5344.5378151260502</v>
      </c>
      <c r="X41" s="321">
        <f t="shared" si="4"/>
        <v>5344.5378151260502</v>
      </c>
      <c r="Y41" s="321">
        <f t="shared" si="4"/>
        <v>5344.5378151260502</v>
      </c>
      <c r="Z41" s="321">
        <f t="shared" si="4"/>
        <v>5344.5378151260502</v>
      </c>
      <c r="AA41" s="321">
        <f t="shared" si="4"/>
        <v>5344.5378151260502</v>
      </c>
      <c r="AB41" s="321">
        <f t="shared" si="4"/>
        <v>5344.5378151260502</v>
      </c>
      <c r="AC41" s="321">
        <f t="shared" si="4"/>
        <v>5344.5378151260502</v>
      </c>
      <c r="AD41" s="321">
        <f t="shared" si="4"/>
        <v>5344.5378151260502</v>
      </c>
      <c r="AE41" s="321">
        <f t="shared" si="4"/>
        <v>5344.5378151260502</v>
      </c>
      <c r="AF41" s="321">
        <f t="shared" si="4"/>
        <v>5344.5378151260502</v>
      </c>
    </row>
    <row r="42" spans="2:32" ht="15" customHeight="1">
      <c r="B42" s="63"/>
      <c r="C42" s="16" t="s">
        <v>412</v>
      </c>
      <c r="D42" s="322" t="s">
        <v>295</v>
      </c>
      <c r="E42" s="16" t="s">
        <v>412</v>
      </c>
      <c r="F42" s="534" t="s">
        <v>812</v>
      </c>
      <c r="G42" s="321"/>
      <c r="H42" s="321"/>
      <c r="I42" s="321"/>
      <c r="J42" s="321"/>
      <c r="K42" s="321"/>
      <c r="L42" s="321"/>
      <c r="M42" s="321"/>
      <c r="N42" s="321"/>
      <c r="O42" s="321"/>
      <c r="P42" s="321"/>
      <c r="Q42" s="321">
        <v>3550.6493506493507</v>
      </c>
      <c r="R42" s="321">
        <v>3931.9727891156463</v>
      </c>
      <c r="S42" s="321">
        <v>4064.3939393939395</v>
      </c>
      <c r="T42" s="321">
        <v>4877.4509803921574</v>
      </c>
      <c r="U42" s="321">
        <v>5791.366906474821</v>
      </c>
      <c r="V42" s="321">
        <v>5360</v>
      </c>
      <c r="W42" s="321">
        <f t="shared" ref="W42:AF42" si="5">V42</f>
        <v>5360</v>
      </c>
      <c r="X42" s="321">
        <f t="shared" si="5"/>
        <v>5360</v>
      </c>
      <c r="Y42" s="321">
        <f t="shared" si="5"/>
        <v>5360</v>
      </c>
      <c r="Z42" s="321">
        <f t="shared" si="5"/>
        <v>5360</v>
      </c>
      <c r="AA42" s="321">
        <f t="shared" si="5"/>
        <v>5360</v>
      </c>
      <c r="AB42" s="321">
        <f t="shared" si="5"/>
        <v>5360</v>
      </c>
      <c r="AC42" s="321">
        <f t="shared" si="5"/>
        <v>5360</v>
      </c>
      <c r="AD42" s="321">
        <f t="shared" si="5"/>
        <v>5360</v>
      </c>
      <c r="AE42" s="321">
        <f t="shared" si="5"/>
        <v>5360</v>
      </c>
      <c r="AF42" s="321">
        <f t="shared" si="5"/>
        <v>5360</v>
      </c>
    </row>
    <row r="43" spans="2:32" s="462" customFormat="1" ht="15" customHeight="1">
      <c r="B43" s="463"/>
      <c r="C43" s="176"/>
      <c r="D43" s="162"/>
      <c r="E43" s="163"/>
      <c r="F43" s="651"/>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row>
    <row r="44" spans="2:32" s="462" customFormat="1" ht="15" customHeight="1">
      <c r="B44" s="463"/>
      <c r="C44" s="176"/>
      <c r="D44" s="162"/>
      <c r="E44" s="163"/>
      <c r="F44" s="651"/>
      <c r="G44" s="180"/>
      <c r="H44" s="180"/>
      <c r="I44" s="180"/>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row>
    <row r="45" spans="2:32" s="462" customFormat="1" ht="15" customHeight="1">
      <c r="B45" s="463"/>
      <c r="C45" s="176"/>
      <c r="D45" s="162"/>
      <c r="E45" s="163"/>
      <c r="F45" s="651"/>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c r="AE45" s="180"/>
      <c r="AF45" s="180"/>
    </row>
    <row r="46" spans="2:32" s="462" customFormat="1" ht="15" customHeight="1">
      <c r="B46" s="463"/>
      <c r="C46" s="176"/>
      <c r="D46" s="162"/>
      <c r="E46" s="163"/>
      <c r="F46" s="651"/>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row>
    <row r="47" spans="2:32" s="462" customFormat="1" ht="15" customHeight="1">
      <c r="B47" s="463"/>
      <c r="C47" s="176"/>
      <c r="D47" s="179"/>
      <c r="E47" s="163"/>
      <c r="F47" s="651"/>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row>
    <row r="48" spans="2:32" s="462" customFormat="1" ht="15" customHeight="1">
      <c r="B48" s="463"/>
      <c r="C48" s="176"/>
      <c r="D48" s="179"/>
      <c r="E48" s="163"/>
      <c r="F48" s="651"/>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row>
    <row r="49" spans="2:32" s="462" customFormat="1" ht="15" customHeight="1">
      <c r="B49" s="463"/>
      <c r="C49" s="176"/>
      <c r="D49" s="179"/>
      <c r="E49" s="163"/>
      <c r="F49" s="651"/>
      <c r="G49" s="18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row>
    <row r="50" spans="2:32" s="462" customFormat="1" ht="15" customHeight="1">
      <c r="B50" s="463"/>
      <c r="C50" s="176"/>
      <c r="D50" s="179"/>
      <c r="E50" s="163"/>
      <c r="F50" s="651"/>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row>
    <row r="51" spans="2:32" s="462" customFormat="1" ht="15" customHeight="1">
      <c r="B51" s="463"/>
      <c r="C51" s="176"/>
      <c r="D51" s="179"/>
      <c r="E51" s="163"/>
      <c r="F51" s="651"/>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row>
    <row r="52" spans="2:32" s="462" customFormat="1" ht="15" customHeight="1">
      <c r="B52" s="463"/>
      <c r="C52" s="176"/>
      <c r="D52" s="179"/>
      <c r="E52" s="163"/>
      <c r="F52" s="651"/>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row>
    <row r="53" spans="2:32" s="462" customFormat="1" ht="15" customHeight="1">
      <c r="B53" s="463"/>
      <c r="C53" s="176"/>
      <c r="D53" s="179"/>
      <c r="E53" s="163"/>
      <c r="F53" s="651"/>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row>
    <row r="54" spans="2:32" s="462" customFormat="1" ht="15" customHeight="1">
      <c r="B54" s="463"/>
      <c r="C54" s="176"/>
      <c r="D54" s="179"/>
      <c r="E54" s="163"/>
      <c r="F54" s="651"/>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row>
    <row r="55" spans="2:32" s="462" customFormat="1" ht="15" customHeight="1">
      <c r="B55" s="463"/>
      <c r="C55" s="176"/>
      <c r="D55" s="179"/>
      <c r="E55" s="163"/>
      <c r="F55" s="651"/>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row>
    <row r="56" spans="2:32" s="462" customFormat="1" ht="15" customHeight="1">
      <c r="B56" s="463"/>
      <c r="C56" s="176"/>
      <c r="D56" s="179"/>
      <c r="E56" s="163"/>
      <c r="F56" s="651"/>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row>
    <row r="57" spans="2:32" s="462" customFormat="1" ht="15" customHeight="1">
      <c r="B57" s="463"/>
      <c r="C57" s="176"/>
      <c r="D57" s="179"/>
      <c r="E57" s="163"/>
      <c r="F57" s="651"/>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row>
    <row r="58" spans="2:32" s="462" customFormat="1" ht="15" customHeight="1">
      <c r="B58" s="463"/>
      <c r="C58" s="176"/>
      <c r="D58" s="179"/>
      <c r="E58" s="163"/>
      <c r="F58" s="651"/>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row>
    <row r="59" spans="2:32" s="462" customFormat="1" ht="15" customHeight="1">
      <c r="B59" s="463"/>
      <c r="C59" s="176"/>
      <c r="D59" s="179"/>
      <c r="E59" s="163"/>
      <c r="F59" s="651"/>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row>
    <row r="60" spans="2:32" s="462" customFormat="1" ht="15" customHeight="1">
      <c r="B60" s="463"/>
      <c r="C60" s="176"/>
      <c r="D60" s="179"/>
      <c r="E60" s="163"/>
      <c r="F60" s="651"/>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row>
    <row r="61" spans="2:32" s="462" customFormat="1" ht="15" customHeight="1">
      <c r="B61" s="463"/>
      <c r="C61" s="176"/>
      <c r="D61" s="179"/>
      <c r="E61" s="163"/>
      <c r="F61" s="651"/>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row>
    <row r="62" spans="2:32" s="462" customFormat="1" ht="15" customHeight="1">
      <c r="B62" s="463"/>
      <c r="C62" s="176"/>
      <c r="D62" s="179"/>
      <c r="E62" s="163"/>
      <c r="F62" s="651"/>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c r="AE62" s="180"/>
      <c r="AF62" s="180"/>
    </row>
    <row r="63" spans="2:32" s="462" customFormat="1" ht="15" customHeight="1">
      <c r="B63" s="464"/>
      <c r="C63" s="178"/>
      <c r="D63" s="181"/>
      <c r="E63" s="182"/>
      <c r="F63" s="652"/>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c r="AE63" s="180"/>
      <c r="AF63" s="180"/>
    </row>
    <row r="64" spans="2:32" ht="15" customHeight="1">
      <c r="C64" s="18"/>
      <c r="D64" s="18"/>
      <c r="E64" s="18"/>
      <c r="F64" s="18"/>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row>
    <row r="65" spans="2:32" ht="66">
      <c r="B65" s="166" t="s">
        <v>11</v>
      </c>
      <c r="C65" s="314" t="s">
        <v>409</v>
      </c>
      <c r="D65" s="22" t="s">
        <v>300</v>
      </c>
      <c r="E65" s="650" t="s">
        <v>470</v>
      </c>
      <c r="F65" s="650" t="s">
        <v>810</v>
      </c>
      <c r="G65" s="1005"/>
      <c r="H65" s="1005"/>
      <c r="I65" s="1005"/>
      <c r="J65" s="1005"/>
      <c r="K65" s="1005"/>
      <c r="L65" s="1005">
        <v>5957</v>
      </c>
      <c r="M65" s="1005">
        <v>5957</v>
      </c>
      <c r="N65" s="1005">
        <v>5641</v>
      </c>
      <c r="O65" s="1005">
        <v>5541</v>
      </c>
      <c r="P65" s="1005">
        <v>5148</v>
      </c>
      <c r="Q65" s="1005">
        <v>5402</v>
      </c>
      <c r="R65" s="1005">
        <v>5223</v>
      </c>
      <c r="S65" s="1005">
        <v>5202</v>
      </c>
      <c r="T65" s="1005">
        <v>5199</v>
      </c>
      <c r="U65" s="1005">
        <v>5177</v>
      </c>
      <c r="V65" s="1005">
        <v>5181</v>
      </c>
      <c r="W65" s="1005">
        <f t="shared" ref="W65:AF65" si="6">V65</f>
        <v>5181</v>
      </c>
      <c r="X65" s="1005">
        <f t="shared" si="6"/>
        <v>5181</v>
      </c>
      <c r="Y65" s="1005">
        <f t="shared" si="6"/>
        <v>5181</v>
      </c>
      <c r="Z65" s="1005">
        <f t="shared" si="6"/>
        <v>5181</v>
      </c>
      <c r="AA65" s="1005">
        <f t="shared" si="6"/>
        <v>5181</v>
      </c>
      <c r="AB65" s="1005">
        <f t="shared" si="6"/>
        <v>5181</v>
      </c>
      <c r="AC65" s="1005">
        <f t="shared" si="6"/>
        <v>5181</v>
      </c>
      <c r="AD65" s="1005">
        <f t="shared" si="6"/>
        <v>5181</v>
      </c>
      <c r="AE65" s="1005">
        <f t="shared" si="6"/>
        <v>5181</v>
      </c>
      <c r="AF65" s="1005">
        <f t="shared" si="6"/>
        <v>5181</v>
      </c>
    </row>
    <row r="66" spans="2:32">
      <c r="B66" s="63"/>
      <c r="C66" s="16"/>
      <c r="D66" s="322"/>
      <c r="E66" s="528"/>
      <c r="F66" s="1183"/>
      <c r="G66" s="321"/>
      <c r="H66" s="321"/>
      <c r="I66" s="321"/>
      <c r="J66" s="321"/>
      <c r="K66" s="321"/>
      <c r="L66" s="321"/>
      <c r="M66" s="321"/>
      <c r="N66" s="321"/>
      <c r="O66" s="321"/>
      <c r="P66" s="321"/>
      <c r="Q66" s="321"/>
      <c r="R66" s="321"/>
      <c r="S66" s="321"/>
      <c r="T66" s="321"/>
      <c r="U66" s="321"/>
      <c r="V66" s="321"/>
      <c r="W66" s="321"/>
      <c r="X66" s="321"/>
      <c r="Y66" s="321"/>
      <c r="Z66" s="321"/>
      <c r="AA66" s="321"/>
      <c r="AB66" s="321"/>
      <c r="AC66" s="321"/>
      <c r="AD66" s="321"/>
      <c r="AE66" s="321"/>
      <c r="AF66" s="321"/>
    </row>
    <row r="67" spans="2:32" ht="41.25" customHeight="1">
      <c r="B67" s="63"/>
      <c r="C67" s="16" t="s">
        <v>411</v>
      </c>
      <c r="D67" s="322" t="s">
        <v>300</v>
      </c>
      <c r="E67" s="16" t="s">
        <v>411</v>
      </c>
      <c r="F67" s="534" t="s">
        <v>811</v>
      </c>
      <c r="G67" s="321"/>
      <c r="H67" s="321"/>
      <c r="I67" s="321"/>
      <c r="J67" s="321"/>
      <c r="K67" s="321"/>
      <c r="L67" s="321"/>
      <c r="M67" s="321"/>
      <c r="N67" s="321"/>
      <c r="O67" s="321"/>
      <c r="P67" s="321"/>
      <c r="Q67" s="321">
        <v>5541</v>
      </c>
      <c r="R67" s="321">
        <v>5482</v>
      </c>
      <c r="S67" s="321">
        <v>5456</v>
      </c>
      <c r="T67" s="321">
        <v>5450</v>
      </c>
      <c r="U67" s="321">
        <v>5424</v>
      </c>
      <c r="V67" s="321">
        <v>5423</v>
      </c>
      <c r="W67" s="321">
        <f t="shared" ref="W67:AF67" si="7">V67</f>
        <v>5423</v>
      </c>
      <c r="X67" s="321">
        <f t="shared" si="7"/>
        <v>5423</v>
      </c>
      <c r="Y67" s="321">
        <f t="shared" si="7"/>
        <v>5423</v>
      </c>
      <c r="Z67" s="321">
        <f t="shared" si="7"/>
        <v>5423</v>
      </c>
      <c r="AA67" s="321">
        <f t="shared" si="7"/>
        <v>5423</v>
      </c>
      <c r="AB67" s="321">
        <f t="shared" si="7"/>
        <v>5423</v>
      </c>
      <c r="AC67" s="321">
        <f t="shared" si="7"/>
        <v>5423</v>
      </c>
      <c r="AD67" s="321">
        <f t="shared" si="7"/>
        <v>5423</v>
      </c>
      <c r="AE67" s="321">
        <f t="shared" si="7"/>
        <v>5423</v>
      </c>
      <c r="AF67" s="321">
        <f t="shared" si="7"/>
        <v>5423</v>
      </c>
    </row>
    <row r="68" spans="2:32" ht="15" customHeight="1">
      <c r="B68" s="63"/>
      <c r="C68" s="16" t="s">
        <v>412</v>
      </c>
      <c r="D68" s="322" t="s">
        <v>300</v>
      </c>
      <c r="E68" s="16" t="s">
        <v>412</v>
      </c>
      <c r="F68" s="534" t="s">
        <v>812</v>
      </c>
      <c r="G68" s="321"/>
      <c r="H68" s="321"/>
      <c r="I68" s="321"/>
      <c r="J68" s="321"/>
      <c r="K68" s="321"/>
      <c r="L68" s="321"/>
      <c r="M68" s="321"/>
      <c r="N68" s="321"/>
      <c r="O68" s="321"/>
      <c r="P68" s="321"/>
      <c r="Q68" s="321">
        <v>5014</v>
      </c>
      <c r="R68" s="321">
        <v>4965</v>
      </c>
      <c r="S68" s="321">
        <v>4946</v>
      </c>
      <c r="T68" s="321">
        <v>4947</v>
      </c>
      <c r="U68" s="321">
        <v>4931</v>
      </c>
      <c r="V68" s="321">
        <v>4945</v>
      </c>
      <c r="W68" s="321">
        <f t="shared" ref="W68:AF68" si="8">V68</f>
        <v>4945</v>
      </c>
      <c r="X68" s="321">
        <f t="shared" si="8"/>
        <v>4945</v>
      </c>
      <c r="Y68" s="321">
        <f t="shared" si="8"/>
        <v>4945</v>
      </c>
      <c r="Z68" s="321">
        <f t="shared" si="8"/>
        <v>4945</v>
      </c>
      <c r="AA68" s="321">
        <f t="shared" si="8"/>
        <v>4945</v>
      </c>
      <c r="AB68" s="321">
        <f t="shared" si="8"/>
        <v>4945</v>
      </c>
      <c r="AC68" s="321">
        <f t="shared" si="8"/>
        <v>4945</v>
      </c>
      <c r="AD68" s="321">
        <f t="shared" si="8"/>
        <v>4945</v>
      </c>
      <c r="AE68" s="321">
        <f t="shared" si="8"/>
        <v>4945</v>
      </c>
      <c r="AF68" s="321">
        <f t="shared" si="8"/>
        <v>4945</v>
      </c>
    </row>
    <row r="69" spans="2:32" s="462" customFormat="1" ht="15" customHeight="1">
      <c r="B69" s="463"/>
      <c r="C69" s="176"/>
      <c r="D69" s="162"/>
      <c r="E69" s="163"/>
      <c r="F69" s="651"/>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row>
    <row r="70" spans="2:32" s="462" customFormat="1" ht="15" customHeight="1">
      <c r="B70" s="463"/>
      <c r="C70" s="176"/>
      <c r="D70" s="162"/>
      <c r="E70" s="163"/>
      <c r="F70" s="651"/>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c r="AE70" s="180"/>
      <c r="AF70" s="180"/>
    </row>
    <row r="71" spans="2:32" s="462" customFormat="1" ht="15" customHeight="1">
      <c r="B71" s="463"/>
      <c r="C71" s="176"/>
      <c r="D71" s="162"/>
      <c r="E71" s="163"/>
      <c r="F71" s="651"/>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c r="AE71" s="180"/>
      <c r="AF71" s="180"/>
    </row>
    <row r="72" spans="2:32" s="462" customFormat="1" ht="15" customHeight="1">
      <c r="B72" s="463"/>
      <c r="C72" s="176"/>
      <c r="D72" s="162"/>
      <c r="E72" s="163"/>
      <c r="F72" s="651"/>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c r="AE72" s="180"/>
      <c r="AF72" s="180"/>
    </row>
    <row r="73" spans="2:32" s="462" customFormat="1" ht="15" customHeight="1">
      <c r="B73" s="463"/>
      <c r="C73" s="176"/>
      <c r="D73" s="179"/>
      <c r="E73" s="163"/>
      <c r="F73" s="651"/>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c r="AE73" s="180"/>
      <c r="AF73" s="180"/>
    </row>
    <row r="74" spans="2:32" s="462" customFormat="1" ht="15" customHeight="1">
      <c r="B74" s="463"/>
      <c r="C74" s="176"/>
      <c r="D74" s="179"/>
      <c r="E74" s="163"/>
      <c r="F74" s="651"/>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c r="AE74" s="180"/>
      <c r="AF74" s="180"/>
    </row>
    <row r="75" spans="2:32" s="462" customFormat="1" ht="15" customHeight="1">
      <c r="B75" s="463"/>
      <c r="C75" s="176"/>
      <c r="D75" s="179"/>
      <c r="E75" s="163"/>
      <c r="F75" s="651"/>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c r="AE75" s="180"/>
      <c r="AF75" s="180"/>
    </row>
    <row r="76" spans="2:32" s="462" customFormat="1" ht="15" customHeight="1">
      <c r="B76" s="463"/>
      <c r="C76" s="176"/>
      <c r="D76" s="179"/>
      <c r="E76" s="163"/>
      <c r="F76" s="651"/>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row>
    <row r="77" spans="2:32" s="462" customFormat="1" ht="15" customHeight="1">
      <c r="B77" s="463"/>
      <c r="C77" s="176"/>
      <c r="D77" s="179"/>
      <c r="E77" s="163"/>
      <c r="F77" s="651"/>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c r="AE77" s="180"/>
      <c r="AF77" s="180"/>
    </row>
    <row r="78" spans="2:32" s="462" customFormat="1" ht="15" customHeight="1">
      <c r="B78" s="463"/>
      <c r="C78" s="176"/>
      <c r="D78" s="179"/>
      <c r="E78" s="163"/>
      <c r="F78" s="651"/>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row>
    <row r="79" spans="2:32" s="462" customFormat="1" ht="15" customHeight="1">
      <c r="B79" s="463"/>
      <c r="C79" s="176"/>
      <c r="D79" s="179"/>
      <c r="E79" s="163"/>
      <c r="F79" s="651"/>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c r="AE79" s="180"/>
      <c r="AF79" s="180"/>
    </row>
    <row r="80" spans="2:32" s="462" customFormat="1" ht="15" customHeight="1">
      <c r="B80" s="463"/>
      <c r="C80" s="176"/>
      <c r="D80" s="179"/>
      <c r="E80" s="163"/>
      <c r="F80" s="651"/>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c r="AE80" s="180"/>
      <c r="AF80" s="180"/>
    </row>
    <row r="81" spans="1:32" s="462" customFormat="1" ht="15" customHeight="1">
      <c r="B81" s="463"/>
      <c r="C81" s="176"/>
      <c r="D81" s="179"/>
      <c r="E81" s="163"/>
      <c r="F81" s="651"/>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c r="AE81" s="180"/>
      <c r="AF81" s="180"/>
    </row>
    <row r="82" spans="1:32" s="462" customFormat="1" ht="15" customHeight="1">
      <c r="B82" s="463"/>
      <c r="C82" s="176"/>
      <c r="D82" s="179"/>
      <c r="E82" s="163"/>
      <c r="F82" s="651"/>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row>
    <row r="83" spans="1:32" s="462" customFormat="1" ht="15" customHeight="1">
      <c r="B83" s="463"/>
      <c r="C83" s="176"/>
      <c r="D83" s="179"/>
      <c r="E83" s="163"/>
      <c r="F83" s="651"/>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row>
    <row r="84" spans="1:32" s="462" customFormat="1" ht="15" customHeight="1">
      <c r="B84" s="463"/>
      <c r="C84" s="176"/>
      <c r="D84" s="179"/>
      <c r="E84" s="163"/>
      <c r="F84" s="651"/>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row>
    <row r="85" spans="1:32" s="462" customFormat="1" ht="15" customHeight="1">
      <c r="B85" s="463"/>
      <c r="C85" s="176"/>
      <c r="D85" s="179"/>
      <c r="E85" s="163"/>
      <c r="F85" s="651"/>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row>
    <row r="86" spans="1:32" s="462" customFormat="1" ht="15" customHeight="1">
      <c r="B86" s="463"/>
      <c r="C86" s="176"/>
      <c r="D86" s="179"/>
      <c r="E86" s="163"/>
      <c r="F86" s="651"/>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c r="AE86" s="180"/>
      <c r="AF86" s="180"/>
    </row>
    <row r="87" spans="1:32" s="462" customFormat="1" ht="15" customHeight="1">
      <c r="B87" s="463"/>
      <c r="C87" s="176"/>
      <c r="D87" s="179"/>
      <c r="E87" s="163"/>
      <c r="F87" s="651"/>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c r="AE87" s="180"/>
      <c r="AF87" s="180"/>
    </row>
    <row r="88" spans="1:32" s="462" customFormat="1" ht="15" customHeight="1">
      <c r="B88" s="463"/>
      <c r="C88" s="176"/>
      <c r="D88" s="179"/>
      <c r="E88" s="163"/>
      <c r="F88" s="651"/>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c r="AE88" s="180"/>
      <c r="AF88" s="180"/>
    </row>
    <row r="89" spans="1:32" s="462" customFormat="1" ht="15" customHeight="1">
      <c r="B89" s="464"/>
      <c r="C89" s="178"/>
      <c r="D89" s="181"/>
      <c r="E89" s="182"/>
      <c r="F89" s="652"/>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row>
    <row r="90" spans="1:32" ht="15" customHeight="1">
      <c r="A90" s="462"/>
      <c r="C90" s="18"/>
      <c r="D90" s="18"/>
      <c r="E90" s="18"/>
      <c r="F90" s="18"/>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row>
    <row r="91" spans="1:32" ht="66">
      <c r="B91" s="166" t="s">
        <v>10</v>
      </c>
      <c r="C91" s="314" t="s">
        <v>409</v>
      </c>
      <c r="D91" s="22" t="s">
        <v>300</v>
      </c>
      <c r="E91" s="650" t="s">
        <v>470</v>
      </c>
      <c r="F91" s="650" t="s">
        <v>810</v>
      </c>
      <c r="G91" s="1005"/>
      <c r="H91" s="1005"/>
      <c r="I91" s="1005"/>
      <c r="J91" s="1005"/>
      <c r="K91" s="1005"/>
      <c r="L91" s="1005">
        <v>4341</v>
      </c>
      <c r="M91" s="1005">
        <v>4341</v>
      </c>
      <c r="N91" s="1005">
        <v>6304</v>
      </c>
      <c r="O91" s="1005">
        <v>6304</v>
      </c>
      <c r="P91" s="1005">
        <v>6406</v>
      </c>
      <c r="Q91" s="1005">
        <v>5457</v>
      </c>
      <c r="R91" s="1005">
        <v>5797</v>
      </c>
      <c r="S91" s="1005">
        <v>5797</v>
      </c>
      <c r="T91" s="1005">
        <v>5797</v>
      </c>
      <c r="U91" s="1005">
        <v>5815</v>
      </c>
      <c r="V91" s="1005">
        <v>5797</v>
      </c>
      <c r="W91" s="1005">
        <f t="shared" ref="W91:AF91" si="9">V91</f>
        <v>5797</v>
      </c>
      <c r="X91" s="1005">
        <f t="shared" si="9"/>
        <v>5797</v>
      </c>
      <c r="Y91" s="1005">
        <f t="shared" si="9"/>
        <v>5797</v>
      </c>
      <c r="Z91" s="1005">
        <f t="shared" si="9"/>
        <v>5797</v>
      </c>
      <c r="AA91" s="1005">
        <f t="shared" si="9"/>
        <v>5797</v>
      </c>
      <c r="AB91" s="1005">
        <f t="shared" si="9"/>
        <v>5797</v>
      </c>
      <c r="AC91" s="1005">
        <f t="shared" si="9"/>
        <v>5797</v>
      </c>
      <c r="AD91" s="1005">
        <f t="shared" si="9"/>
        <v>5797</v>
      </c>
      <c r="AE91" s="1005">
        <f t="shared" si="9"/>
        <v>5797</v>
      </c>
      <c r="AF91" s="1005">
        <f t="shared" si="9"/>
        <v>5797</v>
      </c>
    </row>
    <row r="92" spans="1:32" ht="15" customHeight="1">
      <c r="B92" s="63"/>
      <c r="C92" s="16"/>
      <c r="D92" s="322"/>
      <c r="E92" s="528"/>
      <c r="F92" s="1183"/>
      <c r="G92" s="321"/>
      <c r="H92" s="321"/>
      <c r="I92" s="321"/>
      <c r="J92" s="321"/>
      <c r="K92" s="321"/>
      <c r="L92" s="321"/>
      <c r="M92" s="321"/>
      <c r="N92" s="321"/>
      <c r="O92" s="321"/>
      <c r="P92" s="321"/>
      <c r="Q92" s="321"/>
      <c r="R92" s="321"/>
      <c r="S92" s="321"/>
      <c r="T92" s="321"/>
      <c r="U92" s="321"/>
      <c r="V92" s="321"/>
      <c r="W92" s="321"/>
      <c r="X92" s="321"/>
      <c r="Y92" s="321"/>
      <c r="Z92" s="321"/>
      <c r="AA92" s="321"/>
      <c r="AB92" s="321"/>
      <c r="AC92" s="321"/>
      <c r="AD92" s="321"/>
      <c r="AE92" s="321"/>
      <c r="AF92" s="321"/>
    </row>
    <row r="93" spans="1:32" ht="15" customHeight="1">
      <c r="B93" s="63"/>
      <c r="C93" s="16" t="s">
        <v>411</v>
      </c>
      <c r="D93" s="322" t="s">
        <v>300</v>
      </c>
      <c r="E93" s="16" t="s">
        <v>411</v>
      </c>
      <c r="F93" s="534" t="s">
        <v>811</v>
      </c>
      <c r="G93" s="321"/>
      <c r="H93" s="321"/>
      <c r="I93" s="321"/>
      <c r="J93" s="321"/>
      <c r="K93" s="321"/>
      <c r="L93" s="321"/>
      <c r="M93" s="321"/>
      <c r="N93" s="321"/>
      <c r="O93" s="321"/>
      <c r="P93" s="321"/>
      <c r="Q93" s="321">
        <v>6808</v>
      </c>
      <c r="R93" s="321">
        <v>6787</v>
      </c>
      <c r="S93" s="321">
        <v>6787</v>
      </c>
      <c r="T93" s="321">
        <v>6787</v>
      </c>
      <c r="U93" s="321">
        <v>6808</v>
      </c>
      <c r="V93" s="321">
        <v>6787</v>
      </c>
      <c r="W93" s="321">
        <f t="shared" ref="W93:AF93" si="10">V93</f>
        <v>6787</v>
      </c>
      <c r="X93" s="321">
        <f t="shared" si="10"/>
        <v>6787</v>
      </c>
      <c r="Y93" s="321">
        <f t="shared" si="10"/>
        <v>6787</v>
      </c>
      <c r="Z93" s="321">
        <f t="shared" si="10"/>
        <v>6787</v>
      </c>
      <c r="AA93" s="321">
        <f t="shared" si="10"/>
        <v>6787</v>
      </c>
      <c r="AB93" s="321">
        <f t="shared" si="10"/>
        <v>6787</v>
      </c>
      <c r="AC93" s="321">
        <f t="shared" si="10"/>
        <v>6787</v>
      </c>
      <c r="AD93" s="321">
        <f t="shared" si="10"/>
        <v>6787</v>
      </c>
      <c r="AE93" s="321">
        <f t="shared" si="10"/>
        <v>6787</v>
      </c>
      <c r="AF93" s="321">
        <f t="shared" si="10"/>
        <v>6787</v>
      </c>
    </row>
    <row r="94" spans="1:32" ht="15" customHeight="1">
      <c r="B94" s="63"/>
      <c r="C94" s="16" t="s">
        <v>412</v>
      </c>
      <c r="D94" s="322" t="s">
        <v>300</v>
      </c>
      <c r="E94" s="16" t="s">
        <v>412</v>
      </c>
      <c r="F94" s="534" t="s">
        <v>813</v>
      </c>
      <c r="G94" s="321"/>
      <c r="H94" s="321"/>
      <c r="I94" s="321"/>
      <c r="J94" s="321"/>
      <c r="K94" s="321"/>
      <c r="L94" s="321"/>
      <c r="M94" s="321"/>
      <c r="N94" s="321"/>
      <c r="O94" s="321"/>
      <c r="P94" s="321"/>
      <c r="Q94" s="321">
        <v>4822</v>
      </c>
      <c r="R94" s="321">
        <v>4807</v>
      </c>
      <c r="S94" s="321">
        <v>4807</v>
      </c>
      <c r="T94" s="321">
        <v>4807</v>
      </c>
      <c r="U94" s="321">
        <v>4822</v>
      </c>
      <c r="V94" s="321">
        <v>4807</v>
      </c>
      <c r="W94" s="321">
        <f t="shared" ref="W94:AF94" si="11">V94</f>
        <v>4807</v>
      </c>
      <c r="X94" s="321">
        <f t="shared" si="11"/>
        <v>4807</v>
      </c>
      <c r="Y94" s="321">
        <f t="shared" si="11"/>
        <v>4807</v>
      </c>
      <c r="Z94" s="321">
        <f t="shared" si="11"/>
        <v>4807</v>
      </c>
      <c r="AA94" s="321">
        <f t="shared" si="11"/>
        <v>4807</v>
      </c>
      <c r="AB94" s="321">
        <f t="shared" si="11"/>
        <v>4807</v>
      </c>
      <c r="AC94" s="321">
        <f t="shared" si="11"/>
        <v>4807</v>
      </c>
      <c r="AD94" s="321">
        <f t="shared" si="11"/>
        <v>4807</v>
      </c>
      <c r="AE94" s="321">
        <f t="shared" si="11"/>
        <v>4807</v>
      </c>
      <c r="AF94" s="321">
        <f t="shared" si="11"/>
        <v>4807</v>
      </c>
    </row>
    <row r="95" spans="1:32" s="462" customFormat="1" ht="15" customHeight="1">
      <c r="B95" s="463"/>
      <c r="C95" s="176"/>
      <c r="D95" s="162"/>
      <c r="E95" s="163"/>
      <c r="F95" s="651"/>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c r="AE95" s="180"/>
      <c r="AF95" s="180"/>
    </row>
    <row r="96" spans="1:32" s="462" customFormat="1" ht="15" customHeight="1">
      <c r="B96" s="463"/>
      <c r="C96" s="176"/>
      <c r="D96" s="162"/>
      <c r="E96" s="163"/>
      <c r="F96" s="651"/>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c r="AE96" s="180"/>
      <c r="AF96" s="180"/>
    </row>
    <row r="97" spans="2:32" s="462" customFormat="1" ht="15" customHeight="1">
      <c r="B97" s="463"/>
      <c r="C97" s="176"/>
      <c r="D97" s="162"/>
      <c r="E97" s="163"/>
      <c r="F97" s="651"/>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c r="AE97" s="180"/>
      <c r="AF97" s="180"/>
    </row>
    <row r="98" spans="2:32" s="462" customFormat="1" ht="15" customHeight="1">
      <c r="B98" s="463"/>
      <c r="C98" s="176"/>
      <c r="D98" s="162"/>
      <c r="E98" s="163"/>
      <c r="F98" s="651"/>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row>
    <row r="99" spans="2:32" s="462" customFormat="1" ht="15" customHeight="1">
      <c r="B99" s="463"/>
      <c r="C99" s="176"/>
      <c r="D99" s="179"/>
      <c r="E99" s="163"/>
      <c r="F99" s="651"/>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row>
    <row r="100" spans="2:32" s="462" customFormat="1" ht="15" customHeight="1">
      <c r="B100" s="463"/>
      <c r="C100" s="176"/>
      <c r="D100" s="179"/>
      <c r="E100" s="163"/>
      <c r="F100" s="651"/>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c r="AE100" s="180"/>
      <c r="AF100" s="180"/>
    </row>
    <row r="101" spans="2:32" s="462" customFormat="1" ht="15" customHeight="1">
      <c r="B101" s="463"/>
      <c r="C101" s="176"/>
      <c r="D101" s="179"/>
      <c r="E101" s="163"/>
      <c r="F101" s="651"/>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row>
    <row r="102" spans="2:32" s="462" customFormat="1" ht="15" customHeight="1">
      <c r="B102" s="463"/>
      <c r="C102" s="176"/>
      <c r="D102" s="179"/>
      <c r="E102" s="163"/>
      <c r="F102" s="651"/>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row>
    <row r="103" spans="2:32" s="462" customFormat="1" ht="15" customHeight="1">
      <c r="B103" s="463"/>
      <c r="C103" s="176"/>
      <c r="D103" s="179"/>
      <c r="E103" s="163"/>
      <c r="F103" s="651"/>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row>
    <row r="104" spans="2:32" s="462" customFormat="1" ht="15" customHeight="1">
      <c r="B104" s="463"/>
      <c r="C104" s="176"/>
      <c r="D104" s="179"/>
      <c r="E104" s="163"/>
      <c r="F104" s="651"/>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row>
    <row r="105" spans="2:32" s="462" customFormat="1" ht="15" customHeight="1">
      <c r="B105" s="463"/>
      <c r="C105" s="176"/>
      <c r="D105" s="179"/>
      <c r="E105" s="163"/>
      <c r="F105" s="651"/>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row>
    <row r="106" spans="2:32" s="462" customFormat="1" ht="15" customHeight="1">
      <c r="B106" s="463"/>
      <c r="C106" s="176"/>
      <c r="D106" s="179"/>
      <c r="E106" s="163"/>
      <c r="F106" s="651"/>
      <c r="G106" s="180"/>
      <c r="H106" s="176" t="s">
        <v>296</v>
      </c>
      <c r="I106" s="1149" t="s">
        <v>297</v>
      </c>
      <c r="J106" s="1188" t="s">
        <v>298</v>
      </c>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row>
    <row r="107" spans="2:32" s="462" customFormat="1" ht="15" customHeight="1">
      <c r="B107" s="463"/>
      <c r="C107" s="176"/>
      <c r="D107" s="179"/>
      <c r="E107" s="163"/>
      <c r="F107" s="651"/>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row>
    <row r="108" spans="2:32" s="462" customFormat="1" ht="15" customHeight="1">
      <c r="B108" s="463"/>
      <c r="C108" s="176"/>
      <c r="D108" s="179"/>
      <c r="E108" s="163"/>
      <c r="F108" s="651"/>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row>
    <row r="109" spans="2:32" s="462" customFormat="1" ht="15" customHeight="1">
      <c r="B109" s="463"/>
      <c r="C109" s="176"/>
      <c r="D109" s="179"/>
      <c r="E109" s="163"/>
      <c r="F109" s="651"/>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row>
    <row r="110" spans="2:32" s="462" customFormat="1" ht="15" customHeight="1">
      <c r="B110" s="463"/>
      <c r="C110" s="176"/>
      <c r="D110" s="179"/>
      <c r="E110" s="163"/>
      <c r="F110" s="651"/>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row>
    <row r="111" spans="2:32" s="462" customFormat="1" ht="15" customHeight="1">
      <c r="B111" s="463"/>
      <c r="C111" s="176"/>
      <c r="D111" s="179"/>
      <c r="E111" s="163"/>
      <c r="F111" s="651"/>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row>
    <row r="112" spans="2:32" s="462" customFormat="1" ht="15" customHeight="1">
      <c r="B112" s="463"/>
      <c r="C112" s="176"/>
      <c r="D112" s="179"/>
      <c r="E112" s="163"/>
      <c r="F112" s="651"/>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row>
    <row r="113" spans="1:33" s="462" customFormat="1" ht="15" customHeight="1">
      <c r="B113" s="463"/>
      <c r="C113" s="176"/>
      <c r="D113" s="179"/>
      <c r="E113" s="163"/>
      <c r="F113" s="651"/>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row>
    <row r="114" spans="1:33" s="462" customFormat="1" ht="15" customHeight="1">
      <c r="B114" s="463"/>
      <c r="C114" s="176"/>
      <c r="D114" s="179"/>
      <c r="E114" s="163"/>
      <c r="F114" s="651"/>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row>
    <row r="115" spans="1:33" s="462" customFormat="1" ht="15" customHeight="1">
      <c r="B115" s="464"/>
      <c r="C115" s="178"/>
      <c r="D115" s="181"/>
      <c r="E115" s="182"/>
      <c r="F115" s="652"/>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row>
    <row r="116" spans="1:33" ht="15" customHeight="1">
      <c r="A116" s="462"/>
      <c r="C116" s="18"/>
      <c r="D116" s="18"/>
      <c r="E116" s="18"/>
      <c r="F116" s="18"/>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row>
    <row r="117" spans="1:33" ht="79.2">
      <c r="B117" s="166" t="s">
        <v>339</v>
      </c>
      <c r="C117" s="314" t="s">
        <v>409</v>
      </c>
      <c r="D117" s="1153" t="s">
        <v>300</v>
      </c>
      <c r="E117" s="1156" t="s">
        <v>818</v>
      </c>
      <c r="F117" s="650" t="s">
        <v>814</v>
      </c>
      <c r="G117" s="23"/>
      <c r="H117" s="23"/>
      <c r="I117" s="23"/>
      <c r="J117" s="23"/>
      <c r="K117" s="23"/>
      <c r="L117" s="23">
        <v>1768</v>
      </c>
      <c r="M117" s="23">
        <v>1768</v>
      </c>
      <c r="N117" s="23">
        <v>1806</v>
      </c>
      <c r="O117" s="23">
        <v>1810</v>
      </c>
      <c r="P117" s="23">
        <v>1886</v>
      </c>
      <c r="Q117" s="23">
        <v>2056</v>
      </c>
      <c r="R117" s="23">
        <f>R119</f>
        <v>2082</v>
      </c>
      <c r="S117" s="23">
        <f>S119</f>
        <v>2133</v>
      </c>
      <c r="T117" s="23">
        <f>T119</f>
        <v>2186</v>
      </c>
      <c r="U117" s="23">
        <f>U119</f>
        <v>2246</v>
      </c>
      <c r="V117" s="1005">
        <f>U117+(($AF$117-U117)/(W4-$T$4))</f>
        <v>2364</v>
      </c>
      <c r="W117" s="1005">
        <f t="shared" ref="W117:AD117" si="12">V117+(($AF$117-V117)/(X4-$T$4))</f>
        <v>2423</v>
      </c>
      <c r="X117" s="1005">
        <f t="shared" si="12"/>
        <v>2458.4</v>
      </c>
      <c r="Y117" s="1005">
        <f t="shared" si="12"/>
        <v>2482</v>
      </c>
      <c r="Z117" s="1005">
        <f t="shared" si="12"/>
        <v>2498.8571428571427</v>
      </c>
      <c r="AA117" s="1005">
        <f t="shared" si="12"/>
        <v>2511.5</v>
      </c>
      <c r="AB117" s="1005">
        <f t="shared" si="12"/>
        <v>2521.3333333333335</v>
      </c>
      <c r="AC117" s="1005">
        <f>AB117+(($AF$117-AB117)/(AD4-$T$4))</f>
        <v>2529.2000000000003</v>
      </c>
      <c r="AD117" s="1005">
        <f t="shared" si="12"/>
        <v>2535.636363636364</v>
      </c>
      <c r="AE117" s="1005">
        <f>AD117+(($AF$117-AD117)/(AF4-$T$4))</f>
        <v>2541.0000000000005</v>
      </c>
      <c r="AF117" s="1005">
        <v>2600</v>
      </c>
    </row>
    <row r="118" spans="1:33" ht="15" customHeight="1">
      <c r="B118" s="63"/>
      <c r="C118" s="16"/>
      <c r="D118" s="1147"/>
      <c r="E118" s="168"/>
      <c r="F118" s="1183"/>
      <c r="G118" s="321"/>
      <c r="H118" s="321"/>
      <c r="I118" s="321"/>
      <c r="J118" s="321"/>
      <c r="K118" s="321"/>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row>
    <row r="119" spans="1:33" ht="15" customHeight="1">
      <c r="B119" s="63"/>
      <c r="C119" s="16" t="s">
        <v>411</v>
      </c>
      <c r="D119" s="1147" t="s">
        <v>300</v>
      </c>
      <c r="E119" s="16" t="s">
        <v>411</v>
      </c>
      <c r="F119" s="534" t="s">
        <v>815</v>
      </c>
      <c r="G119" s="321"/>
      <c r="H119" s="321"/>
      <c r="I119" s="321"/>
      <c r="J119" s="321"/>
      <c r="K119" s="321"/>
      <c r="L119" s="321"/>
      <c r="M119" s="321"/>
      <c r="N119" s="321"/>
      <c r="O119" s="321"/>
      <c r="P119" s="321"/>
      <c r="Q119" s="321">
        <v>2104</v>
      </c>
      <c r="R119" s="321">
        <v>2082</v>
      </c>
      <c r="S119" s="321">
        <v>2133</v>
      </c>
      <c r="T119" s="321">
        <v>2186</v>
      </c>
      <c r="U119" s="321">
        <v>2246</v>
      </c>
      <c r="V119" s="321">
        <v>2288</v>
      </c>
      <c r="W119" s="321">
        <f t="shared" ref="W119:AE119" si="13">V119+($AF119-$T119)/($AF$4-$T$4)</f>
        <v>2322.5</v>
      </c>
      <c r="X119" s="321">
        <f t="shared" si="13"/>
        <v>2357</v>
      </c>
      <c r="Y119" s="321">
        <f t="shared" si="13"/>
        <v>2391.5</v>
      </c>
      <c r="Z119" s="321">
        <f t="shared" si="13"/>
        <v>2426</v>
      </c>
      <c r="AA119" s="321">
        <f t="shared" si="13"/>
        <v>2460.5</v>
      </c>
      <c r="AB119" s="321">
        <f t="shared" si="13"/>
        <v>2495</v>
      </c>
      <c r="AC119" s="321">
        <f t="shared" si="13"/>
        <v>2529.5</v>
      </c>
      <c r="AD119" s="321">
        <f t="shared" si="13"/>
        <v>2564</v>
      </c>
      <c r="AE119" s="321">
        <f t="shared" si="13"/>
        <v>2598.5</v>
      </c>
      <c r="AF119" s="321">
        <f>AF117</f>
        <v>2600</v>
      </c>
    </row>
    <row r="120" spans="1:33" ht="15" customHeight="1">
      <c r="B120" s="63"/>
      <c r="C120" s="16" t="s">
        <v>412</v>
      </c>
      <c r="D120" s="1147" t="s">
        <v>300</v>
      </c>
      <c r="E120" s="16" t="s">
        <v>412</v>
      </c>
      <c r="F120" s="534" t="s">
        <v>816</v>
      </c>
      <c r="G120" s="321"/>
      <c r="H120" s="321"/>
      <c r="I120" s="321"/>
      <c r="J120" s="321"/>
      <c r="K120" s="321"/>
      <c r="L120" s="321"/>
      <c r="M120" s="321"/>
      <c r="N120" s="321"/>
      <c r="O120" s="321"/>
      <c r="P120" s="321"/>
      <c r="Q120" s="321">
        <v>1915</v>
      </c>
      <c r="R120" s="321">
        <v>1684</v>
      </c>
      <c r="S120" s="321">
        <v>1727</v>
      </c>
      <c r="T120" s="321">
        <v>1776</v>
      </c>
      <c r="U120" s="321">
        <v>1829</v>
      </c>
      <c r="V120" s="321">
        <v>1865</v>
      </c>
      <c r="W120" s="321">
        <f t="shared" ref="W120:AE121" si="14">V120+($AF120-$T120)/($AF$4-$T$4)</f>
        <v>1933.6666666666667</v>
      </c>
      <c r="X120" s="321">
        <f t="shared" si="14"/>
        <v>2002.3333333333335</v>
      </c>
      <c r="Y120" s="321">
        <f t="shared" si="14"/>
        <v>2071</v>
      </c>
      <c r="Z120" s="321">
        <f t="shared" si="14"/>
        <v>2139.6666666666665</v>
      </c>
      <c r="AA120" s="321">
        <f t="shared" si="14"/>
        <v>2208.333333333333</v>
      </c>
      <c r="AB120" s="321">
        <f t="shared" si="14"/>
        <v>2276.9999999999995</v>
      </c>
      <c r="AC120" s="321">
        <f t="shared" si="14"/>
        <v>2345.6666666666661</v>
      </c>
      <c r="AD120" s="321">
        <f t="shared" si="14"/>
        <v>2414.3333333333326</v>
      </c>
      <c r="AE120" s="321">
        <f t="shared" si="14"/>
        <v>2482.9999999999991</v>
      </c>
      <c r="AF120" s="321">
        <f>AF117</f>
        <v>2600</v>
      </c>
    </row>
    <row r="121" spans="1:33" s="462" customFormat="1" ht="15" customHeight="1">
      <c r="A121" s="9"/>
      <c r="B121" s="63"/>
      <c r="C121" s="16" t="s">
        <v>272</v>
      </c>
      <c r="D121" s="1147" t="s">
        <v>300</v>
      </c>
      <c r="E121" s="11" t="s">
        <v>470</v>
      </c>
      <c r="F121" s="534" t="s">
        <v>817</v>
      </c>
      <c r="G121" s="321"/>
      <c r="H121" s="321"/>
      <c r="I121" s="321"/>
      <c r="J121" s="321"/>
      <c r="K121" s="321"/>
      <c r="L121" s="321"/>
      <c r="M121" s="321"/>
      <c r="N121" s="321"/>
      <c r="O121" s="321"/>
      <c r="P121" s="321"/>
      <c r="Q121" s="321">
        <v>2004</v>
      </c>
      <c r="R121" s="321">
        <v>1872</v>
      </c>
      <c r="S121" s="321">
        <v>1918</v>
      </c>
      <c r="T121" s="321">
        <v>1969</v>
      </c>
      <c r="U121" s="321">
        <v>2025</v>
      </c>
      <c r="V121" s="321">
        <v>2064</v>
      </c>
      <c r="W121" s="321">
        <f t="shared" si="14"/>
        <v>2116.5833333333335</v>
      </c>
      <c r="X121" s="321">
        <f t="shared" si="14"/>
        <v>2169.166666666667</v>
      </c>
      <c r="Y121" s="321">
        <f t="shared" si="14"/>
        <v>2221.7500000000005</v>
      </c>
      <c r="Z121" s="321">
        <f t="shared" si="14"/>
        <v>2274.3333333333339</v>
      </c>
      <c r="AA121" s="321">
        <f t="shared" si="14"/>
        <v>2326.9166666666674</v>
      </c>
      <c r="AB121" s="321">
        <f t="shared" si="14"/>
        <v>2379.5000000000009</v>
      </c>
      <c r="AC121" s="321">
        <f t="shared" si="14"/>
        <v>2432.0833333333344</v>
      </c>
      <c r="AD121" s="321">
        <f t="shared" si="14"/>
        <v>2484.6666666666679</v>
      </c>
      <c r="AE121" s="321">
        <f>AD121+($AF121-$T121)/($AF$4-$T$4)</f>
        <v>2537.2500000000014</v>
      </c>
      <c r="AF121" s="321">
        <v>2600</v>
      </c>
    </row>
    <row r="122" spans="1:33" s="462" customFormat="1">
      <c r="B122" s="463"/>
      <c r="C122" s="176"/>
      <c r="D122" s="1149"/>
      <c r="E122" s="1188"/>
      <c r="F122" s="1188"/>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c r="AE122" s="180"/>
      <c r="AF122" s="180"/>
      <c r="AG122" s="1159"/>
    </row>
    <row r="123" spans="1:33" s="462" customFormat="1">
      <c r="B123" s="463"/>
      <c r="C123" s="1161"/>
      <c r="D123" s="162"/>
      <c r="E123" s="1188"/>
      <c r="F123" s="1188"/>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c r="AE123" s="180"/>
      <c r="AF123" s="180"/>
    </row>
    <row r="124" spans="1:33" s="462" customFormat="1" ht="15" customHeight="1">
      <c r="B124" s="463"/>
      <c r="C124" s="176"/>
      <c r="D124" s="522"/>
      <c r="E124" s="163"/>
      <c r="F124" s="651"/>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c r="AE124" s="180"/>
      <c r="AF124" s="180"/>
    </row>
    <row r="125" spans="1:33" s="462" customFormat="1" ht="15" customHeight="1">
      <c r="B125" s="463"/>
      <c r="C125" s="176"/>
      <c r="D125" s="1154"/>
      <c r="E125" s="163"/>
      <c r="F125" s="651"/>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c r="AE125" s="180"/>
      <c r="AF125" s="180"/>
    </row>
    <row r="126" spans="1:33" s="462" customFormat="1" ht="15" customHeight="1">
      <c r="B126" s="463"/>
      <c r="C126" s="176"/>
      <c r="D126" s="1154"/>
      <c r="E126" s="163"/>
      <c r="F126" s="651"/>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c r="AE126" s="180"/>
      <c r="AF126" s="180"/>
    </row>
    <row r="127" spans="1:33" s="462" customFormat="1" ht="15" customHeight="1">
      <c r="B127" s="463"/>
      <c r="C127" s="176"/>
      <c r="D127" s="1154"/>
      <c r="E127" s="163"/>
      <c r="F127" s="651"/>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c r="AE127" s="180"/>
      <c r="AF127" s="180"/>
    </row>
    <row r="128" spans="1:33" s="462" customFormat="1" ht="15" customHeight="1">
      <c r="B128" s="463"/>
      <c r="C128" s="176"/>
      <c r="D128" s="1154"/>
      <c r="E128" s="163"/>
      <c r="F128" s="651"/>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row>
    <row r="129" spans="2:32" s="462" customFormat="1" ht="15" customHeight="1">
      <c r="B129" s="463"/>
      <c r="C129" s="176"/>
      <c r="D129" s="1154"/>
      <c r="E129" s="163"/>
      <c r="F129" s="651"/>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row>
    <row r="130" spans="2:32" s="462" customFormat="1" ht="15" customHeight="1">
      <c r="B130" s="463"/>
      <c r="C130" s="176"/>
      <c r="D130" s="1154"/>
      <c r="E130" s="163"/>
      <c r="F130" s="651"/>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row>
    <row r="131" spans="2:32" s="462" customFormat="1" ht="15" customHeight="1">
      <c r="B131" s="463"/>
      <c r="C131" s="176"/>
      <c r="D131" s="1154"/>
      <c r="E131" s="163"/>
      <c r="F131" s="651"/>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row>
    <row r="132" spans="2:32" s="462" customFormat="1" ht="15" customHeight="1">
      <c r="B132" s="463"/>
      <c r="C132" s="176"/>
      <c r="D132" s="1154"/>
      <c r="E132" s="163"/>
      <c r="F132" s="651"/>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row>
    <row r="133" spans="2:32" s="462" customFormat="1" ht="15" customHeight="1">
      <c r="B133" s="463"/>
      <c r="C133" s="176"/>
      <c r="D133" s="1154"/>
      <c r="E133" s="163"/>
      <c r="F133" s="651"/>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c r="AE133" s="180"/>
      <c r="AF133" s="180"/>
    </row>
    <row r="134" spans="2:32" s="462" customFormat="1" ht="15" customHeight="1">
      <c r="B134" s="463"/>
      <c r="C134" s="176"/>
      <c r="D134" s="1154"/>
      <c r="E134" s="163"/>
      <c r="F134" s="651"/>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c r="AE134" s="180"/>
      <c r="AF134" s="180"/>
    </row>
    <row r="135" spans="2:32" s="462" customFormat="1" ht="15" customHeight="1">
      <c r="B135" s="463"/>
      <c r="C135" s="176"/>
      <c r="D135" s="1154"/>
      <c r="E135" s="163"/>
      <c r="F135" s="651"/>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c r="AE135" s="180"/>
      <c r="AF135" s="180"/>
    </row>
    <row r="136" spans="2:32" s="462" customFormat="1" ht="15" customHeight="1">
      <c r="B136" s="463"/>
      <c r="C136" s="176"/>
      <c r="D136" s="1154"/>
      <c r="E136" s="163"/>
      <c r="F136" s="651"/>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row>
    <row r="137" spans="2:32" s="462" customFormat="1" ht="15" customHeight="1">
      <c r="B137" s="463"/>
      <c r="C137" s="176"/>
      <c r="D137" s="1154"/>
      <c r="E137" s="163"/>
      <c r="F137" s="651"/>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c r="AE137" s="180"/>
      <c r="AF137" s="180"/>
    </row>
    <row r="138" spans="2:32" s="462" customFormat="1" ht="15" customHeight="1">
      <c r="B138" s="463"/>
      <c r="C138" s="176"/>
      <c r="D138" s="1154"/>
      <c r="E138" s="163"/>
      <c r="F138" s="651"/>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row>
    <row r="139" spans="2:32" s="462" customFormat="1" ht="15" customHeight="1">
      <c r="B139" s="463"/>
      <c r="C139" s="176"/>
      <c r="D139" s="1154"/>
      <c r="E139" s="163"/>
      <c r="F139" s="651"/>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c r="AE139" s="180"/>
      <c r="AF139" s="180"/>
    </row>
    <row r="140" spans="2:32" s="462" customFormat="1" ht="15" customHeight="1">
      <c r="B140" s="463"/>
      <c r="C140" s="176"/>
      <c r="D140" s="1154"/>
      <c r="E140" s="163"/>
      <c r="F140" s="651"/>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row>
    <row r="141" spans="2:32" s="462" customFormat="1" ht="15" customHeight="1">
      <c r="B141" s="464"/>
      <c r="C141" s="178"/>
      <c r="D141" s="1155"/>
      <c r="E141" s="182"/>
      <c r="F141" s="652"/>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row>
    <row r="142" spans="2:32" ht="15" customHeight="1">
      <c r="C142" s="18"/>
      <c r="D142" s="18"/>
      <c r="E142" s="18"/>
      <c r="F142" s="18"/>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row>
    <row r="143" spans="2:32" ht="79.2">
      <c r="B143" s="166" t="s">
        <v>340</v>
      </c>
      <c r="C143" s="314" t="s">
        <v>409</v>
      </c>
      <c r="D143" s="22" t="s">
        <v>305</v>
      </c>
      <c r="E143" s="1156" t="s">
        <v>819</v>
      </c>
      <c r="F143" s="650" t="s">
        <v>820</v>
      </c>
      <c r="G143" s="23"/>
      <c r="H143" s="23"/>
      <c r="I143" s="23"/>
      <c r="J143" s="23"/>
      <c r="K143" s="23"/>
      <c r="L143" s="1005">
        <v>3280</v>
      </c>
      <c r="M143" s="1005">
        <v>3280</v>
      </c>
      <c r="N143" s="1152">
        <v>3658</v>
      </c>
      <c r="O143" s="1152">
        <v>3600</v>
      </c>
      <c r="P143" s="1005">
        <v>3518</v>
      </c>
      <c r="Q143" s="1005">
        <v>4278</v>
      </c>
      <c r="R143" s="1005">
        <f>R145</f>
        <v>4259</v>
      </c>
      <c r="S143" s="1005">
        <f>S145</f>
        <v>4270</v>
      </c>
      <c r="T143" s="1005">
        <f>T145</f>
        <v>4302</v>
      </c>
      <c r="U143" s="1005">
        <f>U145</f>
        <v>4360</v>
      </c>
      <c r="V143" s="1005">
        <f t="shared" ref="V143:AD143" si="15">U143+(($AF$143-U143)/(W4-$T$4))</f>
        <v>4473.333333333333</v>
      </c>
      <c r="W143" s="1005">
        <f t="shared" si="15"/>
        <v>4530</v>
      </c>
      <c r="X143" s="1005">
        <f t="shared" si="15"/>
        <v>4564</v>
      </c>
      <c r="Y143" s="1005">
        <f t="shared" si="15"/>
        <v>4586.666666666667</v>
      </c>
      <c r="Z143" s="1005">
        <f t="shared" si="15"/>
        <v>4602.8571428571431</v>
      </c>
      <c r="AA143" s="1005">
        <f t="shared" si="15"/>
        <v>4615</v>
      </c>
      <c r="AB143" s="1005">
        <f t="shared" si="15"/>
        <v>4624.4444444444443</v>
      </c>
      <c r="AC143" s="1005">
        <f t="shared" si="15"/>
        <v>4632</v>
      </c>
      <c r="AD143" s="1005">
        <f t="shared" si="15"/>
        <v>4638.181818181818</v>
      </c>
      <c r="AE143" s="1005">
        <f>AD143+(($AF$143-AD143)/(AF4-$T$4))</f>
        <v>4643.333333333333</v>
      </c>
      <c r="AF143" s="1005">
        <v>4700</v>
      </c>
    </row>
    <row r="144" spans="2:32" ht="15" customHeight="1">
      <c r="B144" s="63"/>
      <c r="C144" s="16"/>
      <c r="D144" s="322"/>
      <c r="E144" s="168"/>
      <c r="F144" s="1183"/>
      <c r="G144" s="321"/>
      <c r="H144" s="321"/>
      <c r="I144" s="321"/>
      <c r="J144" s="321"/>
      <c r="K144" s="321"/>
      <c r="L144" s="321"/>
      <c r="M144" s="321"/>
      <c r="N144" s="321"/>
      <c r="O144" s="321"/>
      <c r="P144" s="321"/>
      <c r="Q144" s="321"/>
      <c r="R144" s="321"/>
      <c r="S144" s="321"/>
      <c r="T144" s="321"/>
      <c r="U144" s="321"/>
      <c r="V144" s="321"/>
      <c r="W144" s="321"/>
      <c r="X144" s="321"/>
      <c r="Y144" s="321"/>
      <c r="Z144" s="321"/>
      <c r="AA144" s="321"/>
      <c r="AB144" s="321"/>
      <c r="AC144" s="321"/>
      <c r="AD144" s="321"/>
      <c r="AE144" s="321"/>
      <c r="AF144" s="321"/>
    </row>
    <row r="145" spans="1:32" ht="15" customHeight="1">
      <c r="B145" s="63"/>
      <c r="C145" s="16" t="s">
        <v>411</v>
      </c>
      <c r="D145" s="322" t="s">
        <v>300</v>
      </c>
      <c r="E145" s="16" t="s">
        <v>411</v>
      </c>
      <c r="F145" s="534" t="s">
        <v>821</v>
      </c>
      <c r="G145" s="321"/>
      <c r="H145" s="321"/>
      <c r="I145" s="321"/>
      <c r="J145" s="321"/>
      <c r="K145" s="321"/>
      <c r="L145" s="321"/>
      <c r="M145" s="321"/>
      <c r="N145" s="1184"/>
      <c r="O145" s="321"/>
      <c r="P145" s="321"/>
      <c r="Q145" s="321">
        <v>4084</v>
      </c>
      <c r="R145" s="321">
        <v>4259</v>
      </c>
      <c r="S145" s="321">
        <v>4270</v>
      </c>
      <c r="T145" s="321">
        <v>4302</v>
      </c>
      <c r="U145" s="321">
        <v>4360</v>
      </c>
      <c r="V145" s="321">
        <v>4387</v>
      </c>
      <c r="W145" s="321">
        <f t="shared" ref="W145:AD145" si="16">V145+($AF145-$T145)/($AF$4-$T$4)</f>
        <v>4420.166666666667</v>
      </c>
      <c r="X145" s="321">
        <f t="shared" si="16"/>
        <v>4453.3333333333339</v>
      </c>
      <c r="Y145" s="321">
        <f t="shared" si="16"/>
        <v>4486.5000000000009</v>
      </c>
      <c r="Z145" s="321">
        <f t="shared" si="16"/>
        <v>4519.6666666666679</v>
      </c>
      <c r="AA145" s="321">
        <f t="shared" si="16"/>
        <v>4552.8333333333348</v>
      </c>
      <c r="AB145" s="321">
        <f t="shared" si="16"/>
        <v>4586.0000000000018</v>
      </c>
      <c r="AC145" s="321">
        <f t="shared" si="16"/>
        <v>4619.1666666666688</v>
      </c>
      <c r="AD145" s="321">
        <f t="shared" si="16"/>
        <v>4652.3333333333358</v>
      </c>
      <c r="AE145" s="321">
        <f>AD145+($AF145-$T145)/($AF$4-$T$4)</f>
        <v>4685.5000000000027</v>
      </c>
      <c r="AF145" s="321">
        <v>4700</v>
      </c>
    </row>
    <row r="146" spans="1:32" ht="15" customHeight="1">
      <c r="B146" s="63"/>
      <c r="C146" s="16" t="s">
        <v>412</v>
      </c>
      <c r="D146" s="322" t="s">
        <v>300</v>
      </c>
      <c r="E146" s="16" t="s">
        <v>412</v>
      </c>
      <c r="F146" s="534" t="s">
        <v>822</v>
      </c>
      <c r="G146" s="321"/>
      <c r="H146" s="321"/>
      <c r="I146" s="321"/>
      <c r="J146" s="321"/>
      <c r="K146" s="321"/>
      <c r="L146" s="321"/>
      <c r="M146" s="321"/>
      <c r="N146" s="1184"/>
      <c r="O146" s="321"/>
      <c r="P146" s="321"/>
      <c r="Q146" s="321">
        <v>3676</v>
      </c>
      <c r="R146" s="321">
        <v>3440</v>
      </c>
      <c r="S146" s="321">
        <v>3442</v>
      </c>
      <c r="T146" s="321">
        <v>3460</v>
      </c>
      <c r="U146" s="321">
        <v>3505</v>
      </c>
      <c r="V146" s="321">
        <v>3538</v>
      </c>
      <c r="W146" s="321">
        <f t="shared" ref="W146:AD146" si="17">V146+($AF146-$T146)/($AF$4-$T$4)</f>
        <v>3583</v>
      </c>
      <c r="X146" s="321">
        <f t="shared" si="17"/>
        <v>3628</v>
      </c>
      <c r="Y146" s="321">
        <f t="shared" si="17"/>
        <v>3673</v>
      </c>
      <c r="Z146" s="321">
        <f t="shared" si="17"/>
        <v>3718</v>
      </c>
      <c r="AA146" s="321">
        <f t="shared" si="17"/>
        <v>3763</v>
      </c>
      <c r="AB146" s="321">
        <f t="shared" si="17"/>
        <v>3808</v>
      </c>
      <c r="AC146" s="321">
        <f t="shared" si="17"/>
        <v>3853</v>
      </c>
      <c r="AD146" s="321">
        <f t="shared" si="17"/>
        <v>3898</v>
      </c>
      <c r="AE146" s="321">
        <f>AD146+($AF146-$T146)/($AF$4-$T$4)</f>
        <v>3943</v>
      </c>
      <c r="AF146" s="321">
        <v>4000</v>
      </c>
    </row>
    <row r="147" spans="1:32" s="462" customFormat="1" ht="26.4">
      <c r="A147" s="9"/>
      <c r="B147" s="63"/>
      <c r="C147" s="1157" t="s">
        <v>272</v>
      </c>
      <c r="D147" s="49" t="s">
        <v>300</v>
      </c>
      <c r="E147" s="1157" t="s">
        <v>470</v>
      </c>
      <c r="F147" s="26" t="s">
        <v>823</v>
      </c>
      <c r="G147" s="321"/>
      <c r="H147" s="321"/>
      <c r="I147" s="321"/>
      <c r="J147" s="321"/>
      <c r="K147" s="321"/>
      <c r="L147" s="321"/>
      <c r="M147" s="321"/>
      <c r="N147" s="1160"/>
      <c r="O147" s="1160"/>
      <c r="P147" s="1160"/>
      <c r="Q147" s="1160">
        <v>3868</v>
      </c>
      <c r="R147" s="1160">
        <v>3825</v>
      </c>
      <c r="S147" s="321">
        <v>3831</v>
      </c>
      <c r="T147" s="321">
        <v>3855</v>
      </c>
      <c r="U147" s="321">
        <v>3907</v>
      </c>
      <c r="V147" s="321">
        <v>3941</v>
      </c>
      <c r="W147" s="321">
        <f t="shared" ref="W147:AD147" si="18">V147+($AF147-$T147)/($AF$4-$T$4)</f>
        <v>3978.0833333333335</v>
      </c>
      <c r="X147" s="321">
        <f t="shared" si="18"/>
        <v>4015.166666666667</v>
      </c>
      <c r="Y147" s="321">
        <f t="shared" si="18"/>
        <v>4052.2500000000005</v>
      </c>
      <c r="Z147" s="321">
        <f t="shared" si="18"/>
        <v>4089.3333333333339</v>
      </c>
      <c r="AA147" s="321">
        <f t="shared" si="18"/>
        <v>4126.416666666667</v>
      </c>
      <c r="AB147" s="321">
        <f t="shared" si="18"/>
        <v>4163.5</v>
      </c>
      <c r="AC147" s="321">
        <f t="shared" si="18"/>
        <v>4200.583333333333</v>
      </c>
      <c r="AD147" s="321">
        <f t="shared" si="18"/>
        <v>4237.6666666666661</v>
      </c>
      <c r="AE147" s="321">
        <f>AD147+($AF147-$T147)/($AF$4-$T$4)</f>
        <v>4274.7499999999991</v>
      </c>
      <c r="AF147" s="321">
        <v>4300</v>
      </c>
    </row>
    <row r="148" spans="1:32" s="462" customFormat="1">
      <c r="B148" s="463"/>
      <c r="C148" s="176"/>
      <c r="D148" s="1149"/>
      <c r="E148" s="1188"/>
      <c r="F148" s="1188"/>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c r="AE148" s="180"/>
      <c r="AF148" s="180"/>
    </row>
    <row r="149" spans="1:32" s="462" customFormat="1">
      <c r="B149" s="463"/>
      <c r="C149" s="176"/>
      <c r="E149" s="463"/>
      <c r="F149" s="463"/>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row>
    <row r="150" spans="1:32" s="462" customFormat="1" ht="15" customHeight="1">
      <c r="B150" s="463"/>
      <c r="C150" s="176"/>
      <c r="D150" s="162"/>
      <c r="E150" s="163"/>
      <c r="F150" s="651"/>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c r="AE150" s="180"/>
      <c r="AF150" s="180"/>
    </row>
    <row r="151" spans="1:32" s="462" customFormat="1" ht="15" customHeight="1">
      <c r="B151" s="463"/>
      <c r="C151" s="176"/>
      <c r="D151" s="179"/>
      <c r="E151" s="163"/>
      <c r="F151" s="651"/>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c r="AE151" s="180"/>
      <c r="AF151" s="180"/>
    </row>
    <row r="152" spans="1:32" s="462" customFormat="1" ht="15" customHeight="1">
      <c r="B152" s="463"/>
      <c r="C152" s="176"/>
      <c r="D152" s="179"/>
      <c r="E152" s="163"/>
      <c r="F152" s="651"/>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c r="AE152" s="180"/>
      <c r="AF152" s="180"/>
    </row>
    <row r="153" spans="1:32" s="462" customFormat="1" ht="15" customHeight="1">
      <c r="B153" s="463"/>
      <c r="C153" s="176"/>
      <c r="D153" s="179"/>
      <c r="E153" s="163"/>
      <c r="F153" s="651"/>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c r="AE153" s="180"/>
      <c r="AF153" s="180"/>
    </row>
    <row r="154" spans="1:32" s="462" customFormat="1" ht="15" customHeight="1">
      <c r="B154" s="463"/>
      <c r="C154" s="176"/>
      <c r="D154" s="179"/>
      <c r="E154" s="163"/>
      <c r="F154" s="651"/>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row>
    <row r="155" spans="1:32" s="462" customFormat="1" ht="15" customHeight="1">
      <c r="B155" s="463"/>
      <c r="C155" s="176"/>
      <c r="D155" s="179"/>
      <c r="E155" s="163"/>
      <c r="F155" s="651"/>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row>
    <row r="156" spans="1:32" s="462" customFormat="1" ht="15" customHeight="1">
      <c r="B156" s="463"/>
      <c r="C156" s="176"/>
      <c r="D156" s="179"/>
      <c r="E156" s="163"/>
      <c r="F156" s="651"/>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row>
    <row r="157" spans="1:32" s="462" customFormat="1" ht="15" customHeight="1">
      <c r="B157" s="463"/>
      <c r="C157" s="176"/>
      <c r="D157" s="179"/>
      <c r="E157" s="163"/>
      <c r="F157" s="651"/>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row>
    <row r="158" spans="1:32" s="462" customFormat="1" ht="15" customHeight="1">
      <c r="B158" s="463"/>
      <c r="C158" s="176"/>
      <c r="D158" s="179"/>
      <c r="E158" s="163"/>
      <c r="F158" s="651"/>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row>
    <row r="159" spans="1:32" s="462" customFormat="1" ht="15" customHeight="1">
      <c r="B159" s="463"/>
      <c r="C159" s="176"/>
      <c r="D159" s="179"/>
      <c r="E159" s="163"/>
      <c r="F159" s="651"/>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row>
    <row r="160" spans="1:32" s="462" customFormat="1" ht="15" customHeight="1">
      <c r="B160" s="463"/>
      <c r="C160" s="176"/>
      <c r="D160" s="179"/>
      <c r="E160" s="163"/>
      <c r="F160" s="651"/>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row>
    <row r="161" spans="2:32" s="462" customFormat="1" ht="15" customHeight="1">
      <c r="B161" s="463"/>
      <c r="C161" s="176"/>
      <c r="D161" s="179"/>
      <c r="E161" s="163"/>
      <c r="F161" s="651"/>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row>
    <row r="162" spans="2:32" s="462" customFormat="1" ht="15" customHeight="1">
      <c r="B162" s="463"/>
      <c r="C162" s="176"/>
      <c r="D162" s="179"/>
      <c r="E162" s="163"/>
      <c r="F162" s="651"/>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row>
    <row r="163" spans="2:32" s="462" customFormat="1" ht="15" customHeight="1">
      <c r="B163" s="463"/>
      <c r="C163" s="176"/>
      <c r="D163" s="179"/>
      <c r="E163" s="163"/>
      <c r="F163" s="651"/>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row>
    <row r="164" spans="2:32" s="462" customFormat="1" ht="15" customHeight="1">
      <c r="B164" s="463"/>
      <c r="C164" s="176"/>
      <c r="D164" s="179"/>
      <c r="E164" s="163"/>
      <c r="F164" s="651"/>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row>
    <row r="165" spans="2:32" s="462" customFormat="1" ht="15" customHeight="1">
      <c r="B165" s="463"/>
      <c r="C165" s="176"/>
      <c r="D165" s="179"/>
      <c r="E165" s="163"/>
      <c r="F165" s="651"/>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row>
    <row r="166" spans="2:32" s="462" customFormat="1" ht="15" customHeight="1">
      <c r="B166" s="463"/>
      <c r="C166" s="176"/>
      <c r="D166" s="179"/>
      <c r="E166" s="163"/>
      <c r="F166" s="651"/>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row>
    <row r="167" spans="2:32" s="462" customFormat="1" ht="15" customHeight="1">
      <c r="B167" s="464"/>
      <c r="C167" s="178"/>
      <c r="D167" s="181"/>
      <c r="E167" s="182"/>
      <c r="F167" s="652"/>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c r="AE167" s="180"/>
      <c r="AF167" s="180"/>
    </row>
    <row r="168" spans="2:32" ht="15" customHeight="1">
      <c r="C168" s="18"/>
      <c r="D168" s="18"/>
      <c r="E168" s="18"/>
      <c r="F168" s="18"/>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row>
    <row r="169" spans="2:32" ht="92.4">
      <c r="B169" s="166" t="s">
        <v>12</v>
      </c>
      <c r="C169" s="314" t="s">
        <v>409</v>
      </c>
      <c r="D169" s="22" t="s">
        <v>300</v>
      </c>
      <c r="E169" s="650" t="s">
        <v>824</v>
      </c>
      <c r="F169" s="650" t="s">
        <v>825</v>
      </c>
      <c r="G169" s="23"/>
      <c r="H169" s="23"/>
      <c r="I169" s="23"/>
      <c r="J169" s="23"/>
      <c r="K169" s="1005"/>
      <c r="L169" s="1005">
        <v>941</v>
      </c>
      <c r="M169" s="1005">
        <v>941</v>
      </c>
      <c r="N169" s="1152">
        <v>932</v>
      </c>
      <c r="O169" s="1152">
        <v>981</v>
      </c>
      <c r="P169" s="1152">
        <v>927</v>
      </c>
      <c r="Q169" s="1152">
        <v>886.06344148903997</v>
      </c>
      <c r="R169" s="1152">
        <v>867.49529719941631</v>
      </c>
      <c r="S169" s="1005">
        <v>884.96877931993924</v>
      </c>
      <c r="T169" s="1005">
        <v>899.03187575995446</v>
      </c>
      <c r="U169" s="1005">
        <v>900.07794920065294</v>
      </c>
      <c r="V169" s="1005">
        <v>900.01687241641127</v>
      </c>
      <c r="W169" s="1005">
        <f t="shared" ref="W169:AD169" si="19">V169+($AF169-$T169)/($AF$4-$T$4)</f>
        <v>904.26421610308171</v>
      </c>
      <c r="X169" s="1005">
        <f t="shared" si="19"/>
        <v>908.51155978975214</v>
      </c>
      <c r="Y169" s="1005">
        <f t="shared" si="19"/>
        <v>912.75890347642257</v>
      </c>
      <c r="Z169" s="1005">
        <f t="shared" si="19"/>
        <v>917.00624716309301</v>
      </c>
      <c r="AA169" s="1005">
        <f t="shared" si="19"/>
        <v>921.25359084976344</v>
      </c>
      <c r="AB169" s="1005">
        <f t="shared" si="19"/>
        <v>925.50093453643387</v>
      </c>
      <c r="AC169" s="1005">
        <f t="shared" si="19"/>
        <v>929.74827822310431</v>
      </c>
      <c r="AD169" s="1005">
        <f t="shared" si="19"/>
        <v>933.99562190977474</v>
      </c>
      <c r="AE169" s="1005">
        <f>AD169+($AF169-$T169)/($AF$4-$T$4)</f>
        <v>938.24296559644517</v>
      </c>
      <c r="AF169" s="1005">
        <v>950</v>
      </c>
    </row>
    <row r="170" spans="2:32" ht="15" customHeight="1">
      <c r="B170" s="63"/>
      <c r="C170" s="16"/>
      <c r="D170" s="322"/>
      <c r="E170" s="168"/>
      <c r="F170" s="1183"/>
      <c r="G170" s="321"/>
      <c r="H170" s="321"/>
      <c r="I170" s="321"/>
      <c r="J170" s="321"/>
      <c r="K170" s="321"/>
      <c r="L170" s="321"/>
      <c r="M170" s="321"/>
      <c r="N170" s="321"/>
      <c r="O170" s="321"/>
      <c r="P170" s="321"/>
      <c r="Q170" s="321"/>
      <c r="R170" s="321"/>
      <c r="S170" s="321"/>
      <c r="T170" s="321"/>
      <c r="U170" s="321"/>
      <c r="V170" s="321"/>
      <c r="W170" s="321"/>
      <c r="X170" s="321"/>
      <c r="Y170" s="321"/>
      <c r="Z170" s="321"/>
      <c r="AA170" s="321"/>
      <c r="AB170" s="321"/>
      <c r="AC170" s="321"/>
      <c r="AD170" s="321"/>
      <c r="AE170" s="321"/>
      <c r="AF170" s="321"/>
    </row>
    <row r="171" spans="2:32" ht="15" customHeight="1">
      <c r="B171" s="63"/>
      <c r="C171" s="16" t="s">
        <v>411</v>
      </c>
      <c r="D171" s="322" t="s">
        <v>300</v>
      </c>
      <c r="E171" s="16" t="s">
        <v>411</v>
      </c>
      <c r="F171" s="534" t="s">
        <v>826</v>
      </c>
      <c r="G171" s="321"/>
      <c r="H171" s="321"/>
      <c r="I171" s="321"/>
      <c r="J171" s="321"/>
      <c r="K171" s="321"/>
      <c r="L171" s="321"/>
      <c r="M171" s="321"/>
      <c r="N171" s="321"/>
      <c r="O171" s="321"/>
      <c r="P171" s="321"/>
      <c r="Q171" s="321">
        <v>961.69675589679741</v>
      </c>
      <c r="R171" s="321">
        <v>982.50075019347094</v>
      </c>
      <c r="S171" s="321">
        <v>997.86608568486713</v>
      </c>
      <c r="T171" s="321">
        <v>999.0944079692099</v>
      </c>
      <c r="U171" s="321">
        <v>998.18991177495911</v>
      </c>
      <c r="V171" s="321">
        <f t="shared" ref="V171:AD171" si="20">U171+($AF171-$T171)/($AF$4-$T$4)</f>
        <v>1002.4320444441917</v>
      </c>
      <c r="W171" s="321">
        <f t="shared" si="20"/>
        <v>1006.6741771134242</v>
      </c>
      <c r="X171" s="321">
        <f t="shared" si="20"/>
        <v>1010.9163097826568</v>
      </c>
      <c r="Y171" s="321">
        <f t="shared" si="20"/>
        <v>1015.1584424518893</v>
      </c>
      <c r="Z171" s="321">
        <f t="shared" si="20"/>
        <v>1019.4005751211218</v>
      </c>
      <c r="AA171" s="321">
        <f t="shared" si="20"/>
        <v>1023.6427077903544</v>
      </c>
      <c r="AB171" s="321">
        <f t="shared" si="20"/>
        <v>1027.8848404595869</v>
      </c>
      <c r="AC171" s="321">
        <f t="shared" si="20"/>
        <v>1032.1269731288194</v>
      </c>
      <c r="AD171" s="321">
        <f t="shared" si="20"/>
        <v>1036.3691057980518</v>
      </c>
      <c r="AE171" s="321">
        <f>AD171+($AF171-$T171)/($AF$4-$T$4)</f>
        <v>1040.6112384672842</v>
      </c>
      <c r="AF171" s="321">
        <v>1050</v>
      </c>
    </row>
    <row r="172" spans="2:32" ht="15" customHeight="1">
      <c r="B172" s="63"/>
      <c r="C172" s="16" t="s">
        <v>412</v>
      </c>
      <c r="D172" s="322" t="s">
        <v>300</v>
      </c>
      <c r="E172" s="16" t="s">
        <v>412</v>
      </c>
      <c r="F172" s="534" t="s">
        <v>311</v>
      </c>
      <c r="G172" s="321"/>
      <c r="H172" s="321"/>
      <c r="I172" s="321"/>
      <c r="J172" s="321"/>
      <c r="K172" s="321"/>
      <c r="L172" s="321"/>
      <c r="M172" s="321"/>
      <c r="N172" s="1184"/>
      <c r="O172" s="1184"/>
      <c r="P172" s="1184"/>
      <c r="Q172" s="1184">
        <v>817.96016421950912</v>
      </c>
      <c r="R172" s="1184">
        <v>832.23027803645061</v>
      </c>
      <c r="S172" s="321">
        <v>845.22160113388429</v>
      </c>
      <c r="T172" s="321">
        <v>846.62096885494771</v>
      </c>
      <c r="U172" s="321">
        <v>846.53597090392975</v>
      </c>
      <c r="V172" s="321">
        <f t="shared" ref="V172:AD172" si="21">U172+($AF172-$T172)/($AF$4-$T$4)</f>
        <v>846.81755683268409</v>
      </c>
      <c r="W172" s="321">
        <f t="shared" si="21"/>
        <v>847.09914276143843</v>
      </c>
      <c r="X172" s="321">
        <f t="shared" si="21"/>
        <v>847.38072869019277</v>
      </c>
      <c r="Y172" s="321">
        <f t="shared" si="21"/>
        <v>847.66231461894711</v>
      </c>
      <c r="Z172" s="321">
        <f t="shared" si="21"/>
        <v>847.94390054770145</v>
      </c>
      <c r="AA172" s="321">
        <f t="shared" si="21"/>
        <v>848.22548647645579</v>
      </c>
      <c r="AB172" s="321">
        <f t="shared" si="21"/>
        <v>848.50707240521012</v>
      </c>
      <c r="AC172" s="321">
        <f t="shared" si="21"/>
        <v>848.78865833396446</v>
      </c>
      <c r="AD172" s="321">
        <f t="shared" si="21"/>
        <v>849.0702442627188</v>
      </c>
      <c r="AE172" s="321">
        <f>AD172+($AF172-$T172)/($AF$4-$T$4)</f>
        <v>849.35183019147314</v>
      </c>
      <c r="AF172" s="321">
        <v>850</v>
      </c>
    </row>
    <row r="173" spans="2:32" s="462" customFormat="1" ht="15" customHeight="1">
      <c r="B173" s="463"/>
      <c r="C173" s="176"/>
      <c r="D173" s="162"/>
      <c r="E173" s="163"/>
      <c r="F173" s="651"/>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c r="AE173" s="180"/>
      <c r="AF173" s="180"/>
    </row>
    <row r="174" spans="2:32" s="462" customFormat="1" ht="15" customHeight="1">
      <c r="B174" s="463"/>
      <c r="C174" s="176"/>
      <c r="D174" s="162"/>
      <c r="E174" s="163"/>
      <c r="F174" s="651"/>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c r="AE174" s="180"/>
      <c r="AF174" s="180"/>
    </row>
    <row r="175" spans="2:32" s="462" customFormat="1" ht="15" customHeight="1">
      <c r="B175" s="463"/>
      <c r="C175" s="176"/>
      <c r="D175" s="162"/>
      <c r="E175" s="163"/>
      <c r="F175" s="651"/>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row>
    <row r="176" spans="2:32" s="462" customFormat="1" ht="15" customHeight="1">
      <c r="B176" s="463"/>
      <c r="C176" s="176"/>
      <c r="D176" s="162"/>
      <c r="E176" s="163"/>
      <c r="F176" s="651"/>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c r="AE176" s="180"/>
      <c r="AF176" s="180"/>
    </row>
    <row r="177" spans="2:32" s="462" customFormat="1" ht="15" customHeight="1">
      <c r="B177" s="463"/>
      <c r="C177" s="176"/>
      <c r="D177" s="179"/>
      <c r="E177" s="163"/>
      <c r="F177" s="651"/>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row>
    <row r="178" spans="2:32" s="462" customFormat="1" ht="15" customHeight="1">
      <c r="B178" s="463"/>
      <c r="C178" s="176"/>
      <c r="D178" s="179"/>
      <c r="E178" s="163"/>
      <c r="F178" s="651"/>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c r="AE178" s="180"/>
      <c r="AF178" s="180"/>
    </row>
    <row r="179" spans="2:32" s="462" customFormat="1" ht="15" customHeight="1">
      <c r="B179" s="463"/>
      <c r="C179" s="176"/>
      <c r="D179" s="179"/>
      <c r="E179" s="163"/>
      <c r="F179" s="651"/>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c r="AE179" s="180"/>
      <c r="AF179" s="180"/>
    </row>
    <row r="180" spans="2:32" s="462" customFormat="1" ht="15" customHeight="1">
      <c r="B180" s="463"/>
      <c r="C180" s="176"/>
      <c r="D180" s="179"/>
      <c r="E180" s="163"/>
      <c r="F180" s="651"/>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row>
    <row r="181" spans="2:32" s="462" customFormat="1" ht="15" customHeight="1">
      <c r="B181" s="463"/>
      <c r="C181" s="176"/>
      <c r="D181" s="179"/>
      <c r="E181" s="163"/>
      <c r="F181" s="651"/>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row>
    <row r="182" spans="2:32" s="462" customFormat="1" ht="15" customHeight="1">
      <c r="B182" s="463"/>
      <c r="C182" s="176"/>
      <c r="D182" s="179"/>
      <c r="E182" s="163"/>
      <c r="F182" s="651"/>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row>
    <row r="183" spans="2:32" s="462" customFormat="1" ht="15" customHeight="1">
      <c r="B183" s="463"/>
      <c r="C183" s="176"/>
      <c r="D183" s="179"/>
      <c r="E183" s="163"/>
      <c r="F183" s="651"/>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row>
    <row r="184" spans="2:32" s="462" customFormat="1" ht="15" customHeight="1">
      <c r="B184" s="463"/>
      <c r="C184" s="176"/>
      <c r="D184" s="179"/>
      <c r="E184" s="163"/>
      <c r="F184" s="651"/>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row>
    <row r="185" spans="2:32" s="462" customFormat="1" ht="15" customHeight="1">
      <c r="B185" s="463"/>
      <c r="C185" s="176"/>
      <c r="D185" s="179"/>
      <c r="E185" s="163"/>
      <c r="F185" s="651"/>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row>
    <row r="186" spans="2:32" s="462" customFormat="1" ht="15" customHeight="1">
      <c r="B186" s="463"/>
      <c r="C186" s="176"/>
      <c r="D186" s="179"/>
      <c r="E186" s="163"/>
      <c r="F186" s="651"/>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row>
    <row r="187" spans="2:32" s="462" customFormat="1" ht="15" customHeight="1">
      <c r="B187" s="463"/>
      <c r="C187" s="176"/>
      <c r="D187" s="179"/>
      <c r="E187" s="163"/>
      <c r="F187" s="651"/>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row>
    <row r="188" spans="2:32" s="462" customFormat="1" ht="15" customHeight="1">
      <c r="B188" s="463"/>
      <c r="C188" s="176"/>
      <c r="D188" s="179"/>
      <c r="E188" s="163"/>
      <c r="F188" s="651"/>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row>
    <row r="189" spans="2:32" s="462" customFormat="1" ht="15" customHeight="1">
      <c r="B189" s="463"/>
      <c r="C189" s="176"/>
      <c r="D189" s="179"/>
      <c r="E189" s="163"/>
      <c r="F189" s="651"/>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row>
    <row r="190" spans="2:32" s="462" customFormat="1" ht="15" customHeight="1">
      <c r="B190" s="463"/>
      <c r="C190" s="176"/>
      <c r="D190" s="179"/>
      <c r="E190" s="163"/>
      <c r="F190" s="651"/>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row>
    <row r="191" spans="2:32" s="462" customFormat="1" ht="15" customHeight="1">
      <c r="B191" s="463"/>
      <c r="C191" s="176"/>
      <c r="D191" s="179"/>
      <c r="E191" s="163"/>
      <c r="F191" s="651"/>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row>
    <row r="192" spans="2:32" s="462" customFormat="1" ht="15" customHeight="1">
      <c r="B192" s="463"/>
      <c r="C192" s="176"/>
      <c r="D192" s="179"/>
      <c r="E192" s="163"/>
      <c r="F192" s="651"/>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row>
    <row r="193" spans="1:32" s="462" customFormat="1" ht="15" customHeight="1">
      <c r="B193" s="464"/>
      <c r="C193" s="178"/>
      <c r="D193" s="181"/>
      <c r="E193" s="182"/>
      <c r="F193" s="652"/>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row>
    <row r="194" spans="1:32" ht="15" customHeight="1">
      <c r="A194" s="462"/>
      <c r="B194" s="462"/>
      <c r="C194" s="526"/>
      <c r="D194" s="525"/>
      <c r="E194" s="525"/>
      <c r="F194" s="525"/>
      <c r="G194" s="526"/>
      <c r="H194" s="526"/>
      <c r="I194" s="526"/>
      <c r="J194" s="526"/>
      <c r="K194" s="526"/>
      <c r="L194" s="526"/>
      <c r="M194" s="526"/>
      <c r="N194" s="526"/>
      <c r="O194" s="526"/>
      <c r="P194" s="526"/>
      <c r="Q194" s="526"/>
      <c r="R194" s="526"/>
      <c r="S194" s="526"/>
      <c r="T194" s="526"/>
      <c r="U194" s="526"/>
      <c r="V194" s="526"/>
      <c r="W194" s="526"/>
      <c r="X194" s="526"/>
      <c r="Y194" s="526"/>
      <c r="Z194" s="526"/>
      <c r="AA194" s="526"/>
      <c r="AB194" s="526"/>
      <c r="AC194" s="526"/>
      <c r="AD194" s="526"/>
      <c r="AE194" s="526"/>
      <c r="AF194" s="526"/>
    </row>
    <row r="195" spans="1:32" ht="15" customHeight="1"/>
    <row r="196" spans="1:32" ht="15" customHeight="1"/>
    <row r="197" spans="1:32" ht="15" customHeight="1"/>
    <row r="198" spans="1:32" ht="15" customHeight="1"/>
    <row r="199" spans="1:32" ht="15" customHeight="1"/>
    <row r="200" spans="1:32" ht="15" customHeight="1"/>
    <row r="201" spans="1:32" ht="15" customHeight="1"/>
    <row r="202" spans="1:32" ht="15" customHeight="1"/>
    <row r="203" spans="1:32" ht="15" customHeight="1"/>
    <row r="204" spans="1:32" ht="15" customHeight="1"/>
    <row r="205" spans="1:32" ht="15" customHeight="1"/>
    <row r="206" spans="1:32" ht="15" customHeight="1"/>
    <row r="207" spans="1:32" ht="15" customHeight="1"/>
    <row r="208" spans="1: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10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680" operator="greaterThan" id="{00000000-0000-0000-0000-000000000000}">
            <xm:f>ControlPanel!$D$59-1</xm:f>
            <x14:dxf>
              <font>
                <color rgb="FF9C6500"/>
              </font>
              <fill>
                <patternFill>
                  <fgColor indexed="64"/>
                  <bgColor rgb="FFFFEB9C"/>
                </patternFill>
              </fill>
            </x14:dxf>
          </x14:cfRule>
          <x14:cfRule type="cellIs" priority="681" operator="lessThan" id="{00000000-0000-0000-0000-000000000000}">
            <xm:f>ControlPanel!$D$59</xm:f>
            <x14:dxf>
              <font>
                <color rgb="FF006100"/>
              </font>
              <fill>
                <patternFill>
                  <fgColor indexed="64"/>
                  <bgColor rgb="FFC6EFCE"/>
                </patternFill>
              </fill>
            </x14:dxf>
          </x14:cfRule>
          <x14:cfRule type="cellIs" priority="682" operator="lessThan" id="{00000000-0000-0000-0000-000000000000}">
            <xm:f>ControlPanel!$D$59+1</xm:f>
            <x14:dxf>
              <font>
                <color rgb="FF006100"/>
              </font>
              <fill>
                <patternFill>
                  <fgColor indexed="64"/>
                  <bgColor rgb="FFC6EFCE"/>
                </patternFill>
              </fill>
            </x14:dxf>
          </x14:cfRule>
          <xm:sqref>G4:AF4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36">
    <tabColor theme="9" tint="0.39997558519241921"/>
  </sheetPr>
  <dimension ref="A1:AF1191"/>
  <sheetViews>
    <sheetView zoomScaleNormal="100" workbookViewId="0">
      <pane ySplit="12" topLeftCell="A13" activePane="bottomLeft" state="frozen"/>
      <selection activeCell="I45" sqref="I45"/>
      <selection pane="bottomLeft" activeCell="W12" sqref="W12"/>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4" width="8.6640625" style="9" customWidth="1"/>
    <col min="15" max="32" width="8.6640625" style="9" customWidth="1" outlineLevel="1"/>
    <col min="33" max="16384" width="11.5546875" style="9"/>
  </cols>
  <sheetData>
    <row r="1" spans="1:32">
      <c r="A1" s="41" t="s">
        <v>74</v>
      </c>
      <c r="B1" s="61" t="s">
        <v>775</v>
      </c>
      <c r="C1" s="61"/>
      <c r="D1" s="19"/>
      <c r="E1" s="19"/>
      <c r="F1" s="19"/>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49</v>
      </c>
      <c r="H5" s="323" t="s">
        <v>49</v>
      </c>
      <c r="I5" s="323" t="s">
        <v>49</v>
      </c>
      <c r="J5" s="323" t="s">
        <v>49</v>
      </c>
      <c r="K5" s="323" t="s">
        <v>49</v>
      </c>
      <c r="L5" s="323" t="s">
        <v>49</v>
      </c>
      <c r="M5" s="323" t="s">
        <v>49</v>
      </c>
      <c r="N5" s="323" t="s">
        <v>49</v>
      </c>
      <c r="O5" s="323" t="s">
        <v>49</v>
      </c>
      <c r="P5" s="323" t="s">
        <v>49</v>
      </c>
      <c r="Q5" s="323" t="s">
        <v>49</v>
      </c>
      <c r="R5" s="323" t="s">
        <v>49</v>
      </c>
      <c r="S5" s="323" t="s">
        <v>49</v>
      </c>
      <c r="T5" s="323" t="s">
        <v>49</v>
      </c>
      <c r="U5" s="323" t="s">
        <v>49</v>
      </c>
      <c r="V5" s="323" t="s">
        <v>49</v>
      </c>
      <c r="W5" s="323" t="s">
        <v>49</v>
      </c>
      <c r="X5" s="323" t="s">
        <v>49</v>
      </c>
      <c r="Y5" s="323" t="s">
        <v>49</v>
      </c>
      <c r="Z5" s="323" t="s">
        <v>49</v>
      </c>
      <c r="AA5" s="323" t="s">
        <v>49</v>
      </c>
      <c r="AB5" s="323" t="s">
        <v>49</v>
      </c>
      <c r="AC5" s="323" t="s">
        <v>49</v>
      </c>
      <c r="AD5" s="323" t="s">
        <v>49</v>
      </c>
      <c r="AE5" s="323" t="s">
        <v>49</v>
      </c>
      <c r="AF5" s="323" t="s">
        <v>49</v>
      </c>
    </row>
    <row r="6" spans="1:32" ht="15" customHeight="1" thickBot="1">
      <c r="B6" s="166" t="s">
        <v>529</v>
      </c>
      <c r="C6" s="175" t="str">
        <f>ControlPanel!I39</f>
        <v>Référence</v>
      </c>
      <c r="D6" s="15" t="str">
        <f>VLOOKUP($C$6,$C$13:$AF$37,2,FALSE)</f>
        <v>mh</v>
      </c>
      <c r="E6" s="15" t="str">
        <f>VLOOKUP($C$6,$C$13:$AF$37,3,FALSE)</f>
        <v>100%</v>
      </c>
      <c r="F6" s="15">
        <f>VLOOKUP($C$6,$C$13:$AF$37,4,FALSE)</f>
        <v>0</v>
      </c>
      <c r="G6" s="38">
        <f t="shared" ref="G6:AF6" si="0">VLOOKUP($C$6,$C$13:$AF$37,G$4-$G$4+5,FALSE)</f>
        <v>0</v>
      </c>
      <c r="H6" s="38">
        <f t="shared" si="0"/>
        <v>0</v>
      </c>
      <c r="I6" s="38">
        <f t="shared" si="0"/>
        <v>0</v>
      </c>
      <c r="J6" s="38">
        <f t="shared" si="0"/>
        <v>0</v>
      </c>
      <c r="K6" s="38">
        <f t="shared" si="0"/>
        <v>0</v>
      </c>
      <c r="L6" s="38">
        <f t="shared" si="0"/>
        <v>1</v>
      </c>
      <c r="M6" s="38">
        <f t="shared" si="0"/>
        <v>1</v>
      </c>
      <c r="N6" s="38">
        <f t="shared" si="0"/>
        <v>1</v>
      </c>
      <c r="O6" s="38">
        <f t="shared" si="0"/>
        <v>1</v>
      </c>
      <c r="P6" s="38">
        <f t="shared" si="0"/>
        <v>1</v>
      </c>
      <c r="Q6" s="38">
        <f t="shared" si="0"/>
        <v>1</v>
      </c>
      <c r="R6" s="38">
        <f t="shared" si="0"/>
        <v>1</v>
      </c>
      <c r="S6" s="38">
        <f t="shared" si="0"/>
        <v>1</v>
      </c>
      <c r="T6" s="38">
        <f t="shared" si="0"/>
        <v>1</v>
      </c>
      <c r="U6" s="38">
        <f t="shared" si="0"/>
        <v>1</v>
      </c>
      <c r="V6" s="38">
        <f t="shared" si="0"/>
        <v>1</v>
      </c>
      <c r="W6" s="38">
        <f t="shared" si="0"/>
        <v>1</v>
      </c>
      <c r="X6" s="38">
        <f t="shared" si="0"/>
        <v>1</v>
      </c>
      <c r="Y6" s="38">
        <f t="shared" si="0"/>
        <v>1</v>
      </c>
      <c r="Z6" s="38">
        <f t="shared" si="0"/>
        <v>1</v>
      </c>
      <c r="AA6" s="38">
        <f t="shared" si="0"/>
        <v>1</v>
      </c>
      <c r="AB6" s="38">
        <f t="shared" si="0"/>
        <v>1</v>
      </c>
      <c r="AC6" s="38">
        <f t="shared" si="0"/>
        <v>1</v>
      </c>
      <c r="AD6" s="38">
        <f t="shared" si="0"/>
        <v>1</v>
      </c>
      <c r="AE6" s="38">
        <f t="shared" si="0"/>
        <v>1</v>
      </c>
      <c r="AF6" s="38">
        <f t="shared" si="0"/>
        <v>1</v>
      </c>
    </row>
    <row r="7" spans="1:32" ht="15" customHeight="1" thickBot="1">
      <c r="B7" s="165" t="s">
        <v>349</v>
      </c>
      <c r="C7" s="175" t="str">
        <f>ControlPanel!I40</f>
        <v>Référence</v>
      </c>
      <c r="D7" s="15" t="str">
        <f>VLOOKUP($C$7,$C$39:$AF$63,2,FALSE)</f>
        <v>mh</v>
      </c>
      <c r="E7" s="15" t="str">
        <f>VLOOKUP($C$7,$C$39:$AF$63,3,FALSE)</f>
        <v>100%</v>
      </c>
      <c r="F7" s="15">
        <f>VLOOKUP($C$7,$C$39:$AF$63,4,FALSE)</f>
        <v>0</v>
      </c>
      <c r="G7" s="38">
        <f t="shared" ref="G7:AF7" si="1">VLOOKUP($C$7,$C$39:$AF$63,G$4-$G$4+5,FALSE)</f>
        <v>0</v>
      </c>
      <c r="H7" s="38">
        <f t="shared" si="1"/>
        <v>0</v>
      </c>
      <c r="I7" s="38">
        <f t="shared" si="1"/>
        <v>0</v>
      </c>
      <c r="J7" s="38">
        <f t="shared" si="1"/>
        <v>0</v>
      </c>
      <c r="K7" s="38">
        <f t="shared" si="1"/>
        <v>0</v>
      </c>
      <c r="L7" s="38">
        <f t="shared" si="1"/>
        <v>1</v>
      </c>
      <c r="M7" s="38">
        <f t="shared" si="1"/>
        <v>1</v>
      </c>
      <c r="N7" s="38">
        <f t="shared" si="1"/>
        <v>1</v>
      </c>
      <c r="O7" s="38">
        <f t="shared" si="1"/>
        <v>1</v>
      </c>
      <c r="P7" s="38">
        <f t="shared" si="1"/>
        <v>1</v>
      </c>
      <c r="Q7" s="38">
        <f t="shared" si="1"/>
        <v>1</v>
      </c>
      <c r="R7" s="38">
        <f t="shared" si="1"/>
        <v>1</v>
      </c>
      <c r="S7" s="38">
        <f t="shared" si="1"/>
        <v>1</v>
      </c>
      <c r="T7" s="38">
        <f t="shared" si="1"/>
        <v>1</v>
      </c>
      <c r="U7" s="38">
        <f t="shared" si="1"/>
        <v>1</v>
      </c>
      <c r="V7" s="38">
        <f t="shared" si="1"/>
        <v>1</v>
      </c>
      <c r="W7" s="38">
        <f t="shared" si="1"/>
        <v>1</v>
      </c>
      <c r="X7" s="38">
        <f t="shared" si="1"/>
        <v>1</v>
      </c>
      <c r="Y7" s="38">
        <f t="shared" si="1"/>
        <v>1</v>
      </c>
      <c r="Z7" s="38">
        <f t="shared" si="1"/>
        <v>1</v>
      </c>
      <c r="AA7" s="38">
        <f t="shared" si="1"/>
        <v>1</v>
      </c>
      <c r="AB7" s="38">
        <f t="shared" si="1"/>
        <v>1</v>
      </c>
      <c r="AC7" s="38">
        <f t="shared" si="1"/>
        <v>1</v>
      </c>
      <c r="AD7" s="38">
        <f t="shared" si="1"/>
        <v>1</v>
      </c>
      <c r="AE7" s="38">
        <f t="shared" si="1"/>
        <v>1</v>
      </c>
      <c r="AF7" s="38">
        <f t="shared" si="1"/>
        <v>1</v>
      </c>
    </row>
    <row r="8" spans="1:32" ht="15" customHeight="1" thickBot="1">
      <c r="B8" s="165" t="s">
        <v>11</v>
      </c>
      <c r="C8" s="175" t="str">
        <f>ControlPanel!I37</f>
        <v>Référence</v>
      </c>
      <c r="D8" s="15" t="str">
        <f>VLOOKUP($C$8,$C$65:$AF$89,2,FALSE)</f>
        <v>mh</v>
      </c>
      <c r="E8" s="15" t="str">
        <f>VLOOKUP($C$8,$C$65:$AF$89,3,FALSE)</f>
        <v>100%</v>
      </c>
      <c r="F8" s="15">
        <f>VLOOKUP($C$8,$C$65:$AF$89,4,FALSE)</f>
        <v>0</v>
      </c>
      <c r="G8" s="38">
        <f t="shared" ref="G8:AF8" si="2">VLOOKUP($C$8,$C$65:$AF$89,G$4-$G$4+5,FALSE)</f>
        <v>0</v>
      </c>
      <c r="H8" s="38">
        <f t="shared" si="2"/>
        <v>0</v>
      </c>
      <c r="I8" s="38">
        <f t="shared" si="2"/>
        <v>0</v>
      </c>
      <c r="J8" s="38">
        <f t="shared" si="2"/>
        <v>0</v>
      </c>
      <c r="K8" s="38">
        <f t="shared" si="2"/>
        <v>0</v>
      </c>
      <c r="L8" s="38">
        <f t="shared" si="2"/>
        <v>1</v>
      </c>
      <c r="M8" s="38">
        <f t="shared" si="2"/>
        <v>1</v>
      </c>
      <c r="N8" s="38">
        <f t="shared" si="2"/>
        <v>1</v>
      </c>
      <c r="O8" s="38">
        <f t="shared" si="2"/>
        <v>1</v>
      </c>
      <c r="P8" s="38">
        <f t="shared" si="2"/>
        <v>1</v>
      </c>
      <c r="Q8" s="38">
        <f t="shared" si="2"/>
        <v>1</v>
      </c>
      <c r="R8" s="38">
        <f t="shared" si="2"/>
        <v>1</v>
      </c>
      <c r="S8" s="38">
        <f t="shared" si="2"/>
        <v>1</v>
      </c>
      <c r="T8" s="38">
        <f t="shared" si="2"/>
        <v>1</v>
      </c>
      <c r="U8" s="38">
        <f t="shared" si="2"/>
        <v>1</v>
      </c>
      <c r="V8" s="38">
        <f t="shared" si="2"/>
        <v>1</v>
      </c>
      <c r="W8" s="38">
        <f t="shared" si="2"/>
        <v>1</v>
      </c>
      <c r="X8" s="38">
        <f t="shared" si="2"/>
        <v>1</v>
      </c>
      <c r="Y8" s="38">
        <f t="shared" si="2"/>
        <v>1</v>
      </c>
      <c r="Z8" s="38">
        <f t="shared" si="2"/>
        <v>1</v>
      </c>
      <c r="AA8" s="38">
        <f t="shared" si="2"/>
        <v>1</v>
      </c>
      <c r="AB8" s="38">
        <f t="shared" si="2"/>
        <v>1</v>
      </c>
      <c r="AC8" s="38">
        <f t="shared" si="2"/>
        <v>1</v>
      </c>
      <c r="AD8" s="38">
        <f t="shared" si="2"/>
        <v>1</v>
      </c>
      <c r="AE8" s="38">
        <f t="shared" si="2"/>
        <v>1</v>
      </c>
      <c r="AF8" s="38">
        <f t="shared" si="2"/>
        <v>1</v>
      </c>
    </row>
    <row r="9" spans="1:32" ht="15" customHeight="1" thickBot="1">
      <c r="B9" s="165" t="s">
        <v>10</v>
      </c>
      <c r="C9" s="175" t="str">
        <f>ControlPanel!I38</f>
        <v>Référence</v>
      </c>
      <c r="D9" s="15" t="str">
        <f>VLOOKUP($C$9,$C$91:$AF$115,2,FALSE)</f>
        <v>mh</v>
      </c>
      <c r="E9" s="15" t="str">
        <f>VLOOKUP($C$9,$C$91:$AF$115,3,FALSE)</f>
        <v>100%</v>
      </c>
      <c r="F9" s="15">
        <f>VLOOKUP($C$9,$C$91:$AF$115,4,FALSE)</f>
        <v>0</v>
      </c>
      <c r="G9" s="38">
        <f t="shared" ref="G9:AF9" si="3">VLOOKUP($C$9,$C$91:$AF$115,G$4-$G$4+5,FALSE)</f>
        <v>0</v>
      </c>
      <c r="H9" s="38">
        <f t="shared" si="3"/>
        <v>0</v>
      </c>
      <c r="I9" s="38">
        <f t="shared" si="3"/>
        <v>0</v>
      </c>
      <c r="J9" s="38">
        <f t="shared" si="3"/>
        <v>0</v>
      </c>
      <c r="K9" s="38">
        <f t="shared" si="3"/>
        <v>0</v>
      </c>
      <c r="L9" s="38">
        <f t="shared" si="3"/>
        <v>1</v>
      </c>
      <c r="M9" s="38">
        <f t="shared" si="3"/>
        <v>1</v>
      </c>
      <c r="N9" s="38">
        <f t="shared" si="3"/>
        <v>1</v>
      </c>
      <c r="O9" s="38">
        <f t="shared" si="3"/>
        <v>1</v>
      </c>
      <c r="P9" s="38">
        <f t="shared" si="3"/>
        <v>1</v>
      </c>
      <c r="Q9" s="38">
        <f t="shared" si="3"/>
        <v>1</v>
      </c>
      <c r="R9" s="38">
        <f t="shared" si="3"/>
        <v>1</v>
      </c>
      <c r="S9" s="38">
        <f t="shared" si="3"/>
        <v>1</v>
      </c>
      <c r="T9" s="38">
        <f t="shared" si="3"/>
        <v>1</v>
      </c>
      <c r="U9" s="38">
        <f t="shared" si="3"/>
        <v>1</v>
      </c>
      <c r="V9" s="38">
        <f t="shared" si="3"/>
        <v>1</v>
      </c>
      <c r="W9" s="38">
        <f t="shared" si="3"/>
        <v>1</v>
      </c>
      <c r="X9" s="38">
        <f t="shared" si="3"/>
        <v>1</v>
      </c>
      <c r="Y9" s="38">
        <f t="shared" si="3"/>
        <v>1</v>
      </c>
      <c r="Z9" s="38">
        <f t="shared" si="3"/>
        <v>1</v>
      </c>
      <c r="AA9" s="38">
        <f t="shared" si="3"/>
        <v>1</v>
      </c>
      <c r="AB9" s="38">
        <f t="shared" si="3"/>
        <v>1</v>
      </c>
      <c r="AC9" s="38">
        <f t="shared" si="3"/>
        <v>1</v>
      </c>
      <c r="AD9" s="38">
        <f t="shared" si="3"/>
        <v>1</v>
      </c>
      <c r="AE9" s="38">
        <f t="shared" si="3"/>
        <v>1</v>
      </c>
      <c r="AF9" s="38">
        <f t="shared" si="3"/>
        <v>1</v>
      </c>
    </row>
    <row r="10" spans="1:32" ht="15" customHeight="1" thickBot="1">
      <c r="B10" s="165" t="s">
        <v>339</v>
      </c>
      <c r="C10" s="175" t="str">
        <f>ControlPanel!I34</f>
        <v>Référence</v>
      </c>
      <c r="D10" s="15" t="str">
        <f>VLOOKUP($C$10,$C$117:$AF$141,2,FALSE)</f>
        <v>mh</v>
      </c>
      <c r="E10" s="15" t="str">
        <f>VLOOKUP($C$10,$C$117:$AF$141,3,FALSE)</f>
        <v>100%</v>
      </c>
      <c r="F10" s="15">
        <f>VLOOKUP($C$10,$C$117:$AF$141,4,FALSE)</f>
        <v>0</v>
      </c>
      <c r="G10" s="38">
        <f t="shared" ref="G10:AF10" si="4">VLOOKUP($C$10,$C$117:$AF$141,G$4-$G$4+5,FALSE)</f>
        <v>0</v>
      </c>
      <c r="H10" s="38">
        <f t="shared" si="4"/>
        <v>0</v>
      </c>
      <c r="I10" s="38">
        <f t="shared" si="4"/>
        <v>0</v>
      </c>
      <c r="J10" s="38">
        <f t="shared" si="4"/>
        <v>0</v>
      </c>
      <c r="K10" s="38">
        <f t="shared" si="4"/>
        <v>0</v>
      </c>
      <c r="L10" s="38">
        <f t="shared" si="4"/>
        <v>1</v>
      </c>
      <c r="M10" s="38">
        <f t="shared" si="4"/>
        <v>1</v>
      </c>
      <c r="N10" s="38">
        <f t="shared" si="4"/>
        <v>1</v>
      </c>
      <c r="O10" s="38">
        <f t="shared" si="4"/>
        <v>1</v>
      </c>
      <c r="P10" s="38">
        <f t="shared" si="4"/>
        <v>1</v>
      </c>
      <c r="Q10" s="38">
        <f t="shared" si="4"/>
        <v>1</v>
      </c>
      <c r="R10" s="38">
        <f t="shared" si="4"/>
        <v>1</v>
      </c>
      <c r="S10" s="38">
        <f t="shared" si="4"/>
        <v>1</v>
      </c>
      <c r="T10" s="38">
        <f t="shared" si="4"/>
        <v>1</v>
      </c>
      <c r="U10" s="38">
        <f t="shared" si="4"/>
        <v>1</v>
      </c>
      <c r="V10" s="38">
        <f t="shared" si="4"/>
        <v>1</v>
      </c>
      <c r="W10" s="38">
        <f t="shared" si="4"/>
        <v>1</v>
      </c>
      <c r="X10" s="38">
        <f t="shared" si="4"/>
        <v>1</v>
      </c>
      <c r="Y10" s="38">
        <f t="shared" si="4"/>
        <v>1</v>
      </c>
      <c r="Z10" s="38">
        <f t="shared" si="4"/>
        <v>1</v>
      </c>
      <c r="AA10" s="38">
        <f t="shared" si="4"/>
        <v>1</v>
      </c>
      <c r="AB10" s="38">
        <f t="shared" si="4"/>
        <v>1</v>
      </c>
      <c r="AC10" s="38">
        <f t="shared" si="4"/>
        <v>1</v>
      </c>
      <c r="AD10" s="38">
        <f t="shared" si="4"/>
        <v>1</v>
      </c>
      <c r="AE10" s="38">
        <f t="shared" si="4"/>
        <v>1</v>
      </c>
      <c r="AF10" s="38">
        <f t="shared" si="4"/>
        <v>1</v>
      </c>
    </row>
    <row r="11" spans="1:32" ht="15" customHeight="1" thickBot="1">
      <c r="B11" s="165" t="s">
        <v>340</v>
      </c>
      <c r="C11" s="175" t="str">
        <f>ControlPanel!I35</f>
        <v>Référence</v>
      </c>
      <c r="D11" s="15" t="str">
        <f>VLOOKUP($C$11,$C$143:$AF$167,2,FALSE)</f>
        <v>mh</v>
      </c>
      <c r="E11" s="15" t="str">
        <f>VLOOKUP($C$11,$C$143:$AF$167,3,FALSE)</f>
        <v>100%</v>
      </c>
      <c r="F11" s="15">
        <f>VLOOKUP($C$11,$C$143:$AF$167,4,FALSE)</f>
        <v>0</v>
      </c>
      <c r="G11" s="38">
        <f t="shared" ref="G11:AF11" si="5">VLOOKUP($C$11,$C$143:$AF$167,G$4-$G$4+5,FALSE)</f>
        <v>0</v>
      </c>
      <c r="H11" s="38">
        <f t="shared" si="5"/>
        <v>0</v>
      </c>
      <c r="I11" s="38">
        <f t="shared" si="5"/>
        <v>0</v>
      </c>
      <c r="J11" s="38">
        <f t="shared" si="5"/>
        <v>0</v>
      </c>
      <c r="K11" s="38">
        <f t="shared" si="5"/>
        <v>0</v>
      </c>
      <c r="L11" s="38">
        <f t="shared" si="5"/>
        <v>1</v>
      </c>
      <c r="M11" s="38">
        <f t="shared" si="5"/>
        <v>1</v>
      </c>
      <c r="N11" s="38">
        <f t="shared" si="5"/>
        <v>1</v>
      </c>
      <c r="O11" s="38">
        <f t="shared" si="5"/>
        <v>1</v>
      </c>
      <c r="P11" s="38">
        <f t="shared" si="5"/>
        <v>1</v>
      </c>
      <c r="Q11" s="38">
        <f t="shared" si="5"/>
        <v>1</v>
      </c>
      <c r="R11" s="38">
        <f t="shared" si="5"/>
        <v>1</v>
      </c>
      <c r="S11" s="38">
        <f t="shared" si="5"/>
        <v>1</v>
      </c>
      <c r="T11" s="38">
        <f t="shared" si="5"/>
        <v>1</v>
      </c>
      <c r="U11" s="38">
        <f t="shared" si="5"/>
        <v>1</v>
      </c>
      <c r="V11" s="38">
        <f t="shared" si="5"/>
        <v>1</v>
      </c>
      <c r="W11" s="38">
        <f t="shared" si="5"/>
        <v>1</v>
      </c>
      <c r="X11" s="38">
        <f t="shared" si="5"/>
        <v>1</v>
      </c>
      <c r="Y11" s="38">
        <f t="shared" si="5"/>
        <v>1</v>
      </c>
      <c r="Z11" s="38">
        <f t="shared" si="5"/>
        <v>1</v>
      </c>
      <c r="AA11" s="38">
        <f t="shared" si="5"/>
        <v>1</v>
      </c>
      <c r="AB11" s="38">
        <f t="shared" si="5"/>
        <v>1</v>
      </c>
      <c r="AC11" s="38">
        <f t="shared" si="5"/>
        <v>1</v>
      </c>
      <c r="AD11" s="38">
        <f t="shared" si="5"/>
        <v>1</v>
      </c>
      <c r="AE11" s="38">
        <f t="shared" si="5"/>
        <v>1</v>
      </c>
      <c r="AF11" s="38">
        <f t="shared" si="5"/>
        <v>1</v>
      </c>
    </row>
    <row r="12" spans="1:32" ht="15" customHeight="1" thickBot="1">
      <c r="B12" s="167" t="s">
        <v>530</v>
      </c>
      <c r="C12" s="175" t="str">
        <f>ControlPanel!I36</f>
        <v>Référence</v>
      </c>
      <c r="D12" s="15" t="str">
        <f>VLOOKUP($C$12,$C$169:$AF$193,2,FALSE)</f>
        <v>mh</v>
      </c>
      <c r="E12" s="15" t="str">
        <f>VLOOKUP($C$12,$C$169:$AF$193,3,FALSE)</f>
        <v>100%</v>
      </c>
      <c r="F12" s="15">
        <f>VLOOKUP($C$12,$C$169:$AF$193,4,FALSE)</f>
        <v>0</v>
      </c>
      <c r="G12" s="38">
        <f t="shared" ref="G12:AF12" si="6">VLOOKUP($C$12,$C$169:$AF$193,G$4-$G$4+5,FALSE)</f>
        <v>0</v>
      </c>
      <c r="H12" s="38">
        <f t="shared" si="6"/>
        <v>0</v>
      </c>
      <c r="I12" s="38">
        <f t="shared" si="6"/>
        <v>0</v>
      </c>
      <c r="J12" s="38">
        <f t="shared" si="6"/>
        <v>0</v>
      </c>
      <c r="K12" s="38">
        <f t="shared" si="6"/>
        <v>0</v>
      </c>
      <c r="L12" s="38">
        <f t="shared" si="6"/>
        <v>1</v>
      </c>
      <c r="M12" s="38">
        <f t="shared" si="6"/>
        <v>1</v>
      </c>
      <c r="N12" s="38">
        <f t="shared" si="6"/>
        <v>1</v>
      </c>
      <c r="O12" s="38">
        <f t="shared" si="6"/>
        <v>1</v>
      </c>
      <c r="P12" s="38">
        <f t="shared" si="6"/>
        <v>1</v>
      </c>
      <c r="Q12" s="38">
        <f t="shared" si="6"/>
        <v>1</v>
      </c>
      <c r="R12" s="38">
        <f t="shared" si="6"/>
        <v>1</v>
      </c>
      <c r="S12" s="38">
        <f t="shared" si="6"/>
        <v>1</v>
      </c>
      <c r="T12" s="38">
        <f t="shared" si="6"/>
        <v>1</v>
      </c>
      <c r="U12" s="38">
        <f t="shared" si="6"/>
        <v>1</v>
      </c>
      <c r="V12" s="38">
        <f t="shared" si="6"/>
        <v>1</v>
      </c>
      <c r="W12" s="38">
        <f t="shared" si="6"/>
        <v>1</v>
      </c>
      <c r="X12" s="38">
        <f t="shared" si="6"/>
        <v>1</v>
      </c>
      <c r="Y12" s="38">
        <f t="shared" si="6"/>
        <v>1</v>
      </c>
      <c r="Z12" s="38">
        <f t="shared" si="6"/>
        <v>1</v>
      </c>
      <c r="AA12" s="38">
        <f t="shared" si="6"/>
        <v>1</v>
      </c>
      <c r="AB12" s="38">
        <f t="shared" si="6"/>
        <v>1</v>
      </c>
      <c r="AC12" s="38">
        <f t="shared" si="6"/>
        <v>1</v>
      </c>
      <c r="AD12" s="38">
        <f t="shared" si="6"/>
        <v>1</v>
      </c>
      <c r="AE12" s="38">
        <f t="shared" si="6"/>
        <v>1</v>
      </c>
      <c r="AF12" s="38">
        <f t="shared" si="6"/>
        <v>1</v>
      </c>
    </row>
    <row r="13" spans="1:32" ht="15" customHeight="1">
      <c r="B13" s="166" t="s">
        <v>529</v>
      </c>
      <c r="C13" s="16" t="s">
        <v>409</v>
      </c>
      <c r="D13" s="12" t="s">
        <v>48</v>
      </c>
      <c r="E13" s="331" t="s">
        <v>113</v>
      </c>
      <c r="F13" s="215"/>
      <c r="G13" s="321"/>
      <c r="H13" s="321"/>
      <c r="I13" s="321"/>
      <c r="J13" s="321"/>
      <c r="K13" s="321"/>
      <c r="L13" s="321">
        <v>1</v>
      </c>
      <c r="M13" s="321">
        <v>1</v>
      </c>
      <c r="N13" s="321">
        <v>1</v>
      </c>
      <c r="O13" s="321">
        <v>1</v>
      </c>
      <c r="P13" s="321">
        <v>1</v>
      </c>
      <c r="Q13" s="321">
        <v>1</v>
      </c>
      <c r="R13" s="321">
        <v>1</v>
      </c>
      <c r="S13" s="321">
        <v>1</v>
      </c>
      <c r="T13" s="321">
        <v>1</v>
      </c>
      <c r="U13" s="321">
        <v>1</v>
      </c>
      <c r="V13" s="321">
        <v>1</v>
      </c>
      <c r="W13" s="321">
        <v>1</v>
      </c>
      <c r="X13" s="321">
        <v>1</v>
      </c>
      <c r="Y13" s="321">
        <v>1</v>
      </c>
      <c r="Z13" s="321">
        <v>1</v>
      </c>
      <c r="AA13" s="321">
        <v>1</v>
      </c>
      <c r="AB13" s="321">
        <v>1</v>
      </c>
      <c r="AC13" s="321">
        <v>1</v>
      </c>
      <c r="AD13" s="321">
        <v>1</v>
      </c>
      <c r="AE13" s="321">
        <v>1</v>
      </c>
      <c r="AF13" s="321">
        <v>1</v>
      </c>
    </row>
    <row r="14" spans="1:32" ht="15" customHeight="1">
      <c r="B14" s="63"/>
      <c r="C14" s="169" t="s">
        <v>162</v>
      </c>
      <c r="D14" s="12" t="s">
        <v>48</v>
      </c>
      <c r="E14" s="169" t="s">
        <v>162</v>
      </c>
      <c r="F14" s="536"/>
      <c r="G14" s="321"/>
      <c r="H14" s="321"/>
      <c r="I14" s="321"/>
      <c r="J14" s="321"/>
      <c r="K14" s="321"/>
      <c r="L14" s="321"/>
      <c r="M14" s="321"/>
      <c r="N14" s="321"/>
      <c r="O14" s="321"/>
      <c r="P14" s="321">
        <v>1.1000000000000001</v>
      </c>
      <c r="Q14" s="321">
        <v>1.1000000000000001</v>
      </c>
      <c r="R14" s="321">
        <v>1.1000000000000001</v>
      </c>
      <c r="S14" s="321">
        <v>1.1000000000000001</v>
      </c>
      <c r="T14" s="321">
        <v>1.1000000000000001</v>
      </c>
      <c r="U14" s="321">
        <v>1.1000000000000001</v>
      </c>
      <c r="V14" s="321">
        <v>1.1000000000000001</v>
      </c>
      <c r="W14" s="321">
        <v>1.1000000000000001</v>
      </c>
      <c r="X14" s="321">
        <v>1.1000000000000001</v>
      </c>
      <c r="Y14" s="321">
        <v>1.1000000000000001</v>
      </c>
      <c r="Z14" s="321">
        <v>1.1000000000000001</v>
      </c>
      <c r="AA14" s="321">
        <v>1.1000000000000001</v>
      </c>
      <c r="AB14" s="321">
        <v>1.1000000000000001</v>
      </c>
      <c r="AC14" s="321">
        <v>1.1000000000000001</v>
      </c>
      <c r="AD14" s="321">
        <v>1.1000000000000001</v>
      </c>
      <c r="AE14" s="321">
        <v>1.1000000000000001</v>
      </c>
      <c r="AF14" s="321">
        <v>1.1000000000000001</v>
      </c>
    </row>
    <row r="15" spans="1:32" s="462" customFormat="1" ht="15" customHeight="1">
      <c r="B15" s="463"/>
      <c r="C15" s="184"/>
      <c r="D15" s="179"/>
      <c r="E15" s="186"/>
      <c r="F15" s="535"/>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row>
    <row r="16" spans="1:32" s="462" customFormat="1" ht="15" customHeight="1">
      <c r="B16" s="463"/>
      <c r="C16" s="184"/>
      <c r="D16" s="179"/>
      <c r="E16" s="184"/>
      <c r="F16" s="531"/>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row>
    <row r="17" spans="2:32" s="462" customFormat="1" ht="15" customHeight="1">
      <c r="B17" s="463"/>
      <c r="C17" s="184"/>
      <c r="D17" s="179"/>
      <c r="E17" s="184"/>
      <c r="F17" s="531"/>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row>
    <row r="18" spans="2:32" s="462" customFormat="1" ht="15" customHeight="1">
      <c r="B18" s="463"/>
      <c r="C18" s="184"/>
      <c r="D18" s="179"/>
      <c r="E18" s="184"/>
      <c r="F18" s="531"/>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row>
    <row r="19" spans="2:32" s="462" customFormat="1" ht="15" customHeight="1">
      <c r="B19" s="463"/>
      <c r="C19" s="176"/>
      <c r="D19" s="162"/>
      <c r="E19" s="163"/>
      <c r="F19" s="532"/>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row>
    <row r="20" spans="2:32" s="462" customFormat="1" ht="15" customHeight="1">
      <c r="B20" s="463"/>
      <c r="C20" s="176"/>
      <c r="D20" s="162"/>
      <c r="E20" s="163"/>
      <c r="F20" s="532"/>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row>
    <row r="21" spans="2:32" s="462" customFormat="1" ht="15" customHeight="1">
      <c r="B21" s="463"/>
      <c r="C21" s="176"/>
      <c r="D21" s="179"/>
      <c r="E21" s="163"/>
      <c r="F21" s="532"/>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row>
    <row r="22" spans="2:32" s="462" customFormat="1" ht="15" customHeight="1">
      <c r="B22" s="463"/>
      <c r="C22" s="176"/>
      <c r="D22" s="179"/>
      <c r="E22" s="163"/>
      <c r="F22" s="532"/>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row>
    <row r="23" spans="2:32" s="462" customFormat="1" ht="15" customHeight="1">
      <c r="B23" s="463"/>
      <c r="C23" s="176"/>
      <c r="D23" s="179"/>
      <c r="E23" s="163"/>
      <c r="F23" s="532"/>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row>
    <row r="24" spans="2:32" s="462" customFormat="1" ht="15" customHeight="1">
      <c r="B24" s="463"/>
      <c r="C24" s="176"/>
      <c r="D24" s="179"/>
      <c r="E24" s="163"/>
      <c r="F24" s="532"/>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row>
    <row r="25" spans="2:32" s="462" customFormat="1" ht="15" customHeight="1">
      <c r="B25" s="463"/>
      <c r="C25" s="176"/>
      <c r="D25" s="179"/>
      <c r="E25" s="163"/>
      <c r="F25" s="532"/>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row>
    <row r="26" spans="2:32" s="462" customFormat="1" ht="15" customHeight="1">
      <c r="B26" s="463"/>
      <c r="C26" s="176"/>
      <c r="D26" s="179"/>
      <c r="E26" s="163"/>
      <c r="F26" s="532"/>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row>
    <row r="27" spans="2:32" s="462" customFormat="1" ht="15" customHeight="1">
      <c r="B27" s="463"/>
      <c r="C27" s="176"/>
      <c r="D27" s="179"/>
      <c r="E27" s="163"/>
      <c r="F27" s="532"/>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row>
    <row r="28" spans="2:32" s="462" customFormat="1" ht="15" customHeight="1">
      <c r="B28" s="463"/>
      <c r="C28" s="176"/>
      <c r="D28" s="179"/>
      <c r="E28" s="163"/>
      <c r="F28" s="532"/>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row>
    <row r="29" spans="2:32" s="462" customFormat="1" ht="15" customHeight="1">
      <c r="B29" s="463"/>
      <c r="C29" s="176"/>
      <c r="D29" s="179"/>
      <c r="E29" s="163"/>
      <c r="F29" s="532"/>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row>
    <row r="30" spans="2:32" s="462" customFormat="1" ht="15" customHeight="1">
      <c r="B30" s="463"/>
      <c r="C30" s="176"/>
      <c r="D30" s="179"/>
      <c r="E30" s="163"/>
      <c r="F30" s="532"/>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row>
    <row r="31" spans="2:32" s="462" customFormat="1" ht="15" customHeight="1">
      <c r="B31" s="463"/>
      <c r="C31" s="176"/>
      <c r="D31" s="179"/>
      <c r="E31" s="163"/>
      <c r="F31" s="532"/>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c r="AE31" s="180"/>
      <c r="AF31" s="180"/>
    </row>
    <row r="32" spans="2:32" s="462" customFormat="1" ht="15" customHeight="1">
      <c r="B32" s="463"/>
      <c r="C32" s="176"/>
      <c r="D32" s="179"/>
      <c r="E32" s="163"/>
      <c r="F32" s="532"/>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row>
    <row r="33" spans="2:32" s="462" customFormat="1" ht="15" customHeight="1">
      <c r="B33" s="463"/>
      <c r="C33" s="176"/>
      <c r="D33" s="179"/>
      <c r="E33" s="163"/>
      <c r="F33" s="532"/>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row>
    <row r="34" spans="2:32" s="462" customFormat="1" ht="15" customHeight="1">
      <c r="B34" s="463"/>
      <c r="C34" s="176"/>
      <c r="D34" s="179"/>
      <c r="E34" s="163"/>
      <c r="F34" s="532"/>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row>
    <row r="35" spans="2:32" s="462" customFormat="1" ht="15" customHeight="1">
      <c r="B35" s="463"/>
      <c r="C35" s="176"/>
      <c r="D35" s="179"/>
      <c r="E35" s="163"/>
      <c r="F35" s="532"/>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row>
    <row r="36" spans="2:32" s="462" customFormat="1" ht="15" customHeight="1">
      <c r="B36" s="463"/>
      <c r="C36" s="176"/>
      <c r="D36" s="179"/>
      <c r="E36" s="163"/>
      <c r="F36" s="532"/>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row>
    <row r="37" spans="2:32" s="462" customFormat="1" ht="15" customHeight="1">
      <c r="B37" s="464"/>
      <c r="C37" s="176"/>
      <c r="D37" s="179"/>
      <c r="E37" s="163"/>
      <c r="F37" s="532"/>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row>
    <row r="38" spans="2:32" ht="15" customHeight="1">
      <c r="C38" s="18"/>
      <c r="D38" s="18"/>
      <c r="E38" s="18"/>
      <c r="F38" s="18"/>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row>
    <row r="39" spans="2:32" ht="15" customHeight="1">
      <c r="B39" s="166" t="s">
        <v>349</v>
      </c>
      <c r="C39" s="314" t="s">
        <v>409</v>
      </c>
      <c r="D39" s="22" t="s">
        <v>48</v>
      </c>
      <c r="E39" s="22" t="s">
        <v>113</v>
      </c>
      <c r="F39" s="540"/>
      <c r="G39" s="23"/>
      <c r="H39" s="23"/>
      <c r="I39" s="23"/>
      <c r="J39" s="23"/>
      <c r="K39" s="23"/>
      <c r="L39" s="23">
        <v>1</v>
      </c>
      <c r="M39" s="23">
        <v>1</v>
      </c>
      <c r="N39" s="23">
        <v>1</v>
      </c>
      <c r="O39" s="23">
        <v>1</v>
      </c>
      <c r="P39" s="23">
        <v>1</v>
      </c>
      <c r="Q39" s="23">
        <v>1</v>
      </c>
      <c r="R39" s="23">
        <v>1</v>
      </c>
      <c r="S39" s="23">
        <v>1</v>
      </c>
      <c r="T39" s="23">
        <v>1</v>
      </c>
      <c r="U39" s="23">
        <v>1</v>
      </c>
      <c r="V39" s="23">
        <v>1</v>
      </c>
      <c r="W39" s="23">
        <v>1</v>
      </c>
      <c r="X39" s="23">
        <v>1</v>
      </c>
      <c r="Y39" s="23">
        <v>1</v>
      </c>
      <c r="Z39" s="23">
        <v>1</v>
      </c>
      <c r="AA39" s="23">
        <v>1</v>
      </c>
      <c r="AB39" s="23">
        <v>1</v>
      </c>
      <c r="AC39" s="23">
        <v>1</v>
      </c>
      <c r="AD39" s="23">
        <v>1</v>
      </c>
      <c r="AE39" s="23">
        <v>1</v>
      </c>
      <c r="AF39" s="23">
        <v>1</v>
      </c>
    </row>
    <row r="40" spans="2:32" ht="15" customHeight="1">
      <c r="B40" s="63"/>
      <c r="C40" s="169" t="s">
        <v>162</v>
      </c>
      <c r="D40" s="12" t="s">
        <v>48</v>
      </c>
      <c r="E40" s="12" t="s">
        <v>162</v>
      </c>
      <c r="F40" s="536"/>
      <c r="G40" s="321"/>
      <c r="H40" s="321"/>
      <c r="I40" s="321"/>
      <c r="J40" s="321"/>
      <c r="K40" s="321"/>
      <c r="L40" s="321"/>
      <c r="M40" s="321"/>
      <c r="N40" s="321"/>
      <c r="O40" s="321"/>
      <c r="P40" s="321">
        <v>1.1000000000000001</v>
      </c>
      <c r="Q40" s="321">
        <v>1.1000000000000001</v>
      </c>
      <c r="R40" s="321">
        <v>1.1000000000000001</v>
      </c>
      <c r="S40" s="321">
        <v>1.1000000000000001</v>
      </c>
      <c r="T40" s="321">
        <v>1.1000000000000001</v>
      </c>
      <c r="U40" s="321">
        <v>1.1000000000000001</v>
      </c>
      <c r="V40" s="321">
        <v>1.1000000000000001</v>
      </c>
      <c r="W40" s="321">
        <v>1.1000000000000001</v>
      </c>
      <c r="X40" s="321">
        <v>1.1000000000000001</v>
      </c>
      <c r="Y40" s="321">
        <v>1.1000000000000001</v>
      </c>
      <c r="Z40" s="321">
        <v>1.1000000000000001</v>
      </c>
      <c r="AA40" s="321">
        <v>1.1000000000000001</v>
      </c>
      <c r="AB40" s="321">
        <v>1.1000000000000001</v>
      </c>
      <c r="AC40" s="321">
        <v>1.1000000000000001</v>
      </c>
      <c r="AD40" s="321">
        <v>1.1000000000000001</v>
      </c>
      <c r="AE40" s="321">
        <v>1.1000000000000001</v>
      </c>
      <c r="AF40" s="321">
        <v>1.1000000000000001</v>
      </c>
    </row>
    <row r="41" spans="2:32" s="462" customFormat="1" ht="15" customHeight="1">
      <c r="B41" s="463"/>
      <c r="C41" s="184"/>
      <c r="D41" s="179"/>
      <c r="E41" s="179"/>
      <c r="F41" s="535"/>
      <c r="G41" s="180"/>
      <c r="H41" s="180"/>
      <c r="I41" s="180"/>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row>
    <row r="42" spans="2:32" s="462" customFormat="1" ht="15" customHeight="1">
      <c r="B42" s="463"/>
      <c r="C42" s="184"/>
      <c r="D42" s="179"/>
      <c r="E42" s="179"/>
      <c r="F42" s="531"/>
      <c r="G42" s="180"/>
      <c r="H42" s="180"/>
      <c r="I42" s="180"/>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row>
    <row r="43" spans="2:32" s="462" customFormat="1" ht="15" customHeight="1">
      <c r="B43" s="463"/>
      <c r="C43" s="184"/>
      <c r="D43" s="179"/>
      <c r="E43" s="179"/>
      <c r="F43" s="531"/>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row>
    <row r="44" spans="2:32" s="462" customFormat="1" ht="15" customHeight="1">
      <c r="B44" s="463"/>
      <c r="C44" s="184"/>
      <c r="D44" s="179"/>
      <c r="E44" s="179"/>
      <c r="F44" s="531"/>
      <c r="G44" s="180"/>
      <c r="H44" s="180"/>
      <c r="I44" s="180"/>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row>
    <row r="45" spans="2:32" s="462" customFormat="1" ht="15" customHeight="1">
      <c r="B45" s="463"/>
      <c r="C45" s="176"/>
      <c r="D45" s="162"/>
      <c r="E45" s="162"/>
      <c r="F45" s="532"/>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c r="AE45" s="180"/>
      <c r="AF45" s="180"/>
    </row>
    <row r="46" spans="2:32" s="462" customFormat="1" ht="15" customHeight="1">
      <c r="B46" s="463"/>
      <c r="C46" s="176"/>
      <c r="D46" s="162"/>
      <c r="E46" s="162"/>
      <c r="F46" s="532"/>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row>
    <row r="47" spans="2:32" s="462" customFormat="1" ht="15" customHeight="1">
      <c r="B47" s="463"/>
      <c r="C47" s="176"/>
      <c r="D47" s="179"/>
      <c r="E47" s="179"/>
      <c r="F47" s="532"/>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row>
    <row r="48" spans="2:32" s="462" customFormat="1" ht="15" customHeight="1">
      <c r="B48" s="463"/>
      <c r="C48" s="176"/>
      <c r="D48" s="179"/>
      <c r="E48" s="179"/>
      <c r="F48" s="532"/>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row>
    <row r="49" spans="2:32" s="462" customFormat="1" ht="15" customHeight="1">
      <c r="B49" s="463"/>
      <c r="C49" s="176"/>
      <c r="D49" s="179"/>
      <c r="E49" s="179"/>
      <c r="F49" s="532"/>
      <c r="G49" s="18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row>
    <row r="50" spans="2:32" s="462" customFormat="1" ht="15" customHeight="1">
      <c r="B50" s="463"/>
      <c r="C50" s="176"/>
      <c r="D50" s="179"/>
      <c r="E50" s="179"/>
      <c r="F50" s="532"/>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row>
    <row r="51" spans="2:32" s="462" customFormat="1" ht="15" customHeight="1">
      <c r="B51" s="463"/>
      <c r="C51" s="176"/>
      <c r="D51" s="179"/>
      <c r="E51" s="179"/>
      <c r="F51" s="53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row>
    <row r="52" spans="2:32" s="462" customFormat="1" ht="15" customHeight="1">
      <c r="B52" s="463"/>
      <c r="C52" s="176"/>
      <c r="D52" s="179"/>
      <c r="E52" s="179"/>
      <c r="F52" s="532"/>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row>
    <row r="53" spans="2:32" s="462" customFormat="1" ht="15" customHeight="1">
      <c r="B53" s="463"/>
      <c r="C53" s="176"/>
      <c r="D53" s="179"/>
      <c r="E53" s="179"/>
      <c r="F53" s="532"/>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row>
    <row r="54" spans="2:32" s="462" customFormat="1" ht="15" customHeight="1">
      <c r="B54" s="463"/>
      <c r="C54" s="176"/>
      <c r="D54" s="179"/>
      <c r="E54" s="179"/>
      <c r="F54" s="532"/>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row>
    <row r="55" spans="2:32" s="462" customFormat="1" ht="15" customHeight="1">
      <c r="B55" s="463"/>
      <c r="C55" s="176"/>
      <c r="D55" s="179"/>
      <c r="E55" s="179"/>
      <c r="F55" s="532"/>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row>
    <row r="56" spans="2:32" s="462" customFormat="1" ht="15" customHeight="1">
      <c r="B56" s="463"/>
      <c r="C56" s="176"/>
      <c r="D56" s="179"/>
      <c r="E56" s="179"/>
      <c r="F56" s="532"/>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row>
    <row r="57" spans="2:32" s="462" customFormat="1" ht="15" customHeight="1">
      <c r="B57" s="463"/>
      <c r="C57" s="176"/>
      <c r="D57" s="179"/>
      <c r="E57" s="179"/>
      <c r="F57" s="532"/>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row>
    <row r="58" spans="2:32" s="462" customFormat="1" ht="15" customHeight="1">
      <c r="B58" s="463"/>
      <c r="C58" s="176"/>
      <c r="D58" s="179"/>
      <c r="E58" s="179"/>
      <c r="F58" s="532"/>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row>
    <row r="59" spans="2:32" s="462" customFormat="1" ht="15" customHeight="1">
      <c r="B59" s="463"/>
      <c r="C59" s="176"/>
      <c r="D59" s="179"/>
      <c r="E59" s="179"/>
      <c r="F59" s="532"/>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row>
    <row r="60" spans="2:32" s="462" customFormat="1" ht="15" customHeight="1">
      <c r="B60" s="463"/>
      <c r="C60" s="176"/>
      <c r="D60" s="179"/>
      <c r="E60" s="179"/>
      <c r="F60" s="532"/>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row>
    <row r="61" spans="2:32" s="462" customFormat="1" ht="15" customHeight="1">
      <c r="B61" s="463"/>
      <c r="C61" s="176"/>
      <c r="D61" s="179"/>
      <c r="E61" s="179"/>
      <c r="F61" s="532"/>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row>
    <row r="62" spans="2:32" s="462" customFormat="1" ht="15" customHeight="1">
      <c r="B62" s="463"/>
      <c r="C62" s="176"/>
      <c r="D62" s="179"/>
      <c r="E62" s="179"/>
      <c r="F62" s="532"/>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c r="AE62" s="180"/>
      <c r="AF62" s="180"/>
    </row>
    <row r="63" spans="2:32" s="462" customFormat="1" ht="15" customHeight="1">
      <c r="B63" s="464"/>
      <c r="C63" s="176"/>
      <c r="D63" s="179"/>
      <c r="E63" s="179"/>
      <c r="F63" s="532"/>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c r="AE63" s="180"/>
      <c r="AF63" s="180"/>
    </row>
    <row r="64" spans="2:32" ht="15" customHeight="1">
      <c r="C64" s="18"/>
      <c r="D64" s="18"/>
      <c r="E64" s="18"/>
      <c r="F64" s="18"/>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row>
    <row r="65" spans="2:32" ht="15" customHeight="1">
      <c r="B65" s="166" t="s">
        <v>11</v>
      </c>
      <c r="C65" s="314" t="s">
        <v>409</v>
      </c>
      <c r="D65" s="22" t="s">
        <v>48</v>
      </c>
      <c r="E65" s="22" t="s">
        <v>113</v>
      </c>
      <c r="F65" s="540"/>
      <c r="G65" s="23"/>
      <c r="H65" s="23"/>
      <c r="I65" s="23"/>
      <c r="J65" s="23"/>
      <c r="K65" s="23"/>
      <c r="L65" s="23">
        <v>1</v>
      </c>
      <c r="M65" s="23">
        <v>1</v>
      </c>
      <c r="N65" s="23">
        <v>1</v>
      </c>
      <c r="O65" s="23">
        <v>1</v>
      </c>
      <c r="P65" s="23">
        <v>1</v>
      </c>
      <c r="Q65" s="23">
        <v>1</v>
      </c>
      <c r="R65" s="23">
        <v>1</v>
      </c>
      <c r="S65" s="23">
        <v>1</v>
      </c>
      <c r="T65" s="23">
        <v>1</v>
      </c>
      <c r="U65" s="23">
        <v>1</v>
      </c>
      <c r="V65" s="23">
        <v>1</v>
      </c>
      <c r="W65" s="23">
        <v>1</v>
      </c>
      <c r="X65" s="23">
        <v>1</v>
      </c>
      <c r="Y65" s="23">
        <v>1</v>
      </c>
      <c r="Z65" s="23">
        <v>1</v>
      </c>
      <c r="AA65" s="23">
        <v>1</v>
      </c>
      <c r="AB65" s="23">
        <v>1</v>
      </c>
      <c r="AC65" s="23">
        <v>1</v>
      </c>
      <c r="AD65" s="23">
        <v>1</v>
      </c>
      <c r="AE65" s="23">
        <v>1</v>
      </c>
      <c r="AF65" s="23">
        <v>1</v>
      </c>
    </row>
    <row r="66" spans="2:32" ht="15" customHeight="1">
      <c r="B66" s="63"/>
      <c r="C66" s="169" t="s">
        <v>162</v>
      </c>
      <c r="D66" s="12" t="s">
        <v>48</v>
      </c>
      <c r="E66" s="12" t="s">
        <v>162</v>
      </c>
      <c r="F66" s="536"/>
      <c r="G66" s="321"/>
      <c r="H66" s="321"/>
      <c r="I66" s="321"/>
      <c r="J66" s="321"/>
      <c r="K66" s="321"/>
      <c r="L66" s="321"/>
      <c r="M66" s="321"/>
      <c r="N66" s="321"/>
      <c r="O66" s="321"/>
      <c r="P66" s="321">
        <v>1.1000000000000001</v>
      </c>
      <c r="Q66" s="321">
        <v>1.1000000000000001</v>
      </c>
      <c r="R66" s="321">
        <v>1.1000000000000001</v>
      </c>
      <c r="S66" s="321">
        <v>1.1000000000000001</v>
      </c>
      <c r="T66" s="321">
        <v>1.1000000000000001</v>
      </c>
      <c r="U66" s="321">
        <v>1.1000000000000001</v>
      </c>
      <c r="V66" s="321">
        <v>1.1000000000000001</v>
      </c>
      <c r="W66" s="321">
        <v>1.1000000000000001</v>
      </c>
      <c r="X66" s="321">
        <v>1.1000000000000001</v>
      </c>
      <c r="Y66" s="321">
        <v>1.1000000000000001</v>
      </c>
      <c r="Z66" s="321">
        <v>1.1000000000000001</v>
      </c>
      <c r="AA66" s="321">
        <v>1.1000000000000001</v>
      </c>
      <c r="AB66" s="321">
        <v>1.1000000000000001</v>
      </c>
      <c r="AC66" s="321">
        <v>1.1000000000000001</v>
      </c>
      <c r="AD66" s="321">
        <v>1.1000000000000001</v>
      </c>
      <c r="AE66" s="321">
        <v>1.1000000000000001</v>
      </c>
      <c r="AF66" s="321">
        <v>1.1000000000000001</v>
      </c>
    </row>
    <row r="67" spans="2:32" s="462" customFormat="1" ht="15" customHeight="1">
      <c r="B67" s="463"/>
      <c r="C67" s="184"/>
      <c r="D67" s="179"/>
      <c r="E67" s="179"/>
      <c r="F67" s="535"/>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row>
    <row r="68" spans="2:32" s="462" customFormat="1" ht="15" customHeight="1">
      <c r="B68" s="463"/>
      <c r="C68" s="184"/>
      <c r="D68" s="179"/>
      <c r="E68" s="179"/>
      <c r="F68" s="531"/>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c r="AE68" s="180"/>
      <c r="AF68" s="180"/>
    </row>
    <row r="69" spans="2:32" s="462" customFormat="1" ht="15" customHeight="1">
      <c r="B69" s="463"/>
      <c r="C69" s="184"/>
      <c r="D69" s="179"/>
      <c r="E69" s="179"/>
      <c r="F69" s="531"/>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row>
    <row r="70" spans="2:32" s="462" customFormat="1" ht="15" customHeight="1">
      <c r="B70" s="463"/>
      <c r="C70" s="184"/>
      <c r="D70" s="179"/>
      <c r="E70" s="179"/>
      <c r="F70" s="531"/>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c r="AE70" s="180"/>
      <c r="AF70" s="180"/>
    </row>
    <row r="71" spans="2:32" s="462" customFormat="1" ht="15" customHeight="1">
      <c r="B71" s="463"/>
      <c r="C71" s="176"/>
      <c r="D71" s="162"/>
      <c r="E71" s="162"/>
      <c r="F71" s="532"/>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c r="AE71" s="180"/>
      <c r="AF71" s="180"/>
    </row>
    <row r="72" spans="2:32" s="462" customFormat="1" ht="15" customHeight="1">
      <c r="B72" s="463"/>
      <c r="C72" s="176"/>
      <c r="D72" s="162"/>
      <c r="E72" s="162"/>
      <c r="F72" s="532"/>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c r="AE72" s="180"/>
      <c r="AF72" s="180"/>
    </row>
    <row r="73" spans="2:32" s="462" customFormat="1" ht="15" customHeight="1">
      <c r="B73" s="463"/>
      <c r="C73" s="176"/>
      <c r="D73" s="179"/>
      <c r="E73" s="179"/>
      <c r="F73" s="532"/>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c r="AE73" s="180"/>
      <c r="AF73" s="180"/>
    </row>
    <row r="74" spans="2:32" s="462" customFormat="1" ht="15" customHeight="1">
      <c r="B74" s="463"/>
      <c r="C74" s="176"/>
      <c r="D74" s="179"/>
      <c r="E74" s="179"/>
      <c r="F74" s="532"/>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c r="AE74" s="180"/>
      <c r="AF74" s="180"/>
    </row>
    <row r="75" spans="2:32" s="462" customFormat="1" ht="15" customHeight="1">
      <c r="B75" s="463"/>
      <c r="C75" s="176"/>
      <c r="D75" s="179"/>
      <c r="E75" s="179"/>
      <c r="F75" s="532"/>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c r="AE75" s="180"/>
      <c r="AF75" s="180"/>
    </row>
    <row r="76" spans="2:32" s="462" customFormat="1" ht="15" customHeight="1">
      <c r="B76" s="463"/>
      <c r="C76" s="176"/>
      <c r="D76" s="179"/>
      <c r="E76" s="179"/>
      <c r="F76" s="532"/>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row>
    <row r="77" spans="2:32" s="462" customFormat="1" ht="15" customHeight="1">
      <c r="B77" s="463"/>
      <c r="C77" s="176"/>
      <c r="D77" s="179"/>
      <c r="E77" s="179"/>
      <c r="F77" s="532"/>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c r="AE77" s="180"/>
      <c r="AF77" s="180"/>
    </row>
    <row r="78" spans="2:32" s="462" customFormat="1" ht="15" customHeight="1">
      <c r="B78" s="463"/>
      <c r="C78" s="176"/>
      <c r="D78" s="179"/>
      <c r="E78" s="179"/>
      <c r="F78" s="532"/>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row>
    <row r="79" spans="2:32" s="462" customFormat="1" ht="15" customHeight="1">
      <c r="B79" s="463"/>
      <c r="C79" s="176"/>
      <c r="D79" s="179"/>
      <c r="E79" s="179"/>
      <c r="F79" s="532"/>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c r="AE79" s="180"/>
      <c r="AF79" s="180"/>
    </row>
    <row r="80" spans="2:32" s="462" customFormat="1" ht="15" customHeight="1">
      <c r="B80" s="463"/>
      <c r="C80" s="176"/>
      <c r="D80" s="179"/>
      <c r="E80" s="179"/>
      <c r="F80" s="532"/>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c r="AE80" s="180"/>
      <c r="AF80" s="180"/>
    </row>
    <row r="81" spans="2:32" s="462" customFormat="1" ht="15" customHeight="1">
      <c r="B81" s="463"/>
      <c r="C81" s="176"/>
      <c r="D81" s="179"/>
      <c r="E81" s="179"/>
      <c r="F81" s="532"/>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c r="AE81" s="180"/>
      <c r="AF81" s="180"/>
    </row>
    <row r="82" spans="2:32" s="462" customFormat="1" ht="15" customHeight="1">
      <c r="B82" s="463"/>
      <c r="C82" s="176"/>
      <c r="D82" s="179"/>
      <c r="E82" s="179"/>
      <c r="F82" s="532"/>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row>
    <row r="83" spans="2:32" s="462" customFormat="1" ht="15" customHeight="1">
      <c r="B83" s="463"/>
      <c r="C83" s="176"/>
      <c r="D83" s="179"/>
      <c r="E83" s="179"/>
      <c r="F83" s="532"/>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row>
    <row r="84" spans="2:32" s="462" customFormat="1" ht="15" customHeight="1">
      <c r="B84" s="463"/>
      <c r="C84" s="176"/>
      <c r="D84" s="179"/>
      <c r="E84" s="179"/>
      <c r="F84" s="532"/>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row>
    <row r="85" spans="2:32" s="462" customFormat="1" ht="15" customHeight="1">
      <c r="B85" s="463"/>
      <c r="C85" s="176"/>
      <c r="D85" s="179"/>
      <c r="E85" s="179"/>
      <c r="F85" s="532"/>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row>
    <row r="86" spans="2:32" s="462" customFormat="1" ht="15" customHeight="1">
      <c r="B86" s="463"/>
      <c r="C86" s="176"/>
      <c r="D86" s="179"/>
      <c r="E86" s="179"/>
      <c r="F86" s="532"/>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c r="AE86" s="180"/>
      <c r="AF86" s="180"/>
    </row>
    <row r="87" spans="2:32" s="462" customFormat="1" ht="15" customHeight="1">
      <c r="B87" s="463"/>
      <c r="C87" s="176"/>
      <c r="D87" s="179"/>
      <c r="E87" s="179"/>
      <c r="F87" s="532"/>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c r="AE87" s="180"/>
      <c r="AF87" s="180"/>
    </row>
    <row r="88" spans="2:32" s="462" customFormat="1" ht="15" customHeight="1">
      <c r="B88" s="463"/>
      <c r="C88" s="176"/>
      <c r="D88" s="179"/>
      <c r="E88" s="179"/>
      <c r="F88" s="532"/>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c r="AE88" s="180"/>
      <c r="AF88" s="180"/>
    </row>
    <row r="89" spans="2:32" s="462" customFormat="1" ht="15" customHeight="1">
      <c r="B89" s="464"/>
      <c r="C89" s="176"/>
      <c r="D89" s="179"/>
      <c r="E89" s="179"/>
      <c r="F89" s="532"/>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row>
    <row r="90" spans="2:32" ht="15" customHeight="1">
      <c r="C90" s="18"/>
      <c r="D90" s="18"/>
      <c r="E90" s="18"/>
      <c r="F90" s="18"/>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row>
    <row r="91" spans="2:32" ht="15" customHeight="1">
      <c r="B91" s="166" t="s">
        <v>10</v>
      </c>
      <c r="C91" s="314" t="s">
        <v>409</v>
      </c>
      <c r="D91" s="22" t="s">
        <v>48</v>
      </c>
      <c r="E91" s="22" t="s">
        <v>113</v>
      </c>
      <c r="F91" s="540"/>
      <c r="G91" s="23"/>
      <c r="H91" s="23"/>
      <c r="I91" s="23"/>
      <c r="J91" s="23"/>
      <c r="K91" s="23"/>
      <c r="L91" s="23">
        <v>1</v>
      </c>
      <c r="M91" s="23">
        <v>1</v>
      </c>
      <c r="N91" s="23">
        <v>1</v>
      </c>
      <c r="O91" s="23">
        <v>1</v>
      </c>
      <c r="P91" s="23">
        <v>1</v>
      </c>
      <c r="Q91" s="23">
        <v>1</v>
      </c>
      <c r="R91" s="23">
        <v>1</v>
      </c>
      <c r="S91" s="23">
        <v>1</v>
      </c>
      <c r="T91" s="23">
        <v>1</v>
      </c>
      <c r="U91" s="23">
        <v>1</v>
      </c>
      <c r="V91" s="23">
        <v>1</v>
      </c>
      <c r="W91" s="23">
        <v>1</v>
      </c>
      <c r="X91" s="23">
        <v>1</v>
      </c>
      <c r="Y91" s="23">
        <v>1</v>
      </c>
      <c r="Z91" s="23">
        <v>1</v>
      </c>
      <c r="AA91" s="23">
        <v>1</v>
      </c>
      <c r="AB91" s="23">
        <v>1</v>
      </c>
      <c r="AC91" s="23">
        <v>1</v>
      </c>
      <c r="AD91" s="23">
        <v>1</v>
      </c>
      <c r="AE91" s="23">
        <v>1</v>
      </c>
      <c r="AF91" s="23">
        <v>1</v>
      </c>
    </row>
    <row r="92" spans="2:32" ht="15" customHeight="1">
      <c r="B92" s="63"/>
      <c r="C92" s="169" t="s">
        <v>162</v>
      </c>
      <c r="D92" s="12" t="s">
        <v>48</v>
      </c>
      <c r="E92" s="12" t="s">
        <v>162</v>
      </c>
      <c r="F92" s="536"/>
      <c r="G92" s="321"/>
      <c r="H92" s="321"/>
      <c r="I92" s="321"/>
      <c r="J92" s="321"/>
      <c r="K92" s="321"/>
      <c r="L92" s="321"/>
      <c r="M92" s="321"/>
      <c r="N92" s="321"/>
      <c r="O92" s="321"/>
      <c r="P92" s="321">
        <v>1.1000000000000001</v>
      </c>
      <c r="Q92" s="321">
        <v>1.1000000000000001</v>
      </c>
      <c r="R92" s="321">
        <v>1.1000000000000001</v>
      </c>
      <c r="S92" s="321">
        <v>1.1000000000000001</v>
      </c>
      <c r="T92" s="321">
        <v>1.1000000000000001</v>
      </c>
      <c r="U92" s="321">
        <v>1.1000000000000001</v>
      </c>
      <c r="V92" s="321">
        <v>1.1000000000000001</v>
      </c>
      <c r="W92" s="321">
        <v>1.1000000000000001</v>
      </c>
      <c r="X92" s="321">
        <v>1.1000000000000001</v>
      </c>
      <c r="Y92" s="321">
        <v>1.1000000000000001</v>
      </c>
      <c r="Z92" s="321">
        <v>1.1000000000000001</v>
      </c>
      <c r="AA92" s="321">
        <v>1.1000000000000001</v>
      </c>
      <c r="AB92" s="321">
        <v>1.1000000000000001</v>
      </c>
      <c r="AC92" s="321">
        <v>1.1000000000000001</v>
      </c>
      <c r="AD92" s="321">
        <v>1.1000000000000001</v>
      </c>
      <c r="AE92" s="321">
        <v>1.1000000000000001</v>
      </c>
      <c r="AF92" s="321">
        <v>1.1000000000000001</v>
      </c>
    </row>
    <row r="93" spans="2:32" s="462" customFormat="1" ht="15" customHeight="1">
      <c r="B93" s="463"/>
      <c r="C93" s="184"/>
      <c r="D93" s="179"/>
      <c r="E93" s="179"/>
      <c r="F93" s="535"/>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c r="AE93" s="180"/>
      <c r="AF93" s="180"/>
    </row>
    <row r="94" spans="2:32" s="462" customFormat="1" ht="15" customHeight="1">
      <c r="B94" s="463"/>
      <c r="C94" s="184"/>
      <c r="D94" s="179"/>
      <c r="E94" s="179"/>
      <c r="F94" s="531"/>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c r="AE94" s="180"/>
      <c r="AF94" s="180"/>
    </row>
    <row r="95" spans="2:32" s="462" customFormat="1" ht="15" customHeight="1">
      <c r="B95" s="463"/>
      <c r="C95" s="184"/>
      <c r="D95" s="179"/>
      <c r="E95" s="179"/>
      <c r="F95" s="531"/>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c r="AE95" s="180"/>
      <c r="AF95" s="180"/>
    </row>
    <row r="96" spans="2:32" s="462" customFormat="1" ht="15" customHeight="1">
      <c r="B96" s="463"/>
      <c r="C96" s="184"/>
      <c r="D96" s="179"/>
      <c r="E96" s="179"/>
      <c r="F96" s="531"/>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c r="AE96" s="180"/>
      <c r="AF96" s="180"/>
    </row>
    <row r="97" spans="2:32" s="462" customFormat="1" ht="15" customHeight="1">
      <c r="B97" s="463"/>
      <c r="C97" s="176"/>
      <c r="D97" s="162"/>
      <c r="E97" s="162"/>
      <c r="F97" s="532"/>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c r="AE97" s="180"/>
      <c r="AF97" s="180"/>
    </row>
    <row r="98" spans="2:32" s="462" customFormat="1" ht="15" customHeight="1">
      <c r="B98" s="463"/>
      <c r="C98" s="176"/>
      <c r="D98" s="162"/>
      <c r="E98" s="162"/>
      <c r="F98" s="532"/>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row>
    <row r="99" spans="2:32" s="462" customFormat="1" ht="15" customHeight="1">
      <c r="B99" s="463"/>
      <c r="C99" s="176"/>
      <c r="D99" s="179"/>
      <c r="E99" s="179"/>
      <c r="F99" s="532"/>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row>
    <row r="100" spans="2:32" s="462" customFormat="1" ht="15" customHeight="1">
      <c r="B100" s="463"/>
      <c r="C100" s="176"/>
      <c r="D100" s="179"/>
      <c r="E100" s="179"/>
      <c r="F100" s="532"/>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c r="AE100" s="180"/>
      <c r="AF100" s="180"/>
    </row>
    <row r="101" spans="2:32" s="462" customFormat="1" ht="15" customHeight="1">
      <c r="B101" s="463"/>
      <c r="C101" s="176"/>
      <c r="D101" s="179"/>
      <c r="E101" s="179"/>
      <c r="F101" s="532"/>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row>
    <row r="102" spans="2:32" s="462" customFormat="1" ht="15" customHeight="1">
      <c r="B102" s="463"/>
      <c r="C102" s="176"/>
      <c r="D102" s="179"/>
      <c r="E102" s="179"/>
      <c r="F102" s="532"/>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row>
    <row r="103" spans="2:32" s="462" customFormat="1" ht="15" customHeight="1">
      <c r="B103" s="463"/>
      <c r="C103" s="176"/>
      <c r="D103" s="179"/>
      <c r="E103" s="179"/>
      <c r="F103" s="532"/>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row>
    <row r="104" spans="2:32" s="462" customFormat="1" ht="15" customHeight="1">
      <c r="B104" s="463"/>
      <c r="C104" s="176"/>
      <c r="D104" s="179"/>
      <c r="E104" s="179"/>
      <c r="F104" s="532"/>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row>
    <row r="105" spans="2:32" s="462" customFormat="1" ht="15" customHeight="1">
      <c r="B105" s="463"/>
      <c r="C105" s="176"/>
      <c r="D105" s="179"/>
      <c r="E105" s="179"/>
      <c r="F105" s="532"/>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row>
    <row r="106" spans="2:32" s="462" customFormat="1" ht="15" customHeight="1">
      <c r="B106" s="463"/>
      <c r="C106" s="176"/>
      <c r="D106" s="179"/>
      <c r="E106" s="179"/>
      <c r="F106" s="532"/>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row>
    <row r="107" spans="2:32" s="462" customFormat="1" ht="15" customHeight="1">
      <c r="B107" s="463"/>
      <c r="C107" s="176"/>
      <c r="D107" s="179"/>
      <c r="E107" s="179"/>
      <c r="F107" s="532"/>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row>
    <row r="108" spans="2:32" s="462" customFormat="1" ht="15" customHeight="1">
      <c r="B108" s="463"/>
      <c r="C108" s="176"/>
      <c r="D108" s="179"/>
      <c r="E108" s="179"/>
      <c r="F108" s="532"/>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row>
    <row r="109" spans="2:32" s="462" customFormat="1" ht="15" customHeight="1">
      <c r="B109" s="463"/>
      <c r="C109" s="176"/>
      <c r="D109" s="179"/>
      <c r="E109" s="179"/>
      <c r="F109" s="532"/>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row>
    <row r="110" spans="2:32" s="462" customFormat="1" ht="15" customHeight="1">
      <c r="B110" s="463"/>
      <c r="C110" s="176"/>
      <c r="D110" s="179"/>
      <c r="E110" s="179"/>
      <c r="F110" s="532"/>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row>
    <row r="111" spans="2:32" s="462" customFormat="1" ht="15" customHeight="1">
      <c r="B111" s="463"/>
      <c r="C111" s="176"/>
      <c r="D111" s="179"/>
      <c r="E111" s="179"/>
      <c r="F111" s="532"/>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row>
    <row r="112" spans="2:32" s="462" customFormat="1" ht="15" customHeight="1">
      <c r="B112" s="463"/>
      <c r="C112" s="176"/>
      <c r="D112" s="179"/>
      <c r="E112" s="179"/>
      <c r="F112" s="532"/>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row>
    <row r="113" spans="2:32" s="462" customFormat="1" ht="15" customHeight="1">
      <c r="B113" s="463"/>
      <c r="C113" s="176"/>
      <c r="D113" s="179"/>
      <c r="E113" s="179"/>
      <c r="F113" s="532"/>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row>
    <row r="114" spans="2:32" s="462" customFormat="1" ht="15" customHeight="1">
      <c r="B114" s="463"/>
      <c r="C114" s="176"/>
      <c r="D114" s="179"/>
      <c r="E114" s="179"/>
      <c r="F114" s="532"/>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row>
    <row r="115" spans="2:32" s="462" customFormat="1" ht="15" customHeight="1">
      <c r="B115" s="464"/>
      <c r="C115" s="176"/>
      <c r="D115" s="179"/>
      <c r="E115" s="179"/>
      <c r="F115" s="532"/>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row>
    <row r="116" spans="2:32" ht="15" customHeight="1">
      <c r="C116" s="18"/>
      <c r="D116" s="18"/>
      <c r="E116" s="18"/>
      <c r="F116" s="18"/>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row>
    <row r="117" spans="2:32" ht="15" customHeight="1">
      <c r="B117" s="166" t="s">
        <v>339</v>
      </c>
      <c r="C117" s="314" t="s">
        <v>409</v>
      </c>
      <c r="D117" s="22" t="s">
        <v>48</v>
      </c>
      <c r="E117" s="22" t="s">
        <v>113</v>
      </c>
      <c r="F117" s="540"/>
      <c r="G117" s="23"/>
      <c r="H117" s="23"/>
      <c r="I117" s="23"/>
      <c r="J117" s="23"/>
      <c r="K117" s="23"/>
      <c r="L117" s="23">
        <v>1</v>
      </c>
      <c r="M117" s="23">
        <v>1</v>
      </c>
      <c r="N117" s="23">
        <v>1</v>
      </c>
      <c r="O117" s="23">
        <v>1</v>
      </c>
      <c r="P117" s="23">
        <v>1</v>
      </c>
      <c r="Q117" s="23">
        <v>1</v>
      </c>
      <c r="R117" s="23">
        <v>1</v>
      </c>
      <c r="S117" s="23">
        <v>1</v>
      </c>
      <c r="T117" s="23">
        <v>1</v>
      </c>
      <c r="U117" s="23">
        <v>1</v>
      </c>
      <c r="V117" s="23">
        <v>1</v>
      </c>
      <c r="W117" s="23">
        <v>1</v>
      </c>
      <c r="X117" s="23">
        <v>1</v>
      </c>
      <c r="Y117" s="23">
        <v>1</v>
      </c>
      <c r="Z117" s="23">
        <v>1</v>
      </c>
      <c r="AA117" s="23">
        <v>1</v>
      </c>
      <c r="AB117" s="23">
        <v>1</v>
      </c>
      <c r="AC117" s="23">
        <v>1</v>
      </c>
      <c r="AD117" s="23">
        <v>1</v>
      </c>
      <c r="AE117" s="23">
        <v>1</v>
      </c>
      <c r="AF117" s="23">
        <v>1</v>
      </c>
    </row>
    <row r="118" spans="2:32" ht="15" customHeight="1">
      <c r="B118" s="63"/>
      <c r="C118" s="169" t="s">
        <v>162</v>
      </c>
      <c r="D118" s="12" t="s">
        <v>48</v>
      </c>
      <c r="E118" s="12" t="s">
        <v>162</v>
      </c>
      <c r="F118" s="536"/>
      <c r="G118" s="321"/>
      <c r="H118" s="321"/>
      <c r="I118" s="321"/>
      <c r="J118" s="321"/>
      <c r="K118" s="321"/>
      <c r="L118" s="321"/>
      <c r="M118" s="321"/>
      <c r="N118" s="321"/>
      <c r="O118" s="321"/>
      <c r="P118" s="321">
        <v>1.1000000000000001</v>
      </c>
      <c r="Q118" s="321">
        <v>1.1000000000000001</v>
      </c>
      <c r="R118" s="321">
        <v>1.1000000000000001</v>
      </c>
      <c r="S118" s="321">
        <v>1.1000000000000001</v>
      </c>
      <c r="T118" s="321">
        <v>1.1000000000000001</v>
      </c>
      <c r="U118" s="321">
        <v>1.1000000000000001</v>
      </c>
      <c r="V118" s="321">
        <v>1.1000000000000001</v>
      </c>
      <c r="W118" s="321">
        <v>1.1000000000000001</v>
      </c>
      <c r="X118" s="321">
        <v>1.1000000000000001</v>
      </c>
      <c r="Y118" s="321">
        <v>1.1000000000000001</v>
      </c>
      <c r="Z118" s="321">
        <v>1.1000000000000001</v>
      </c>
      <c r="AA118" s="321">
        <v>1.1000000000000001</v>
      </c>
      <c r="AB118" s="321">
        <v>1.1000000000000001</v>
      </c>
      <c r="AC118" s="321">
        <v>1.1000000000000001</v>
      </c>
      <c r="AD118" s="321">
        <v>1.1000000000000001</v>
      </c>
      <c r="AE118" s="321">
        <v>1.1000000000000001</v>
      </c>
      <c r="AF118" s="321">
        <v>1.1000000000000001</v>
      </c>
    </row>
    <row r="119" spans="2:32" s="462" customFormat="1" ht="15" customHeight="1">
      <c r="B119" s="463"/>
      <c r="C119" s="184"/>
      <c r="D119" s="179"/>
      <c r="E119" s="179"/>
      <c r="F119" s="535"/>
      <c r="G119" s="180"/>
      <c r="H119" s="180"/>
      <c r="I119" s="180"/>
      <c r="J119" s="180"/>
      <c r="K119" s="180"/>
      <c r="L119" s="180"/>
      <c r="M119" s="180"/>
      <c r="N119" s="180"/>
      <c r="O119" s="180"/>
      <c r="P119" s="180"/>
      <c r="Q119" s="180"/>
      <c r="R119" s="180"/>
      <c r="S119" s="180"/>
      <c r="T119" s="180"/>
      <c r="U119" s="180"/>
      <c r="V119" s="180"/>
      <c r="W119" s="180"/>
      <c r="X119" s="180"/>
      <c r="Y119" s="180"/>
      <c r="Z119" s="180"/>
      <c r="AA119" s="180"/>
      <c r="AB119" s="180"/>
      <c r="AC119" s="180"/>
      <c r="AD119" s="180"/>
      <c r="AE119" s="180"/>
      <c r="AF119" s="180"/>
    </row>
    <row r="120" spans="2:32" s="462" customFormat="1" ht="15" customHeight="1">
      <c r="B120" s="463"/>
      <c r="C120" s="256"/>
      <c r="D120" s="179"/>
      <c r="E120" s="179"/>
      <c r="F120" s="541"/>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180"/>
      <c r="AC120" s="180"/>
      <c r="AD120" s="180"/>
      <c r="AE120" s="180"/>
      <c r="AF120" s="180"/>
    </row>
    <row r="121" spans="2:32" s="462" customFormat="1" ht="15" customHeight="1">
      <c r="B121" s="463"/>
      <c r="C121" s="184"/>
      <c r="D121" s="179"/>
      <c r="E121" s="179"/>
      <c r="F121" s="531"/>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c r="AD121" s="180"/>
      <c r="AE121" s="180"/>
      <c r="AF121" s="180"/>
    </row>
    <row r="122" spans="2:32" s="462" customFormat="1" ht="15" customHeight="1">
      <c r="B122" s="463"/>
      <c r="C122" s="184"/>
      <c r="D122" s="179"/>
      <c r="E122" s="179"/>
      <c r="F122" s="531"/>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c r="AE122" s="180"/>
      <c r="AF122" s="180"/>
    </row>
    <row r="123" spans="2:32" s="462" customFormat="1" ht="15" customHeight="1">
      <c r="B123" s="463"/>
      <c r="C123" s="176"/>
      <c r="D123" s="162"/>
      <c r="E123" s="162"/>
      <c r="F123" s="532"/>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c r="AE123" s="180"/>
      <c r="AF123" s="180"/>
    </row>
    <row r="124" spans="2:32" s="462" customFormat="1" ht="15" customHeight="1">
      <c r="B124" s="463"/>
      <c r="C124" s="176"/>
      <c r="D124" s="162"/>
      <c r="E124" s="162"/>
      <c r="F124" s="532"/>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c r="AE124" s="180"/>
      <c r="AF124" s="180"/>
    </row>
    <row r="125" spans="2:32" s="462" customFormat="1" ht="15" customHeight="1">
      <c r="B125" s="463"/>
      <c r="C125" s="176"/>
      <c r="D125" s="179"/>
      <c r="E125" s="179"/>
      <c r="F125" s="532"/>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c r="AE125" s="180"/>
      <c r="AF125" s="180"/>
    </row>
    <row r="126" spans="2:32" s="462" customFormat="1" ht="15" customHeight="1">
      <c r="B126" s="463"/>
      <c r="C126" s="176"/>
      <c r="D126" s="179"/>
      <c r="E126" s="179"/>
      <c r="F126" s="532"/>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c r="AE126" s="180"/>
      <c r="AF126" s="180"/>
    </row>
    <row r="127" spans="2:32" s="462" customFormat="1" ht="15" customHeight="1">
      <c r="B127" s="463"/>
      <c r="C127" s="176"/>
      <c r="D127" s="179"/>
      <c r="E127" s="179"/>
      <c r="F127" s="532"/>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c r="AE127" s="180"/>
      <c r="AF127" s="180"/>
    </row>
    <row r="128" spans="2:32" s="462" customFormat="1" ht="15" customHeight="1">
      <c r="B128" s="463"/>
      <c r="C128" s="176"/>
      <c r="D128" s="179"/>
      <c r="E128" s="179"/>
      <c r="F128" s="532"/>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row>
    <row r="129" spans="2:32" s="462" customFormat="1" ht="15" customHeight="1">
      <c r="B129" s="463"/>
      <c r="C129" s="176"/>
      <c r="D129" s="179"/>
      <c r="E129" s="179"/>
      <c r="F129" s="532"/>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row>
    <row r="130" spans="2:32" s="462" customFormat="1" ht="15" customHeight="1">
      <c r="B130" s="463"/>
      <c r="C130" s="176"/>
      <c r="D130" s="179"/>
      <c r="E130" s="179"/>
      <c r="F130" s="532"/>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row>
    <row r="131" spans="2:32" s="462" customFormat="1" ht="15" customHeight="1">
      <c r="B131" s="463"/>
      <c r="C131" s="176"/>
      <c r="D131" s="179"/>
      <c r="E131" s="179"/>
      <c r="F131" s="532"/>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row>
    <row r="132" spans="2:32" s="462" customFormat="1" ht="15" customHeight="1">
      <c r="B132" s="463"/>
      <c r="C132" s="176"/>
      <c r="D132" s="179"/>
      <c r="E132" s="179"/>
      <c r="F132" s="532"/>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row>
    <row r="133" spans="2:32" s="462" customFormat="1" ht="15" customHeight="1">
      <c r="B133" s="463"/>
      <c r="C133" s="176"/>
      <c r="D133" s="179"/>
      <c r="E133" s="179"/>
      <c r="F133" s="532"/>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c r="AE133" s="180"/>
      <c r="AF133" s="180"/>
    </row>
    <row r="134" spans="2:32" s="462" customFormat="1" ht="15" customHeight="1">
      <c r="B134" s="463"/>
      <c r="C134" s="176"/>
      <c r="D134" s="179"/>
      <c r="E134" s="179"/>
      <c r="F134" s="532"/>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c r="AE134" s="180"/>
      <c r="AF134" s="180"/>
    </row>
    <row r="135" spans="2:32" s="462" customFormat="1" ht="15" customHeight="1">
      <c r="B135" s="463"/>
      <c r="C135" s="176"/>
      <c r="D135" s="179"/>
      <c r="E135" s="179"/>
      <c r="F135" s="532"/>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c r="AE135" s="180"/>
      <c r="AF135" s="180"/>
    </row>
    <row r="136" spans="2:32" s="462" customFormat="1" ht="15" customHeight="1">
      <c r="B136" s="463"/>
      <c r="C136" s="176"/>
      <c r="D136" s="179"/>
      <c r="E136" s="179"/>
      <c r="F136" s="532"/>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row>
    <row r="137" spans="2:32" s="462" customFormat="1" ht="15" customHeight="1">
      <c r="B137" s="463"/>
      <c r="C137" s="176"/>
      <c r="D137" s="179"/>
      <c r="E137" s="179"/>
      <c r="F137" s="532"/>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c r="AE137" s="180"/>
      <c r="AF137" s="180"/>
    </row>
    <row r="138" spans="2:32" s="462" customFormat="1" ht="15" customHeight="1">
      <c r="B138" s="463"/>
      <c r="C138" s="176"/>
      <c r="D138" s="179"/>
      <c r="E138" s="179"/>
      <c r="F138" s="532"/>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row>
    <row r="139" spans="2:32" s="462" customFormat="1" ht="15" customHeight="1">
      <c r="B139" s="463"/>
      <c r="C139" s="176"/>
      <c r="D139" s="179"/>
      <c r="E139" s="179"/>
      <c r="F139" s="532"/>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c r="AE139" s="180"/>
      <c r="AF139" s="180"/>
    </row>
    <row r="140" spans="2:32" s="462" customFormat="1" ht="15" customHeight="1">
      <c r="B140" s="463"/>
      <c r="C140" s="176"/>
      <c r="D140" s="179"/>
      <c r="E140" s="179"/>
      <c r="F140" s="532"/>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row>
    <row r="141" spans="2:32" s="462" customFormat="1" ht="15" customHeight="1">
      <c r="B141" s="464"/>
      <c r="C141" s="176"/>
      <c r="D141" s="179"/>
      <c r="E141" s="179"/>
      <c r="F141" s="532"/>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row>
    <row r="142" spans="2:32" ht="15" customHeight="1">
      <c r="C142" s="18"/>
      <c r="D142" s="18"/>
      <c r="E142" s="18"/>
      <c r="F142" s="18"/>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row>
    <row r="143" spans="2:32" ht="15" customHeight="1">
      <c r="B143" s="166" t="s">
        <v>340</v>
      </c>
      <c r="C143" s="314" t="s">
        <v>409</v>
      </c>
      <c r="D143" s="22" t="s">
        <v>48</v>
      </c>
      <c r="E143" s="22" t="s">
        <v>113</v>
      </c>
      <c r="F143" s="540"/>
      <c r="G143" s="23"/>
      <c r="H143" s="23"/>
      <c r="I143" s="23"/>
      <c r="J143" s="23"/>
      <c r="K143" s="23"/>
      <c r="L143" s="23">
        <v>1</v>
      </c>
      <c r="M143" s="23">
        <v>1</v>
      </c>
      <c r="N143" s="23">
        <v>1</v>
      </c>
      <c r="O143" s="23">
        <v>1</v>
      </c>
      <c r="P143" s="23">
        <v>1</v>
      </c>
      <c r="Q143" s="23">
        <v>1</v>
      </c>
      <c r="R143" s="23">
        <v>1</v>
      </c>
      <c r="S143" s="23">
        <v>1</v>
      </c>
      <c r="T143" s="23">
        <v>1</v>
      </c>
      <c r="U143" s="23">
        <v>1</v>
      </c>
      <c r="V143" s="23">
        <v>1</v>
      </c>
      <c r="W143" s="23">
        <v>1</v>
      </c>
      <c r="X143" s="23">
        <v>1</v>
      </c>
      <c r="Y143" s="23">
        <v>1</v>
      </c>
      <c r="Z143" s="23">
        <v>1</v>
      </c>
      <c r="AA143" s="23">
        <v>1</v>
      </c>
      <c r="AB143" s="23">
        <v>1</v>
      </c>
      <c r="AC143" s="23">
        <v>1</v>
      </c>
      <c r="AD143" s="23">
        <v>1</v>
      </c>
      <c r="AE143" s="23">
        <v>1</v>
      </c>
      <c r="AF143" s="23">
        <v>1</v>
      </c>
    </row>
    <row r="144" spans="2:32" ht="15" customHeight="1">
      <c r="B144" s="63"/>
      <c r="C144" s="169" t="s">
        <v>162</v>
      </c>
      <c r="D144" s="12" t="s">
        <v>48</v>
      </c>
      <c r="E144" s="12" t="s">
        <v>162</v>
      </c>
      <c r="F144" s="536"/>
      <c r="G144" s="321"/>
      <c r="H144" s="321"/>
      <c r="I144" s="321"/>
      <c r="J144" s="321"/>
      <c r="K144" s="321"/>
      <c r="L144" s="321"/>
      <c r="M144" s="321"/>
      <c r="N144" s="321"/>
      <c r="O144" s="321"/>
      <c r="P144" s="321">
        <v>1.1000000000000001</v>
      </c>
      <c r="Q144" s="321">
        <v>1.1000000000000001</v>
      </c>
      <c r="R144" s="321">
        <v>1.1000000000000001</v>
      </c>
      <c r="S144" s="321">
        <v>1.1000000000000001</v>
      </c>
      <c r="T144" s="321">
        <v>1.1000000000000001</v>
      </c>
      <c r="U144" s="321">
        <v>1.1000000000000001</v>
      </c>
      <c r="V144" s="321">
        <v>1.1000000000000001</v>
      </c>
      <c r="W144" s="321">
        <v>1.1000000000000001</v>
      </c>
      <c r="X144" s="321">
        <v>1.1000000000000001</v>
      </c>
      <c r="Y144" s="321">
        <v>1.1000000000000001</v>
      </c>
      <c r="Z144" s="321">
        <v>1.1000000000000001</v>
      </c>
      <c r="AA144" s="321">
        <v>1.1000000000000001</v>
      </c>
      <c r="AB144" s="321">
        <v>1.1000000000000001</v>
      </c>
      <c r="AC144" s="321">
        <v>1.1000000000000001</v>
      </c>
      <c r="AD144" s="321">
        <v>1.1000000000000001</v>
      </c>
      <c r="AE144" s="321">
        <v>1.1000000000000001</v>
      </c>
      <c r="AF144" s="321">
        <v>1.1000000000000001</v>
      </c>
    </row>
    <row r="145" spans="2:32" s="462" customFormat="1" ht="15" customHeight="1">
      <c r="B145" s="463"/>
      <c r="C145" s="184"/>
      <c r="D145" s="179"/>
      <c r="E145" s="179"/>
      <c r="F145" s="535"/>
      <c r="G145" s="180"/>
      <c r="H145" s="180"/>
      <c r="I145" s="180"/>
      <c r="J145" s="180"/>
      <c r="K145" s="180"/>
      <c r="L145" s="180"/>
      <c r="M145" s="180"/>
      <c r="N145" s="180"/>
      <c r="O145" s="180"/>
      <c r="P145" s="180"/>
      <c r="Q145" s="180"/>
      <c r="R145" s="180"/>
      <c r="S145" s="180"/>
      <c r="T145" s="180"/>
      <c r="U145" s="180"/>
      <c r="V145" s="180"/>
      <c r="W145" s="180"/>
      <c r="X145" s="180"/>
      <c r="Y145" s="180"/>
      <c r="Z145" s="180"/>
      <c r="AA145" s="180"/>
      <c r="AB145" s="180"/>
      <c r="AC145" s="180"/>
      <c r="AD145" s="180"/>
      <c r="AE145" s="180"/>
      <c r="AF145" s="180"/>
    </row>
    <row r="146" spans="2:32" s="462" customFormat="1" ht="15" customHeight="1">
      <c r="B146" s="463"/>
      <c r="C146" s="256"/>
      <c r="D146" s="179"/>
      <c r="E146" s="179"/>
      <c r="F146" s="541"/>
      <c r="G146" s="180"/>
      <c r="H146" s="180"/>
      <c r="I146" s="180"/>
      <c r="J146" s="180"/>
      <c r="K146" s="180"/>
      <c r="L146" s="180"/>
      <c r="M146" s="180"/>
      <c r="N146" s="180"/>
      <c r="O146" s="180"/>
      <c r="P146" s="180"/>
      <c r="Q146" s="180"/>
      <c r="R146" s="180"/>
      <c r="S146" s="180"/>
      <c r="T146" s="180"/>
      <c r="U146" s="180"/>
      <c r="V146" s="180"/>
      <c r="W146" s="180"/>
      <c r="X146" s="180"/>
      <c r="Y146" s="180"/>
      <c r="Z146" s="180"/>
      <c r="AA146" s="180"/>
      <c r="AB146" s="180"/>
      <c r="AC146" s="180"/>
      <c r="AD146" s="180"/>
      <c r="AE146" s="180"/>
      <c r="AF146" s="180"/>
    </row>
    <row r="147" spans="2:32" s="462" customFormat="1" ht="15" customHeight="1">
      <c r="B147" s="463"/>
      <c r="C147" s="184"/>
      <c r="D147" s="179"/>
      <c r="E147" s="179"/>
      <c r="F147" s="531"/>
      <c r="G147" s="180"/>
      <c r="H147" s="180"/>
      <c r="I147" s="180"/>
      <c r="J147" s="180"/>
      <c r="K147" s="180"/>
      <c r="L147" s="180"/>
      <c r="M147" s="180"/>
      <c r="N147" s="180"/>
      <c r="O147" s="180"/>
      <c r="P147" s="180"/>
      <c r="Q147" s="180"/>
      <c r="R147" s="180"/>
      <c r="S147" s="180"/>
      <c r="T147" s="180"/>
      <c r="U147" s="180"/>
      <c r="V147" s="180"/>
      <c r="W147" s="180"/>
      <c r="X147" s="180"/>
      <c r="Y147" s="180"/>
      <c r="Z147" s="180"/>
      <c r="AA147" s="180"/>
      <c r="AB147" s="180"/>
      <c r="AC147" s="180"/>
      <c r="AD147" s="180"/>
      <c r="AE147" s="180"/>
      <c r="AF147" s="180"/>
    </row>
    <row r="148" spans="2:32" s="462" customFormat="1" ht="15" customHeight="1">
      <c r="B148" s="463"/>
      <c r="C148" s="184"/>
      <c r="D148" s="179"/>
      <c r="E148" s="179"/>
      <c r="F148" s="531"/>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c r="AE148" s="180"/>
      <c r="AF148" s="180"/>
    </row>
    <row r="149" spans="2:32" s="462" customFormat="1" ht="15" customHeight="1">
      <c r="B149" s="463"/>
      <c r="C149" s="176"/>
      <c r="D149" s="162"/>
      <c r="E149" s="162"/>
      <c r="F149" s="532"/>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row>
    <row r="150" spans="2:32" s="462" customFormat="1" ht="15" customHeight="1">
      <c r="B150" s="463"/>
      <c r="C150" s="176"/>
      <c r="D150" s="162"/>
      <c r="E150" s="162"/>
      <c r="F150" s="532"/>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c r="AE150" s="180"/>
      <c r="AF150" s="180"/>
    </row>
    <row r="151" spans="2:32" s="462" customFormat="1" ht="15" customHeight="1">
      <c r="B151" s="463"/>
      <c r="C151" s="176"/>
      <c r="D151" s="179"/>
      <c r="E151" s="179"/>
      <c r="F151" s="532"/>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c r="AE151" s="180"/>
      <c r="AF151" s="180"/>
    </row>
    <row r="152" spans="2:32" s="462" customFormat="1" ht="15" customHeight="1">
      <c r="B152" s="463"/>
      <c r="C152" s="176"/>
      <c r="D152" s="179"/>
      <c r="E152" s="179"/>
      <c r="F152" s="532"/>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c r="AE152" s="180"/>
      <c r="AF152" s="180"/>
    </row>
    <row r="153" spans="2:32" s="462" customFormat="1" ht="15" customHeight="1">
      <c r="B153" s="463"/>
      <c r="C153" s="176"/>
      <c r="D153" s="179"/>
      <c r="E153" s="179"/>
      <c r="F153" s="532"/>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c r="AE153" s="180"/>
      <c r="AF153" s="180"/>
    </row>
    <row r="154" spans="2:32" s="462" customFormat="1" ht="15" customHeight="1">
      <c r="B154" s="463"/>
      <c r="C154" s="176"/>
      <c r="D154" s="179"/>
      <c r="E154" s="179"/>
      <c r="F154" s="532"/>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row>
    <row r="155" spans="2:32" s="462" customFormat="1" ht="15" customHeight="1">
      <c r="B155" s="463"/>
      <c r="C155" s="176"/>
      <c r="D155" s="179"/>
      <c r="E155" s="179"/>
      <c r="F155" s="532"/>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row>
    <row r="156" spans="2:32" s="462" customFormat="1" ht="15" customHeight="1">
      <c r="B156" s="463"/>
      <c r="C156" s="176"/>
      <c r="D156" s="179"/>
      <c r="E156" s="179"/>
      <c r="F156" s="532"/>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row>
    <row r="157" spans="2:32" s="462" customFormat="1" ht="15" customHeight="1">
      <c r="B157" s="463"/>
      <c r="C157" s="176"/>
      <c r="D157" s="179"/>
      <c r="E157" s="179"/>
      <c r="F157" s="532"/>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row>
    <row r="158" spans="2:32" s="462" customFormat="1" ht="15" customHeight="1">
      <c r="B158" s="463"/>
      <c r="C158" s="176"/>
      <c r="D158" s="179"/>
      <c r="E158" s="179"/>
      <c r="F158" s="532"/>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row>
    <row r="159" spans="2:32" s="462" customFormat="1" ht="15" customHeight="1">
      <c r="B159" s="463"/>
      <c r="C159" s="176"/>
      <c r="D159" s="179"/>
      <c r="E159" s="179"/>
      <c r="F159" s="532"/>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row>
    <row r="160" spans="2:32" s="462" customFormat="1" ht="15" customHeight="1">
      <c r="B160" s="463"/>
      <c r="C160" s="176"/>
      <c r="D160" s="179"/>
      <c r="E160" s="179"/>
      <c r="F160" s="532"/>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row>
    <row r="161" spans="2:32" s="462" customFormat="1" ht="15" customHeight="1">
      <c r="B161" s="463"/>
      <c r="C161" s="176"/>
      <c r="D161" s="179"/>
      <c r="E161" s="179"/>
      <c r="F161" s="532"/>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row>
    <row r="162" spans="2:32" s="462" customFormat="1" ht="15" customHeight="1">
      <c r="B162" s="463"/>
      <c r="C162" s="176"/>
      <c r="D162" s="179"/>
      <c r="E162" s="179"/>
      <c r="F162" s="532"/>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row>
    <row r="163" spans="2:32" s="462" customFormat="1" ht="15" customHeight="1">
      <c r="B163" s="463"/>
      <c r="C163" s="176"/>
      <c r="D163" s="179"/>
      <c r="E163" s="179"/>
      <c r="F163" s="532"/>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row>
    <row r="164" spans="2:32" s="462" customFormat="1" ht="15" customHeight="1">
      <c r="B164" s="463"/>
      <c r="C164" s="176"/>
      <c r="D164" s="179"/>
      <c r="E164" s="179"/>
      <c r="F164" s="532"/>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row>
    <row r="165" spans="2:32" s="462" customFormat="1" ht="15" customHeight="1">
      <c r="B165" s="463"/>
      <c r="C165" s="176"/>
      <c r="D165" s="179"/>
      <c r="E165" s="179"/>
      <c r="F165" s="532"/>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row>
    <row r="166" spans="2:32" s="462" customFormat="1" ht="15" customHeight="1">
      <c r="B166" s="463"/>
      <c r="C166" s="176"/>
      <c r="D166" s="179"/>
      <c r="E166" s="179"/>
      <c r="F166" s="532"/>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row>
    <row r="167" spans="2:32" s="462" customFormat="1" ht="15" customHeight="1">
      <c r="B167" s="464"/>
      <c r="C167" s="176"/>
      <c r="D167" s="179"/>
      <c r="E167" s="179"/>
      <c r="F167" s="532"/>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c r="AE167" s="180"/>
      <c r="AF167" s="180"/>
    </row>
    <row r="168" spans="2:32" ht="15" customHeight="1">
      <c r="C168" s="18"/>
      <c r="D168" s="18"/>
      <c r="E168" s="18"/>
      <c r="F168" s="18"/>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row>
    <row r="169" spans="2:32" ht="15" customHeight="1">
      <c r="B169" s="166" t="s">
        <v>12</v>
      </c>
      <c r="C169" s="314" t="s">
        <v>409</v>
      </c>
      <c r="D169" s="22" t="s">
        <v>48</v>
      </c>
      <c r="E169" s="649" t="s">
        <v>113</v>
      </c>
      <c r="F169" s="540"/>
      <c r="G169" s="23"/>
      <c r="H169" s="23"/>
      <c r="I169" s="23"/>
      <c r="J169" s="23"/>
      <c r="K169" s="23"/>
      <c r="L169" s="23">
        <v>1</v>
      </c>
      <c r="M169" s="23">
        <v>1</v>
      </c>
      <c r="N169" s="23">
        <v>1</v>
      </c>
      <c r="O169" s="23">
        <v>1</v>
      </c>
      <c r="P169" s="23">
        <v>1</v>
      </c>
      <c r="Q169" s="23">
        <v>1</v>
      </c>
      <c r="R169" s="23">
        <v>1</v>
      </c>
      <c r="S169" s="23">
        <v>1</v>
      </c>
      <c r="T169" s="23">
        <v>1</v>
      </c>
      <c r="U169" s="23">
        <v>1</v>
      </c>
      <c r="V169" s="23">
        <v>1</v>
      </c>
      <c r="W169" s="23">
        <v>1</v>
      </c>
      <c r="X169" s="23">
        <v>1</v>
      </c>
      <c r="Y169" s="23">
        <v>1</v>
      </c>
      <c r="Z169" s="23">
        <v>1</v>
      </c>
      <c r="AA169" s="23">
        <v>1</v>
      </c>
      <c r="AB169" s="23">
        <v>1</v>
      </c>
      <c r="AC169" s="23">
        <v>1</v>
      </c>
      <c r="AD169" s="23">
        <v>1</v>
      </c>
      <c r="AE169" s="23">
        <v>1</v>
      </c>
      <c r="AF169" s="23">
        <v>1</v>
      </c>
    </row>
    <row r="170" spans="2:32" ht="15" customHeight="1">
      <c r="B170" s="63"/>
      <c r="C170" s="169" t="s">
        <v>162</v>
      </c>
      <c r="D170" s="12" t="s">
        <v>48</v>
      </c>
      <c r="E170" s="169" t="s">
        <v>134</v>
      </c>
      <c r="F170" s="657"/>
      <c r="G170" s="321"/>
      <c r="H170" s="321"/>
      <c r="I170" s="321"/>
      <c r="J170" s="321"/>
      <c r="K170" s="321"/>
      <c r="L170" s="321"/>
      <c r="M170" s="321"/>
      <c r="N170" s="321"/>
      <c r="O170" s="321"/>
      <c r="P170" s="321">
        <v>1.1000000000000001</v>
      </c>
      <c r="Q170" s="321">
        <v>1.1000000000000001</v>
      </c>
      <c r="R170" s="321">
        <v>1.1000000000000001</v>
      </c>
      <c r="S170" s="321">
        <v>1.1000000000000001</v>
      </c>
      <c r="T170" s="321">
        <v>1.1000000000000001</v>
      </c>
      <c r="U170" s="321">
        <v>1.1000000000000001</v>
      </c>
      <c r="V170" s="321">
        <v>1.1000000000000001</v>
      </c>
      <c r="W170" s="321">
        <v>1.1000000000000001</v>
      </c>
      <c r="X170" s="321">
        <v>1.1000000000000001</v>
      </c>
      <c r="Y170" s="321">
        <v>1.1000000000000001</v>
      </c>
      <c r="Z170" s="321">
        <v>1.1000000000000001</v>
      </c>
      <c r="AA170" s="321">
        <v>1.1000000000000001</v>
      </c>
      <c r="AB170" s="321">
        <v>1.1000000000000001</v>
      </c>
      <c r="AC170" s="321">
        <v>1.1000000000000001</v>
      </c>
      <c r="AD170" s="321">
        <v>1.1000000000000001</v>
      </c>
      <c r="AE170" s="321">
        <v>1.1000000000000001</v>
      </c>
      <c r="AF170" s="321">
        <v>1.1000000000000001</v>
      </c>
    </row>
    <row r="171" spans="2:32" ht="15" customHeight="1">
      <c r="B171" s="463"/>
      <c r="C171" s="184"/>
      <c r="D171" s="179"/>
      <c r="E171" s="184"/>
      <c r="F171" s="531"/>
      <c r="G171" s="180"/>
      <c r="H171" s="180"/>
      <c r="I171" s="180"/>
      <c r="J171" s="180"/>
      <c r="K171" s="180"/>
      <c r="L171" s="180"/>
      <c r="M171" s="180"/>
      <c r="N171" s="180"/>
      <c r="O171" s="180"/>
      <c r="P171" s="180"/>
      <c r="Q171" s="180"/>
      <c r="R171" s="180"/>
      <c r="S171" s="180"/>
      <c r="T171" s="180"/>
      <c r="U171" s="180"/>
      <c r="V171" s="180"/>
      <c r="W171" s="180"/>
      <c r="X171" s="180"/>
      <c r="Y171" s="180"/>
      <c r="Z171" s="180"/>
      <c r="AA171" s="180"/>
      <c r="AB171" s="180"/>
      <c r="AC171" s="180"/>
      <c r="AD171" s="180"/>
      <c r="AE171" s="180"/>
      <c r="AF171" s="180"/>
    </row>
    <row r="172" spans="2:32" ht="28.5" customHeight="1">
      <c r="B172" s="463"/>
      <c r="C172" s="256"/>
      <c r="D172" s="179"/>
      <c r="E172" s="256"/>
      <c r="F172" s="1189"/>
      <c r="G172" s="180"/>
      <c r="H172" s="180"/>
      <c r="I172" s="180"/>
      <c r="J172" s="180"/>
      <c r="K172" s="180"/>
      <c r="L172" s="180"/>
      <c r="M172" s="180"/>
      <c r="N172" s="180"/>
      <c r="O172" s="180"/>
      <c r="P172" s="180"/>
      <c r="Q172" s="180"/>
      <c r="R172" s="180"/>
      <c r="S172" s="180"/>
      <c r="T172" s="180"/>
      <c r="U172" s="180"/>
      <c r="V172" s="180"/>
      <c r="W172" s="180"/>
      <c r="X172" s="180"/>
      <c r="Y172" s="180"/>
      <c r="Z172" s="180"/>
      <c r="AA172" s="180"/>
      <c r="AB172" s="180"/>
      <c r="AC172" s="180"/>
      <c r="AD172" s="180"/>
      <c r="AE172" s="180"/>
      <c r="AF172" s="180"/>
    </row>
    <row r="173" spans="2:32" ht="15" customHeight="1">
      <c r="B173" s="463"/>
      <c r="C173" s="256"/>
      <c r="D173" s="179"/>
      <c r="E173" s="256"/>
      <c r="F173" s="541"/>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c r="AE173" s="180"/>
      <c r="AF173" s="180"/>
    </row>
    <row r="174" spans="2:32" s="462" customFormat="1" ht="15" customHeight="1">
      <c r="B174" s="463"/>
      <c r="C174" s="184"/>
      <c r="D174" s="179"/>
      <c r="E174" s="184"/>
      <c r="F174" s="531"/>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c r="AE174" s="180"/>
      <c r="AF174" s="180"/>
    </row>
    <row r="175" spans="2:32" s="462" customFormat="1" ht="15" customHeight="1">
      <c r="B175" s="463"/>
      <c r="C175" s="176"/>
      <c r="D175" s="162"/>
      <c r="E175" s="163"/>
      <c r="F175" s="532"/>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row>
    <row r="176" spans="2:32" s="462" customFormat="1" ht="15" customHeight="1">
      <c r="B176" s="463"/>
      <c r="C176" s="176"/>
      <c r="D176" s="162"/>
      <c r="E176" s="163"/>
      <c r="F176" s="532"/>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c r="AE176" s="180"/>
      <c r="AF176" s="180"/>
    </row>
    <row r="177" spans="2:32" s="462" customFormat="1" ht="15" customHeight="1">
      <c r="B177" s="463"/>
      <c r="C177" s="176"/>
      <c r="D177" s="179"/>
      <c r="E177" s="163"/>
      <c r="F177" s="532"/>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row>
    <row r="178" spans="2:32" s="462" customFormat="1" ht="15" customHeight="1">
      <c r="B178" s="463"/>
      <c r="C178" s="176"/>
      <c r="D178" s="179"/>
      <c r="E178" s="163"/>
      <c r="F178" s="532"/>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c r="AE178" s="180"/>
      <c r="AF178" s="180"/>
    </row>
    <row r="179" spans="2:32" s="462" customFormat="1" ht="15" customHeight="1">
      <c r="B179" s="463"/>
      <c r="C179" s="176"/>
      <c r="D179" s="179"/>
      <c r="E179" s="163"/>
      <c r="F179" s="532"/>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c r="AE179" s="180"/>
      <c r="AF179" s="180"/>
    </row>
    <row r="180" spans="2:32" s="462" customFormat="1" ht="15" customHeight="1">
      <c r="B180" s="463"/>
      <c r="C180" s="176"/>
      <c r="D180" s="179"/>
      <c r="E180" s="163"/>
      <c r="F180" s="532"/>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row>
    <row r="181" spans="2:32" s="462" customFormat="1" ht="15" customHeight="1">
      <c r="B181" s="463"/>
      <c r="C181" s="176"/>
      <c r="D181" s="179"/>
      <c r="E181" s="163"/>
      <c r="F181" s="532"/>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row>
    <row r="182" spans="2:32" s="462" customFormat="1" ht="15" customHeight="1">
      <c r="B182" s="463"/>
      <c r="C182" s="176"/>
      <c r="D182" s="179"/>
      <c r="E182" s="163"/>
      <c r="F182" s="532"/>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row>
    <row r="183" spans="2:32" s="462" customFormat="1" ht="15" customHeight="1">
      <c r="B183" s="463"/>
      <c r="C183" s="176"/>
      <c r="D183" s="179"/>
      <c r="E183" s="163"/>
      <c r="F183" s="532"/>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row>
    <row r="184" spans="2:32" s="462" customFormat="1" ht="15" customHeight="1">
      <c r="B184" s="463"/>
      <c r="C184" s="176"/>
      <c r="D184" s="179"/>
      <c r="E184" s="163"/>
      <c r="F184" s="532"/>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row>
    <row r="185" spans="2:32" s="462" customFormat="1" ht="15" customHeight="1">
      <c r="B185" s="463"/>
      <c r="C185" s="176"/>
      <c r="D185" s="179"/>
      <c r="E185" s="163"/>
      <c r="F185" s="532"/>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row>
    <row r="186" spans="2:32" s="462" customFormat="1" ht="15" customHeight="1">
      <c r="B186" s="463"/>
      <c r="C186" s="176"/>
      <c r="D186" s="179"/>
      <c r="E186" s="163"/>
      <c r="F186" s="532"/>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row>
    <row r="187" spans="2:32" s="462" customFormat="1" ht="15" customHeight="1">
      <c r="B187" s="463"/>
      <c r="C187" s="176"/>
      <c r="D187" s="179"/>
      <c r="E187" s="163"/>
      <c r="F187" s="532"/>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row>
    <row r="188" spans="2:32" s="462" customFormat="1" ht="15" customHeight="1">
      <c r="B188" s="463"/>
      <c r="C188" s="176"/>
      <c r="D188" s="179"/>
      <c r="E188" s="163"/>
      <c r="F188" s="532"/>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row>
    <row r="189" spans="2:32" s="462" customFormat="1" ht="15" customHeight="1">
      <c r="B189" s="463"/>
      <c r="C189" s="176"/>
      <c r="D189" s="179"/>
      <c r="E189" s="163"/>
      <c r="F189" s="532"/>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row>
    <row r="190" spans="2:32" s="462" customFormat="1" ht="15" customHeight="1">
      <c r="B190" s="463"/>
      <c r="C190" s="176"/>
      <c r="D190" s="179"/>
      <c r="E190" s="163"/>
      <c r="F190" s="532"/>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row>
    <row r="191" spans="2:32" s="462" customFormat="1" ht="15" customHeight="1">
      <c r="B191" s="463"/>
      <c r="C191" s="176"/>
      <c r="D191" s="179"/>
      <c r="E191" s="163"/>
      <c r="F191" s="532"/>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row>
    <row r="192" spans="2:32" s="462" customFormat="1" ht="15" customHeight="1">
      <c r="B192" s="463"/>
      <c r="C192" s="176"/>
      <c r="D192" s="179"/>
      <c r="E192" s="163"/>
      <c r="F192" s="532"/>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row>
    <row r="193" spans="2:32" s="462" customFormat="1" ht="15" customHeight="1">
      <c r="B193" s="464"/>
      <c r="C193" s="178"/>
      <c r="D193" s="181"/>
      <c r="E193" s="182"/>
      <c r="F193" s="533"/>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row>
    <row r="194" spans="2:32" ht="15" customHeight="1">
      <c r="C194" s="17"/>
      <c r="D194" s="18"/>
      <c r="E194" s="18"/>
      <c r="F194" s="18"/>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row>
    <row r="195" spans="2:32" ht="15" customHeight="1"/>
    <row r="196" spans="2:32" ht="15" customHeight="1"/>
    <row r="197" spans="2:32" ht="15" customHeight="1"/>
    <row r="198" spans="2:32" ht="15" customHeight="1"/>
    <row r="199" spans="2:32" ht="15" customHeight="1"/>
    <row r="200" spans="2:32" ht="15" customHeight="1"/>
    <row r="201" spans="2:32" ht="15" customHeight="1"/>
    <row r="202" spans="2:32" ht="15" customHeight="1"/>
    <row r="203" spans="2:32" ht="15" customHeight="1"/>
    <row r="204" spans="2:32" ht="15" customHeight="1"/>
    <row r="205" spans="2:32" ht="15" customHeight="1"/>
    <row r="206" spans="2:32" ht="15" customHeight="1"/>
    <row r="207" spans="2:32" ht="15" customHeight="1"/>
    <row r="208" spans="2: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11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683" operator="greaterThan" id="{00000000-0000-0000-0000-000000000000}">
            <xm:f>ControlPanel!$D$59-1</xm:f>
            <x14:dxf>
              <font>
                <color rgb="FF9C6500"/>
              </font>
              <fill>
                <patternFill>
                  <fgColor indexed="64"/>
                  <bgColor rgb="FFFFEB9C"/>
                </patternFill>
              </fill>
            </x14:dxf>
          </x14:cfRule>
          <x14:cfRule type="cellIs" priority="684" operator="lessThan" id="{00000000-0000-0000-0000-000000000000}">
            <xm:f>ControlPanel!$D$59</xm:f>
            <x14:dxf>
              <font>
                <color rgb="FF006100"/>
              </font>
              <fill>
                <patternFill>
                  <fgColor indexed="64"/>
                  <bgColor rgb="FFC6EFCE"/>
                </patternFill>
              </fill>
            </x14:dxf>
          </x14:cfRule>
          <x14:cfRule type="cellIs" priority="685" operator="lessThan" id="{00000000-0000-0000-0000-000000000000}">
            <xm:f>ControlPanel!$D$59+1</xm:f>
            <x14:dxf>
              <font>
                <color rgb="FF006100"/>
              </font>
              <fill>
                <patternFill>
                  <fgColor indexed="64"/>
                  <bgColor rgb="FFC6EFCE"/>
                </patternFill>
              </fill>
            </x14:dxf>
          </x14:cfRule>
          <xm:sqref>G4:AF4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4">
    <tabColor theme="9" tint="0.39997558519241921"/>
    <pageSetUpPr fitToPage="1"/>
  </sheetPr>
  <dimension ref="A1:AE1359"/>
  <sheetViews>
    <sheetView zoomScale="85" zoomScaleNormal="85" workbookViewId="0">
      <selection activeCell="Q9" sqref="Q9"/>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394</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20</v>
      </c>
      <c r="G5" s="323" t="s">
        <v>20</v>
      </c>
      <c r="H5" s="323" t="s">
        <v>20</v>
      </c>
      <c r="I5" s="323" t="s">
        <v>20</v>
      </c>
      <c r="J5" s="323" t="s">
        <v>20</v>
      </c>
      <c r="K5" s="323" t="s">
        <v>20</v>
      </c>
      <c r="L5" s="323" t="s">
        <v>20</v>
      </c>
      <c r="M5" s="323" t="s">
        <v>20</v>
      </c>
      <c r="N5" s="323" t="s">
        <v>20</v>
      </c>
      <c r="O5" s="323" t="s">
        <v>20</v>
      </c>
      <c r="P5" s="323" t="s">
        <v>20</v>
      </c>
      <c r="Q5" s="323" t="s">
        <v>20</v>
      </c>
      <c r="R5" s="323" t="s">
        <v>20</v>
      </c>
      <c r="S5" s="323" t="s">
        <v>20</v>
      </c>
      <c r="T5" s="323" t="s">
        <v>20</v>
      </c>
      <c r="U5" s="323" t="s">
        <v>20</v>
      </c>
      <c r="V5" s="323" t="s">
        <v>20</v>
      </c>
      <c r="W5" s="323" t="s">
        <v>20</v>
      </c>
      <c r="X5" s="323" t="s">
        <v>20</v>
      </c>
      <c r="Y5" s="323" t="s">
        <v>20</v>
      </c>
      <c r="Z5" s="323" t="s">
        <v>20</v>
      </c>
      <c r="AA5" s="323" t="s">
        <v>20</v>
      </c>
      <c r="AB5" s="323" t="s">
        <v>20</v>
      </c>
      <c r="AC5" s="323" t="s">
        <v>20</v>
      </c>
      <c r="AD5" s="323" t="s">
        <v>20</v>
      </c>
      <c r="AE5" s="323" t="s">
        <v>20</v>
      </c>
    </row>
    <row r="6" spans="1:31" ht="15" customHeight="1" thickBot="1">
      <c r="B6" s="170" t="str">
        <f>ControlPanel!L27</f>
        <v>Référence</v>
      </c>
      <c r="C6" s="15" t="str">
        <f>VLOOKUP($B$6,$B$7:$AE$25,2,FALSE)</f>
        <v>mh</v>
      </c>
      <c r="D6" s="15" t="str">
        <f>VLOOKUP($B$6,$B$7:$AE$25,3,FALSE)</f>
        <v>90%</v>
      </c>
      <c r="E6" s="15">
        <f>VLOOKUP($B$6,$B$7:$AE$25,4,FALSE)</f>
        <v>0</v>
      </c>
      <c r="F6" s="14">
        <f>IF(F$4&lt;ControlPanel!$D$59-1,VLOOKUP("Référence",$B$7:$AE$25,F$4-$F$4+5,FALSE),VLOOKUP($B$6,$B$7:$AE$25,F$4-$F$4+5,FALSE))</f>
        <v>0</v>
      </c>
      <c r="G6" s="14">
        <f>IF(G$4&lt;ControlPanel!$D$59-1,VLOOKUP("Référence",$B$7:$AE$25,G$4-$F$4+5,FALSE),VLOOKUP($B$6,$B$7:$AE$25,G$4-$F$4+5,FALSE))</f>
        <v>0</v>
      </c>
      <c r="H6" s="14">
        <f>IF(H$4&lt;ControlPanel!$D$59-1,VLOOKUP("Référence",$B$7:$AE$25,H$4-$F$4+5,FALSE),VLOOKUP($B$6,$B$7:$AE$25,H$4-$F$4+5,FALSE))</f>
        <v>0</v>
      </c>
      <c r="I6" s="14">
        <f>IF(I$4&lt;ControlPanel!$D$59-1,VLOOKUP("Référence",$B$7:$AE$25,I$4-$F$4+5,FALSE),VLOOKUP($B$6,$B$7:$AE$25,I$4-$F$4+5,FALSE))</f>
        <v>0.68426197458455529</v>
      </c>
      <c r="J6" s="14">
        <f>IF(J$4&lt;ControlPanel!$D$59-1,VLOOKUP("Référence",$B$7:$AE$25,J$4-$F$4+5,FALSE),VLOOKUP($B$6,$B$7:$AE$25,J$4-$F$4+5,FALSE))</f>
        <v>0.9</v>
      </c>
      <c r="K6" s="14">
        <f>IF(K$4&lt;ControlPanel!$D$59-1,VLOOKUP("Référence",$B$7:$AE$25,K$4-$F$4+5,FALSE),VLOOKUP($B$6,$B$7:$AE$25,K$4-$F$4+5,FALSE))</f>
        <v>0.9</v>
      </c>
      <c r="L6" s="14">
        <f>IF(L$4&lt;ControlPanel!$D$59-1,VLOOKUP("Référence",$B$7:$AE$25,L$4-$F$4+5,FALSE),VLOOKUP($B$6,$B$7:$AE$25,L$4-$F$4+5,FALSE))</f>
        <v>0.9</v>
      </c>
      <c r="M6" s="14">
        <f>IF(M$4&lt;ControlPanel!$D$59-1,VLOOKUP("Référence",$B$7:$AE$25,M$4-$F$4+5,FALSE),VLOOKUP($B$6,$B$7:$AE$25,M$4-$F$4+5,FALSE))</f>
        <v>0.9</v>
      </c>
      <c r="N6" s="14">
        <f>IF(N$4&lt;ControlPanel!$D$59-1,VLOOKUP("Référence",$B$7:$AE$25,N$4-$F$4+5,FALSE),VLOOKUP($B$6,$B$7:$AE$25,N$4-$F$4+5,FALSE))</f>
        <v>0.9</v>
      </c>
      <c r="O6" s="14">
        <f>IF(O$4&lt;ControlPanel!$D$59-1,VLOOKUP("Référence",$B$7:$AE$25,O$4-$F$4+5,FALSE),VLOOKUP($B$6,$B$7:$AE$25,O$4-$F$4+5,FALSE))</f>
        <v>0.9</v>
      </c>
      <c r="P6" s="14">
        <f>IF(P$4&lt;ControlPanel!$D$59-1,VLOOKUP("Référence",$B$7:$AE$25,P$4-$F$4+5,FALSE),VLOOKUP($B$6,$B$7:$AE$25,P$4-$F$4+5,FALSE))</f>
        <v>0.9</v>
      </c>
      <c r="Q6" s="14">
        <f>IF(Q$4&lt;ControlPanel!$D$59-1,VLOOKUP("Référence",$B$7:$AE$25,Q$4-$F$4+5,FALSE),VLOOKUP($B$6,$B$7:$AE$25,Q$4-$F$4+5,FALSE))</f>
        <v>0.9</v>
      </c>
      <c r="R6" s="14">
        <f>IF(R$4&lt;ControlPanel!$D$59-1,VLOOKUP("Référence",$B$7:$AE$25,R$4-$F$4+5,FALSE),VLOOKUP($B$6,$B$7:$AE$25,R$4-$F$4+5,FALSE))</f>
        <v>0.9</v>
      </c>
      <c r="S6" s="14">
        <f>IF(S$4&lt;ControlPanel!$D$59-1,VLOOKUP("Référence",$B$7:$AE$25,S$4-$F$4+5,FALSE),VLOOKUP($B$6,$B$7:$AE$25,S$4-$F$4+5,FALSE))</f>
        <v>0.9</v>
      </c>
      <c r="T6" s="14">
        <f>IF(T$4&lt;ControlPanel!$D$59-1,VLOOKUP("Référence",$B$7:$AE$25,T$4-$F$4+5,FALSE),VLOOKUP($B$6,$B$7:$AE$25,T$4-$F$4+5,FALSE))</f>
        <v>0.9</v>
      </c>
      <c r="U6" s="14">
        <f>IF(U$4&lt;ControlPanel!$D$59-1,VLOOKUP("Référence",$B$7:$AE$25,U$4-$F$4+5,FALSE),VLOOKUP($B$6,$B$7:$AE$25,U$4-$F$4+5,FALSE))</f>
        <v>0.9</v>
      </c>
      <c r="V6" s="14">
        <f>IF(V$4&lt;ControlPanel!$D$59-1,VLOOKUP("Référence",$B$7:$AE$25,V$4-$F$4+5,FALSE),VLOOKUP($B$6,$B$7:$AE$25,V$4-$F$4+5,FALSE))</f>
        <v>0.9</v>
      </c>
      <c r="W6" s="14">
        <f>IF(W$4&lt;ControlPanel!$D$59-1,VLOOKUP("Référence",$B$7:$AE$25,W$4-$F$4+5,FALSE),VLOOKUP($B$6,$B$7:$AE$25,W$4-$F$4+5,FALSE))</f>
        <v>0.9</v>
      </c>
      <c r="X6" s="14">
        <f>IF(X$4&lt;ControlPanel!$D$59-1,VLOOKUP("Référence",$B$7:$AE$25,X$4-$F$4+5,FALSE),VLOOKUP($B$6,$B$7:$AE$25,X$4-$F$4+5,FALSE))</f>
        <v>0.9</v>
      </c>
      <c r="Y6" s="14">
        <f>IF(Y$4&lt;ControlPanel!$D$59-1,VLOOKUP("Référence",$B$7:$AE$25,Y$4-$F$4+5,FALSE),VLOOKUP($B$6,$B$7:$AE$25,Y$4-$F$4+5,FALSE))</f>
        <v>0.9</v>
      </c>
      <c r="Z6" s="14">
        <f>IF(Z$4&lt;ControlPanel!$D$59-1,VLOOKUP("Référence",$B$7:$AE$25,Z$4-$F$4+5,FALSE),VLOOKUP($B$6,$B$7:$AE$25,Z$4-$F$4+5,FALSE))</f>
        <v>0.9</v>
      </c>
      <c r="AA6" s="14">
        <f>IF(AA$4&lt;ControlPanel!$D$59-1,VLOOKUP("Référence",$B$7:$AE$25,AA$4-$F$4+5,FALSE),VLOOKUP($B$6,$B$7:$AE$25,AA$4-$F$4+5,FALSE))</f>
        <v>0.9</v>
      </c>
      <c r="AB6" s="14">
        <f>IF(AB$4&lt;ControlPanel!$D$59-1,VLOOKUP("Référence",$B$7:$AE$25,AB$4-$F$4+5,FALSE),VLOOKUP($B$6,$B$7:$AE$25,AB$4-$F$4+5,FALSE))</f>
        <v>0.9</v>
      </c>
      <c r="AC6" s="14">
        <f>IF(AC$4&lt;ControlPanel!$D$59-1,VLOOKUP("Référence",$B$7:$AE$25,AC$4-$F$4+5,FALSE),VLOOKUP($B$6,$B$7:$AE$25,AC$4-$F$4+5,FALSE))</f>
        <v>0.9</v>
      </c>
      <c r="AD6" s="14">
        <f>IF(AD$4&lt;ControlPanel!$D$59-1,VLOOKUP("Référence",$B$7:$AE$25,AD$4-$F$4+5,FALSE),VLOOKUP($B$6,$B$7:$AE$25,AD$4-$F$4+5,FALSE))</f>
        <v>0.9</v>
      </c>
      <c r="AE6" s="14">
        <f>IF(AE$4&lt;ControlPanel!$D$59-1,VLOOKUP("Référence",$B$7:$AE$25,AE$4-$F$4+5,FALSE),VLOOKUP($B$6,$B$7:$AE$25,AE$4-$F$4+5,FALSE))</f>
        <v>0.9</v>
      </c>
    </row>
    <row r="7" spans="1:31" ht="15" customHeight="1">
      <c r="B7" s="16" t="s">
        <v>409</v>
      </c>
      <c r="C7" s="12" t="s">
        <v>48</v>
      </c>
      <c r="D7" s="331" t="s">
        <v>100</v>
      </c>
      <c r="E7" s="542"/>
      <c r="F7" s="321"/>
      <c r="G7" s="321"/>
      <c r="H7" s="321"/>
      <c r="I7" s="321">
        <f>35/51.15</f>
        <v>0.68426197458455529</v>
      </c>
      <c r="J7" s="321">
        <v>0.9</v>
      </c>
      <c r="K7" s="321">
        <v>0.9</v>
      </c>
      <c r="L7" s="321">
        <v>0.9</v>
      </c>
      <c r="M7" s="321">
        <v>0.9</v>
      </c>
      <c r="N7" s="321">
        <v>0.9</v>
      </c>
      <c r="O7" s="321">
        <v>0.9</v>
      </c>
      <c r="P7" s="321">
        <v>0.9</v>
      </c>
      <c r="Q7" s="321">
        <v>0.9</v>
      </c>
      <c r="R7" s="321">
        <v>0.9</v>
      </c>
      <c r="S7" s="321">
        <v>0.9</v>
      </c>
      <c r="T7" s="321">
        <v>0.9</v>
      </c>
      <c r="U7" s="321">
        <v>0.9</v>
      </c>
      <c r="V7" s="321">
        <v>0.9</v>
      </c>
      <c r="W7" s="321">
        <v>0.9</v>
      </c>
      <c r="X7" s="321">
        <v>0.9</v>
      </c>
      <c r="Y7" s="321">
        <v>0.9</v>
      </c>
      <c r="Z7" s="321">
        <v>0.9</v>
      </c>
      <c r="AA7" s="321">
        <v>0.9</v>
      </c>
      <c r="AB7" s="321">
        <v>0.9</v>
      </c>
      <c r="AC7" s="321">
        <v>0.9</v>
      </c>
      <c r="AD7" s="321">
        <v>0.9</v>
      </c>
      <c r="AE7" s="321">
        <v>0.9</v>
      </c>
    </row>
    <row r="8" spans="1:31" s="462" customFormat="1" ht="15" customHeight="1">
      <c r="A8" s="9"/>
      <c r="B8" s="168"/>
      <c r="C8" s="12"/>
      <c r="D8" s="331"/>
      <c r="E8" s="542"/>
      <c r="F8" s="321"/>
      <c r="G8" s="321"/>
      <c r="H8" s="321"/>
      <c r="I8" s="321"/>
      <c r="J8" s="321"/>
      <c r="K8" s="321"/>
      <c r="L8" s="321"/>
      <c r="M8" s="321"/>
      <c r="N8" s="321"/>
      <c r="O8" s="321"/>
      <c r="P8" s="321"/>
      <c r="Q8" s="321"/>
      <c r="R8" s="321"/>
      <c r="S8" s="321"/>
      <c r="T8" s="321"/>
      <c r="U8" s="321"/>
      <c r="V8" s="321"/>
      <c r="W8" s="321"/>
      <c r="X8" s="321"/>
      <c r="Y8" s="321"/>
      <c r="Z8" s="321"/>
      <c r="AA8" s="321"/>
      <c r="AB8" s="321"/>
      <c r="AC8" s="321"/>
      <c r="AD8" s="321"/>
      <c r="AE8" s="321"/>
    </row>
    <row r="9" spans="1:31" s="462" customFormat="1" ht="15" customHeight="1">
      <c r="A9" s="9"/>
      <c r="B9" s="169" t="s">
        <v>113</v>
      </c>
      <c r="C9" s="12" t="s">
        <v>106</v>
      </c>
      <c r="D9" s="421" t="s">
        <v>113</v>
      </c>
      <c r="E9" s="543"/>
      <c r="F9" s="321"/>
      <c r="G9" s="321"/>
      <c r="H9" s="321"/>
      <c r="I9" s="321"/>
      <c r="J9" s="321"/>
      <c r="K9" s="321"/>
      <c r="L9" s="321"/>
      <c r="M9" s="321"/>
      <c r="N9" s="321"/>
      <c r="O9" s="321"/>
      <c r="P9" s="321">
        <v>1</v>
      </c>
      <c r="Q9" s="321">
        <v>1</v>
      </c>
      <c r="R9" s="321">
        <v>1</v>
      </c>
      <c r="S9" s="321">
        <v>1</v>
      </c>
      <c r="T9" s="321">
        <v>1</v>
      </c>
      <c r="U9" s="321">
        <v>1</v>
      </c>
      <c r="V9" s="321">
        <v>1</v>
      </c>
      <c r="W9" s="321">
        <v>1</v>
      </c>
      <c r="X9" s="321">
        <v>1</v>
      </c>
      <c r="Y9" s="321">
        <v>1</v>
      </c>
      <c r="Z9" s="321">
        <v>1</v>
      </c>
      <c r="AA9" s="321">
        <v>1</v>
      </c>
      <c r="AB9" s="321">
        <v>1</v>
      </c>
      <c r="AC9" s="321">
        <v>1</v>
      </c>
      <c r="AD9" s="321">
        <v>1</v>
      </c>
      <c r="AE9" s="321">
        <v>1</v>
      </c>
    </row>
    <row r="10" spans="1:31" s="462" customFormat="1" ht="15" customHeight="1">
      <c r="A10" s="9"/>
      <c r="B10" s="169" t="s">
        <v>164</v>
      </c>
      <c r="C10" s="12" t="s">
        <v>106</v>
      </c>
      <c r="D10" s="421" t="s">
        <v>164</v>
      </c>
      <c r="E10" s="543"/>
      <c r="F10" s="321"/>
      <c r="G10" s="321"/>
      <c r="H10" s="321"/>
      <c r="I10" s="321"/>
      <c r="J10" s="321"/>
      <c r="K10" s="321"/>
      <c r="L10" s="321"/>
      <c r="M10" s="321"/>
      <c r="N10" s="321"/>
      <c r="O10" s="321"/>
      <c r="P10" s="321">
        <v>0.8</v>
      </c>
      <c r="Q10" s="321">
        <v>0.8</v>
      </c>
      <c r="R10" s="321">
        <v>0.8</v>
      </c>
      <c r="S10" s="321">
        <v>0.8</v>
      </c>
      <c r="T10" s="321">
        <v>0.8</v>
      </c>
      <c r="U10" s="321">
        <v>0.8</v>
      </c>
      <c r="V10" s="321">
        <v>0.8</v>
      </c>
      <c r="W10" s="321">
        <v>0.8</v>
      </c>
      <c r="X10" s="321">
        <v>0.8</v>
      </c>
      <c r="Y10" s="321">
        <v>0.8</v>
      </c>
      <c r="Z10" s="321">
        <v>0.8</v>
      </c>
      <c r="AA10" s="321">
        <v>0.8</v>
      </c>
      <c r="AB10" s="321">
        <v>0.8</v>
      </c>
      <c r="AC10" s="321">
        <v>0.8</v>
      </c>
      <c r="AD10" s="321">
        <v>0.8</v>
      </c>
      <c r="AE10" s="321">
        <v>0.8</v>
      </c>
    </row>
    <row r="11" spans="1:31" s="462" customFormat="1" ht="15" customHeight="1">
      <c r="A11" s="9"/>
      <c r="B11" s="169" t="s">
        <v>165</v>
      </c>
      <c r="C11" s="322" t="s">
        <v>106</v>
      </c>
      <c r="D11" s="421" t="s">
        <v>165</v>
      </c>
      <c r="E11" s="1190"/>
      <c r="F11" s="321"/>
      <c r="G11" s="321"/>
      <c r="H11" s="321"/>
      <c r="I11" s="321"/>
      <c r="J11" s="321"/>
      <c r="K11" s="321"/>
      <c r="L11" s="321"/>
      <c r="M11" s="321"/>
      <c r="N11" s="321"/>
      <c r="O11" s="321"/>
      <c r="P11" s="321">
        <v>0.7</v>
      </c>
      <c r="Q11" s="321">
        <v>0.7</v>
      </c>
      <c r="R11" s="321">
        <v>0.7</v>
      </c>
      <c r="S11" s="321">
        <v>0.7</v>
      </c>
      <c r="T11" s="321">
        <v>0.7</v>
      </c>
      <c r="U11" s="321">
        <v>0.7</v>
      </c>
      <c r="V11" s="321">
        <v>0.7</v>
      </c>
      <c r="W11" s="321">
        <v>0.7</v>
      </c>
      <c r="X11" s="321">
        <v>0.7</v>
      </c>
      <c r="Y11" s="321">
        <v>0.7</v>
      </c>
      <c r="Z11" s="321">
        <v>0.7</v>
      </c>
      <c r="AA11" s="321">
        <v>0.7</v>
      </c>
      <c r="AB11" s="321">
        <v>0.7</v>
      </c>
      <c r="AC11" s="321">
        <v>0.7</v>
      </c>
      <c r="AD11" s="321">
        <v>0.7</v>
      </c>
      <c r="AE11" s="321">
        <v>0.7</v>
      </c>
    </row>
    <row r="12" spans="1:31" s="462" customFormat="1" ht="15" customHeight="1">
      <c r="B12" s="176"/>
      <c r="C12" s="162"/>
      <c r="D12" s="163"/>
      <c r="E12" s="532"/>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row>
    <row r="13" spans="1:31" s="462" customFormat="1" ht="15" customHeight="1">
      <c r="B13" s="176"/>
      <c r="C13" s="162"/>
      <c r="D13" s="163"/>
      <c r="E13" s="532"/>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row>
    <row r="14" spans="1:31" s="462" customFormat="1" ht="15" customHeight="1">
      <c r="B14" s="176"/>
      <c r="C14" s="162"/>
      <c r="D14" s="163"/>
      <c r="E14" s="532"/>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row>
    <row r="15" spans="1:31" s="462" customFormat="1" ht="15" customHeight="1">
      <c r="B15" s="176"/>
      <c r="C15" s="179"/>
      <c r="D15" s="163"/>
      <c r="E15" s="532"/>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s="462" customFormat="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s="462" customFormat="1" ht="15" customHeight="1">
      <c r="B17" s="176"/>
      <c r="C17" s="179"/>
      <c r="D17" s="163"/>
      <c r="E17" s="53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s="462" customFormat="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s="462" customFormat="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s="462" customFormat="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s="462" customFormat="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2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DCC25830-A4B7-41B4-962B-9579398368BA}">
            <xm:f>ControlPanel!$D$59-1</xm:f>
            <x14:dxf>
              <font>
                <color rgb="FF9C6500"/>
              </font>
              <fill>
                <patternFill>
                  <fgColor indexed="64"/>
                  <bgColor rgb="FFFFEB9C"/>
                </patternFill>
              </fill>
            </x14:dxf>
          </x14:cfRule>
          <x14:cfRule type="cellIs" priority="2" operator="lessThan" id="{26491A28-F29E-45B7-A83A-3AE7490BD661}">
            <xm:f>ControlPanel!$D$59</xm:f>
            <x14:dxf>
              <font>
                <color rgb="FF006100"/>
              </font>
              <fill>
                <patternFill>
                  <fgColor indexed="64"/>
                  <bgColor rgb="FFC6EFCE"/>
                </patternFill>
              </fill>
            </x14:dxf>
          </x14:cfRule>
          <x14:cfRule type="cellIs" priority="3" operator="lessThan" id="{0DAA315A-78AE-4369-A1A0-F55315670411}">
            <xm:f>ControlPanel!$D$59+1</xm:f>
            <x14:dxf>
              <font>
                <color rgb="FF006100"/>
              </font>
              <fill>
                <patternFill>
                  <fgColor indexed="64"/>
                  <bgColor rgb="FFC6EFCE"/>
                </patternFill>
              </fill>
            </x14:dxf>
          </x14:cfRule>
          <xm:sqref>F4:AE4</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40">
    <tabColor theme="9" tint="0.39997558519241921"/>
  </sheetPr>
  <dimension ref="A1:AF1191"/>
  <sheetViews>
    <sheetView zoomScaleNormal="100" workbookViewId="0">
      <pane xSplit="6" ySplit="4" topLeftCell="T5" activePane="bottomRight" state="frozen"/>
      <selection activeCell="I45" sqref="I45"/>
      <selection pane="topRight" activeCell="I45" sqref="I45"/>
      <selection pane="bottomLeft" activeCell="I45" sqref="I45"/>
      <selection pane="bottomRight" activeCell="AA18" sqref="AA18"/>
    </sheetView>
  </sheetViews>
  <sheetFormatPr defaultColWidth="11.5546875" defaultRowHeight="13.2" outlineLevelCol="2"/>
  <cols>
    <col min="1" max="1" width="3.6640625" style="9" customWidth="1"/>
    <col min="2" max="2" width="17.5546875" style="9" customWidth="1"/>
    <col min="3" max="3" width="12.33203125" style="294" customWidth="1"/>
    <col min="4" max="4" width="7.44140625" style="10" customWidth="1" outlineLevel="2"/>
    <col min="5" max="5" width="28.44140625" style="10" customWidth="1"/>
    <col min="6" max="6" width="67" style="10" bestFit="1" customWidth="1"/>
    <col min="7" max="14" width="8.6640625" style="9" customWidth="1"/>
    <col min="15" max="18" width="8.6640625" style="9" customWidth="1" outlineLevel="1"/>
    <col min="19" max="19" width="9.33203125" style="9" bestFit="1" customWidth="1" outlineLevel="1"/>
    <col min="20" max="32" width="8.6640625" style="9" customWidth="1" outlineLevel="1"/>
    <col min="33" max="16384" width="11.5546875" style="9"/>
  </cols>
  <sheetData>
    <row r="1" spans="1:32">
      <c r="A1" s="41" t="s">
        <v>74</v>
      </c>
      <c r="B1" s="20" t="s">
        <v>828</v>
      </c>
      <c r="C1" s="20"/>
      <c r="D1" s="19"/>
      <c r="E1" s="19"/>
      <c r="F1" s="19"/>
    </row>
    <row r="2" spans="1:32">
      <c r="B2" s="37"/>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1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13"/>
      <c r="E5" s="16"/>
      <c r="G5" s="323" t="s">
        <v>13</v>
      </c>
      <c r="H5" s="323" t="s">
        <v>13</v>
      </c>
      <c r="I5" s="323" t="s">
        <v>13</v>
      </c>
      <c r="J5" s="323" t="s">
        <v>13</v>
      </c>
      <c r="K5" s="323" t="s">
        <v>13</v>
      </c>
      <c r="L5" s="323" t="s">
        <v>13</v>
      </c>
      <c r="M5" s="323" t="s">
        <v>13</v>
      </c>
      <c r="N5" s="323" t="s">
        <v>13</v>
      </c>
      <c r="O5" s="323" t="s">
        <v>13</v>
      </c>
      <c r="P5" s="323" t="s">
        <v>13</v>
      </c>
      <c r="Q5" s="323" t="s">
        <v>13</v>
      </c>
      <c r="R5" s="323" t="s">
        <v>13</v>
      </c>
      <c r="S5" s="323" t="s">
        <v>13</v>
      </c>
      <c r="T5" s="323" t="s">
        <v>13</v>
      </c>
      <c r="U5" s="323" t="s">
        <v>13</v>
      </c>
      <c r="V5" s="323" t="s">
        <v>13</v>
      </c>
      <c r="W5" s="323" t="s">
        <v>13</v>
      </c>
      <c r="X5" s="323" t="s">
        <v>13</v>
      </c>
      <c r="Y5" s="323" t="s">
        <v>13</v>
      </c>
      <c r="Z5" s="323" t="s">
        <v>13</v>
      </c>
      <c r="AA5" s="323" t="s">
        <v>13</v>
      </c>
      <c r="AB5" s="323" t="s">
        <v>13</v>
      </c>
      <c r="AC5" s="323" t="s">
        <v>13</v>
      </c>
      <c r="AD5" s="323" t="s">
        <v>13</v>
      </c>
      <c r="AE5" s="323" t="s">
        <v>13</v>
      </c>
      <c r="AF5" s="323" t="s">
        <v>13</v>
      </c>
    </row>
    <row r="6" spans="1:32" ht="15" customHeight="1" thickBot="1">
      <c r="B6" s="166" t="s">
        <v>529</v>
      </c>
      <c r="C6" s="175" t="str">
        <f>ControlPanel!L39</f>
        <v>Référence</v>
      </c>
      <c r="D6" s="15" t="str">
        <f>VLOOKUP($C$6,$C$13:$AF$37,2,FALSE)</f>
        <v>fh</v>
      </c>
      <c r="E6" s="15" t="str">
        <f>VLOOKUP($C$6,$C$13:$AF$37,3,FALSE)</f>
        <v>100%</v>
      </c>
      <c r="F6" s="15" t="str">
        <f>VLOOKUP($C$6,$C$13:$AF$37,4,FALSE)</f>
        <v>Valeurs jusqu'en 2025: scénario de référence MFP, par la suite constant à 100%</v>
      </c>
      <c r="G6" s="244">
        <f>IF(G$4&lt;ControlPanel!$D$59,VLOOKUP("Référence",$C$13:$AF$37,G$4-$G$4+5,FALSE),VLOOKUP($C$6,$C$13:$AF$37,G$4-$G$4+5,FALSE))</f>
        <v>1</v>
      </c>
      <c r="H6" s="244">
        <f>IF(H$4&lt;ControlPanel!$D$59,VLOOKUP("Référence",$C$13:$AF$37,H$4-$G$4+5,FALSE),VLOOKUP($C$6,$C$13:$AF$37,H$4-$G$4+5,FALSE))</f>
        <v>1</v>
      </c>
      <c r="I6" s="244">
        <f>IF(I$4&lt;ControlPanel!$D$59,VLOOKUP("Référence",$C$13:$AF$37,I$4-$G$4+5,FALSE),VLOOKUP($C$6,$C$13:$AF$37,I$4-$G$4+5,FALSE))</f>
        <v>1</v>
      </c>
      <c r="J6" s="244">
        <f>IF(J$4&lt;ControlPanel!$D$59,VLOOKUP("Référence",$C$13:$AF$37,J$4-$G$4+5,FALSE),VLOOKUP($C$6,$C$13:$AF$37,J$4-$G$4+5,FALSE))</f>
        <v>1</v>
      </c>
      <c r="K6" s="244">
        <f>IF(K$4&lt;ControlPanel!$D$59,VLOOKUP("Référence",$C$13:$AF$37,K$4-$G$4+5,FALSE),VLOOKUP($C$6,$C$13:$AF$37,K$4-$G$4+5,FALSE))</f>
        <v>1</v>
      </c>
      <c r="L6" s="244">
        <f>IF(L$4&lt;ControlPanel!$D$59,VLOOKUP("Référence",$C$13:$AF$37,L$4-$G$4+5,FALSE),VLOOKUP($C$6,$C$13:$AF$37,L$4-$G$4+5,FALSE))</f>
        <v>1</v>
      </c>
      <c r="M6" s="244">
        <f>IF(M$4&lt;ControlPanel!$D$59,VLOOKUP("Référence",$C$13:$AF$37,M$4-$G$4+5,FALSE),VLOOKUP($C$6,$C$13:$AF$37,M$4-$G$4+5,FALSE))</f>
        <v>1</v>
      </c>
      <c r="N6" s="244">
        <f>IF(N$4&lt;ControlPanel!$D$59,VLOOKUP("Référence",$C$13:$AF$37,N$4-$G$4+5,FALSE),VLOOKUP($C$6,$C$13:$AF$37,N$4-$G$4+5,FALSE))</f>
        <v>1</v>
      </c>
      <c r="O6" s="244">
        <f>IF(O$4&lt;ControlPanel!$D$59,VLOOKUP("Référence",$C$13:$AF$37,O$4-$G$4+5,FALSE),VLOOKUP($C$6,$C$13:$AF$37,O$4-$G$4+5,FALSE))</f>
        <v>1</v>
      </c>
      <c r="P6" s="244">
        <f>IF(P$4&lt;ControlPanel!$D$59,VLOOKUP("Référence",$C$13:$AF$37,P$4-$G$4+5,FALSE),VLOOKUP($C$6,$C$13:$AF$37,P$4-$G$4+5,FALSE))</f>
        <v>1</v>
      </c>
      <c r="Q6" s="244">
        <f>IF(Q$4&lt;ControlPanel!$D$59,VLOOKUP("Référence",$C$13:$AF$37,Q$4-$G$4+5,FALSE),VLOOKUP($C$6,$C$13:$AF$37,Q$4-$G$4+5,FALSE))</f>
        <v>1</v>
      </c>
      <c r="R6" s="244">
        <f>IF(R$4&lt;ControlPanel!$D$59,VLOOKUP("Référence",$C$13:$AF$37,R$4-$G$4+5,FALSE),VLOOKUP($C$6,$C$13:$AF$37,R$4-$G$4+5,FALSE))</f>
        <v>1</v>
      </c>
      <c r="S6" s="244">
        <f>IF(S$4&lt;ControlPanel!$D$59,VLOOKUP("Référence",$C$13:$AF$37,S$4-$G$4+5,FALSE),VLOOKUP($C$6,$C$13:$AF$37,S$4-$G$4+5,FALSE))</f>
        <v>1</v>
      </c>
      <c r="T6" s="244">
        <f>IF(T$4&lt;ControlPanel!$D$59,VLOOKUP("Référence",$C$13:$AF$37,T$4-$G$4+5,FALSE),VLOOKUP($C$6,$C$13:$AF$37,T$4-$G$4+5,FALSE))</f>
        <v>1</v>
      </c>
      <c r="U6" s="42">
        <f>IF(U$4&lt;ControlPanel!$D$59,VLOOKUP("Référence",$C$13:$AF$37,U$4-$G$4+5,FALSE),VLOOKUP($C$6,$C$13:$AF$37,U$4-$G$4+5,FALSE))</f>
        <v>1</v>
      </c>
      <c r="V6" s="42">
        <f>IF(V$4&lt;ControlPanel!$D$59,VLOOKUP("Référence",$C$13:$AF$37,V$4-$G$4+5,FALSE),VLOOKUP($C$6,$C$13:$AF$37,V$4-$G$4+5,FALSE))</f>
        <v>1</v>
      </c>
      <c r="W6" s="42">
        <f>IF(W$4&lt;ControlPanel!$D$59,VLOOKUP("Référence",$C$13:$AF$37,W$4-$G$4+5,FALSE),VLOOKUP($C$6,$C$13:$AF$37,W$4-$G$4+5,FALSE))</f>
        <v>1</v>
      </c>
      <c r="X6" s="42">
        <f>IF(X$4&lt;ControlPanel!$D$59,VLOOKUP("Référence",$C$13:$AF$37,X$4-$G$4+5,FALSE),VLOOKUP($C$6,$C$13:$AF$37,X$4-$G$4+5,FALSE))</f>
        <v>1</v>
      </c>
      <c r="Y6" s="42">
        <f>IF(Y$4&lt;ControlPanel!$D$59,VLOOKUP("Référence",$C$13:$AF$37,Y$4-$G$4+5,FALSE),VLOOKUP($C$6,$C$13:$AF$37,Y$4-$G$4+5,FALSE))</f>
        <v>1</v>
      </c>
      <c r="Z6" s="42">
        <f>IF(Z$4&lt;ControlPanel!$D$59,VLOOKUP("Référence",$C$13:$AF$37,Z$4-$G$4+5,FALSE),VLOOKUP($C$6,$C$13:$AF$37,Z$4-$G$4+5,FALSE))</f>
        <v>1</v>
      </c>
      <c r="AA6" s="42">
        <f>IF(AA$4&lt;ControlPanel!$D$59,VLOOKUP("Référence",$C$13:$AF$37,AA$4-$G$4+5,FALSE),VLOOKUP($C$6,$C$13:$AF$37,AA$4-$G$4+5,FALSE))</f>
        <v>1</v>
      </c>
      <c r="AB6" s="42">
        <f>IF(AB$4&lt;ControlPanel!$D$59,VLOOKUP("Référence",$C$13:$AF$37,AB$4-$G$4+5,FALSE),VLOOKUP($C$6,$C$13:$AF$37,AB$4-$G$4+5,FALSE))</f>
        <v>1</v>
      </c>
      <c r="AC6" s="42">
        <f>IF(AC$4&lt;ControlPanel!$D$59,VLOOKUP("Référence",$C$13:$AF$37,AC$4-$G$4+5,FALSE),VLOOKUP($C$6,$C$13:$AF$37,AC$4-$G$4+5,FALSE))</f>
        <v>1</v>
      </c>
      <c r="AD6" s="42">
        <f>IF(AD$4&lt;ControlPanel!$D$59,VLOOKUP("Référence",$C$13:$AF$37,AD$4-$G$4+5,FALSE),VLOOKUP($C$6,$C$13:$AF$37,AD$4-$G$4+5,FALSE))</f>
        <v>1</v>
      </c>
      <c r="AE6" s="42">
        <f>IF(AE$4&lt;ControlPanel!$D$59,VLOOKUP("Référence",$C$13:$AF$37,AE$4-$G$4+5,FALSE),VLOOKUP($C$6,$C$13:$AF$37,AE$4-$G$4+5,FALSE))</f>
        <v>1</v>
      </c>
      <c r="AF6" s="42">
        <f>IF(AF$4&lt;ControlPanel!$D$59,VLOOKUP("Référence",$C$13:$AF$37,AF$4-$G$4+5,FALSE),VLOOKUP($C$6,$C$13:$AF$37,AF$4-$G$4+5,FALSE))</f>
        <v>1</v>
      </c>
    </row>
    <row r="7" spans="1:32" ht="15" customHeight="1" thickBot="1">
      <c r="B7" s="165" t="s">
        <v>349</v>
      </c>
      <c r="C7" s="175" t="str">
        <f>ControlPanel!L40</f>
        <v>Référence</v>
      </c>
      <c r="D7" s="15" t="str">
        <f>VLOOKUP($C$7,$C$39:$AF$63,2,FALSE)</f>
        <v>fh</v>
      </c>
      <c r="E7" s="15" t="str">
        <f>VLOOKUP($C$7,$C$39:$AF$63,3,FALSE)</f>
        <v>100%</v>
      </c>
      <c r="F7" s="15" t="str">
        <f>VLOOKUP($C$7,$C$39:$AF$63,4,FALSE)</f>
        <v>Valeurs jusqu'en 2025: scénario de référence MFP, par la suite constant à 100%</v>
      </c>
      <c r="G7" s="244">
        <f>IF(G$4&lt;ControlPanel!$D$59,VLOOKUP("Référence",$C$39:$AF$63,G$4-$G$4+5,FALSE),VLOOKUP($C$7,$C$39:$AF$63,G$4-$G$4+5,FALSE))</f>
        <v>1</v>
      </c>
      <c r="H7" s="244">
        <f>IF(H$4&lt;ControlPanel!$D$59,VLOOKUP("Référence",$C$39:$AF$63,H$4-$G$4+5,FALSE),VLOOKUP($C$7,$C$39:$AF$63,H$4-$G$4+5,FALSE))</f>
        <v>1</v>
      </c>
      <c r="I7" s="244">
        <f>IF(I$4&lt;ControlPanel!$D$59,VLOOKUP("Référence",$C$39:$AF$63,I$4-$G$4+5,FALSE),VLOOKUP($C$7,$C$39:$AF$63,I$4-$G$4+5,FALSE))</f>
        <v>1</v>
      </c>
      <c r="J7" s="244">
        <f>IF(J$4&lt;ControlPanel!$D$59,VLOOKUP("Référence",$C$39:$AF$63,J$4-$G$4+5,FALSE),VLOOKUP($C$7,$C$39:$AF$63,J$4-$G$4+5,FALSE))</f>
        <v>1</v>
      </c>
      <c r="K7" s="244">
        <f>IF(K$4&lt;ControlPanel!$D$59,VLOOKUP("Référence",$C$39:$AF$63,K$4-$G$4+5,FALSE),VLOOKUP($C$7,$C$39:$AF$63,K$4-$G$4+5,FALSE))</f>
        <v>1</v>
      </c>
      <c r="L7" s="244">
        <f>IF(L$4&lt;ControlPanel!$D$59,VLOOKUP("Référence",$C$39:$AF$63,L$4-$G$4+5,FALSE),VLOOKUP($C$7,$C$39:$AF$63,L$4-$G$4+5,FALSE))</f>
        <v>1</v>
      </c>
      <c r="M7" s="244">
        <f>IF(M$4&lt;ControlPanel!$D$59,VLOOKUP("Référence",$C$39:$AF$63,M$4-$G$4+5,FALSE),VLOOKUP($C$7,$C$39:$AF$63,M$4-$G$4+5,FALSE))</f>
        <v>1</v>
      </c>
      <c r="N7" s="244">
        <f>IF(N$4&lt;ControlPanel!$D$59,VLOOKUP("Référence",$C$39:$AF$63,N$4-$G$4+5,FALSE),VLOOKUP($C$7,$C$39:$AF$63,N$4-$G$4+5,FALSE))</f>
        <v>1</v>
      </c>
      <c r="O7" s="244">
        <f>IF(O$4&lt;ControlPanel!$D$59,VLOOKUP("Référence",$C$39:$AF$63,O$4-$G$4+5,FALSE),VLOOKUP($C$7,$C$39:$AF$63,O$4-$G$4+5,FALSE))</f>
        <v>1</v>
      </c>
      <c r="P7" s="244">
        <f>IF(P$4&lt;ControlPanel!$D$59,VLOOKUP("Référence",$C$39:$AF$63,P$4-$G$4+5,FALSE),VLOOKUP($C$7,$C$39:$AF$63,P$4-$G$4+5,FALSE))</f>
        <v>1</v>
      </c>
      <c r="Q7" s="244">
        <f>IF(Q$4&lt;ControlPanel!$D$59,VLOOKUP("Référence",$C$39:$AF$63,Q$4-$G$4+5,FALSE),VLOOKUP($C$7,$C$39:$AF$63,Q$4-$G$4+5,FALSE))</f>
        <v>1</v>
      </c>
      <c r="R7" s="244">
        <f>IF(R$4&lt;ControlPanel!$D$59,VLOOKUP("Référence",$C$39:$AF$63,R$4-$G$4+5,FALSE),VLOOKUP($C$7,$C$39:$AF$63,R$4-$G$4+5,FALSE))</f>
        <v>1</v>
      </c>
      <c r="S7" s="244">
        <f>IF(S$4&lt;ControlPanel!$D$59,VLOOKUP("Référence",$C$39:$AF$63,S$4-$G$4+5,FALSE),VLOOKUP($C$7,$C$39:$AF$63,S$4-$G$4+5,FALSE))</f>
        <v>1</v>
      </c>
      <c r="T7" s="244">
        <f>IF(T$4&lt;ControlPanel!$D$59,VLOOKUP("Référence",$C$39:$AF$63,T$4-$G$4+5,FALSE),VLOOKUP($C$7,$C$39:$AF$63,T$4-$G$4+5,FALSE))</f>
        <v>1</v>
      </c>
      <c r="U7" s="244">
        <f>IF(U$4&lt;ControlPanel!$D$59,VLOOKUP("Référence",$C$39:$AF$63,U$4-$G$4+5,FALSE),VLOOKUP($C$7,$C$39:$AF$63,U$4-$G$4+5,FALSE))</f>
        <v>1</v>
      </c>
      <c r="V7" s="244">
        <f>IF(V$4&lt;ControlPanel!$D$59,VLOOKUP("Référence",$C$39:$AF$63,V$4-$G$4+5,FALSE),VLOOKUP($C$7,$C$39:$AF$63,V$4-$G$4+5,FALSE))</f>
        <v>1</v>
      </c>
      <c r="W7" s="244">
        <f>IF(W$4&lt;ControlPanel!$D$59,VLOOKUP("Référence",$C$39:$AF$63,W$4-$G$4+5,FALSE),VLOOKUP($C$7,$C$39:$AF$63,W$4-$G$4+5,FALSE))</f>
        <v>1</v>
      </c>
      <c r="X7" s="244">
        <f>IF(X$4&lt;ControlPanel!$D$59,VLOOKUP("Référence",$C$39:$AF$63,X$4-$G$4+5,FALSE),VLOOKUP($C$7,$C$39:$AF$63,X$4-$G$4+5,FALSE))</f>
        <v>1</v>
      </c>
      <c r="Y7" s="244">
        <f>IF(Y$4&lt;ControlPanel!$D$59,VLOOKUP("Référence",$C$39:$AF$63,Y$4-$G$4+5,FALSE),VLOOKUP($C$7,$C$39:$AF$63,Y$4-$G$4+5,FALSE))</f>
        <v>1</v>
      </c>
      <c r="Z7" s="244">
        <f>IF(Z$4&lt;ControlPanel!$D$59,VLOOKUP("Référence",$C$39:$AF$63,Z$4-$G$4+5,FALSE),VLOOKUP($C$7,$C$39:$AF$63,Z$4-$G$4+5,FALSE))</f>
        <v>1</v>
      </c>
      <c r="AA7" s="244">
        <f>IF(AA$4&lt;ControlPanel!$D$59,VLOOKUP("Référence",$C$39:$AF$63,AA$4-$G$4+5,FALSE),VLOOKUP($C$7,$C$39:$AF$63,AA$4-$G$4+5,FALSE))</f>
        <v>1</v>
      </c>
      <c r="AB7" s="244">
        <f>IF(AB$4&lt;ControlPanel!$D$59,VLOOKUP("Référence",$C$39:$AF$63,AB$4-$G$4+5,FALSE),VLOOKUP($C$7,$C$39:$AF$63,AB$4-$G$4+5,FALSE))</f>
        <v>1</v>
      </c>
      <c r="AC7" s="244">
        <f>IF(AC$4&lt;ControlPanel!$D$59,VLOOKUP("Référence",$C$39:$AF$63,AC$4-$G$4+5,FALSE),VLOOKUP($C$7,$C$39:$AF$63,AC$4-$G$4+5,FALSE))</f>
        <v>1</v>
      </c>
      <c r="AD7" s="244">
        <f>IF(AD$4&lt;ControlPanel!$D$59,VLOOKUP("Référence",$C$39:$AF$63,AD$4-$G$4+5,FALSE),VLOOKUP($C$7,$C$39:$AF$63,AD$4-$G$4+5,FALSE))</f>
        <v>1</v>
      </c>
      <c r="AE7" s="244">
        <f>IF(AE$4&lt;ControlPanel!$D$59,VLOOKUP("Référence",$C$39:$AF$63,AE$4-$G$4+5,FALSE),VLOOKUP($C$7,$C$39:$AF$63,AE$4-$G$4+5,FALSE))</f>
        <v>1</v>
      </c>
      <c r="AF7" s="244">
        <f>IF(AF$4&lt;ControlPanel!$D$59,VLOOKUP("Référence",$C$39:$AF$63,AF$4-$G$4+5,FALSE),VLOOKUP($C$7,$C$39:$AF$63,AF$4-$G$4+5,FALSE))</f>
        <v>1</v>
      </c>
    </row>
    <row r="8" spans="1:32" ht="15" customHeight="1" thickBot="1">
      <c r="B8" s="165" t="s">
        <v>11</v>
      </c>
      <c r="C8" s="175" t="str">
        <f>ControlPanel!L37</f>
        <v>Référence</v>
      </c>
      <c r="D8" s="15" t="str">
        <f>VLOOKUP($C$8,$C$65:$AF$89,2,FALSE)</f>
        <v>fh</v>
      </c>
      <c r="E8" s="15" t="str">
        <f>VLOOKUP($C$8,$C$65:$AF$89,3,FALSE)</f>
        <v>100%</v>
      </c>
      <c r="F8" s="15" t="str">
        <f>VLOOKUP($C$8,$C$65:$AF$89,4,FALSE)</f>
        <v>Valeurs jusqu'en 2025: scénario de référence MFP, par la suite constant à 100%</v>
      </c>
      <c r="G8" s="244">
        <f>IF(G$4&lt;ControlPanel!$D$59,VLOOKUP("Référence",$C$65:$AF$89,G$4-$G$4+5,FALSE),VLOOKUP($C$8,$C$65:$AF$89,G$4-$G$4+5,FALSE))</f>
        <v>1</v>
      </c>
      <c r="H8" s="244">
        <f>IF(H$4&lt;ControlPanel!$D$59,VLOOKUP("Référence",$C$65:$AF$89,H$4-$G$4+5,FALSE),VLOOKUP($C$8,$C$65:$AF$89,H$4-$G$4+5,FALSE))</f>
        <v>1</v>
      </c>
      <c r="I8" s="244">
        <f>IF(I$4&lt;ControlPanel!$D$59,VLOOKUP("Référence",$C$65:$AF$89,I$4-$G$4+5,FALSE),VLOOKUP($C$8,$C$65:$AF$89,I$4-$G$4+5,FALSE))</f>
        <v>1</v>
      </c>
      <c r="J8" s="244">
        <f>IF(J$4&lt;ControlPanel!$D$59,VLOOKUP("Référence",$C$65:$AF$89,J$4-$G$4+5,FALSE),VLOOKUP($C$8,$C$65:$AF$89,J$4-$G$4+5,FALSE))</f>
        <v>1</v>
      </c>
      <c r="K8" s="244">
        <f>IF(K$4&lt;ControlPanel!$D$59,VLOOKUP("Référence",$C$65:$AF$89,K$4-$G$4+5,FALSE),VLOOKUP($C$8,$C$65:$AF$89,K$4-$G$4+5,FALSE))</f>
        <v>1</v>
      </c>
      <c r="L8" s="244">
        <f>IF(L$4&lt;ControlPanel!$D$59,VLOOKUP("Référence",$C$65:$AF$89,L$4-$G$4+5,FALSE),VLOOKUP($C$8,$C$65:$AF$89,L$4-$G$4+5,FALSE))</f>
        <v>1</v>
      </c>
      <c r="M8" s="244">
        <f>IF(M$4&lt;ControlPanel!$D$59,VLOOKUP("Référence",$C$65:$AF$89,M$4-$G$4+5,FALSE),VLOOKUP($C$8,$C$65:$AF$89,M$4-$G$4+5,FALSE))</f>
        <v>1</v>
      </c>
      <c r="N8" s="244">
        <f>IF(N$4&lt;ControlPanel!$D$59,VLOOKUP("Référence",$C$65:$AF$89,N$4-$G$4+5,FALSE),VLOOKUP($C$8,$C$65:$AF$89,N$4-$G$4+5,FALSE))</f>
        <v>1</v>
      </c>
      <c r="O8" s="244">
        <f>IF(O$4&lt;ControlPanel!$D$59,VLOOKUP("Référence",$C$65:$AF$89,O$4-$G$4+5,FALSE),VLOOKUP($C$8,$C$65:$AF$89,O$4-$G$4+5,FALSE))</f>
        <v>1</v>
      </c>
      <c r="P8" s="244">
        <f>IF(P$4&lt;ControlPanel!$D$59,VLOOKUP("Référence",$C$65:$AF$89,P$4-$G$4+5,FALSE),VLOOKUP($C$8,$C$65:$AF$89,P$4-$G$4+5,FALSE))</f>
        <v>1</v>
      </c>
      <c r="Q8" s="244">
        <f>IF(Q$4&lt;ControlPanel!$D$59,VLOOKUP("Référence",$C$65:$AF$89,Q$4-$G$4+5,FALSE),VLOOKUP($C$8,$C$65:$AF$89,Q$4-$G$4+5,FALSE))</f>
        <v>1</v>
      </c>
      <c r="R8" s="244">
        <f>IF(R$4&lt;ControlPanel!$D$59,VLOOKUP("Référence",$C$65:$AF$89,R$4-$G$4+5,FALSE),VLOOKUP($C$8,$C$65:$AF$89,R$4-$G$4+5,FALSE))</f>
        <v>1</v>
      </c>
      <c r="S8" s="244">
        <f>IF(S$4&lt;ControlPanel!$D$59,VLOOKUP("Référence",$C$65:$AF$89,S$4-$G$4+5,FALSE),VLOOKUP($C$8,$C$65:$AF$89,S$4-$G$4+5,FALSE))</f>
        <v>1</v>
      </c>
      <c r="T8" s="244">
        <f>IF(T$4&lt;ControlPanel!$D$59,VLOOKUP("Référence",$C$65:$AF$89,T$4-$G$4+5,FALSE),VLOOKUP($C$8,$C$65:$AF$89,T$4-$G$4+5,FALSE))</f>
        <v>1</v>
      </c>
      <c r="U8" s="244">
        <f>IF(U$4&lt;ControlPanel!$D$59,VLOOKUP("Référence",$C$65:$AF$89,U$4-$G$4+5,FALSE),VLOOKUP($C$8,$C$65:$AF$89,U$4-$G$4+5,FALSE))</f>
        <v>1</v>
      </c>
      <c r="V8" s="244">
        <f>IF(V$4&lt;ControlPanel!$D$59,VLOOKUP("Référence",$C$65:$AF$89,V$4-$G$4+5,FALSE),VLOOKUP($C$8,$C$65:$AF$89,V$4-$G$4+5,FALSE))</f>
        <v>1</v>
      </c>
      <c r="W8" s="244">
        <f>IF(W$4&lt;ControlPanel!$D$59,VLOOKUP("Référence",$C$65:$AF$89,W$4-$G$4+5,FALSE),VLOOKUP($C$8,$C$65:$AF$89,W$4-$G$4+5,FALSE))</f>
        <v>1</v>
      </c>
      <c r="X8" s="244">
        <f>IF(X$4&lt;ControlPanel!$D$59,VLOOKUP("Référence",$C$65:$AF$89,X$4-$G$4+5,FALSE),VLOOKUP($C$8,$C$65:$AF$89,X$4-$G$4+5,FALSE))</f>
        <v>1</v>
      </c>
      <c r="Y8" s="244">
        <f>IF(Y$4&lt;ControlPanel!$D$59,VLOOKUP("Référence",$C$65:$AF$89,Y$4-$G$4+5,FALSE),VLOOKUP($C$8,$C$65:$AF$89,Y$4-$G$4+5,FALSE))</f>
        <v>1</v>
      </c>
      <c r="Z8" s="244">
        <f>IF(Z$4&lt;ControlPanel!$D$59,VLOOKUP("Référence",$C$65:$AF$89,Z$4-$G$4+5,FALSE),VLOOKUP($C$8,$C$65:$AF$89,Z$4-$G$4+5,FALSE))</f>
        <v>1</v>
      </c>
      <c r="AA8" s="244">
        <f>IF(AA$4&lt;ControlPanel!$D$59,VLOOKUP("Référence",$C$65:$AF$89,AA$4-$G$4+5,FALSE),VLOOKUP($C$8,$C$65:$AF$89,AA$4-$G$4+5,FALSE))</f>
        <v>1</v>
      </c>
      <c r="AB8" s="244">
        <f>IF(AB$4&lt;ControlPanel!$D$59,VLOOKUP("Référence",$C$65:$AF$89,AB$4-$G$4+5,FALSE),VLOOKUP($C$8,$C$65:$AF$89,AB$4-$G$4+5,FALSE))</f>
        <v>1</v>
      </c>
      <c r="AC8" s="244">
        <f>IF(AC$4&lt;ControlPanel!$D$59,VLOOKUP("Référence",$C$65:$AF$89,AC$4-$G$4+5,FALSE),VLOOKUP($C$8,$C$65:$AF$89,AC$4-$G$4+5,FALSE))</f>
        <v>1</v>
      </c>
      <c r="AD8" s="244">
        <f>IF(AD$4&lt;ControlPanel!$D$59,VLOOKUP("Référence",$C$65:$AF$89,AD$4-$G$4+5,FALSE),VLOOKUP($C$8,$C$65:$AF$89,AD$4-$G$4+5,FALSE))</f>
        <v>1</v>
      </c>
      <c r="AE8" s="244">
        <f>IF(AE$4&lt;ControlPanel!$D$59,VLOOKUP("Référence",$C$65:$AF$89,AE$4-$G$4+5,FALSE),VLOOKUP($C$8,$C$65:$AF$89,AE$4-$G$4+5,FALSE))</f>
        <v>1</v>
      </c>
      <c r="AF8" s="244">
        <f>IF(AF$4&lt;ControlPanel!$D$59,VLOOKUP("Référence",$C$65:$AF$89,AF$4-$G$4+5,FALSE),VLOOKUP($C$8,$C$65:$AF$89,AF$4-$G$4+5,FALSE))</f>
        <v>1</v>
      </c>
    </row>
    <row r="9" spans="1:32" ht="15" customHeight="1" thickBot="1">
      <c r="B9" s="165" t="s">
        <v>10</v>
      </c>
      <c r="C9" s="175" t="str">
        <f>ControlPanel!L38</f>
        <v>Référence</v>
      </c>
      <c r="D9" s="15" t="str">
        <f>VLOOKUP($C$9,$C$91:$AF$115,2,FALSE)</f>
        <v>fh</v>
      </c>
      <c r="E9" s="15" t="str">
        <f>VLOOKUP($C$9,$C$91:$AF$115,3,FALSE)</f>
        <v>100%</v>
      </c>
      <c r="F9" s="15" t="str">
        <f>VLOOKUP($C$9,$C$91:$AF$115,4,FALSE)</f>
        <v>Valeurs jusqu'en 2025: scénario de référence MFP, par la suite constant à 100%</v>
      </c>
      <c r="G9" s="244">
        <f>IF(G$4&lt;ControlPanel!$D$59,VLOOKUP("Référence",$C$91:$AF$115,G$4-$G$4+5,FALSE),VLOOKUP($C$9,$C$91:$AF$115,G$4-$G$4+5,FALSE))</f>
        <v>1</v>
      </c>
      <c r="H9" s="244">
        <f>IF(H$4&lt;ControlPanel!$D$59,VLOOKUP("Référence",$C$91:$AF$115,H$4-$G$4+5,FALSE),VLOOKUP($C$9,$C$91:$AF$115,H$4-$G$4+5,FALSE))</f>
        <v>1</v>
      </c>
      <c r="I9" s="244">
        <f>IF(I$4&lt;ControlPanel!$D$59,VLOOKUP("Référence",$C$91:$AF$115,I$4-$G$4+5,FALSE),VLOOKUP($C$9,$C$91:$AF$115,I$4-$G$4+5,FALSE))</f>
        <v>1</v>
      </c>
      <c r="J9" s="244">
        <f>IF(J$4&lt;ControlPanel!$D$59,VLOOKUP("Référence",$C$91:$AF$115,J$4-$G$4+5,FALSE),VLOOKUP($C$9,$C$91:$AF$115,J$4-$G$4+5,FALSE))</f>
        <v>1</v>
      </c>
      <c r="K9" s="244">
        <f>IF(K$4&lt;ControlPanel!$D$59,VLOOKUP("Référence",$C$91:$AF$115,K$4-$G$4+5,FALSE),VLOOKUP($C$9,$C$91:$AF$115,K$4-$G$4+5,FALSE))</f>
        <v>1</v>
      </c>
      <c r="L9" s="244">
        <f>IF(L$4&lt;ControlPanel!$D$59,VLOOKUP("Référence",$C$91:$AF$115,L$4-$G$4+5,FALSE),VLOOKUP($C$9,$C$91:$AF$115,L$4-$G$4+5,FALSE))</f>
        <v>1</v>
      </c>
      <c r="M9" s="244">
        <f>IF(M$4&lt;ControlPanel!$D$59,VLOOKUP("Référence",$C$91:$AF$115,M$4-$G$4+5,FALSE),VLOOKUP($C$9,$C$91:$AF$115,M$4-$G$4+5,FALSE))</f>
        <v>1</v>
      </c>
      <c r="N9" s="244">
        <f>IF(N$4&lt;ControlPanel!$D$59,VLOOKUP("Référence",$C$91:$AF$115,N$4-$G$4+5,FALSE),VLOOKUP($C$9,$C$91:$AF$115,N$4-$G$4+5,FALSE))</f>
        <v>1</v>
      </c>
      <c r="O9" s="244">
        <f>IF(O$4&lt;ControlPanel!$D$59,VLOOKUP("Référence",$C$91:$AF$115,O$4-$G$4+5,FALSE),VLOOKUP($C$9,$C$91:$AF$115,O$4-$G$4+5,FALSE))</f>
        <v>1</v>
      </c>
      <c r="P9" s="244">
        <f>IF(P$4&lt;ControlPanel!$D$59,VLOOKUP("Référence",$C$91:$AF$115,P$4-$G$4+5,FALSE),VLOOKUP($C$9,$C$91:$AF$115,P$4-$G$4+5,FALSE))</f>
        <v>1</v>
      </c>
      <c r="Q9" s="244">
        <f>IF(Q$4&lt;ControlPanel!$D$59,VLOOKUP("Référence",$C$91:$AF$115,Q$4-$G$4+5,FALSE),VLOOKUP($C$9,$C$91:$AF$115,Q$4-$G$4+5,FALSE))</f>
        <v>1</v>
      </c>
      <c r="R9" s="244">
        <f>IF(R$4&lt;ControlPanel!$D$59,VLOOKUP("Référence",$C$91:$AF$115,R$4-$G$4+5,FALSE),VLOOKUP($C$9,$C$91:$AF$115,R$4-$G$4+5,FALSE))</f>
        <v>1</v>
      </c>
      <c r="S9" s="244">
        <f>IF(S$4&lt;ControlPanel!$D$59,VLOOKUP("Référence",$C$91:$AF$115,S$4-$G$4+5,FALSE),VLOOKUP($C$9,$C$91:$AF$115,S$4-$G$4+5,FALSE))</f>
        <v>1</v>
      </c>
      <c r="T9" s="244">
        <f>IF(T$4&lt;ControlPanel!$D$59,VLOOKUP("Référence",$C$91:$AF$115,T$4-$G$4+5,FALSE),VLOOKUP($C$9,$C$91:$AF$115,T$4-$G$4+5,FALSE))</f>
        <v>1</v>
      </c>
      <c r="U9" s="244">
        <f>IF(U$4&lt;ControlPanel!$D$59,VLOOKUP("Référence",$C$91:$AF$115,U$4-$G$4+5,FALSE),VLOOKUP($C$9,$C$91:$AF$115,U$4-$G$4+5,FALSE))</f>
        <v>1</v>
      </c>
      <c r="V9" s="244">
        <f>IF(V$4&lt;ControlPanel!$D$59,VLOOKUP("Référence",$C$91:$AF$115,V$4-$G$4+5,FALSE),VLOOKUP($C$9,$C$91:$AF$115,V$4-$G$4+5,FALSE))</f>
        <v>1</v>
      </c>
      <c r="W9" s="244">
        <f>IF(W$4&lt;ControlPanel!$D$59,VLOOKUP("Référence",$C$91:$AF$115,W$4-$G$4+5,FALSE),VLOOKUP($C$9,$C$91:$AF$115,W$4-$G$4+5,FALSE))</f>
        <v>1</v>
      </c>
      <c r="X9" s="244">
        <f>IF(X$4&lt;ControlPanel!$D$59,VLOOKUP("Référence",$C$91:$AF$115,X$4-$G$4+5,FALSE),VLOOKUP($C$9,$C$91:$AF$115,X$4-$G$4+5,FALSE))</f>
        <v>1</v>
      </c>
      <c r="Y9" s="244">
        <f>IF(Y$4&lt;ControlPanel!$D$59,VLOOKUP("Référence",$C$91:$AF$115,Y$4-$G$4+5,FALSE),VLOOKUP($C$9,$C$91:$AF$115,Y$4-$G$4+5,FALSE))</f>
        <v>1</v>
      </c>
      <c r="Z9" s="244">
        <f>IF(Z$4&lt;ControlPanel!$D$59,VLOOKUP("Référence",$C$91:$AF$115,Z$4-$G$4+5,FALSE),VLOOKUP($C$9,$C$91:$AF$115,Z$4-$G$4+5,FALSE))</f>
        <v>1</v>
      </c>
      <c r="AA9" s="244">
        <f>IF(AA$4&lt;ControlPanel!$D$59,VLOOKUP("Référence",$C$91:$AF$115,AA$4-$G$4+5,FALSE),VLOOKUP($C$9,$C$91:$AF$115,AA$4-$G$4+5,FALSE))</f>
        <v>1</v>
      </c>
      <c r="AB9" s="244">
        <f>IF(AB$4&lt;ControlPanel!$D$59,VLOOKUP("Référence",$C$91:$AF$115,AB$4-$G$4+5,FALSE),VLOOKUP($C$9,$C$91:$AF$115,AB$4-$G$4+5,FALSE))</f>
        <v>1</v>
      </c>
      <c r="AC9" s="244">
        <f>IF(AC$4&lt;ControlPanel!$D$59,VLOOKUP("Référence",$C$91:$AF$115,AC$4-$G$4+5,FALSE),VLOOKUP($C$9,$C$91:$AF$115,AC$4-$G$4+5,FALSE))</f>
        <v>1</v>
      </c>
      <c r="AD9" s="244">
        <f>IF(AD$4&lt;ControlPanel!$D$59,VLOOKUP("Référence",$C$91:$AF$115,AD$4-$G$4+5,FALSE),VLOOKUP($C$9,$C$91:$AF$115,AD$4-$G$4+5,FALSE))</f>
        <v>1</v>
      </c>
      <c r="AE9" s="244">
        <f>IF(AE$4&lt;ControlPanel!$D$59,VLOOKUP("Référence",$C$91:$AF$115,AE$4-$G$4+5,FALSE),VLOOKUP($C$9,$C$91:$AF$115,AE$4-$G$4+5,FALSE))</f>
        <v>1</v>
      </c>
      <c r="AF9" s="244">
        <f>IF(AF$4&lt;ControlPanel!$D$59,VLOOKUP("Référence",$C$91:$AF$115,AF$4-$G$4+5,FALSE),VLOOKUP($C$9,$C$91:$AF$115,AF$4-$G$4+5,FALSE))</f>
        <v>1</v>
      </c>
    </row>
    <row r="10" spans="1:32" ht="15" customHeight="1" thickBot="1">
      <c r="B10" s="165" t="s">
        <v>339</v>
      </c>
      <c r="C10" s="175" t="str">
        <f>ControlPanel!L34</f>
        <v>Référence</v>
      </c>
      <c r="D10" s="15" t="str">
        <f>VLOOKUP($C$10,$C$117:$AF$141,2,FALSE)</f>
        <v>fh</v>
      </c>
      <c r="E10" s="15" t="str">
        <f>VLOOKUP($C$10,$C$117:$AF$141,3,FALSE)</f>
        <v>propre calcul</v>
      </c>
      <c r="F10" s="15" t="str">
        <f>VLOOKUP($C$10,$C$117:$AF$141,4,FALSE)</f>
        <v>2020: calcul de la surtaxe GRT 2020. Valeurs jusqu'en 2025: scénario de référence MFP 2020, puis réduction linéaire à 60%</v>
      </c>
      <c r="G10" s="244">
        <f>IF(G$4&lt;ControlPanel!$D$59,VLOOKUP("Référence",$C$117:$AF$141,G$4-$G$4+5,FALSE),VLOOKUP($C$10,$C$117:$AF$141,G$4-$G$4+5,FALSE))</f>
        <v>0.82750000000000001</v>
      </c>
      <c r="H10" s="244">
        <f>IF(H$4&lt;ControlPanel!$D$59,VLOOKUP("Référence",$C$117:$AF$141,H$4-$G$4+5,FALSE),VLOOKUP($C$10,$C$117:$AF$141,H$4-$G$4+5,FALSE))</f>
        <v>0.82</v>
      </c>
      <c r="I10" s="244">
        <f>IF(I$4&lt;ControlPanel!$D$59,VLOOKUP("Référence",$C$117:$AF$141,I$4-$G$4+5,FALSE),VLOOKUP($C$10,$C$117:$AF$141,I$4-$G$4+5,FALSE))</f>
        <v>0.90500000000000003</v>
      </c>
      <c r="J10" s="244">
        <f>IF(J$4&lt;ControlPanel!$D$59,VLOOKUP("Référence",$C$117:$AF$141,J$4-$G$4+5,FALSE),VLOOKUP($C$10,$C$117:$AF$141,J$4-$G$4+5,FALSE))</f>
        <v>0.88900000000000001</v>
      </c>
      <c r="K10" s="244">
        <f>IF(K$4&lt;ControlPanel!$D$59,VLOOKUP("Référence",$C$117:$AF$141,K$4-$G$4+5,FALSE),VLOOKUP($C$10,$C$117:$AF$141,K$4-$G$4+5,FALSE))</f>
        <v>0.85099999999999998</v>
      </c>
      <c r="L10" s="244">
        <f>IF(L$4&lt;ControlPanel!$D$59,VLOOKUP("Référence",$C$117:$AF$141,L$4-$G$4+5,FALSE),VLOOKUP($C$10,$C$117:$AF$141,L$4-$G$4+5,FALSE))</f>
        <v>0.84899999999999998</v>
      </c>
      <c r="M10" s="244">
        <f>IF(M$4&lt;ControlPanel!$D$59,VLOOKUP("Référence",$C$117:$AF$141,M$4-$G$4+5,FALSE),VLOOKUP($C$10,$C$117:$AF$141,M$4-$G$4+5,FALSE))</f>
        <v>0.88</v>
      </c>
      <c r="N10" s="244">
        <f>IF(N$4&lt;ControlPanel!$D$59,VLOOKUP("Référence",$C$117:$AF$141,N$4-$G$4+5,FALSE),VLOOKUP($C$10,$C$117:$AF$141,N$4-$G$4+5,FALSE))</f>
        <v>0.873</v>
      </c>
      <c r="O10" s="244">
        <f>IF(O$4&lt;ControlPanel!$D$59,VLOOKUP("Référence",$C$117:$AF$141,O$4-$G$4+5,FALSE),VLOOKUP($C$10,$C$117:$AF$141,O$4-$G$4+5,FALSE))</f>
        <v>0.82699999999999996</v>
      </c>
      <c r="P10" s="244">
        <f>IF(P$4&lt;ControlPanel!$D$59,VLOOKUP("Référence",$C$117:$AF$141,P$4-$G$4+5,FALSE),VLOOKUP($C$10,$C$117:$AF$141,P$4-$G$4+5,FALSE))</f>
        <v>0.78400000000000003</v>
      </c>
      <c r="Q10" s="244">
        <f>IF(Q$4&lt;ControlPanel!$D$59,VLOOKUP("Référence",$C$117:$AF$141,Q$4-$G$4+5,FALSE),VLOOKUP($C$10,$C$117:$AF$141,Q$4-$G$4+5,FALSE))</f>
        <v>0.89200000000000002</v>
      </c>
      <c r="R10" s="244">
        <f>IF(R$4&lt;ControlPanel!$D$59,VLOOKUP("Référence",$C$117:$AF$141,R$4-$G$4+5,FALSE),VLOOKUP($C$10,$C$117:$AF$141,R$4-$G$4+5,FALSE))</f>
        <v>0.86899999999999999</v>
      </c>
      <c r="S10" s="244">
        <f>IF(S$4&lt;ControlPanel!$D$59,VLOOKUP("Référence",$C$117:$AF$141,S$4-$G$4+5,FALSE),VLOOKUP($C$10,$C$117:$AF$141,S$4-$G$4+5,FALSE))</f>
        <v>0.88600000000000001</v>
      </c>
      <c r="T10" s="244">
        <f>IF(T$4&lt;ControlPanel!$D$59,VLOOKUP("Référence",$C$117:$AF$141,T$4-$G$4+5,FALSE),VLOOKUP($C$10,$C$117:$AF$141,T$4-$G$4+5,FALSE))</f>
        <v>0.879</v>
      </c>
      <c r="U10" s="244">
        <f>IF(U$4&lt;ControlPanel!$D$59,VLOOKUP("Référence",$C$117:$AF$141,U$4-$G$4+5,FALSE),VLOOKUP($C$10,$C$117:$AF$141,U$4-$G$4+5,FALSE))</f>
        <v>0.85199999999999998</v>
      </c>
      <c r="V10" s="244">
        <f>IF(V$4&lt;ControlPanel!$D$59,VLOOKUP("Référence",$C$117:$AF$141,V$4-$G$4+5,FALSE),VLOOKUP($C$10,$C$117:$AF$141,V$4-$G$4+5,FALSE))</f>
        <v>0.89200000000000002</v>
      </c>
      <c r="W10" s="244">
        <f>IF(W$4&lt;ControlPanel!$D$59,VLOOKUP("Référence",$C$117:$AF$141,W$4-$G$4+5,FALSE),VLOOKUP($C$10,$C$117:$AF$141,W$4-$G$4+5,FALSE))</f>
        <v>0.87</v>
      </c>
      <c r="X10" s="244">
        <f>IF(X$4&lt;ControlPanel!$D$59,VLOOKUP("Référence",$C$117:$AF$141,X$4-$G$4+5,FALSE),VLOOKUP($C$10,$C$117:$AF$141,X$4-$G$4+5,FALSE))</f>
        <v>0.84799999999999998</v>
      </c>
      <c r="Y10" s="244">
        <f>IF(Y$4&lt;ControlPanel!$D$59,VLOOKUP("Référence",$C$117:$AF$141,Y$4-$G$4+5,FALSE),VLOOKUP($C$10,$C$117:$AF$141,Y$4-$G$4+5,FALSE))</f>
        <v>0.82599999999999996</v>
      </c>
      <c r="Z10" s="244">
        <f>IF(Z$4&lt;ControlPanel!$D$59,VLOOKUP("Référence",$C$117:$AF$141,Z$4-$G$4+5,FALSE),VLOOKUP($C$10,$C$117:$AF$141,Z$4-$G$4+5,FALSE))</f>
        <v>0.80399999999999994</v>
      </c>
      <c r="AA10" s="244">
        <f>IF(AA$4&lt;ControlPanel!$D$59,VLOOKUP("Référence",$C$117:$AF$141,AA$4-$G$4+5,FALSE),VLOOKUP($C$10,$C$117:$AF$141,AA$4-$G$4+5,FALSE))</f>
        <v>0.78199999999999992</v>
      </c>
      <c r="AB10" s="244">
        <f>IF(AB$4&lt;ControlPanel!$D$59,VLOOKUP("Référence",$C$117:$AF$141,AB$4-$G$4+5,FALSE),VLOOKUP($C$10,$C$117:$AF$141,AB$4-$G$4+5,FALSE))</f>
        <v>0.7599999999999999</v>
      </c>
      <c r="AC10" s="244">
        <f>IF(AC$4&lt;ControlPanel!$D$59,VLOOKUP("Référence",$C$117:$AF$141,AC$4-$G$4+5,FALSE),VLOOKUP($C$10,$C$117:$AF$141,AC$4-$G$4+5,FALSE))</f>
        <v>0.73799999999999988</v>
      </c>
      <c r="AD10" s="244">
        <f>IF(AD$4&lt;ControlPanel!$D$59,VLOOKUP("Référence",$C$117:$AF$141,AD$4-$G$4+5,FALSE),VLOOKUP($C$10,$C$117:$AF$141,AD$4-$G$4+5,FALSE))</f>
        <v>0.71599999999999986</v>
      </c>
      <c r="AE10" s="244">
        <f>IF(AE$4&lt;ControlPanel!$D$59,VLOOKUP("Référence",$C$117:$AF$141,AE$4-$G$4+5,FALSE),VLOOKUP($C$10,$C$117:$AF$141,AE$4-$G$4+5,FALSE))</f>
        <v>0.69399999999999984</v>
      </c>
      <c r="AF10" s="244">
        <f>IF(AF$4&lt;ControlPanel!$D$59,VLOOKUP("Référence",$C$117:$AF$141,AF$4-$G$4+5,FALSE),VLOOKUP($C$10,$C$117:$AF$141,AF$4-$G$4+5,FALSE))</f>
        <v>0.6</v>
      </c>
    </row>
    <row r="11" spans="1:32" ht="15" customHeight="1" thickBot="1">
      <c r="B11" s="165" t="s">
        <v>340</v>
      </c>
      <c r="C11" s="175" t="str">
        <f>ControlPanel!L35</f>
        <v>Référence</v>
      </c>
      <c r="D11" s="15" t="str">
        <f>VLOOKUP($C$11,$C$143:$AF$167,2,FALSE)</f>
        <v>fh</v>
      </c>
      <c r="E11" s="15" t="str">
        <f>VLOOKUP($C$11,$C$143:$AF$167,3,FALSE)</f>
        <v>propre calcul</v>
      </c>
      <c r="F11" s="15" t="str">
        <f>VLOOKUP($C$11,$C$143:$AF$167,4,FALSE)</f>
        <v>2021: calcul du supplément GRT 2020. Valeurs jusqu'en 2025: scénario de référence MFP 2020, puis réduction linéaire à 60%</v>
      </c>
      <c r="G11" s="244">
        <f>IF(G$4&lt;ControlPanel!$D$59,VLOOKUP("Référence",$C$143:$AF$167,G$4-$G$4+5,FALSE),VLOOKUP($C$11,$C$143:$AF$167,G$4-$G$4+5,FALSE))</f>
        <v>0.82750000000000001</v>
      </c>
      <c r="H11" s="244">
        <f>IF(H$4&lt;ControlPanel!$D$59,VLOOKUP("Référence",$C$143:$AF$167,H$4-$G$4+5,FALSE),VLOOKUP($C$11,$C$143:$AF$167,H$4-$G$4+5,FALSE))</f>
        <v>0.82</v>
      </c>
      <c r="I11" s="244">
        <f>IF(I$4&lt;ControlPanel!$D$59,VLOOKUP("Référence",$C$143:$AF$167,I$4-$G$4+5,FALSE),VLOOKUP($C$11,$C$143:$AF$167,I$4-$G$4+5,FALSE))</f>
        <v>1.02</v>
      </c>
      <c r="J11" s="244">
        <f>IF(J$4&lt;ControlPanel!$D$59,VLOOKUP("Référence",$C$143:$AF$167,J$4-$G$4+5,FALSE),VLOOKUP($C$11,$C$143:$AF$167,J$4-$G$4+5,FALSE))</f>
        <v>0.997</v>
      </c>
      <c r="K11" s="244">
        <f>IF(K$4&lt;ControlPanel!$D$59,VLOOKUP("Référence",$C$143:$AF$167,K$4-$G$4+5,FALSE),VLOOKUP($C$11,$C$143:$AF$167,K$4-$G$4+5,FALSE))</f>
        <v>0.91800000000000004</v>
      </c>
      <c r="L11" s="244">
        <f>IF(L$4&lt;ControlPanel!$D$59,VLOOKUP("Référence",$C$143:$AF$167,L$4-$G$4+5,FALSE),VLOOKUP($C$11,$C$143:$AF$167,L$4-$G$4+5,FALSE))</f>
        <v>0.94099999999999995</v>
      </c>
      <c r="M11" s="244">
        <f>IF(M$4&lt;ControlPanel!$D$59,VLOOKUP("Référence",$C$143:$AF$167,M$4-$G$4+5,FALSE),VLOOKUP($C$11,$C$143:$AF$167,M$4-$G$4+5,FALSE))</f>
        <v>0.98</v>
      </c>
      <c r="N11" s="244">
        <f>IF(N$4&lt;ControlPanel!$D$59,VLOOKUP("Référence",$C$143:$AF$167,N$4-$G$4+5,FALSE),VLOOKUP($C$11,$C$143:$AF$167,N$4-$G$4+5,FALSE))</f>
        <v>0.92100000000000004</v>
      </c>
      <c r="O11" s="244">
        <f>IF(O$4&lt;ControlPanel!$D$59,VLOOKUP("Référence",$C$143:$AF$167,O$4-$G$4+5,FALSE),VLOOKUP($C$11,$C$143:$AF$167,O$4-$G$4+5,FALSE))</f>
        <v>0.90600000000000003</v>
      </c>
      <c r="P11" s="244">
        <f>IF(P$4&lt;ControlPanel!$D$59,VLOOKUP("Référence",$C$143:$AF$167,P$4-$G$4+5,FALSE),VLOOKUP($C$11,$C$143:$AF$167,P$4-$G$4+5,FALSE))</f>
        <v>0.91300000000000003</v>
      </c>
      <c r="Q11" s="244">
        <f>IF(Q$4&lt;ControlPanel!$D$59,VLOOKUP("Référence",$C$143:$AF$167,Q$4-$G$4+5,FALSE),VLOOKUP($C$11,$C$143:$AF$167,Q$4-$G$4+5,FALSE))</f>
        <v>0.92200000000000004</v>
      </c>
      <c r="R11" s="244">
        <f>IF(R$4&lt;ControlPanel!$D$59,VLOOKUP("Référence",$C$143:$AF$167,R$4-$G$4+5,FALSE),VLOOKUP($C$11,$C$143:$AF$167,R$4-$G$4+5,FALSE))</f>
        <v>0.88800000000000001</v>
      </c>
      <c r="S11" s="244">
        <f>IF(S$4&lt;ControlPanel!$D$59,VLOOKUP("Référence",$C$143:$AF$167,S$4-$G$4+5,FALSE),VLOOKUP($C$11,$C$143:$AF$167,S$4-$G$4+5,FALSE))</f>
        <v>0.90400000000000003</v>
      </c>
      <c r="T11" s="244">
        <f>IF(T$4&lt;ControlPanel!$D$59,VLOOKUP("Référence",$C$143:$AF$167,T$4-$G$4+5,FALSE),VLOOKUP($C$11,$C$143:$AF$167,T$4-$G$4+5,FALSE))</f>
        <v>0.89600000000000002</v>
      </c>
      <c r="U11" s="244">
        <f>IF(U$4&lt;ControlPanel!$D$59,VLOOKUP("Référence",$C$143:$AF$167,U$4-$G$4+5,FALSE),VLOOKUP($C$11,$C$143:$AF$167,U$4-$G$4+5,FALSE))</f>
        <v>0.878</v>
      </c>
      <c r="V11" s="244">
        <f>IF(V$4&lt;ControlPanel!$D$59,VLOOKUP("Référence",$C$143:$AF$167,V$4-$G$4+5,FALSE),VLOOKUP($C$11,$C$143:$AF$167,V$4-$G$4+5,FALSE))</f>
        <v>0.92200000000000004</v>
      </c>
      <c r="W11" s="244">
        <f>IF(W$4&lt;ControlPanel!$D$59,VLOOKUP("Référence",$C$143:$AF$167,W$4-$G$4+5,FALSE),VLOOKUP($C$11,$C$143:$AF$167,W$4-$G$4+5,FALSE))</f>
        <v>0.90630769230769237</v>
      </c>
      <c r="X11" s="244">
        <f>IF(X$4&lt;ControlPanel!$D$59,VLOOKUP("Référence",$C$143:$AF$167,X$4-$G$4+5,FALSE),VLOOKUP($C$11,$C$143:$AF$167,X$4-$G$4+5,FALSE))</f>
        <v>0.8906153846153847</v>
      </c>
      <c r="Y11" s="244">
        <f>IF(Y$4&lt;ControlPanel!$D$59,VLOOKUP("Référence",$C$143:$AF$167,Y$4-$G$4+5,FALSE),VLOOKUP($C$11,$C$143:$AF$167,Y$4-$G$4+5,FALSE))</f>
        <v>0.87492307692307703</v>
      </c>
      <c r="Z11" s="244">
        <f>IF(Z$4&lt;ControlPanel!$D$59,VLOOKUP("Référence",$C$143:$AF$167,Z$4-$G$4+5,FALSE),VLOOKUP($C$11,$C$143:$AF$167,Z$4-$G$4+5,FALSE))</f>
        <v>0.85923076923076935</v>
      </c>
      <c r="AA11" s="244">
        <f>IF(AA$4&lt;ControlPanel!$D$59,VLOOKUP("Référence",$C$143:$AF$167,AA$4-$G$4+5,FALSE),VLOOKUP($C$11,$C$143:$AF$167,AA$4-$G$4+5,FALSE))</f>
        <v>0.84353846153846168</v>
      </c>
      <c r="AB11" s="244">
        <f>IF(AB$4&lt;ControlPanel!$D$59,VLOOKUP("Référence",$C$143:$AF$167,AB$4-$G$4+5,FALSE),VLOOKUP($C$11,$C$143:$AF$167,AB$4-$G$4+5,FALSE))</f>
        <v>0.82784615384615401</v>
      </c>
      <c r="AC11" s="244">
        <f>IF(AC$4&lt;ControlPanel!$D$59,VLOOKUP("Référence",$C$143:$AF$167,AC$4-$G$4+5,FALSE),VLOOKUP($C$11,$C$143:$AF$167,AC$4-$G$4+5,FALSE))</f>
        <v>0.81215384615384634</v>
      </c>
      <c r="AD11" s="244">
        <f>IF(AD$4&lt;ControlPanel!$D$59,VLOOKUP("Référence",$C$143:$AF$167,AD$4-$G$4+5,FALSE),VLOOKUP($C$11,$C$143:$AF$167,AD$4-$G$4+5,FALSE))</f>
        <v>0.79646153846153867</v>
      </c>
      <c r="AE11" s="244">
        <f>IF(AE$4&lt;ControlPanel!$D$59,VLOOKUP("Référence",$C$143:$AF$167,AE$4-$G$4+5,FALSE),VLOOKUP($C$11,$C$143:$AF$167,AE$4-$G$4+5,FALSE))</f>
        <v>0.78076923076923099</v>
      </c>
      <c r="AF11" s="244">
        <f>IF(AF$4&lt;ControlPanel!$D$59,VLOOKUP("Référence",$C$143:$AF$167,AF$4-$G$4+5,FALSE),VLOOKUP($C$11,$C$143:$AF$167,AF$4-$G$4+5,FALSE))</f>
        <v>0.7</v>
      </c>
    </row>
    <row r="12" spans="1:32" ht="15" customHeight="1" thickBot="1">
      <c r="B12" s="167" t="s">
        <v>530</v>
      </c>
      <c r="C12" s="177" t="str">
        <f>ControlPanel!L36</f>
        <v>Référence</v>
      </c>
      <c r="D12" s="40" t="str">
        <f>VLOOKUP($C$12,$C$169:$AF$193,2,FALSE)</f>
        <v>fh</v>
      </c>
      <c r="E12" s="40" t="str">
        <f>VLOOKUP($C$12,$C$169:$AF$193,3,FALSE)</f>
        <v>propre calcul</v>
      </c>
      <c r="F12" s="15" t="str">
        <f>VLOOKUP($C$12,$C$169:$AF$193,4,FALSE)</f>
        <v>2021: calcul du supplément GRT 2020. Valeurs jusqu'en 2025: scénario de référence MFP 2020, puis réduction linéaire à 60%</v>
      </c>
      <c r="G12" s="244">
        <f>IF(G$4&lt;ControlPanel!$D$59,VLOOKUP("Référence",$C$169:$AF$193,G$4-$G$4+5,FALSE),VLOOKUP($C$12,$C$169:$AF$193,G$4-$G$4+5,FALSE))</f>
        <v>1.2</v>
      </c>
      <c r="H12" s="244">
        <f>IF(H$4&lt;ControlPanel!$D$59,VLOOKUP("Référence",$C$169:$AF$193,H$4-$G$4+5,FALSE),VLOOKUP($C$12,$C$169:$AF$193,H$4-$G$4+5,FALSE))</f>
        <v>1.2</v>
      </c>
      <c r="I12" s="244">
        <f>IF(I$4&lt;ControlPanel!$D$59,VLOOKUP("Référence",$C$169:$AF$193,I$4-$G$4+5,FALSE),VLOOKUP($C$12,$C$169:$AF$193,I$4-$G$4+5,FALSE))</f>
        <v>1.046</v>
      </c>
      <c r="J12" s="244">
        <f>IF(J$4&lt;ControlPanel!$D$59,VLOOKUP("Référence",$C$169:$AF$193,J$4-$G$4+5,FALSE),VLOOKUP($C$12,$C$169:$AF$193,J$4-$G$4+5,FALSE))</f>
        <v>0.98099999999999998</v>
      </c>
      <c r="K12" s="244">
        <f>IF(K$4&lt;ControlPanel!$D$59,VLOOKUP("Référence",$C$169:$AF$193,K$4-$G$4+5,FALSE),VLOOKUP($C$12,$C$169:$AF$193,K$4-$G$4+5,FALSE))</f>
        <v>1.0109999999999999</v>
      </c>
      <c r="L12" s="244">
        <f>IF(L$4&lt;ControlPanel!$D$59,VLOOKUP("Référence",$C$169:$AF$193,L$4-$G$4+5,FALSE),VLOOKUP($C$12,$C$169:$AF$193,L$4-$G$4+5,FALSE))</f>
        <v>0.84899999999999998</v>
      </c>
      <c r="M12" s="244">
        <f>IF(M$4&lt;ControlPanel!$D$59,VLOOKUP("Référence",$C$169:$AF$193,M$4-$G$4+5,FALSE),VLOOKUP($C$12,$C$169:$AF$193,M$4-$G$4+5,FALSE))</f>
        <v>0.98</v>
      </c>
      <c r="N12" s="244">
        <f>IF(N$4&lt;ControlPanel!$D$59,VLOOKUP("Référence",$C$169:$AF$193,N$4-$G$4+5,FALSE),VLOOKUP($C$12,$C$169:$AF$193,N$4-$G$4+5,FALSE))</f>
        <v>0.997</v>
      </c>
      <c r="O12" s="244">
        <f>IF(O$4&lt;ControlPanel!$D$59,VLOOKUP("Référence",$C$169:$AF$193,O$4-$G$4+5,FALSE),VLOOKUP($C$12,$C$169:$AF$193,O$4-$G$4+5,FALSE))</f>
        <v>0.95</v>
      </c>
      <c r="P12" s="244">
        <f>IF(P$4&lt;ControlPanel!$D$59,VLOOKUP("Référence",$C$169:$AF$193,P$4-$G$4+5,FALSE),VLOOKUP($C$12,$C$169:$AF$193,P$4-$G$4+5,FALSE))</f>
        <v>0.98899999999999999</v>
      </c>
      <c r="Q12" s="244">
        <f>IF(Q$4&lt;ControlPanel!$D$59,VLOOKUP("Référence",$C$169:$AF$193,Q$4-$G$4+5,FALSE),VLOOKUP($C$12,$C$169:$AF$193,Q$4-$G$4+5,FALSE))</f>
        <v>0.95299999999999996</v>
      </c>
      <c r="R12" s="244">
        <f>IF(R$4&lt;ControlPanel!$D$59,VLOOKUP("Référence",$C$169:$AF$193,R$4-$G$4+5,FALSE),VLOOKUP($C$12,$C$169:$AF$193,R$4-$G$4+5,FALSE))</f>
        <v>0.91500000000000004</v>
      </c>
      <c r="S12" s="244">
        <f>IF(S$4&lt;ControlPanel!$D$59,VLOOKUP("Référence",$C$169:$AF$193,S$4-$G$4+5,FALSE),VLOOKUP($C$12,$C$169:$AF$193,S$4-$G$4+5,FALSE))</f>
        <v>0.88200000000000001</v>
      </c>
      <c r="T12" s="244">
        <f>IF(T$4&lt;ControlPanel!$D$59,VLOOKUP("Référence",$C$169:$AF$193,T$4-$G$4+5,FALSE),VLOOKUP($C$12,$C$169:$AF$193,T$4-$G$4+5,FALSE))</f>
        <v>0.86899999999999999</v>
      </c>
      <c r="U12" s="244">
        <f>IF(U$4&lt;ControlPanel!$D$59,VLOOKUP("Référence",$C$169:$AF$193,U$4-$G$4+5,FALSE),VLOOKUP($C$12,$C$169:$AF$193,U$4-$G$4+5,FALSE))</f>
        <v>0.86399999999999999</v>
      </c>
      <c r="V12" s="244">
        <f>IF(V$4&lt;ControlPanel!$D$59,VLOOKUP("Référence",$C$169:$AF$193,V$4-$G$4+5,FALSE),VLOOKUP($C$12,$C$169:$AF$193,V$4-$G$4+5,FALSE))</f>
        <v>0.95299999999999996</v>
      </c>
      <c r="W12" s="244">
        <f>IF(W$4&lt;ControlPanel!$D$59,VLOOKUP("Référence",$C$169:$AF$193,W$4-$G$4+5,FALSE),VLOOKUP($C$12,$C$169:$AF$193,W$4-$G$4+5,FALSE))</f>
        <v>0.93130769230769228</v>
      </c>
      <c r="X12" s="244">
        <f>IF(X$4&lt;ControlPanel!$D$59,VLOOKUP("Référence",$C$169:$AF$193,X$4-$G$4+5,FALSE),VLOOKUP($C$12,$C$169:$AF$193,X$4-$G$4+5,FALSE))</f>
        <v>0.9096153846153846</v>
      </c>
      <c r="Y12" s="244">
        <f>IF(Y$4&lt;ControlPanel!$D$59,VLOOKUP("Référence",$C$169:$AF$193,Y$4-$G$4+5,FALSE),VLOOKUP($C$12,$C$169:$AF$193,Y$4-$G$4+5,FALSE))</f>
        <v>0.88792307692307693</v>
      </c>
      <c r="Z12" s="244">
        <f>IF(Z$4&lt;ControlPanel!$D$59,VLOOKUP("Référence",$C$169:$AF$193,Z$4-$G$4+5,FALSE),VLOOKUP($C$12,$C$169:$AF$193,Z$4-$G$4+5,FALSE))</f>
        <v>0.86623076923076925</v>
      </c>
      <c r="AA12" s="244">
        <f>IF(AA$4&lt;ControlPanel!$D$59,VLOOKUP("Référence",$C$169:$AF$193,AA$4-$G$4+5,FALSE),VLOOKUP($C$12,$C$169:$AF$193,AA$4-$G$4+5,FALSE))</f>
        <v>0.84453846153846157</v>
      </c>
      <c r="AB12" s="244">
        <f>IF(AB$4&lt;ControlPanel!$D$59,VLOOKUP("Référence",$C$169:$AF$193,AB$4-$G$4+5,FALSE),VLOOKUP($C$12,$C$169:$AF$193,AB$4-$G$4+5,FALSE))</f>
        <v>0.82284615384615389</v>
      </c>
      <c r="AC12" s="244">
        <f>IF(AC$4&lt;ControlPanel!$D$59,VLOOKUP("Référence",$C$169:$AF$193,AC$4-$G$4+5,FALSE),VLOOKUP($C$12,$C$169:$AF$193,AC$4-$G$4+5,FALSE))</f>
        <v>0.80115384615384622</v>
      </c>
      <c r="AD12" s="244">
        <f>IF(AD$4&lt;ControlPanel!$D$59,VLOOKUP("Référence",$C$169:$AF$193,AD$4-$G$4+5,FALSE),VLOOKUP($C$12,$C$169:$AF$193,AD$4-$G$4+5,FALSE))</f>
        <v>0.77946153846153854</v>
      </c>
      <c r="AE12" s="244">
        <f>IF(AE$4&lt;ControlPanel!$D$59,VLOOKUP("Référence",$C$169:$AF$193,AE$4-$G$4+5,FALSE),VLOOKUP($C$12,$C$169:$AF$193,AE$4-$G$4+5,FALSE))</f>
        <v>0.75776923076923086</v>
      </c>
      <c r="AF12" s="244">
        <f>IF(AF$4&lt;ControlPanel!$D$59,VLOOKUP("Référence",$C$169:$AF$193,AF$4-$G$4+5,FALSE),VLOOKUP($C$12,$C$169:$AF$193,AF$4-$G$4+5,FALSE))</f>
        <v>0.6</v>
      </c>
    </row>
    <row r="13" spans="1:32" ht="15" customHeight="1">
      <c r="B13" s="166" t="s">
        <v>529</v>
      </c>
      <c r="C13" s="314" t="s">
        <v>409</v>
      </c>
      <c r="D13" s="22" t="s">
        <v>300</v>
      </c>
      <c r="E13" s="649" t="s">
        <v>113</v>
      </c>
      <c r="F13" s="540" t="s">
        <v>829</v>
      </c>
      <c r="G13" s="23">
        <v>1</v>
      </c>
      <c r="H13" s="23">
        <v>1</v>
      </c>
      <c r="I13" s="23">
        <v>1</v>
      </c>
      <c r="J13" s="23">
        <v>1</v>
      </c>
      <c r="K13" s="23">
        <v>1</v>
      </c>
      <c r="L13" s="23">
        <v>1</v>
      </c>
      <c r="M13" s="23">
        <v>1</v>
      </c>
      <c r="N13" s="23">
        <v>1</v>
      </c>
      <c r="O13" s="23">
        <v>1</v>
      </c>
      <c r="P13" s="23">
        <v>1</v>
      </c>
      <c r="Q13" s="23">
        <v>1</v>
      </c>
      <c r="R13" s="23">
        <v>1</v>
      </c>
      <c r="S13" s="23">
        <v>1</v>
      </c>
      <c r="T13" s="23">
        <v>1</v>
      </c>
      <c r="U13" s="23">
        <v>1</v>
      </c>
      <c r="V13" s="23">
        <v>1</v>
      </c>
      <c r="W13" s="23">
        <v>1</v>
      </c>
      <c r="X13" s="23">
        <v>1</v>
      </c>
      <c r="Y13" s="23">
        <v>1</v>
      </c>
      <c r="Z13" s="23">
        <v>1</v>
      </c>
      <c r="AA13" s="23">
        <v>1</v>
      </c>
      <c r="AB13" s="23">
        <v>1</v>
      </c>
      <c r="AC13" s="23">
        <v>1</v>
      </c>
      <c r="AD13" s="23">
        <v>1</v>
      </c>
      <c r="AE13" s="23">
        <v>1</v>
      </c>
      <c r="AF13" s="23">
        <v>1</v>
      </c>
    </row>
    <row r="14" spans="1:32" s="462" customFormat="1" ht="15" customHeight="1">
      <c r="B14" s="463"/>
      <c r="C14" s="184"/>
      <c r="D14" s="179"/>
      <c r="E14" s="163"/>
      <c r="F14" s="532"/>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row>
    <row r="15" spans="1:32" s="462" customFormat="1" ht="15" customHeight="1">
      <c r="B15" s="463"/>
      <c r="C15" s="185"/>
      <c r="D15" s="179"/>
      <c r="E15" s="163"/>
      <c r="F15" s="532"/>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row>
    <row r="16" spans="1:32" s="462" customFormat="1" ht="15" customHeight="1">
      <c r="B16" s="463"/>
      <c r="C16" s="176"/>
      <c r="D16" s="162"/>
      <c r="E16" s="163"/>
      <c r="F16" s="532"/>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row>
    <row r="17" spans="2:32" s="462" customFormat="1" ht="15" customHeight="1">
      <c r="B17" s="463"/>
      <c r="C17" s="176"/>
      <c r="D17" s="162"/>
      <c r="E17" s="163"/>
      <c r="F17" s="532"/>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row>
    <row r="18" spans="2:32" s="462" customFormat="1" ht="15" customHeight="1">
      <c r="B18" s="463"/>
      <c r="C18" s="176"/>
      <c r="D18" s="162"/>
      <c r="E18" s="163"/>
      <c r="F18" s="532"/>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row>
    <row r="19" spans="2:32" s="462" customFormat="1" ht="15" customHeight="1">
      <c r="B19" s="463"/>
      <c r="C19" s="176"/>
      <c r="D19" s="162"/>
      <c r="E19" s="163"/>
      <c r="F19" s="532"/>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row>
    <row r="20" spans="2:32" s="462" customFormat="1" ht="15" customHeight="1">
      <c r="B20" s="463"/>
      <c r="C20" s="176"/>
      <c r="D20" s="162"/>
      <c r="E20" s="163"/>
      <c r="F20" s="532"/>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row>
    <row r="21" spans="2:32" s="462" customFormat="1" ht="15" customHeight="1">
      <c r="B21" s="463"/>
      <c r="C21" s="176"/>
      <c r="D21" s="179"/>
      <c r="E21" s="163"/>
      <c r="F21" s="532"/>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row>
    <row r="22" spans="2:32" s="462" customFormat="1" ht="15" customHeight="1">
      <c r="B22" s="463"/>
      <c r="C22" s="176"/>
      <c r="D22" s="179"/>
      <c r="E22" s="163"/>
      <c r="F22" s="532"/>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row>
    <row r="23" spans="2:32" s="462" customFormat="1" ht="15" customHeight="1">
      <c r="B23" s="463"/>
      <c r="C23" s="176"/>
      <c r="D23" s="179"/>
      <c r="E23" s="163"/>
      <c r="F23" s="532"/>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row>
    <row r="24" spans="2:32" s="462" customFormat="1" ht="15" customHeight="1">
      <c r="B24" s="463"/>
      <c r="C24" s="176"/>
      <c r="D24" s="179"/>
      <c r="E24" s="163"/>
      <c r="F24" s="532"/>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row>
    <row r="25" spans="2:32" s="462" customFormat="1" ht="15" customHeight="1">
      <c r="B25" s="463"/>
      <c r="C25" s="176"/>
      <c r="D25" s="179"/>
      <c r="E25" s="163"/>
      <c r="F25" s="532"/>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row>
    <row r="26" spans="2:32" s="462" customFormat="1" ht="15" customHeight="1">
      <c r="B26" s="463"/>
      <c r="C26" s="176"/>
      <c r="D26" s="179"/>
      <c r="E26" s="163"/>
      <c r="F26" s="532"/>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row>
    <row r="27" spans="2:32" s="462" customFormat="1" ht="15" customHeight="1">
      <c r="B27" s="463"/>
      <c r="C27" s="176"/>
      <c r="D27" s="179"/>
      <c r="E27" s="163"/>
      <c r="F27" s="532"/>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row>
    <row r="28" spans="2:32" s="462" customFormat="1" ht="15" customHeight="1">
      <c r="B28" s="463"/>
      <c r="C28" s="176"/>
      <c r="D28" s="179"/>
      <c r="E28" s="163"/>
      <c r="F28" s="532"/>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row>
    <row r="29" spans="2:32" s="462" customFormat="1" ht="15" customHeight="1">
      <c r="B29" s="463"/>
      <c r="C29" s="176"/>
      <c r="D29" s="179"/>
      <c r="E29" s="163"/>
      <c r="F29" s="532"/>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row>
    <row r="30" spans="2:32" s="462" customFormat="1" ht="15" customHeight="1">
      <c r="B30" s="463"/>
      <c r="C30" s="176"/>
      <c r="D30" s="179"/>
      <c r="E30" s="163"/>
      <c r="F30" s="532"/>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row>
    <row r="31" spans="2:32" s="462" customFormat="1" ht="15" customHeight="1">
      <c r="B31" s="463"/>
      <c r="C31" s="176"/>
      <c r="D31" s="179"/>
      <c r="E31" s="163"/>
      <c r="F31" s="532"/>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c r="AE31" s="180"/>
      <c r="AF31" s="180"/>
    </row>
    <row r="32" spans="2:32" s="462" customFormat="1" ht="15" customHeight="1">
      <c r="B32" s="463"/>
      <c r="C32" s="176"/>
      <c r="D32" s="179"/>
      <c r="E32" s="163"/>
      <c r="F32" s="532"/>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row>
    <row r="33" spans="2:32" s="462" customFormat="1" ht="15" customHeight="1">
      <c r="B33" s="463"/>
      <c r="C33" s="176"/>
      <c r="D33" s="179"/>
      <c r="E33" s="163"/>
      <c r="F33" s="532"/>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row>
    <row r="34" spans="2:32" s="462" customFormat="1" ht="15" customHeight="1">
      <c r="B34" s="463"/>
      <c r="C34" s="176"/>
      <c r="D34" s="179"/>
      <c r="E34" s="163"/>
      <c r="F34" s="532"/>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row>
    <row r="35" spans="2:32" s="462" customFormat="1" ht="15" customHeight="1">
      <c r="B35" s="463"/>
      <c r="C35" s="176"/>
      <c r="D35" s="179"/>
      <c r="E35" s="163"/>
      <c r="F35" s="532"/>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row>
    <row r="36" spans="2:32" s="462" customFormat="1" ht="15" customHeight="1">
      <c r="B36" s="463"/>
      <c r="C36" s="176"/>
      <c r="D36" s="179"/>
      <c r="E36" s="163"/>
      <c r="F36" s="532"/>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row>
    <row r="37" spans="2:32" s="462" customFormat="1" ht="15" customHeight="1">
      <c r="B37" s="464"/>
      <c r="C37" s="178"/>
      <c r="D37" s="181"/>
      <c r="E37" s="182"/>
      <c r="F37" s="533"/>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row>
    <row r="38" spans="2:32" ht="15" customHeight="1">
      <c r="C38" s="18"/>
      <c r="D38" s="18"/>
      <c r="E38" s="18"/>
      <c r="F38" s="18"/>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row>
    <row r="39" spans="2:32" ht="15" customHeight="1">
      <c r="B39" s="166" t="s">
        <v>349</v>
      </c>
      <c r="C39" s="314" t="s">
        <v>409</v>
      </c>
      <c r="D39" s="22" t="s">
        <v>300</v>
      </c>
      <c r="E39" s="649" t="s">
        <v>113</v>
      </c>
      <c r="F39" s="540" t="s">
        <v>829</v>
      </c>
      <c r="G39" s="23">
        <v>1</v>
      </c>
      <c r="H39" s="23">
        <v>1</v>
      </c>
      <c r="I39" s="23">
        <v>1</v>
      </c>
      <c r="J39" s="23">
        <v>1</v>
      </c>
      <c r="K39" s="23">
        <v>1</v>
      </c>
      <c r="L39" s="23">
        <v>1</v>
      </c>
      <c r="M39" s="23">
        <v>1</v>
      </c>
      <c r="N39" s="23">
        <v>1</v>
      </c>
      <c r="O39" s="23">
        <v>1</v>
      </c>
      <c r="P39" s="23">
        <v>1</v>
      </c>
      <c r="Q39" s="23">
        <v>1</v>
      </c>
      <c r="R39" s="23">
        <v>1</v>
      </c>
      <c r="S39" s="23">
        <v>1</v>
      </c>
      <c r="T39" s="23">
        <v>1</v>
      </c>
      <c r="U39" s="23">
        <v>1</v>
      </c>
      <c r="V39" s="23">
        <v>1</v>
      </c>
      <c r="W39" s="23">
        <v>1</v>
      </c>
      <c r="X39" s="23">
        <v>1</v>
      </c>
      <c r="Y39" s="23">
        <v>1</v>
      </c>
      <c r="Z39" s="23">
        <v>1</v>
      </c>
      <c r="AA39" s="23">
        <v>1</v>
      </c>
      <c r="AB39" s="23">
        <v>1</v>
      </c>
      <c r="AC39" s="23">
        <v>1</v>
      </c>
      <c r="AD39" s="23">
        <v>1</v>
      </c>
      <c r="AE39" s="23">
        <v>1</v>
      </c>
      <c r="AF39" s="23">
        <v>1</v>
      </c>
    </row>
    <row r="40" spans="2:32" s="462" customFormat="1" ht="15" customHeight="1">
      <c r="B40" s="463"/>
      <c r="C40" s="184"/>
      <c r="D40" s="179"/>
      <c r="E40" s="163"/>
      <c r="F40" s="532"/>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row>
    <row r="41" spans="2:32" s="462" customFormat="1" ht="15" customHeight="1">
      <c r="B41" s="463"/>
      <c r="C41" s="185"/>
      <c r="D41" s="179"/>
      <c r="E41" s="163"/>
      <c r="F41" s="532"/>
      <c r="G41" s="180"/>
      <c r="H41" s="180"/>
      <c r="I41" s="180"/>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row>
    <row r="42" spans="2:32" s="462" customFormat="1" ht="15" customHeight="1">
      <c r="B42" s="463"/>
      <c r="C42" s="185"/>
      <c r="D42" s="179"/>
      <c r="E42" s="163"/>
      <c r="F42" s="532"/>
      <c r="G42" s="180"/>
      <c r="H42" s="180"/>
      <c r="I42" s="180"/>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row>
    <row r="43" spans="2:32" s="462" customFormat="1" ht="15" customHeight="1">
      <c r="B43" s="463"/>
      <c r="C43" s="176"/>
      <c r="D43" s="162"/>
      <c r="E43" s="163"/>
      <c r="F43" s="532"/>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row>
    <row r="44" spans="2:32" s="462" customFormat="1" ht="15" customHeight="1">
      <c r="B44" s="463"/>
      <c r="C44" s="176"/>
      <c r="D44" s="162"/>
      <c r="E44" s="163"/>
      <c r="F44" s="532"/>
      <c r="G44" s="180"/>
      <c r="H44" s="180"/>
      <c r="I44" s="180"/>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row>
    <row r="45" spans="2:32" s="462" customFormat="1" ht="15" customHeight="1">
      <c r="B45" s="463"/>
      <c r="C45" s="176"/>
      <c r="D45" s="162"/>
      <c r="E45" s="163"/>
      <c r="F45" s="532"/>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c r="AE45" s="180"/>
      <c r="AF45" s="180"/>
    </row>
    <row r="46" spans="2:32" s="462" customFormat="1" ht="15" customHeight="1">
      <c r="B46" s="463"/>
      <c r="C46" s="176"/>
      <c r="D46" s="162"/>
      <c r="E46" s="163"/>
      <c r="F46" s="532"/>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row>
    <row r="47" spans="2:32" s="462" customFormat="1" ht="15" customHeight="1">
      <c r="B47" s="463"/>
      <c r="C47" s="176"/>
      <c r="D47" s="179"/>
      <c r="E47" s="163"/>
      <c r="F47" s="532"/>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row>
    <row r="48" spans="2:32" s="462" customFormat="1" ht="15" customHeight="1">
      <c r="B48" s="463"/>
      <c r="C48" s="176"/>
      <c r="D48" s="179"/>
      <c r="E48" s="163"/>
      <c r="F48" s="532"/>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row>
    <row r="49" spans="2:32" s="462" customFormat="1" ht="15" customHeight="1">
      <c r="B49" s="463"/>
      <c r="C49" s="176"/>
      <c r="D49" s="179"/>
      <c r="E49" s="163"/>
      <c r="F49" s="532"/>
      <c r="G49" s="18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row>
    <row r="50" spans="2:32" s="462" customFormat="1" ht="15" customHeight="1">
      <c r="B50" s="463"/>
      <c r="C50" s="176"/>
      <c r="D50" s="179"/>
      <c r="E50" s="163"/>
      <c r="F50" s="532"/>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row>
    <row r="51" spans="2:32" s="462" customFormat="1" ht="15" customHeight="1">
      <c r="B51" s="463"/>
      <c r="C51" s="176"/>
      <c r="D51" s="179"/>
      <c r="E51" s="163"/>
      <c r="F51" s="53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row>
    <row r="52" spans="2:32" s="462" customFormat="1" ht="15" customHeight="1">
      <c r="B52" s="463"/>
      <c r="C52" s="176"/>
      <c r="D52" s="179"/>
      <c r="E52" s="163"/>
      <c r="F52" s="532"/>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row>
    <row r="53" spans="2:32" s="462" customFormat="1" ht="15" customHeight="1">
      <c r="B53" s="463"/>
      <c r="C53" s="176"/>
      <c r="D53" s="179"/>
      <c r="E53" s="163"/>
      <c r="F53" s="532"/>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row>
    <row r="54" spans="2:32" s="462" customFormat="1" ht="15" customHeight="1">
      <c r="B54" s="463"/>
      <c r="C54" s="176"/>
      <c r="D54" s="179"/>
      <c r="E54" s="163"/>
      <c r="F54" s="532"/>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row>
    <row r="55" spans="2:32" s="462" customFormat="1" ht="15" customHeight="1">
      <c r="B55" s="463"/>
      <c r="C55" s="176"/>
      <c r="D55" s="179"/>
      <c r="E55" s="163"/>
      <c r="F55" s="532"/>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row>
    <row r="56" spans="2:32" s="462" customFormat="1" ht="15" customHeight="1">
      <c r="B56" s="463"/>
      <c r="C56" s="176"/>
      <c r="D56" s="179"/>
      <c r="E56" s="163"/>
      <c r="F56" s="532"/>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row>
    <row r="57" spans="2:32" s="462" customFormat="1" ht="15" customHeight="1">
      <c r="B57" s="463"/>
      <c r="C57" s="176"/>
      <c r="D57" s="179"/>
      <c r="E57" s="163"/>
      <c r="F57" s="532"/>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row>
    <row r="58" spans="2:32" s="462" customFormat="1" ht="15" customHeight="1">
      <c r="B58" s="463"/>
      <c r="C58" s="176"/>
      <c r="D58" s="179"/>
      <c r="E58" s="163"/>
      <c r="F58" s="532"/>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row>
    <row r="59" spans="2:32" s="462" customFormat="1" ht="15" customHeight="1">
      <c r="B59" s="463"/>
      <c r="C59" s="176"/>
      <c r="D59" s="179"/>
      <c r="E59" s="163"/>
      <c r="F59" s="532"/>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row>
    <row r="60" spans="2:32" s="462" customFormat="1" ht="15" customHeight="1">
      <c r="B60" s="463"/>
      <c r="C60" s="176"/>
      <c r="D60" s="179"/>
      <c r="E60" s="163"/>
      <c r="F60" s="532"/>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row>
    <row r="61" spans="2:32" s="462" customFormat="1" ht="15" customHeight="1">
      <c r="B61" s="463"/>
      <c r="C61" s="176"/>
      <c r="D61" s="179"/>
      <c r="E61" s="163"/>
      <c r="F61" s="532"/>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row>
    <row r="62" spans="2:32" s="462" customFormat="1" ht="15" customHeight="1">
      <c r="B62" s="463"/>
      <c r="C62" s="176"/>
      <c r="D62" s="179"/>
      <c r="E62" s="163"/>
      <c r="F62" s="532"/>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c r="AE62" s="180"/>
      <c r="AF62" s="180"/>
    </row>
    <row r="63" spans="2:32" s="462" customFormat="1" ht="15" customHeight="1">
      <c r="B63" s="464"/>
      <c r="C63" s="176"/>
      <c r="D63" s="179"/>
      <c r="E63" s="163"/>
      <c r="F63" s="532"/>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c r="AE63" s="180"/>
      <c r="AF63" s="180"/>
    </row>
    <row r="64" spans="2:32" ht="15" customHeight="1">
      <c r="C64" s="18"/>
      <c r="D64" s="18"/>
      <c r="E64" s="18"/>
      <c r="F64" s="18"/>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row>
    <row r="65" spans="2:32" ht="15" customHeight="1">
      <c r="B65" s="166" t="s">
        <v>11</v>
      </c>
      <c r="C65" s="314" t="s">
        <v>409</v>
      </c>
      <c r="D65" s="22" t="s">
        <v>300</v>
      </c>
      <c r="E65" s="649" t="s">
        <v>113</v>
      </c>
      <c r="F65" s="540" t="s">
        <v>829</v>
      </c>
      <c r="G65" s="23">
        <v>1</v>
      </c>
      <c r="H65" s="23">
        <v>1</v>
      </c>
      <c r="I65" s="23">
        <v>1</v>
      </c>
      <c r="J65" s="23">
        <v>1</v>
      </c>
      <c r="K65" s="23">
        <v>1</v>
      </c>
      <c r="L65" s="23">
        <v>1</v>
      </c>
      <c r="M65" s="23">
        <v>1</v>
      </c>
      <c r="N65" s="23">
        <v>1</v>
      </c>
      <c r="O65" s="23">
        <v>1</v>
      </c>
      <c r="P65" s="23">
        <v>1</v>
      </c>
      <c r="Q65" s="23">
        <v>1</v>
      </c>
      <c r="R65" s="23">
        <v>1</v>
      </c>
      <c r="S65" s="23">
        <v>1</v>
      </c>
      <c r="T65" s="23">
        <v>1</v>
      </c>
      <c r="U65" s="23">
        <v>1</v>
      </c>
      <c r="V65" s="23">
        <v>1</v>
      </c>
      <c r="W65" s="23">
        <v>1</v>
      </c>
      <c r="X65" s="23">
        <v>1</v>
      </c>
      <c r="Y65" s="23">
        <v>1</v>
      </c>
      <c r="Z65" s="23">
        <v>1</v>
      </c>
      <c r="AA65" s="23">
        <v>1</v>
      </c>
      <c r="AB65" s="23">
        <v>1</v>
      </c>
      <c r="AC65" s="23">
        <v>1</v>
      </c>
      <c r="AD65" s="23">
        <v>1</v>
      </c>
      <c r="AE65" s="23">
        <v>1</v>
      </c>
      <c r="AF65" s="23">
        <v>1</v>
      </c>
    </row>
    <row r="66" spans="2:32" s="462" customFormat="1" ht="15" customHeight="1">
      <c r="B66" s="463"/>
      <c r="C66" s="184"/>
      <c r="D66" s="179"/>
      <c r="E66" s="163"/>
      <c r="F66" s="532"/>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row>
    <row r="67" spans="2:32" s="462" customFormat="1" ht="15" customHeight="1">
      <c r="B67" s="463"/>
      <c r="C67" s="185"/>
      <c r="D67" s="179"/>
      <c r="E67" s="163"/>
      <c r="F67" s="532"/>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row>
    <row r="68" spans="2:32" s="462" customFormat="1" ht="15" customHeight="1">
      <c r="B68" s="463"/>
      <c r="C68" s="185"/>
      <c r="D68" s="179"/>
      <c r="E68" s="163"/>
      <c r="F68" s="532"/>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c r="AE68" s="180"/>
      <c r="AF68" s="180"/>
    </row>
    <row r="69" spans="2:32" s="462" customFormat="1" ht="15" customHeight="1">
      <c r="B69" s="463"/>
      <c r="C69" s="176"/>
      <c r="D69" s="162"/>
      <c r="E69" s="163"/>
      <c r="F69" s="532"/>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row>
    <row r="70" spans="2:32" s="462" customFormat="1" ht="15" customHeight="1">
      <c r="B70" s="463"/>
      <c r="C70" s="176"/>
      <c r="D70" s="162"/>
      <c r="E70" s="163"/>
      <c r="F70" s="532"/>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c r="AE70" s="180"/>
      <c r="AF70" s="180"/>
    </row>
    <row r="71" spans="2:32" s="462" customFormat="1" ht="15" customHeight="1">
      <c r="B71" s="463"/>
      <c r="C71" s="176"/>
      <c r="D71" s="162"/>
      <c r="E71" s="163"/>
      <c r="F71" s="532"/>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c r="AE71" s="180"/>
      <c r="AF71" s="180"/>
    </row>
    <row r="72" spans="2:32" s="462" customFormat="1" ht="15" customHeight="1">
      <c r="B72" s="463"/>
      <c r="C72" s="176"/>
      <c r="D72" s="162"/>
      <c r="E72" s="163"/>
      <c r="F72" s="532"/>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c r="AE72" s="180"/>
      <c r="AF72" s="180"/>
    </row>
    <row r="73" spans="2:32" s="462" customFormat="1" ht="15" customHeight="1">
      <c r="B73" s="463"/>
      <c r="C73" s="176"/>
      <c r="D73" s="179"/>
      <c r="E73" s="163"/>
      <c r="F73" s="532"/>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c r="AE73" s="180"/>
      <c r="AF73" s="180"/>
    </row>
    <row r="74" spans="2:32" s="462" customFormat="1" ht="15" customHeight="1">
      <c r="B74" s="463"/>
      <c r="C74" s="176"/>
      <c r="D74" s="179"/>
      <c r="E74" s="163"/>
      <c r="F74" s="532"/>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c r="AE74" s="180"/>
      <c r="AF74" s="180"/>
    </row>
    <row r="75" spans="2:32" s="462" customFormat="1" ht="15" customHeight="1">
      <c r="B75" s="463"/>
      <c r="C75" s="176"/>
      <c r="D75" s="179"/>
      <c r="E75" s="163"/>
      <c r="F75" s="532"/>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c r="AE75" s="180"/>
      <c r="AF75" s="180"/>
    </row>
    <row r="76" spans="2:32" s="462" customFormat="1" ht="15" customHeight="1">
      <c r="B76" s="463"/>
      <c r="C76" s="176"/>
      <c r="D76" s="179"/>
      <c r="E76" s="163"/>
      <c r="F76" s="532"/>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row>
    <row r="77" spans="2:32" s="462" customFormat="1" ht="15" customHeight="1">
      <c r="B77" s="463"/>
      <c r="C77" s="176"/>
      <c r="D77" s="179"/>
      <c r="E77" s="163"/>
      <c r="F77" s="532"/>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c r="AE77" s="180"/>
      <c r="AF77" s="180"/>
    </row>
    <row r="78" spans="2:32" s="462" customFormat="1" ht="15" customHeight="1">
      <c r="B78" s="463"/>
      <c r="C78" s="176"/>
      <c r="D78" s="179"/>
      <c r="E78" s="163"/>
      <c r="F78" s="532"/>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row>
    <row r="79" spans="2:32" s="462" customFormat="1" ht="15" customHeight="1">
      <c r="B79" s="463"/>
      <c r="C79" s="176"/>
      <c r="D79" s="179"/>
      <c r="E79" s="163"/>
      <c r="F79" s="532"/>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c r="AE79" s="180"/>
      <c r="AF79" s="180"/>
    </row>
    <row r="80" spans="2:32" s="462" customFormat="1" ht="15" customHeight="1">
      <c r="B80" s="463"/>
      <c r="C80" s="176"/>
      <c r="D80" s="179"/>
      <c r="E80" s="163"/>
      <c r="F80" s="532"/>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c r="AE80" s="180"/>
      <c r="AF80" s="180"/>
    </row>
    <row r="81" spans="2:32" s="462" customFormat="1" ht="15" customHeight="1">
      <c r="B81" s="463"/>
      <c r="C81" s="176"/>
      <c r="D81" s="179"/>
      <c r="E81" s="163"/>
      <c r="F81" s="532"/>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c r="AE81" s="180"/>
      <c r="AF81" s="180"/>
    </row>
    <row r="82" spans="2:32" s="462" customFormat="1" ht="15" customHeight="1">
      <c r="B82" s="463"/>
      <c r="C82" s="176"/>
      <c r="D82" s="179"/>
      <c r="E82" s="163"/>
      <c r="F82" s="532"/>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row>
    <row r="83" spans="2:32" s="462" customFormat="1" ht="15" customHeight="1">
      <c r="B83" s="463"/>
      <c r="C83" s="176"/>
      <c r="D83" s="179"/>
      <c r="E83" s="163"/>
      <c r="F83" s="532"/>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row>
    <row r="84" spans="2:32" s="462" customFormat="1" ht="15" customHeight="1">
      <c r="B84" s="463"/>
      <c r="C84" s="176"/>
      <c r="D84" s="179"/>
      <c r="E84" s="163"/>
      <c r="F84" s="532"/>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row>
    <row r="85" spans="2:32" s="462" customFormat="1" ht="15" customHeight="1">
      <c r="B85" s="463"/>
      <c r="C85" s="176"/>
      <c r="D85" s="179"/>
      <c r="E85" s="163"/>
      <c r="F85" s="532"/>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row>
    <row r="86" spans="2:32" s="462" customFormat="1" ht="15" customHeight="1">
      <c r="B86" s="463"/>
      <c r="C86" s="176"/>
      <c r="D86" s="179"/>
      <c r="E86" s="163"/>
      <c r="F86" s="532"/>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c r="AE86" s="180"/>
      <c r="AF86" s="180"/>
    </row>
    <row r="87" spans="2:32" s="462" customFormat="1" ht="15" customHeight="1">
      <c r="B87" s="463"/>
      <c r="C87" s="176"/>
      <c r="D87" s="179"/>
      <c r="E87" s="163"/>
      <c r="F87" s="532"/>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c r="AE87" s="180"/>
      <c r="AF87" s="180"/>
    </row>
    <row r="88" spans="2:32" s="462" customFormat="1" ht="15" customHeight="1">
      <c r="B88" s="463"/>
      <c r="C88" s="176"/>
      <c r="D88" s="179"/>
      <c r="E88" s="163"/>
      <c r="F88" s="532"/>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c r="AE88" s="180"/>
      <c r="AF88" s="180"/>
    </row>
    <row r="89" spans="2:32" s="462" customFormat="1" ht="15" customHeight="1">
      <c r="B89" s="464"/>
      <c r="C89" s="176"/>
      <c r="D89" s="179"/>
      <c r="E89" s="163"/>
      <c r="F89" s="532"/>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row>
    <row r="90" spans="2:32" ht="15" customHeight="1">
      <c r="C90" s="18"/>
      <c r="D90" s="18"/>
      <c r="E90" s="18"/>
      <c r="F90" s="18"/>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row>
    <row r="91" spans="2:32" ht="15" customHeight="1">
      <c r="B91" s="166" t="s">
        <v>10</v>
      </c>
      <c r="C91" s="314" t="s">
        <v>409</v>
      </c>
      <c r="D91" s="22" t="s">
        <v>300</v>
      </c>
      <c r="E91" s="649" t="s">
        <v>113</v>
      </c>
      <c r="F91" s="540" t="s">
        <v>829</v>
      </c>
      <c r="G91" s="23">
        <v>1</v>
      </c>
      <c r="H91" s="23">
        <v>1</v>
      </c>
      <c r="I91" s="23">
        <v>1</v>
      </c>
      <c r="J91" s="23">
        <v>1</v>
      </c>
      <c r="K91" s="23">
        <v>1</v>
      </c>
      <c r="L91" s="23">
        <v>1</v>
      </c>
      <c r="M91" s="23">
        <v>1</v>
      </c>
      <c r="N91" s="23">
        <v>1</v>
      </c>
      <c r="O91" s="23">
        <v>1</v>
      </c>
      <c r="P91" s="23">
        <v>1</v>
      </c>
      <c r="Q91" s="23">
        <v>1</v>
      </c>
      <c r="R91" s="23">
        <v>1</v>
      </c>
      <c r="S91" s="23">
        <v>1</v>
      </c>
      <c r="T91" s="23">
        <v>1</v>
      </c>
      <c r="U91" s="23">
        <v>1</v>
      </c>
      <c r="V91" s="23">
        <v>1</v>
      </c>
      <c r="W91" s="23">
        <v>1</v>
      </c>
      <c r="X91" s="23">
        <v>1</v>
      </c>
      <c r="Y91" s="23">
        <v>1</v>
      </c>
      <c r="Z91" s="23">
        <v>1</v>
      </c>
      <c r="AA91" s="23">
        <v>1</v>
      </c>
      <c r="AB91" s="23">
        <v>1</v>
      </c>
      <c r="AC91" s="23">
        <v>1</v>
      </c>
      <c r="AD91" s="23">
        <v>1</v>
      </c>
      <c r="AE91" s="23">
        <v>1</v>
      </c>
      <c r="AF91" s="23">
        <v>1</v>
      </c>
    </row>
    <row r="92" spans="2:32" s="462" customFormat="1" ht="15" customHeight="1">
      <c r="B92" s="463"/>
      <c r="C92" s="184"/>
      <c r="D92" s="179"/>
      <c r="E92" s="163"/>
      <c r="F92" s="532"/>
      <c r="G92" s="180"/>
      <c r="H92" s="180"/>
      <c r="I92" s="180"/>
      <c r="J92" s="180"/>
      <c r="K92" s="180"/>
      <c r="L92" s="180"/>
      <c r="M92" s="180"/>
      <c r="N92" s="180"/>
      <c r="O92" s="180"/>
      <c r="P92" s="180"/>
      <c r="Q92" s="180"/>
      <c r="R92" s="180"/>
      <c r="S92" s="180"/>
      <c r="T92" s="180"/>
      <c r="U92" s="180"/>
      <c r="V92" s="180"/>
      <c r="W92" s="180"/>
      <c r="X92" s="180"/>
      <c r="Y92" s="180"/>
      <c r="Z92" s="180"/>
      <c r="AA92" s="180"/>
      <c r="AB92" s="180"/>
      <c r="AC92" s="180"/>
      <c r="AD92" s="180"/>
      <c r="AE92" s="180"/>
      <c r="AF92" s="180"/>
    </row>
    <row r="93" spans="2:32" s="462" customFormat="1" ht="15" customHeight="1">
      <c r="B93" s="463"/>
      <c r="C93" s="185"/>
      <c r="D93" s="179"/>
      <c r="E93" s="163"/>
      <c r="F93" s="532"/>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c r="AE93" s="180"/>
      <c r="AF93" s="180"/>
    </row>
    <row r="94" spans="2:32" s="462" customFormat="1" ht="15" customHeight="1">
      <c r="B94" s="463"/>
      <c r="C94" s="176"/>
      <c r="D94" s="162"/>
      <c r="E94" s="163"/>
      <c r="F94" s="532"/>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c r="AE94" s="180"/>
      <c r="AF94" s="180"/>
    </row>
    <row r="95" spans="2:32" s="462" customFormat="1" ht="15" customHeight="1">
      <c r="B95" s="463"/>
      <c r="C95" s="176"/>
      <c r="D95" s="162"/>
      <c r="E95" s="163"/>
      <c r="F95" s="532"/>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c r="AE95" s="180"/>
      <c r="AF95" s="180"/>
    </row>
    <row r="96" spans="2:32" s="462" customFormat="1" ht="15" customHeight="1">
      <c r="B96" s="463"/>
      <c r="C96" s="176"/>
      <c r="D96" s="162"/>
      <c r="E96" s="163"/>
      <c r="F96" s="532"/>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c r="AE96" s="180"/>
      <c r="AF96" s="180"/>
    </row>
    <row r="97" spans="2:32" s="462" customFormat="1" ht="15" customHeight="1">
      <c r="B97" s="463"/>
      <c r="C97" s="176"/>
      <c r="D97" s="162"/>
      <c r="E97" s="163"/>
      <c r="F97" s="532"/>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c r="AE97" s="180"/>
      <c r="AF97" s="180"/>
    </row>
    <row r="98" spans="2:32" s="462" customFormat="1" ht="15" customHeight="1">
      <c r="B98" s="463"/>
      <c r="C98" s="176"/>
      <c r="D98" s="162"/>
      <c r="E98" s="163"/>
      <c r="F98" s="532"/>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row>
    <row r="99" spans="2:32" s="462" customFormat="1" ht="15" customHeight="1">
      <c r="B99" s="463"/>
      <c r="C99" s="176"/>
      <c r="D99" s="179"/>
      <c r="E99" s="163"/>
      <c r="F99" s="532"/>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row>
    <row r="100" spans="2:32" s="462" customFormat="1" ht="15" customHeight="1">
      <c r="B100" s="463"/>
      <c r="C100" s="176"/>
      <c r="D100" s="179"/>
      <c r="E100" s="163"/>
      <c r="F100" s="532"/>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c r="AE100" s="180"/>
      <c r="AF100" s="180"/>
    </row>
    <row r="101" spans="2:32" s="462" customFormat="1" ht="15" customHeight="1">
      <c r="B101" s="463"/>
      <c r="C101" s="176"/>
      <c r="D101" s="179"/>
      <c r="E101" s="163"/>
      <c r="F101" s="532"/>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row>
    <row r="102" spans="2:32" s="462" customFormat="1" ht="15" customHeight="1">
      <c r="B102" s="463"/>
      <c r="C102" s="176"/>
      <c r="D102" s="179"/>
      <c r="E102" s="163"/>
      <c r="F102" s="532"/>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row>
    <row r="103" spans="2:32" s="462" customFormat="1" ht="15" customHeight="1">
      <c r="B103" s="463"/>
      <c r="C103" s="176"/>
      <c r="D103" s="179"/>
      <c r="E103" s="163"/>
      <c r="F103" s="532"/>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row>
    <row r="104" spans="2:32" s="462" customFormat="1" ht="15" customHeight="1">
      <c r="B104" s="463"/>
      <c r="C104" s="176"/>
      <c r="D104" s="179"/>
      <c r="E104" s="163"/>
      <c r="F104" s="532"/>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row>
    <row r="105" spans="2:32" s="462" customFormat="1" ht="15" customHeight="1">
      <c r="B105" s="463"/>
      <c r="C105" s="176"/>
      <c r="D105" s="179"/>
      <c r="E105" s="163"/>
      <c r="F105" s="532"/>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row>
    <row r="106" spans="2:32" s="462" customFormat="1" ht="15" customHeight="1">
      <c r="B106" s="463"/>
      <c r="C106" s="176"/>
      <c r="D106" s="179"/>
      <c r="E106" s="163"/>
      <c r="F106" s="532"/>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row>
    <row r="107" spans="2:32" s="462" customFormat="1" ht="15" customHeight="1">
      <c r="B107" s="463"/>
      <c r="C107" s="176"/>
      <c r="D107" s="179"/>
      <c r="E107" s="163"/>
      <c r="F107" s="532"/>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row>
    <row r="108" spans="2:32" s="462" customFormat="1" ht="15" customHeight="1">
      <c r="B108" s="463"/>
      <c r="C108" s="176"/>
      <c r="D108" s="179"/>
      <c r="E108" s="163"/>
      <c r="F108" s="532"/>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row>
    <row r="109" spans="2:32" s="462" customFormat="1" ht="15" customHeight="1">
      <c r="B109" s="463"/>
      <c r="C109" s="176"/>
      <c r="D109" s="179"/>
      <c r="E109" s="163"/>
      <c r="F109" s="532"/>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row>
    <row r="110" spans="2:32" s="462" customFormat="1" ht="15" customHeight="1">
      <c r="B110" s="463"/>
      <c r="C110" s="176"/>
      <c r="D110" s="179"/>
      <c r="E110" s="163"/>
      <c r="F110" s="532"/>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row>
    <row r="111" spans="2:32" s="462" customFormat="1" ht="15" customHeight="1">
      <c r="B111" s="463"/>
      <c r="C111" s="176"/>
      <c r="D111" s="179"/>
      <c r="E111" s="163"/>
      <c r="F111" s="532"/>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row>
    <row r="112" spans="2:32" s="462" customFormat="1" ht="15" customHeight="1">
      <c r="B112" s="463"/>
      <c r="C112" s="176"/>
      <c r="D112" s="179"/>
      <c r="E112" s="163"/>
      <c r="F112" s="532"/>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row>
    <row r="113" spans="1:32" s="462" customFormat="1" ht="15" customHeight="1">
      <c r="B113" s="463"/>
      <c r="C113" s="176"/>
      <c r="D113" s="179"/>
      <c r="E113" s="163"/>
      <c r="F113" s="532"/>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row>
    <row r="114" spans="1:32" s="462" customFormat="1" ht="15" customHeight="1">
      <c r="B114" s="463"/>
      <c r="C114" s="176"/>
      <c r="D114" s="179"/>
      <c r="E114" s="163"/>
      <c r="F114" s="532"/>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row>
    <row r="115" spans="1:32" s="462" customFormat="1" ht="15" customHeight="1">
      <c r="B115" s="464"/>
      <c r="C115" s="176"/>
      <c r="D115" s="179"/>
      <c r="E115" s="163"/>
      <c r="F115" s="532"/>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row>
    <row r="116" spans="1:32" ht="15" customHeight="1">
      <c r="C116" s="18"/>
      <c r="D116" s="18"/>
      <c r="E116" s="18"/>
      <c r="F116" s="18"/>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row>
    <row r="117" spans="1:32" ht="15" customHeight="1">
      <c r="B117" s="166" t="s">
        <v>339</v>
      </c>
      <c r="C117" s="314" t="s">
        <v>409</v>
      </c>
      <c r="D117" s="22" t="s">
        <v>300</v>
      </c>
      <c r="E117" s="35" t="s">
        <v>830</v>
      </c>
      <c r="F117" s="540" t="s">
        <v>831</v>
      </c>
      <c r="G117" s="23">
        <v>0.82750000000000001</v>
      </c>
      <c r="H117" s="23">
        <v>0.82</v>
      </c>
      <c r="I117" s="497">
        <v>0.90500000000000003</v>
      </c>
      <c r="J117" s="497">
        <v>0.88900000000000001</v>
      </c>
      <c r="K117" s="497">
        <v>0.85099999999999998</v>
      </c>
      <c r="L117" s="497">
        <v>0.84899999999999998</v>
      </c>
      <c r="M117" s="497">
        <v>0.88</v>
      </c>
      <c r="N117" s="23">
        <v>0.873</v>
      </c>
      <c r="O117" s="23">
        <v>0.82699999999999996</v>
      </c>
      <c r="P117" s="497">
        <v>0.78400000000000003</v>
      </c>
      <c r="Q117" s="497">
        <v>0.89200000000000002</v>
      </c>
      <c r="R117" s="497">
        <v>0.86899999999999999</v>
      </c>
      <c r="S117" s="497">
        <v>0.88600000000000001</v>
      </c>
      <c r="T117" s="497">
        <v>0.879</v>
      </c>
      <c r="U117" s="497">
        <v>0.85199999999999998</v>
      </c>
      <c r="V117" s="497">
        <v>0.89200000000000002</v>
      </c>
      <c r="W117" s="497">
        <f t="shared" ref="W117:AE117" si="0">V117-($S117-$AF117)/($AF$4-$S$4)</f>
        <v>0.87</v>
      </c>
      <c r="X117" s="497">
        <f t="shared" si="0"/>
        <v>0.84799999999999998</v>
      </c>
      <c r="Y117" s="497">
        <f t="shared" si="0"/>
        <v>0.82599999999999996</v>
      </c>
      <c r="Z117" s="497">
        <f t="shared" si="0"/>
        <v>0.80399999999999994</v>
      </c>
      <c r="AA117" s="497">
        <f t="shared" si="0"/>
        <v>0.78199999999999992</v>
      </c>
      <c r="AB117" s="497">
        <f t="shared" si="0"/>
        <v>0.7599999999999999</v>
      </c>
      <c r="AC117" s="497">
        <f t="shared" si="0"/>
        <v>0.73799999999999988</v>
      </c>
      <c r="AD117" s="497">
        <f t="shared" si="0"/>
        <v>0.71599999999999986</v>
      </c>
      <c r="AE117" s="497">
        <f t="shared" si="0"/>
        <v>0.69399999999999984</v>
      </c>
      <c r="AF117" s="497">
        <v>0.6</v>
      </c>
    </row>
    <row r="118" spans="1:32" s="462" customFormat="1" ht="15" customHeight="1">
      <c r="A118" s="9"/>
      <c r="B118" s="63"/>
      <c r="C118" s="16"/>
      <c r="D118" s="12"/>
      <c r="E118" s="11"/>
      <c r="F118" s="215"/>
      <c r="G118" s="321"/>
      <c r="H118" s="321"/>
      <c r="I118" s="225"/>
      <c r="J118" s="225"/>
      <c r="K118" s="225"/>
      <c r="L118" s="225"/>
      <c r="M118" s="225"/>
      <c r="N118" s="225"/>
      <c r="O118" s="225"/>
      <c r="P118" s="225"/>
      <c r="Q118" s="225"/>
      <c r="R118" s="225"/>
      <c r="S118" s="225"/>
      <c r="T118" s="225"/>
      <c r="U118" s="225"/>
      <c r="V118" s="225"/>
      <c r="W118" s="225"/>
      <c r="X118" s="225"/>
      <c r="Y118" s="225"/>
      <c r="Z118" s="225"/>
      <c r="AA118" s="225"/>
      <c r="AB118" s="225"/>
      <c r="AC118" s="225"/>
      <c r="AD118" s="225"/>
      <c r="AE118" s="225"/>
      <c r="AF118" s="225"/>
    </row>
    <row r="119" spans="1:32" s="462" customFormat="1" ht="15" customHeight="1">
      <c r="A119" s="9"/>
      <c r="B119" s="63"/>
      <c r="C119" s="16" t="s">
        <v>411</v>
      </c>
      <c r="D119" s="322" t="s">
        <v>300</v>
      </c>
      <c r="E119" s="16" t="s">
        <v>411</v>
      </c>
      <c r="F119" s="534" t="s">
        <v>461</v>
      </c>
      <c r="G119" s="321"/>
      <c r="H119" s="321"/>
      <c r="I119" s="321"/>
      <c r="J119" s="321"/>
      <c r="K119" s="321"/>
      <c r="L119" s="321"/>
      <c r="M119" s="321"/>
      <c r="N119" s="321"/>
      <c r="O119" s="321"/>
      <c r="P119" s="321"/>
      <c r="Q119" s="321">
        <v>0.86699999999999999</v>
      </c>
      <c r="R119" s="321">
        <v>0.78800000000000003</v>
      </c>
      <c r="S119" s="321">
        <v>0.84299999999999997</v>
      </c>
      <c r="T119" s="321">
        <v>0.85</v>
      </c>
      <c r="U119" s="321">
        <v>0.81299999999999994</v>
      </c>
      <c r="V119" s="321">
        <v>0.80400000000000005</v>
      </c>
      <c r="W119" s="321">
        <f t="shared" ref="W119:AE119" si="1">V119-($S119-$AF119)/($AF$4-$S$4)</f>
        <v>0.78530769230769237</v>
      </c>
      <c r="X119" s="321">
        <f t="shared" si="1"/>
        <v>0.7666153846153847</v>
      </c>
      <c r="Y119" s="321">
        <f t="shared" si="1"/>
        <v>0.74792307692307702</v>
      </c>
      <c r="Z119" s="321">
        <f t="shared" si="1"/>
        <v>0.72923076923076935</v>
      </c>
      <c r="AA119" s="321">
        <f t="shared" si="1"/>
        <v>0.71053846153846167</v>
      </c>
      <c r="AB119" s="321">
        <f t="shared" si="1"/>
        <v>0.691846153846154</v>
      </c>
      <c r="AC119" s="321">
        <f t="shared" si="1"/>
        <v>0.67315384615384632</v>
      </c>
      <c r="AD119" s="321">
        <f t="shared" si="1"/>
        <v>0.65446153846153865</v>
      </c>
      <c r="AE119" s="321">
        <f t="shared" si="1"/>
        <v>0.63576923076923098</v>
      </c>
      <c r="AF119" s="321">
        <f>AF117</f>
        <v>0.6</v>
      </c>
    </row>
    <row r="120" spans="1:32" s="462" customFormat="1" ht="15" customHeight="1">
      <c r="A120" s="9"/>
      <c r="B120" s="63"/>
      <c r="C120" s="16" t="s">
        <v>412</v>
      </c>
      <c r="D120" s="322" t="s">
        <v>300</v>
      </c>
      <c r="E120" s="16" t="s">
        <v>412</v>
      </c>
      <c r="F120" s="534" t="s">
        <v>462</v>
      </c>
      <c r="G120" s="321"/>
      <c r="H120" s="321"/>
      <c r="I120" s="321"/>
      <c r="J120" s="321"/>
      <c r="K120" s="321"/>
      <c r="L120" s="321"/>
      <c r="M120" s="321"/>
      <c r="N120" s="321"/>
      <c r="O120" s="321"/>
      <c r="P120" s="321"/>
      <c r="Q120" s="321">
        <v>0.90600000000000003</v>
      </c>
      <c r="R120" s="321">
        <v>0.89900000000000002</v>
      </c>
      <c r="S120" s="321">
        <v>0.90400000000000003</v>
      </c>
      <c r="T120" s="321">
        <v>0.88900000000000001</v>
      </c>
      <c r="U120" s="321">
        <v>0.86299999999999999</v>
      </c>
      <c r="V120" s="321">
        <v>0.85299999999999998</v>
      </c>
      <c r="W120" s="321">
        <f t="shared" ref="W120:AE120" si="2">V120-($S120-$AF120)/($AF$4-$S$4)</f>
        <v>0.82961538461538464</v>
      </c>
      <c r="X120" s="321">
        <f t="shared" si="2"/>
        <v>0.80623076923076931</v>
      </c>
      <c r="Y120" s="321">
        <f t="shared" si="2"/>
        <v>0.78284615384615397</v>
      </c>
      <c r="Z120" s="321">
        <f t="shared" si="2"/>
        <v>0.75946153846153863</v>
      </c>
      <c r="AA120" s="321">
        <f t="shared" si="2"/>
        <v>0.7360769230769233</v>
      </c>
      <c r="AB120" s="321">
        <f t="shared" si="2"/>
        <v>0.71269230769230796</v>
      </c>
      <c r="AC120" s="321">
        <f t="shared" si="2"/>
        <v>0.68930769230769262</v>
      </c>
      <c r="AD120" s="321">
        <f t="shared" si="2"/>
        <v>0.66592307692307728</v>
      </c>
      <c r="AE120" s="321">
        <f t="shared" si="2"/>
        <v>0.64253846153846195</v>
      </c>
      <c r="AF120" s="321">
        <f>AF117</f>
        <v>0.6</v>
      </c>
    </row>
    <row r="121" spans="1:32" s="462" customFormat="1" ht="15" customHeight="1">
      <c r="B121" s="463"/>
      <c r="C121" s="176"/>
      <c r="D121" s="162"/>
      <c r="E121" s="163"/>
      <c r="F121" s="532"/>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c r="AD121" s="180"/>
      <c r="AE121" s="180"/>
      <c r="AF121" s="180"/>
    </row>
    <row r="122" spans="1:32" s="462" customFormat="1" ht="15" customHeight="1">
      <c r="B122" s="463"/>
      <c r="C122" s="176"/>
      <c r="D122" s="162"/>
      <c r="E122" s="163"/>
      <c r="F122" s="532"/>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c r="AE122" s="180"/>
      <c r="AF122" s="180"/>
    </row>
    <row r="123" spans="1:32" s="462" customFormat="1" ht="15" customHeight="1">
      <c r="B123" s="463"/>
      <c r="C123" s="176"/>
      <c r="D123" s="162"/>
      <c r="E123" s="163"/>
      <c r="F123" s="532"/>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c r="AE123" s="180"/>
      <c r="AF123" s="180"/>
    </row>
    <row r="124" spans="1:32" s="462" customFormat="1" ht="15" customHeight="1">
      <c r="B124" s="463"/>
      <c r="C124" s="176"/>
      <c r="D124" s="162"/>
      <c r="E124" s="163"/>
      <c r="F124" s="532"/>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c r="AE124" s="180"/>
      <c r="AF124" s="180"/>
    </row>
    <row r="125" spans="1:32" s="462" customFormat="1" ht="15" customHeight="1">
      <c r="B125" s="463"/>
      <c r="C125" s="176"/>
      <c r="D125" s="179"/>
      <c r="E125" s="163"/>
      <c r="F125" s="532"/>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c r="AE125" s="180"/>
      <c r="AF125" s="180"/>
    </row>
    <row r="126" spans="1:32" s="462" customFormat="1" ht="15" customHeight="1">
      <c r="B126" s="463"/>
      <c r="C126" s="176"/>
      <c r="D126" s="179"/>
      <c r="E126" s="163"/>
      <c r="F126" s="532"/>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c r="AE126" s="180"/>
      <c r="AF126" s="180"/>
    </row>
    <row r="127" spans="1:32" s="462" customFormat="1" ht="15" customHeight="1">
      <c r="B127" s="463"/>
      <c r="C127" s="176"/>
      <c r="D127" s="179"/>
      <c r="E127" s="163"/>
      <c r="F127" s="532"/>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c r="AE127" s="180"/>
      <c r="AF127" s="180"/>
    </row>
    <row r="128" spans="1:32" s="462" customFormat="1" ht="15" customHeight="1">
      <c r="B128" s="463"/>
      <c r="C128" s="176"/>
      <c r="D128" s="179"/>
      <c r="E128" s="163"/>
      <c r="F128" s="532"/>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row>
    <row r="129" spans="1:32" s="462" customFormat="1" ht="15" customHeight="1">
      <c r="B129" s="463"/>
      <c r="C129" s="176"/>
      <c r="D129" s="179"/>
      <c r="E129" s="163"/>
      <c r="F129" s="532"/>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row>
    <row r="130" spans="1:32" s="462" customFormat="1" ht="15" customHeight="1">
      <c r="B130" s="463"/>
      <c r="C130" s="176"/>
      <c r="D130" s="179"/>
      <c r="E130" s="163"/>
      <c r="F130" s="532"/>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row>
    <row r="131" spans="1:32" s="462" customFormat="1" ht="15" customHeight="1">
      <c r="B131" s="463"/>
      <c r="C131" s="176"/>
      <c r="D131" s="179"/>
      <c r="E131" s="163"/>
      <c r="F131" s="532"/>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row>
    <row r="132" spans="1:32" s="462" customFormat="1" ht="15" customHeight="1">
      <c r="B132" s="463"/>
      <c r="C132" s="176"/>
      <c r="D132" s="179"/>
      <c r="E132" s="163"/>
      <c r="F132" s="532"/>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row>
    <row r="133" spans="1:32" s="462" customFormat="1" ht="15" customHeight="1">
      <c r="B133" s="463"/>
      <c r="C133" s="176"/>
      <c r="D133" s="179"/>
      <c r="E133" s="163"/>
      <c r="F133" s="532"/>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c r="AE133" s="180"/>
      <c r="AF133" s="180"/>
    </row>
    <row r="134" spans="1:32" s="462" customFormat="1" ht="15" customHeight="1">
      <c r="B134" s="463"/>
      <c r="C134" s="176"/>
      <c r="D134" s="179"/>
      <c r="E134" s="163"/>
      <c r="F134" s="532"/>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c r="AE134" s="180"/>
      <c r="AF134" s="180"/>
    </row>
    <row r="135" spans="1:32" s="462" customFormat="1" ht="15" customHeight="1">
      <c r="B135" s="463"/>
      <c r="C135" s="176"/>
      <c r="D135" s="179"/>
      <c r="E135" s="163"/>
      <c r="F135" s="532"/>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c r="AE135" s="180"/>
      <c r="AF135" s="180"/>
    </row>
    <row r="136" spans="1:32" s="462" customFormat="1" ht="15" customHeight="1">
      <c r="B136" s="463"/>
      <c r="C136" s="176"/>
      <c r="D136" s="179"/>
      <c r="E136" s="163"/>
      <c r="F136" s="532"/>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row>
    <row r="137" spans="1:32" s="462" customFormat="1" ht="15" customHeight="1">
      <c r="B137" s="463"/>
      <c r="C137" s="176"/>
      <c r="D137" s="179"/>
      <c r="E137" s="163"/>
      <c r="F137" s="532"/>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c r="AE137" s="180"/>
      <c r="AF137" s="180"/>
    </row>
    <row r="138" spans="1:32" s="462" customFormat="1" ht="15" customHeight="1">
      <c r="B138" s="463"/>
      <c r="C138" s="176"/>
      <c r="D138" s="179"/>
      <c r="E138" s="163"/>
      <c r="F138" s="532"/>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row>
    <row r="139" spans="1:32" s="462" customFormat="1" ht="15" customHeight="1">
      <c r="B139" s="463"/>
      <c r="C139" s="176"/>
      <c r="D139" s="179"/>
      <c r="E139" s="163"/>
      <c r="F139" s="532"/>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c r="AE139" s="180"/>
      <c r="AF139" s="180"/>
    </row>
    <row r="140" spans="1:32" s="462" customFormat="1" ht="15" customHeight="1">
      <c r="B140" s="463"/>
      <c r="C140" s="176"/>
      <c r="D140" s="179"/>
      <c r="E140" s="163"/>
      <c r="F140" s="532"/>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row>
    <row r="141" spans="1:32" s="462" customFormat="1" ht="15" customHeight="1">
      <c r="B141" s="464"/>
      <c r="C141" s="176"/>
      <c r="D141" s="179"/>
      <c r="E141" s="163"/>
      <c r="F141" s="532"/>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row>
    <row r="142" spans="1:32" ht="15" customHeight="1">
      <c r="C142" s="18"/>
      <c r="D142" s="18"/>
      <c r="E142" s="18"/>
      <c r="F142" s="18"/>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row>
    <row r="143" spans="1:32" ht="15" customHeight="1">
      <c r="B143" s="166" t="s">
        <v>340</v>
      </c>
      <c r="C143" s="314" t="s">
        <v>409</v>
      </c>
      <c r="D143" s="22" t="s">
        <v>300</v>
      </c>
      <c r="E143" s="35" t="s">
        <v>830</v>
      </c>
      <c r="F143" s="540" t="s">
        <v>832</v>
      </c>
      <c r="G143" s="23">
        <v>0.82750000000000001</v>
      </c>
      <c r="H143" s="23">
        <v>0.82</v>
      </c>
      <c r="I143" s="497">
        <v>1.02</v>
      </c>
      <c r="J143" s="497">
        <v>0.997</v>
      </c>
      <c r="K143" s="497">
        <v>0.91800000000000004</v>
      </c>
      <c r="L143" s="497">
        <v>0.94099999999999995</v>
      </c>
      <c r="M143" s="497">
        <v>0.98</v>
      </c>
      <c r="N143" s="23">
        <v>0.92100000000000004</v>
      </c>
      <c r="O143" s="23">
        <v>0.90600000000000003</v>
      </c>
      <c r="P143" s="497">
        <v>0.91300000000000003</v>
      </c>
      <c r="Q143" s="497">
        <v>0.92200000000000004</v>
      </c>
      <c r="R143" s="497">
        <v>0.88800000000000001</v>
      </c>
      <c r="S143" s="497">
        <v>0.90400000000000003</v>
      </c>
      <c r="T143" s="497">
        <v>0.89600000000000002</v>
      </c>
      <c r="U143" s="497">
        <v>0.878</v>
      </c>
      <c r="V143" s="497">
        <v>0.92200000000000004</v>
      </c>
      <c r="W143" s="497">
        <f t="shared" ref="W143:AE143" si="3">V143-($S143-$AF143)/($AF$4-$S$4)</f>
        <v>0.90630769230769237</v>
      </c>
      <c r="X143" s="497">
        <f t="shared" si="3"/>
        <v>0.8906153846153847</v>
      </c>
      <c r="Y143" s="497">
        <f t="shared" si="3"/>
        <v>0.87492307692307703</v>
      </c>
      <c r="Z143" s="497">
        <f t="shared" si="3"/>
        <v>0.85923076923076935</v>
      </c>
      <c r="AA143" s="497">
        <f t="shared" si="3"/>
        <v>0.84353846153846168</v>
      </c>
      <c r="AB143" s="497">
        <f t="shared" si="3"/>
        <v>0.82784615384615401</v>
      </c>
      <c r="AC143" s="497">
        <f t="shared" si="3"/>
        <v>0.81215384615384634</v>
      </c>
      <c r="AD143" s="497">
        <f t="shared" si="3"/>
        <v>0.79646153846153867</v>
      </c>
      <c r="AE143" s="497">
        <f t="shared" si="3"/>
        <v>0.78076923076923099</v>
      </c>
      <c r="AF143" s="497">
        <v>0.7</v>
      </c>
    </row>
    <row r="144" spans="1:32" s="462" customFormat="1" ht="15" customHeight="1">
      <c r="A144" s="9"/>
      <c r="B144" s="63"/>
      <c r="C144" s="16"/>
      <c r="D144" s="12"/>
      <c r="E144" s="11"/>
      <c r="F144" s="215"/>
      <c r="G144" s="321"/>
      <c r="H144" s="321"/>
      <c r="I144" s="225"/>
      <c r="J144" s="225"/>
      <c r="K144" s="225"/>
      <c r="L144" s="321"/>
      <c r="M144" s="321"/>
      <c r="N144" s="321"/>
      <c r="O144" s="321"/>
      <c r="P144" s="321"/>
      <c r="Q144" s="321"/>
      <c r="R144" s="321"/>
      <c r="S144" s="321"/>
      <c r="T144" s="321"/>
      <c r="U144" s="321"/>
      <c r="V144" s="321"/>
      <c r="W144" s="321"/>
      <c r="X144" s="321"/>
      <c r="Y144" s="321"/>
      <c r="Z144" s="321"/>
      <c r="AA144" s="321"/>
      <c r="AB144" s="321"/>
      <c r="AC144" s="321"/>
      <c r="AD144" s="321"/>
      <c r="AE144" s="321"/>
      <c r="AF144" s="321"/>
    </row>
    <row r="145" spans="1:32" s="462" customFormat="1" ht="15" customHeight="1">
      <c r="A145" s="9"/>
      <c r="B145" s="63"/>
      <c r="C145" s="16" t="s">
        <v>411</v>
      </c>
      <c r="D145" s="322" t="s">
        <v>300</v>
      </c>
      <c r="E145" s="16" t="s">
        <v>411</v>
      </c>
      <c r="F145" s="534" t="s">
        <v>461</v>
      </c>
      <c r="G145" s="321"/>
      <c r="H145" s="321"/>
      <c r="I145" s="321"/>
      <c r="J145" s="321"/>
      <c r="K145" s="321"/>
      <c r="L145" s="321"/>
      <c r="M145" s="321"/>
      <c r="N145" s="321"/>
      <c r="O145" s="321"/>
      <c r="P145" s="321"/>
      <c r="Q145" s="321">
        <v>0.91</v>
      </c>
      <c r="R145" s="321">
        <v>0.82799999999999996</v>
      </c>
      <c r="S145" s="321">
        <v>0.872</v>
      </c>
      <c r="T145" s="321">
        <v>0.878</v>
      </c>
      <c r="U145" s="321">
        <v>0.85</v>
      </c>
      <c r="V145" s="321">
        <v>0.84299999999999997</v>
      </c>
      <c r="W145" s="321">
        <f t="shared" ref="W145:AE145" si="4">V145-($S145-$AF145)/($AF$4-$S$4)</f>
        <v>0.8297692307692307</v>
      </c>
      <c r="X145" s="321">
        <f t="shared" si="4"/>
        <v>0.81653846153846144</v>
      </c>
      <c r="Y145" s="321">
        <f t="shared" si="4"/>
        <v>0.80330769230769217</v>
      </c>
      <c r="Z145" s="321">
        <f t="shared" si="4"/>
        <v>0.7900769230769229</v>
      </c>
      <c r="AA145" s="321">
        <f t="shared" si="4"/>
        <v>0.77684615384615363</v>
      </c>
      <c r="AB145" s="321">
        <f t="shared" si="4"/>
        <v>0.76361538461538436</v>
      </c>
      <c r="AC145" s="321">
        <f t="shared" si="4"/>
        <v>0.75038461538461509</v>
      </c>
      <c r="AD145" s="321">
        <f t="shared" si="4"/>
        <v>0.73715384615384583</v>
      </c>
      <c r="AE145" s="321">
        <f t="shared" si="4"/>
        <v>0.72392307692307656</v>
      </c>
      <c r="AF145" s="321">
        <f>AF143</f>
        <v>0.7</v>
      </c>
    </row>
    <row r="146" spans="1:32" s="462" customFormat="1" ht="15" customHeight="1">
      <c r="A146" s="9"/>
      <c r="B146" s="63"/>
      <c r="C146" s="16" t="s">
        <v>412</v>
      </c>
      <c r="D146" s="322" t="s">
        <v>300</v>
      </c>
      <c r="E146" s="16" t="s">
        <v>412</v>
      </c>
      <c r="F146" s="534" t="s">
        <v>462</v>
      </c>
      <c r="G146" s="321"/>
      <c r="H146" s="321"/>
      <c r="I146" s="321"/>
      <c r="J146" s="321"/>
      <c r="K146" s="321"/>
      <c r="L146" s="321"/>
      <c r="M146" s="321"/>
      <c r="N146" s="321"/>
      <c r="O146" s="321"/>
      <c r="P146" s="321"/>
      <c r="Q146" s="321">
        <v>0.93</v>
      </c>
      <c r="R146" s="321">
        <v>0.91300000000000003</v>
      </c>
      <c r="S146" s="321">
        <v>0.91500000000000004</v>
      </c>
      <c r="T146" s="321">
        <v>0.90200000000000002</v>
      </c>
      <c r="U146" s="321">
        <v>0.88300000000000001</v>
      </c>
      <c r="V146" s="321">
        <v>0.878</v>
      </c>
      <c r="W146" s="321">
        <f t="shared" ref="W146:AE146" si="5">V146-($S146-$AF146)/($AF$4-$S$4)</f>
        <v>0.8614615384615385</v>
      </c>
      <c r="X146" s="321">
        <f t="shared" si="5"/>
        <v>0.844923076923077</v>
      </c>
      <c r="Y146" s="321">
        <f t="shared" si="5"/>
        <v>0.8283846153846155</v>
      </c>
      <c r="Z146" s="321">
        <f t="shared" si="5"/>
        <v>0.811846153846154</v>
      </c>
      <c r="AA146" s="321">
        <f t="shared" si="5"/>
        <v>0.79530769230769249</v>
      </c>
      <c r="AB146" s="321">
        <f t="shared" si="5"/>
        <v>0.77876923076923099</v>
      </c>
      <c r="AC146" s="321">
        <f t="shared" si="5"/>
        <v>0.76223076923076949</v>
      </c>
      <c r="AD146" s="321">
        <f t="shared" si="5"/>
        <v>0.74569230769230799</v>
      </c>
      <c r="AE146" s="321">
        <f t="shared" si="5"/>
        <v>0.72915384615384649</v>
      </c>
      <c r="AF146" s="321">
        <f>AF143</f>
        <v>0.7</v>
      </c>
    </row>
    <row r="147" spans="1:32" s="462" customFormat="1" ht="15" customHeight="1">
      <c r="B147" s="463"/>
      <c r="C147" s="176"/>
      <c r="D147" s="162"/>
      <c r="E147" s="163"/>
      <c r="F147" s="532"/>
      <c r="G147" s="180"/>
      <c r="H147" s="180"/>
      <c r="I147" s="180"/>
      <c r="J147" s="180"/>
      <c r="K147" s="180"/>
      <c r="L147" s="180"/>
      <c r="M147" s="180"/>
      <c r="N147" s="180"/>
      <c r="O147" s="180"/>
      <c r="P147" s="180"/>
      <c r="Q147" s="180"/>
      <c r="R147" s="180"/>
      <c r="S147" s="180"/>
      <c r="T147" s="180"/>
      <c r="U147" s="180"/>
      <c r="V147" s="180"/>
      <c r="W147" s="180"/>
      <c r="X147" s="180"/>
      <c r="Y147" s="180"/>
      <c r="Z147" s="180"/>
      <c r="AA147" s="180"/>
      <c r="AB147" s="180"/>
      <c r="AC147" s="180"/>
      <c r="AD147" s="180"/>
      <c r="AE147" s="180"/>
      <c r="AF147" s="180"/>
    </row>
    <row r="148" spans="1:32" s="462" customFormat="1" ht="15" customHeight="1">
      <c r="B148" s="463"/>
      <c r="C148" s="176"/>
      <c r="D148" s="162"/>
      <c r="E148" s="163"/>
      <c r="F148" s="532"/>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c r="AE148" s="180"/>
      <c r="AF148" s="180"/>
    </row>
    <row r="149" spans="1:32" s="462" customFormat="1" ht="15" customHeight="1">
      <c r="B149" s="463"/>
      <c r="C149" s="176"/>
      <c r="D149" s="162"/>
      <c r="E149" s="163"/>
      <c r="F149" s="532"/>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row>
    <row r="150" spans="1:32" s="462" customFormat="1" ht="15" customHeight="1">
      <c r="B150" s="463"/>
      <c r="C150" s="176"/>
      <c r="D150" s="162"/>
      <c r="E150" s="163"/>
      <c r="F150" s="532"/>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c r="AE150" s="180"/>
      <c r="AF150" s="180"/>
    </row>
    <row r="151" spans="1:32" s="462" customFormat="1" ht="15" customHeight="1">
      <c r="B151" s="463"/>
      <c r="C151" s="176"/>
      <c r="D151" s="179"/>
      <c r="E151" s="163"/>
      <c r="F151" s="532"/>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c r="AE151" s="180"/>
      <c r="AF151" s="180"/>
    </row>
    <row r="152" spans="1:32" s="462" customFormat="1" ht="15" customHeight="1">
      <c r="B152" s="463"/>
      <c r="C152" s="176"/>
      <c r="D152" s="179"/>
      <c r="E152" s="163"/>
      <c r="F152" s="532"/>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c r="AE152" s="180"/>
      <c r="AF152" s="180"/>
    </row>
    <row r="153" spans="1:32" s="462" customFormat="1" ht="15" customHeight="1">
      <c r="B153" s="463"/>
      <c r="C153" s="176"/>
      <c r="D153" s="179"/>
      <c r="E153" s="163"/>
      <c r="F153" s="532"/>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c r="AE153" s="180"/>
      <c r="AF153" s="180"/>
    </row>
    <row r="154" spans="1:32" s="462" customFormat="1" ht="15" customHeight="1">
      <c r="B154" s="463"/>
      <c r="C154" s="176"/>
      <c r="D154" s="179"/>
      <c r="E154" s="163"/>
      <c r="F154" s="532"/>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row>
    <row r="155" spans="1:32" s="462" customFormat="1" ht="15" customHeight="1">
      <c r="B155" s="463"/>
      <c r="C155" s="176"/>
      <c r="D155" s="179"/>
      <c r="E155" s="163"/>
      <c r="F155" s="532"/>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row>
    <row r="156" spans="1:32" s="462" customFormat="1" ht="15" customHeight="1">
      <c r="B156" s="463"/>
      <c r="C156" s="176"/>
      <c r="D156" s="179"/>
      <c r="E156" s="163"/>
      <c r="F156" s="532"/>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row>
    <row r="157" spans="1:32" s="462" customFormat="1" ht="15" customHeight="1">
      <c r="B157" s="463"/>
      <c r="C157" s="176"/>
      <c r="D157" s="179"/>
      <c r="E157" s="163"/>
      <c r="F157" s="532"/>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row>
    <row r="158" spans="1:32" s="462" customFormat="1" ht="15" customHeight="1">
      <c r="B158" s="463"/>
      <c r="C158" s="176"/>
      <c r="D158" s="179"/>
      <c r="E158" s="163"/>
      <c r="F158" s="532"/>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row>
    <row r="159" spans="1:32" s="462" customFormat="1" ht="15" customHeight="1">
      <c r="B159" s="463"/>
      <c r="C159" s="176"/>
      <c r="D159" s="179"/>
      <c r="E159" s="163"/>
      <c r="F159" s="532"/>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row>
    <row r="160" spans="1:32" s="462" customFormat="1" ht="15" customHeight="1">
      <c r="B160" s="463"/>
      <c r="C160" s="176"/>
      <c r="D160" s="179"/>
      <c r="E160" s="163"/>
      <c r="F160" s="532"/>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row>
    <row r="161" spans="1:32" s="462" customFormat="1" ht="15" customHeight="1">
      <c r="B161" s="463"/>
      <c r="C161" s="176"/>
      <c r="D161" s="179"/>
      <c r="E161" s="163"/>
      <c r="F161" s="532"/>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row>
    <row r="162" spans="1:32" s="462" customFormat="1" ht="15" customHeight="1">
      <c r="B162" s="463"/>
      <c r="C162" s="176"/>
      <c r="D162" s="179"/>
      <c r="E162" s="163"/>
      <c r="F162" s="532"/>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row>
    <row r="163" spans="1:32" s="462" customFormat="1" ht="15" customHeight="1">
      <c r="B163" s="463"/>
      <c r="C163" s="176"/>
      <c r="D163" s="179"/>
      <c r="E163" s="163"/>
      <c r="F163" s="532"/>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row>
    <row r="164" spans="1:32" s="462" customFormat="1" ht="15" customHeight="1">
      <c r="B164" s="463"/>
      <c r="C164" s="176"/>
      <c r="D164" s="179"/>
      <c r="E164" s="163"/>
      <c r="F164" s="532"/>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row>
    <row r="165" spans="1:32" s="462" customFormat="1" ht="15" customHeight="1">
      <c r="B165" s="463"/>
      <c r="C165" s="176"/>
      <c r="D165" s="179"/>
      <c r="E165" s="163"/>
      <c r="F165" s="532"/>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row>
    <row r="166" spans="1:32" s="462" customFormat="1" ht="15" customHeight="1">
      <c r="B166" s="463"/>
      <c r="C166" s="176"/>
      <c r="D166" s="179"/>
      <c r="E166" s="163"/>
      <c r="F166" s="532"/>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row>
    <row r="167" spans="1:32" s="462" customFormat="1" ht="15" customHeight="1">
      <c r="B167" s="464"/>
      <c r="C167" s="176"/>
      <c r="D167" s="179"/>
      <c r="E167" s="163"/>
      <c r="F167" s="532"/>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c r="AE167" s="180"/>
      <c r="AF167" s="180"/>
    </row>
    <row r="168" spans="1:32" ht="15" customHeight="1">
      <c r="C168" s="18"/>
      <c r="D168" s="18"/>
      <c r="E168" s="18"/>
      <c r="F168" s="18"/>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row>
    <row r="169" spans="1:32" ht="15" customHeight="1">
      <c r="B169" s="166" t="s">
        <v>12</v>
      </c>
      <c r="C169" s="314" t="s">
        <v>409</v>
      </c>
      <c r="D169" s="22" t="s">
        <v>300</v>
      </c>
      <c r="E169" s="35" t="s">
        <v>830</v>
      </c>
      <c r="F169" s="540" t="s">
        <v>832</v>
      </c>
      <c r="G169" s="23">
        <v>1.2</v>
      </c>
      <c r="H169" s="23">
        <v>1.2</v>
      </c>
      <c r="I169" s="497">
        <v>1.046</v>
      </c>
      <c r="J169" s="497">
        <v>0.98099999999999998</v>
      </c>
      <c r="K169" s="497">
        <v>1.0109999999999999</v>
      </c>
      <c r="L169" s="497">
        <v>0.84899999999999998</v>
      </c>
      <c r="M169" s="497">
        <v>0.98</v>
      </c>
      <c r="N169" s="497">
        <v>0.997</v>
      </c>
      <c r="O169" s="497">
        <v>0.95</v>
      </c>
      <c r="P169" s="497">
        <v>0.98899999999999999</v>
      </c>
      <c r="Q169" s="497">
        <v>0.95299999999999996</v>
      </c>
      <c r="R169" s="497">
        <v>0.91500000000000004</v>
      </c>
      <c r="S169" s="497">
        <v>0.88200000000000001</v>
      </c>
      <c r="T169" s="497">
        <v>0.86899999999999999</v>
      </c>
      <c r="U169" s="497">
        <v>0.86399999999999999</v>
      </c>
      <c r="V169" s="497">
        <v>0.95299999999999996</v>
      </c>
      <c r="W169" s="497">
        <f t="shared" ref="W169:AE169" si="6">V169-($S169-$AF169)/($AF$4-$S$4)</f>
        <v>0.93130769230769228</v>
      </c>
      <c r="X169" s="497">
        <f t="shared" si="6"/>
        <v>0.9096153846153846</v>
      </c>
      <c r="Y169" s="497">
        <f t="shared" si="6"/>
        <v>0.88792307692307693</v>
      </c>
      <c r="Z169" s="497">
        <f t="shared" si="6"/>
        <v>0.86623076923076925</v>
      </c>
      <c r="AA169" s="497">
        <f t="shared" si="6"/>
        <v>0.84453846153846157</v>
      </c>
      <c r="AB169" s="497">
        <f t="shared" si="6"/>
        <v>0.82284615384615389</v>
      </c>
      <c r="AC169" s="497">
        <f t="shared" si="6"/>
        <v>0.80115384615384622</v>
      </c>
      <c r="AD169" s="497">
        <f t="shared" si="6"/>
        <v>0.77946153846153854</v>
      </c>
      <c r="AE169" s="497">
        <f t="shared" si="6"/>
        <v>0.75776923076923086</v>
      </c>
      <c r="AF169" s="497">
        <v>0.6</v>
      </c>
    </row>
    <row r="170" spans="1:32" s="462" customFormat="1" ht="15" customHeight="1">
      <c r="A170" s="9"/>
      <c r="B170" s="63"/>
      <c r="C170" s="16"/>
      <c r="D170" s="12"/>
      <c r="E170" s="11"/>
      <c r="F170" s="215"/>
      <c r="G170" s="321"/>
      <c r="H170" s="321"/>
      <c r="I170" s="225"/>
      <c r="J170" s="225"/>
      <c r="K170" s="225"/>
      <c r="L170" s="225"/>
      <c r="M170" s="225"/>
      <c r="N170" s="225"/>
      <c r="O170" s="225"/>
      <c r="P170" s="225"/>
      <c r="Q170" s="225"/>
      <c r="R170" s="225"/>
      <c r="S170" s="225"/>
      <c r="T170" s="225"/>
      <c r="U170" s="225"/>
      <c r="V170" s="225"/>
      <c r="W170" s="225"/>
      <c r="X170" s="225"/>
      <c r="Y170" s="225"/>
      <c r="Z170" s="225"/>
      <c r="AA170" s="225"/>
      <c r="AB170" s="225"/>
      <c r="AC170" s="225"/>
      <c r="AD170" s="225"/>
      <c r="AE170" s="225"/>
      <c r="AF170" s="225"/>
    </row>
    <row r="171" spans="1:32" s="462" customFormat="1" ht="15" customHeight="1">
      <c r="A171" s="9"/>
      <c r="B171" s="63"/>
      <c r="C171" s="16" t="s">
        <v>411</v>
      </c>
      <c r="D171" s="322" t="s">
        <v>300</v>
      </c>
      <c r="E171" s="16" t="s">
        <v>411</v>
      </c>
      <c r="F171" s="534" t="s">
        <v>461</v>
      </c>
      <c r="G171" s="321"/>
      <c r="H171" s="321"/>
      <c r="I171" s="321"/>
      <c r="J171" s="321"/>
      <c r="K171" s="321"/>
      <c r="L171" s="321"/>
      <c r="M171" s="321"/>
      <c r="N171" s="321"/>
      <c r="O171" s="321"/>
      <c r="P171" s="321"/>
      <c r="Q171" s="321">
        <v>0.94299999999999995</v>
      </c>
      <c r="R171" s="321">
        <v>0.89200000000000002</v>
      </c>
      <c r="S171" s="321">
        <v>0.86</v>
      </c>
      <c r="T171" s="321">
        <v>0.85</v>
      </c>
      <c r="U171" s="321">
        <v>0.83299999999999996</v>
      </c>
      <c r="V171" s="321">
        <v>0.82599999999999996</v>
      </c>
      <c r="W171" s="321">
        <f t="shared" ref="W171:AE171" si="7">V171-($S171-$AF171)/($AF$4-$S$4)</f>
        <v>0.80599999999999994</v>
      </c>
      <c r="X171" s="321">
        <f t="shared" si="7"/>
        <v>0.78599999999999992</v>
      </c>
      <c r="Y171" s="321">
        <f t="shared" si="7"/>
        <v>0.7659999999999999</v>
      </c>
      <c r="Z171" s="321">
        <f t="shared" si="7"/>
        <v>0.74599999999999989</v>
      </c>
      <c r="AA171" s="321">
        <f t="shared" si="7"/>
        <v>0.72599999999999987</v>
      </c>
      <c r="AB171" s="321">
        <f t="shared" si="7"/>
        <v>0.70599999999999985</v>
      </c>
      <c r="AC171" s="321">
        <f t="shared" si="7"/>
        <v>0.68599999999999983</v>
      </c>
      <c r="AD171" s="321">
        <f t="shared" si="7"/>
        <v>0.66599999999999981</v>
      </c>
      <c r="AE171" s="321">
        <f t="shared" si="7"/>
        <v>0.6459999999999998</v>
      </c>
      <c r="AF171" s="321">
        <f>AF169</f>
        <v>0.6</v>
      </c>
    </row>
    <row r="172" spans="1:32" s="462" customFormat="1" ht="15" customHeight="1">
      <c r="A172" s="9"/>
      <c r="B172" s="63"/>
      <c r="C172" s="16" t="s">
        <v>412</v>
      </c>
      <c r="D172" s="322" t="s">
        <v>300</v>
      </c>
      <c r="E172" s="16" t="s">
        <v>412</v>
      </c>
      <c r="F172" s="534" t="s">
        <v>462</v>
      </c>
      <c r="G172" s="321"/>
      <c r="H172" s="321"/>
      <c r="I172" s="321"/>
      <c r="J172" s="321"/>
      <c r="K172" s="321"/>
      <c r="L172" s="321"/>
      <c r="M172" s="321"/>
      <c r="N172" s="321"/>
      <c r="O172" s="321"/>
      <c r="P172" s="321"/>
      <c r="Q172" s="321">
        <v>0.95599999999999996</v>
      </c>
      <c r="R172" s="321">
        <v>0.92900000000000005</v>
      </c>
      <c r="S172" s="321">
        <v>0.88600000000000001</v>
      </c>
      <c r="T172" s="321">
        <v>0.872</v>
      </c>
      <c r="U172" s="321">
        <v>0.871</v>
      </c>
      <c r="V172" s="321">
        <v>0.873</v>
      </c>
      <c r="W172" s="321">
        <f t="shared" ref="W172:AE172" si="8">V172-($S172-$AF172)/($AF$4-$S$4)</f>
        <v>0.85099999999999998</v>
      </c>
      <c r="X172" s="321">
        <f t="shared" si="8"/>
        <v>0.82899999999999996</v>
      </c>
      <c r="Y172" s="321">
        <f t="shared" si="8"/>
        <v>0.80699999999999994</v>
      </c>
      <c r="Z172" s="321">
        <f t="shared" si="8"/>
        <v>0.78499999999999992</v>
      </c>
      <c r="AA172" s="321">
        <f t="shared" si="8"/>
        <v>0.7629999999999999</v>
      </c>
      <c r="AB172" s="321">
        <f t="shared" si="8"/>
        <v>0.74099999999999988</v>
      </c>
      <c r="AC172" s="321">
        <f t="shared" si="8"/>
        <v>0.71899999999999986</v>
      </c>
      <c r="AD172" s="321">
        <f t="shared" si="8"/>
        <v>0.69699999999999984</v>
      </c>
      <c r="AE172" s="321">
        <f t="shared" si="8"/>
        <v>0.67499999999999982</v>
      </c>
      <c r="AF172" s="321">
        <f>AF169</f>
        <v>0.6</v>
      </c>
    </row>
    <row r="173" spans="1:32" s="462" customFormat="1" ht="15" customHeight="1">
      <c r="B173" s="463"/>
      <c r="C173" s="176"/>
      <c r="D173" s="162"/>
      <c r="E173" s="163"/>
      <c r="F173" s="532"/>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c r="AE173" s="180"/>
      <c r="AF173" s="180"/>
    </row>
    <row r="174" spans="1:32" s="462" customFormat="1" ht="15" customHeight="1">
      <c r="B174" s="463"/>
      <c r="C174" s="176"/>
      <c r="D174" s="162"/>
      <c r="E174" s="163"/>
      <c r="F174" s="532"/>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c r="AE174" s="180"/>
      <c r="AF174" s="180"/>
    </row>
    <row r="175" spans="1:32" s="462" customFormat="1" ht="15" customHeight="1">
      <c r="B175" s="463"/>
      <c r="C175" s="176"/>
      <c r="D175" s="162"/>
      <c r="E175" s="163"/>
      <c r="F175" s="532"/>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row>
    <row r="176" spans="1:32" s="462" customFormat="1" ht="15" customHeight="1">
      <c r="B176" s="463"/>
      <c r="C176" s="176"/>
      <c r="D176" s="162"/>
      <c r="E176" s="163"/>
      <c r="F176" s="532"/>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c r="AE176" s="180"/>
      <c r="AF176" s="180"/>
    </row>
    <row r="177" spans="2:32" s="462" customFormat="1" ht="15" customHeight="1">
      <c r="B177" s="463"/>
      <c r="C177" s="176"/>
      <c r="D177" s="179"/>
      <c r="E177" s="163"/>
      <c r="F177" s="532"/>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row>
    <row r="178" spans="2:32" s="462" customFormat="1" ht="15" customHeight="1">
      <c r="B178" s="463"/>
      <c r="C178" s="176"/>
      <c r="D178" s="179"/>
      <c r="E178" s="163"/>
      <c r="F178" s="532"/>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c r="AE178" s="180"/>
      <c r="AF178" s="180"/>
    </row>
    <row r="179" spans="2:32" s="462" customFormat="1" ht="15" customHeight="1">
      <c r="B179" s="463"/>
      <c r="C179" s="176"/>
      <c r="D179" s="179"/>
      <c r="E179" s="163"/>
      <c r="F179" s="532"/>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c r="AE179" s="180"/>
      <c r="AF179" s="180"/>
    </row>
    <row r="180" spans="2:32" s="462" customFormat="1" ht="15" customHeight="1">
      <c r="B180" s="463"/>
      <c r="C180" s="176"/>
      <c r="D180" s="179"/>
      <c r="E180" s="163"/>
      <c r="F180" s="532"/>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row>
    <row r="181" spans="2:32" s="462" customFormat="1" ht="15" customHeight="1">
      <c r="B181" s="463"/>
      <c r="C181" s="176"/>
      <c r="D181" s="179"/>
      <c r="E181" s="163"/>
      <c r="F181" s="532"/>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row>
    <row r="182" spans="2:32" s="462" customFormat="1" ht="15" customHeight="1">
      <c r="B182" s="463"/>
      <c r="C182" s="176"/>
      <c r="D182" s="179"/>
      <c r="E182" s="163"/>
      <c r="F182" s="532"/>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row>
    <row r="183" spans="2:32" s="462" customFormat="1" ht="15" customHeight="1">
      <c r="B183" s="463"/>
      <c r="C183" s="176"/>
      <c r="D183" s="179"/>
      <c r="E183" s="163"/>
      <c r="F183" s="532"/>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row>
    <row r="184" spans="2:32" s="462" customFormat="1" ht="15" customHeight="1">
      <c r="B184" s="463"/>
      <c r="C184" s="176"/>
      <c r="D184" s="179"/>
      <c r="E184" s="163"/>
      <c r="F184" s="532"/>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row>
    <row r="185" spans="2:32" s="462" customFormat="1" ht="15" customHeight="1">
      <c r="B185" s="463"/>
      <c r="C185" s="176"/>
      <c r="D185" s="179"/>
      <c r="E185" s="163"/>
      <c r="F185" s="532"/>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row>
    <row r="186" spans="2:32" s="462" customFormat="1" ht="15" customHeight="1">
      <c r="B186" s="463"/>
      <c r="C186" s="176"/>
      <c r="D186" s="179"/>
      <c r="E186" s="163"/>
      <c r="F186" s="532"/>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row>
    <row r="187" spans="2:32" s="462" customFormat="1" ht="15" customHeight="1">
      <c r="B187" s="463"/>
      <c r="C187" s="176"/>
      <c r="D187" s="179"/>
      <c r="E187" s="163"/>
      <c r="F187" s="532"/>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row>
    <row r="188" spans="2:32" s="462" customFormat="1" ht="15" customHeight="1">
      <c r="B188" s="463"/>
      <c r="C188" s="176"/>
      <c r="D188" s="179"/>
      <c r="E188" s="163"/>
      <c r="F188" s="532"/>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row>
    <row r="189" spans="2:32" s="462" customFormat="1" ht="15" customHeight="1">
      <c r="B189" s="463"/>
      <c r="C189" s="176"/>
      <c r="D189" s="179"/>
      <c r="E189" s="163"/>
      <c r="F189" s="532"/>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row>
    <row r="190" spans="2:32" s="462" customFormat="1" ht="15" customHeight="1">
      <c r="B190" s="463"/>
      <c r="C190" s="176"/>
      <c r="D190" s="179"/>
      <c r="E190" s="163"/>
      <c r="F190" s="532"/>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row>
    <row r="191" spans="2:32" s="462" customFormat="1" ht="15" customHeight="1">
      <c r="B191" s="463"/>
      <c r="C191" s="176"/>
      <c r="D191" s="179"/>
      <c r="E191" s="163"/>
      <c r="F191" s="532"/>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row>
    <row r="192" spans="2:32" s="462" customFormat="1" ht="15" customHeight="1">
      <c r="B192" s="463"/>
      <c r="C192" s="176"/>
      <c r="D192" s="179"/>
      <c r="E192" s="163"/>
      <c r="F192" s="532"/>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row>
    <row r="193" spans="2:32" s="462" customFormat="1" ht="15" customHeight="1">
      <c r="B193" s="464"/>
      <c r="C193" s="178"/>
      <c r="D193" s="181"/>
      <c r="E193" s="182"/>
      <c r="F193" s="533"/>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row>
    <row r="194" spans="2:32" ht="15" customHeight="1">
      <c r="C194" s="21"/>
      <c r="D194" s="18"/>
      <c r="E194" s="18"/>
      <c r="F194" s="18"/>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row>
    <row r="195" spans="2:32" ht="15" customHeight="1"/>
    <row r="196" spans="2:32" ht="15" customHeight="1"/>
    <row r="197" spans="2:32" ht="15" customHeight="1"/>
    <row r="198" spans="2:32" ht="15" customHeight="1"/>
    <row r="199" spans="2:32" ht="15" customHeight="1"/>
    <row r="200" spans="2:32" ht="15" customHeight="1"/>
    <row r="201" spans="2:32" ht="15" customHeight="1"/>
    <row r="202" spans="2:32" ht="15" customHeight="1"/>
    <row r="203" spans="2:32" ht="15" customHeight="1"/>
    <row r="204" spans="2:32" ht="15" customHeight="1"/>
    <row r="205" spans="2:32" ht="15" customHeight="1"/>
    <row r="206" spans="2:32" ht="15" customHeight="1"/>
    <row r="207" spans="2:32" ht="15" customHeight="1"/>
    <row r="208" spans="2: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13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1" operator="greaterThan" id="{944499F1-C60B-4E7F-993B-0F5FEA965EED}">
            <xm:f>ControlPanel!$D$59-1</xm:f>
            <x14:dxf>
              <font>
                <color rgb="FF9C6500"/>
              </font>
              <fill>
                <patternFill>
                  <fgColor indexed="64"/>
                  <bgColor rgb="FFFFEB9C"/>
                </patternFill>
              </fill>
            </x14:dxf>
          </x14:cfRule>
          <x14:cfRule type="cellIs" priority="2" operator="lessThan" id="{CA2FCE85-A0E0-4119-91A5-83489063AA02}">
            <xm:f>ControlPanel!$D$59</xm:f>
            <x14:dxf>
              <font>
                <color rgb="FF006100"/>
              </font>
              <fill>
                <patternFill>
                  <fgColor indexed="64"/>
                  <bgColor rgb="FFC6EFCE"/>
                </patternFill>
              </fill>
            </x14:dxf>
          </x14:cfRule>
          <x14:cfRule type="cellIs" priority="3" operator="lessThan" id="{F1C8F57F-C088-4187-A25B-FE5C91C2AF64}">
            <xm:f>ControlPanel!$D$59+1</xm:f>
            <x14:dxf>
              <font>
                <color rgb="FF006100"/>
              </font>
              <fill>
                <patternFill>
                  <fgColor indexed="64"/>
                  <bgColor rgb="FFC6EFCE"/>
                </patternFill>
              </fill>
            </x14:dxf>
          </x14:cfRule>
          <xm:sqref>G4:AF4</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42">
    <tabColor theme="9" tint="0.39997558519241921"/>
  </sheetPr>
  <dimension ref="A1:AF1191"/>
  <sheetViews>
    <sheetView zoomScale="70" zoomScaleNormal="70" workbookViewId="0">
      <pane xSplit="6" ySplit="4" topLeftCell="G5" activePane="bottomRight" state="frozen"/>
      <selection activeCell="I45" sqref="I45"/>
      <selection pane="topRight" activeCell="I45" sqref="I45"/>
      <selection pane="bottomLeft" activeCell="I45" sqref="I45"/>
      <selection pane="bottomRight" activeCell="G6" sqref="G6:AF12"/>
    </sheetView>
  </sheetViews>
  <sheetFormatPr defaultColWidth="11.5546875" defaultRowHeight="13.2" outlineLevelCol="2"/>
  <cols>
    <col min="1" max="1" width="3.6640625" style="9" customWidth="1"/>
    <col min="2" max="2" width="17.5546875" style="9" customWidth="1"/>
    <col min="3" max="3" width="12.33203125" style="294" customWidth="1"/>
    <col min="4" max="4" width="7.44140625" style="10" customWidth="1" outlineLevel="2"/>
    <col min="5" max="5" width="28.44140625" style="10" customWidth="1"/>
    <col min="6" max="6" width="13.6640625" style="10" customWidth="1"/>
    <col min="7" max="14" width="8.6640625" style="9" customWidth="1"/>
    <col min="15" max="32" width="8.6640625" style="9" customWidth="1" outlineLevel="1"/>
    <col min="33" max="16384" width="11.5546875" style="9"/>
  </cols>
  <sheetData>
    <row r="1" spans="1:32">
      <c r="A1" s="41" t="s">
        <v>74</v>
      </c>
      <c r="B1" s="20" t="s">
        <v>833</v>
      </c>
      <c r="C1" s="20"/>
      <c r="D1" s="19"/>
      <c r="E1" s="19"/>
      <c r="F1" s="19"/>
    </row>
    <row r="2" spans="1:32">
      <c r="B2" s="37"/>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1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13"/>
      <c r="E5" s="16"/>
      <c r="G5" s="323" t="s">
        <v>216</v>
      </c>
      <c r="H5" s="323" t="s">
        <v>216</v>
      </c>
      <c r="I5" s="323" t="s">
        <v>216</v>
      </c>
      <c r="J5" s="323" t="s">
        <v>216</v>
      </c>
      <c r="K5" s="323" t="s">
        <v>216</v>
      </c>
      <c r="L5" s="323" t="s">
        <v>216</v>
      </c>
      <c r="M5" s="323" t="s">
        <v>216</v>
      </c>
      <c r="N5" s="323" t="s">
        <v>216</v>
      </c>
      <c r="O5" s="323" t="s">
        <v>216</v>
      </c>
      <c r="P5" s="323" t="s">
        <v>216</v>
      </c>
      <c r="Q5" s="323" t="s">
        <v>216</v>
      </c>
      <c r="R5" s="323" t="s">
        <v>216</v>
      </c>
      <c r="S5" s="323" t="s">
        <v>216</v>
      </c>
      <c r="T5" s="323" t="s">
        <v>216</v>
      </c>
      <c r="U5" s="323" t="s">
        <v>216</v>
      </c>
      <c r="V5" s="323" t="s">
        <v>216</v>
      </c>
      <c r="W5" s="323" t="s">
        <v>216</v>
      </c>
      <c r="X5" s="323" t="s">
        <v>216</v>
      </c>
      <c r="Y5" s="323" t="s">
        <v>216</v>
      </c>
      <c r="Z5" s="323" t="s">
        <v>216</v>
      </c>
      <c r="AA5" s="323" t="s">
        <v>216</v>
      </c>
      <c r="AB5" s="323" t="s">
        <v>216</v>
      </c>
      <c r="AC5" s="323" t="s">
        <v>216</v>
      </c>
      <c r="AD5" s="323" t="s">
        <v>216</v>
      </c>
      <c r="AE5" s="323" t="s">
        <v>216</v>
      </c>
      <c r="AF5" s="323" t="s">
        <v>216</v>
      </c>
    </row>
    <row r="6" spans="1:32" ht="15" customHeight="1" thickBot="1">
      <c r="B6" s="166" t="s">
        <v>529</v>
      </c>
      <c r="C6" s="175" t="str">
        <f>ControlPanel!E50</f>
        <v>Référence</v>
      </c>
      <c r="D6" s="15" t="str">
        <f>VLOOKUP($C$6,$C$13:$AF$37,2,FALSE)</f>
        <v>mh</v>
      </c>
      <c r="E6" s="15" t="str">
        <f>VLOOKUP($C$6,$C$13:$AF$37,3,FALSE)</f>
        <v>Rien</v>
      </c>
      <c r="F6" s="15">
        <f>VLOOKUP($C$6,$C$13:$AF$37,4,FALSE)</f>
        <v>0</v>
      </c>
      <c r="G6" s="244">
        <f>IF(G$4&lt;ControlPanel!$D$59,VLOOKUP("Référence",$C$13:$AF$37,G$4-$G$4+5,FALSE),VLOOKUP($C$6,$C$13:$AF$37,G$4-$G$4+5,FALSE))</f>
        <v>0</v>
      </c>
      <c r="H6" s="244">
        <f>IF(H$4&lt;ControlPanel!$D$59,VLOOKUP("Référence",$C$13:$AF$37,H$4-$G$4+5,FALSE),VLOOKUP($C$6,$C$13:$AF$37,H$4-$G$4+5,FALSE))</f>
        <v>0</v>
      </c>
      <c r="I6" s="244">
        <f>IF(I$4&lt;ControlPanel!$D$59,VLOOKUP("Référence",$C$13:$AF$37,I$4-$G$4+5,FALSE),VLOOKUP($C$6,$C$13:$AF$37,I$4-$G$4+5,FALSE))</f>
        <v>0</v>
      </c>
      <c r="J6" s="244">
        <f>IF(J$4&lt;ControlPanel!$D$59,VLOOKUP("Référence",$C$13:$AF$37,J$4-$G$4+5,FALSE),VLOOKUP($C$6,$C$13:$AF$37,J$4-$G$4+5,FALSE))</f>
        <v>0</v>
      </c>
      <c r="K6" s="244">
        <f>IF(K$4&lt;ControlPanel!$D$59,VLOOKUP("Référence",$C$13:$AF$37,K$4-$G$4+5,FALSE),VLOOKUP($C$6,$C$13:$AF$37,K$4-$G$4+5,FALSE))</f>
        <v>0</v>
      </c>
      <c r="L6" s="244">
        <f>IF(L$4&lt;ControlPanel!$D$59,VLOOKUP("Référence",$C$13:$AF$37,L$4-$G$4+5,FALSE),VLOOKUP($C$6,$C$13:$AF$37,L$4-$G$4+5,FALSE))</f>
        <v>0</v>
      </c>
      <c r="M6" s="244">
        <f>IF(M$4&lt;ControlPanel!$D$59,VLOOKUP("Référence",$C$13:$AF$37,M$4-$G$4+5,FALSE),VLOOKUP($C$6,$C$13:$AF$37,M$4-$G$4+5,FALSE))</f>
        <v>0</v>
      </c>
      <c r="N6" s="244">
        <f>IF(N$4&lt;ControlPanel!$D$59,VLOOKUP("Référence",$C$13:$AF$37,N$4-$G$4+5,FALSE),VLOOKUP($C$6,$C$13:$AF$37,N$4-$G$4+5,FALSE))</f>
        <v>0</v>
      </c>
      <c r="O6" s="244">
        <f>IF(O$4&lt;ControlPanel!$D$59,VLOOKUP("Référence",$C$13:$AF$37,O$4-$G$4+5,FALSE),VLOOKUP($C$6,$C$13:$AF$37,O$4-$G$4+5,FALSE))</f>
        <v>0</v>
      </c>
      <c r="P6" s="244">
        <f>IF(P$4&lt;ControlPanel!$D$59,VLOOKUP("Référence",$C$13:$AF$37,P$4-$G$4+5,FALSE),VLOOKUP($C$6,$C$13:$AF$37,P$4-$G$4+5,FALSE))</f>
        <v>0</v>
      </c>
      <c r="Q6" s="244">
        <f>IF(Q$4&lt;ControlPanel!$D$59,VLOOKUP("Référence",$C$13:$AF$37,Q$4-$G$4+5,FALSE),VLOOKUP($C$6,$C$13:$AF$37,Q$4-$G$4+5,FALSE))</f>
        <v>0</v>
      </c>
      <c r="R6" s="244">
        <f>IF(R$4&lt;ControlPanel!$D$59,VLOOKUP("Référence",$C$13:$AF$37,R$4-$G$4+5,FALSE),VLOOKUP($C$6,$C$13:$AF$37,R$4-$G$4+5,FALSE))</f>
        <v>0</v>
      </c>
      <c r="S6" s="244">
        <f>IF(S$4&lt;ControlPanel!$D$59,VLOOKUP("Référence",$C$13:$AF$37,S$4-$G$4+5,FALSE),VLOOKUP($C$6,$C$13:$AF$37,S$4-$G$4+5,FALSE))</f>
        <v>0</v>
      </c>
      <c r="T6" s="244">
        <f>IF(T$4&lt;ControlPanel!$D$59,VLOOKUP("Référence",$C$13:$AF$37,T$4-$G$4+5,FALSE),VLOOKUP($C$6,$C$13:$AF$37,T$4-$G$4+5,FALSE))</f>
        <v>0</v>
      </c>
      <c r="U6" s="244">
        <f>IF(U$4&lt;ControlPanel!$D$59,VLOOKUP("Référence",$C$13:$AF$37,U$4-$G$4+5,FALSE),VLOOKUP($C$6,$C$13:$AF$37,U$4-$G$4+5,FALSE))</f>
        <v>0</v>
      </c>
      <c r="V6" s="244">
        <f>IF(V$4&lt;ControlPanel!$D$59,VLOOKUP("Référence",$C$13:$AF$37,V$4-$G$4+5,FALSE),VLOOKUP($C$6,$C$13:$AF$37,V$4-$G$4+5,FALSE))</f>
        <v>0</v>
      </c>
      <c r="W6" s="244">
        <f>IF(W$4&lt;ControlPanel!$D$59,VLOOKUP("Référence",$C$13:$AF$37,W$4-$G$4+5,FALSE),VLOOKUP($C$6,$C$13:$AF$37,W$4-$G$4+5,FALSE))</f>
        <v>0</v>
      </c>
      <c r="X6" s="244">
        <f>IF(X$4&lt;ControlPanel!$D$59,VLOOKUP("Référence",$C$13:$AF$37,X$4-$G$4+5,FALSE),VLOOKUP($C$6,$C$13:$AF$37,X$4-$G$4+5,FALSE))</f>
        <v>0</v>
      </c>
      <c r="Y6" s="244">
        <f>IF(Y$4&lt;ControlPanel!$D$59,VLOOKUP("Référence",$C$13:$AF$37,Y$4-$G$4+5,FALSE),VLOOKUP($C$6,$C$13:$AF$37,Y$4-$G$4+5,FALSE))</f>
        <v>0</v>
      </c>
      <c r="Z6" s="244">
        <f>IF(Z$4&lt;ControlPanel!$D$59,VLOOKUP("Référence",$C$13:$AF$37,Z$4-$G$4+5,FALSE),VLOOKUP($C$6,$C$13:$AF$37,Z$4-$G$4+5,FALSE))</f>
        <v>0</v>
      </c>
      <c r="AA6" s="244">
        <f>IF(AA$4&lt;ControlPanel!$D$59,VLOOKUP("Référence",$C$13:$AF$37,AA$4-$G$4+5,FALSE),VLOOKUP($C$6,$C$13:$AF$37,AA$4-$G$4+5,FALSE))</f>
        <v>0</v>
      </c>
      <c r="AB6" s="244">
        <f>IF(AB$4&lt;ControlPanel!$D$59,VLOOKUP("Référence",$C$13:$AF$37,AB$4-$G$4+5,FALSE),VLOOKUP($C$6,$C$13:$AF$37,AB$4-$G$4+5,FALSE))</f>
        <v>0</v>
      </c>
      <c r="AC6" s="244">
        <f>IF(AC$4&lt;ControlPanel!$D$59,VLOOKUP("Référence",$C$13:$AF$37,AC$4-$G$4+5,FALSE),VLOOKUP($C$6,$C$13:$AF$37,AC$4-$G$4+5,FALSE))</f>
        <v>0</v>
      </c>
      <c r="AD6" s="244">
        <f>IF(AD$4&lt;ControlPanel!$D$59,VLOOKUP("Référence",$C$13:$AF$37,AD$4-$G$4+5,FALSE),VLOOKUP($C$6,$C$13:$AF$37,AD$4-$G$4+5,FALSE))</f>
        <v>0</v>
      </c>
      <c r="AE6" s="244">
        <f>IF(AE$4&lt;ControlPanel!$D$59,VLOOKUP("Référence",$C$13:$AF$37,AE$4-$G$4+5,FALSE),VLOOKUP($C$6,$C$13:$AF$37,AE$4-$G$4+5,FALSE))</f>
        <v>0</v>
      </c>
      <c r="AF6" s="244">
        <f>IF(AF$4&lt;ControlPanel!$D$59,VLOOKUP("Référence",$C$13:$AF$37,AF$4-$G$4+5,FALSE),VLOOKUP($C$6,$C$13:$AF$37,AF$4-$G$4+5,FALSE))</f>
        <v>0</v>
      </c>
    </row>
    <row r="7" spans="1:32" ht="15" customHeight="1" thickBot="1">
      <c r="B7" s="165" t="s">
        <v>349</v>
      </c>
      <c r="C7" s="175" t="str">
        <f>ControlPanel!E51</f>
        <v>Référence</v>
      </c>
      <c r="D7" s="15" t="str">
        <f>VLOOKUP($C$7,$C$39:$AF$63,2,FALSE)</f>
        <v>mh</v>
      </c>
      <c r="E7" s="15" t="str">
        <f>VLOOKUP($C$7,$C$39:$AF$63,3,FALSE)</f>
        <v>Rien</v>
      </c>
      <c r="F7" s="15">
        <f>VLOOKUP($C$7,$C$39:$AF$63,4,FALSE)</f>
        <v>0</v>
      </c>
      <c r="G7" s="244">
        <f>IF(G$4&lt;ControlPanel!$D$59,VLOOKUP("Référence",$C$39:$AF$63,G$4-$G$4+5,FALSE),VLOOKUP($C$7,$C$39:$AF$63,G$4-$G$4+5,FALSE))</f>
        <v>0</v>
      </c>
      <c r="H7" s="244">
        <f>IF(H$4&lt;ControlPanel!$D$59,VLOOKUP("Référence",$C$39:$AF$63,H$4-$G$4+5,FALSE),VLOOKUP($C$7,$C$39:$AF$63,H$4-$G$4+5,FALSE))</f>
        <v>0</v>
      </c>
      <c r="I7" s="244">
        <f>IF(I$4&lt;ControlPanel!$D$59,VLOOKUP("Référence",$C$39:$AF$63,I$4-$G$4+5,FALSE),VLOOKUP($C$7,$C$39:$AF$63,I$4-$G$4+5,FALSE))</f>
        <v>0</v>
      </c>
      <c r="J7" s="244">
        <f>IF(J$4&lt;ControlPanel!$D$59,VLOOKUP("Référence",$C$39:$AF$63,J$4-$G$4+5,FALSE),VLOOKUP($C$7,$C$39:$AF$63,J$4-$G$4+5,FALSE))</f>
        <v>0</v>
      </c>
      <c r="K7" s="244">
        <f>IF(K$4&lt;ControlPanel!$D$59,VLOOKUP("Référence",$C$39:$AF$63,K$4-$G$4+5,FALSE),VLOOKUP($C$7,$C$39:$AF$63,K$4-$G$4+5,FALSE))</f>
        <v>0</v>
      </c>
      <c r="L7" s="244">
        <f>IF(L$4&lt;ControlPanel!$D$59,VLOOKUP("Référence",$C$39:$AF$63,L$4-$G$4+5,FALSE),VLOOKUP($C$7,$C$39:$AF$63,L$4-$G$4+5,FALSE))</f>
        <v>0</v>
      </c>
      <c r="M7" s="244">
        <f>IF(M$4&lt;ControlPanel!$D$59,VLOOKUP("Référence",$C$39:$AF$63,M$4-$G$4+5,FALSE),VLOOKUP($C$7,$C$39:$AF$63,M$4-$G$4+5,FALSE))</f>
        <v>0</v>
      </c>
      <c r="N7" s="244">
        <f>IF(N$4&lt;ControlPanel!$D$59,VLOOKUP("Référence",$C$39:$AF$63,N$4-$G$4+5,FALSE),VLOOKUP($C$7,$C$39:$AF$63,N$4-$G$4+5,FALSE))</f>
        <v>0</v>
      </c>
      <c r="O7" s="244">
        <f>IF(O$4&lt;ControlPanel!$D$59,VLOOKUP("Référence",$C$39:$AF$63,O$4-$G$4+5,FALSE),VLOOKUP($C$7,$C$39:$AF$63,O$4-$G$4+5,FALSE))</f>
        <v>0</v>
      </c>
      <c r="P7" s="244">
        <f>IF(P$4&lt;ControlPanel!$D$59,VLOOKUP("Référence",$C$39:$AF$63,P$4-$G$4+5,FALSE),VLOOKUP($C$7,$C$39:$AF$63,P$4-$G$4+5,FALSE))</f>
        <v>0</v>
      </c>
      <c r="Q7" s="244">
        <f>IF(Q$4&lt;ControlPanel!$D$59,VLOOKUP("Référence",$C$39:$AF$63,Q$4-$G$4+5,FALSE),VLOOKUP($C$7,$C$39:$AF$63,Q$4-$G$4+5,FALSE))</f>
        <v>0</v>
      </c>
      <c r="R7" s="244">
        <f>IF(R$4&lt;ControlPanel!$D$59,VLOOKUP("Référence",$C$39:$AF$63,R$4-$G$4+5,FALSE),VLOOKUP($C$7,$C$39:$AF$63,R$4-$G$4+5,FALSE))</f>
        <v>0</v>
      </c>
      <c r="S7" s="244">
        <f>IF(S$4&lt;ControlPanel!$D$59,VLOOKUP("Référence",$C$39:$AF$63,S$4-$G$4+5,FALSE),VLOOKUP($C$7,$C$39:$AF$63,S$4-$G$4+5,FALSE))</f>
        <v>0</v>
      </c>
      <c r="T7" s="244">
        <f>IF(T$4&lt;ControlPanel!$D$59,VLOOKUP("Référence",$C$39:$AF$63,T$4-$G$4+5,FALSE),VLOOKUP($C$7,$C$39:$AF$63,T$4-$G$4+5,FALSE))</f>
        <v>0</v>
      </c>
      <c r="U7" s="244">
        <f>IF(U$4&lt;ControlPanel!$D$59,VLOOKUP("Référence",$C$39:$AF$63,U$4-$G$4+5,FALSE),VLOOKUP($C$7,$C$39:$AF$63,U$4-$G$4+5,FALSE))</f>
        <v>0</v>
      </c>
      <c r="V7" s="244">
        <f>IF(V$4&lt;ControlPanel!$D$59,VLOOKUP("Référence",$C$39:$AF$63,V$4-$G$4+5,FALSE),VLOOKUP($C$7,$C$39:$AF$63,V$4-$G$4+5,FALSE))</f>
        <v>0</v>
      </c>
      <c r="W7" s="244">
        <f>IF(W$4&lt;ControlPanel!$D$59,VLOOKUP("Référence",$C$39:$AF$63,W$4-$G$4+5,FALSE),VLOOKUP($C$7,$C$39:$AF$63,W$4-$G$4+5,FALSE))</f>
        <v>0</v>
      </c>
      <c r="X7" s="244">
        <f>IF(X$4&lt;ControlPanel!$D$59,VLOOKUP("Référence",$C$39:$AF$63,X$4-$G$4+5,FALSE),VLOOKUP($C$7,$C$39:$AF$63,X$4-$G$4+5,FALSE))</f>
        <v>0</v>
      </c>
      <c r="Y7" s="244">
        <f>IF(Y$4&lt;ControlPanel!$D$59,VLOOKUP("Référence",$C$39:$AF$63,Y$4-$G$4+5,FALSE),VLOOKUP($C$7,$C$39:$AF$63,Y$4-$G$4+5,FALSE))</f>
        <v>0</v>
      </c>
      <c r="Z7" s="244">
        <f>IF(Z$4&lt;ControlPanel!$D$59,VLOOKUP("Référence",$C$39:$AF$63,Z$4-$G$4+5,FALSE),VLOOKUP($C$7,$C$39:$AF$63,Z$4-$G$4+5,FALSE))</f>
        <v>0</v>
      </c>
      <c r="AA7" s="244">
        <f>IF(AA$4&lt;ControlPanel!$D$59,VLOOKUP("Référence",$C$39:$AF$63,AA$4-$G$4+5,FALSE),VLOOKUP($C$7,$C$39:$AF$63,AA$4-$G$4+5,FALSE))</f>
        <v>0</v>
      </c>
      <c r="AB7" s="244">
        <f>IF(AB$4&lt;ControlPanel!$D$59,VLOOKUP("Référence",$C$39:$AF$63,AB$4-$G$4+5,FALSE),VLOOKUP($C$7,$C$39:$AF$63,AB$4-$G$4+5,FALSE))</f>
        <v>0</v>
      </c>
      <c r="AC7" s="244">
        <f>IF(AC$4&lt;ControlPanel!$D$59,VLOOKUP("Référence",$C$39:$AF$63,AC$4-$G$4+5,FALSE),VLOOKUP($C$7,$C$39:$AF$63,AC$4-$G$4+5,FALSE))</f>
        <v>0</v>
      </c>
      <c r="AD7" s="244">
        <f>IF(AD$4&lt;ControlPanel!$D$59,VLOOKUP("Référence",$C$39:$AF$63,AD$4-$G$4+5,FALSE),VLOOKUP($C$7,$C$39:$AF$63,AD$4-$G$4+5,FALSE))</f>
        <v>0</v>
      </c>
      <c r="AE7" s="244">
        <f>IF(AE$4&lt;ControlPanel!$D$59,VLOOKUP("Référence",$C$39:$AF$63,AE$4-$G$4+5,FALSE),VLOOKUP($C$7,$C$39:$AF$63,AE$4-$G$4+5,FALSE))</f>
        <v>0</v>
      </c>
      <c r="AF7" s="244">
        <f>IF(AF$4&lt;ControlPanel!$D$59,VLOOKUP("Référence",$C$39:$AF$63,AF$4-$G$4+5,FALSE),VLOOKUP($C$7,$C$39:$AF$63,AF$4-$G$4+5,FALSE))</f>
        <v>0</v>
      </c>
    </row>
    <row r="8" spans="1:32" ht="15" customHeight="1" thickBot="1">
      <c r="B8" s="165" t="s">
        <v>11</v>
      </c>
      <c r="C8" s="175" t="str">
        <f>ControlPanel!E48</f>
        <v>Référence</v>
      </c>
      <c r="D8" s="15" t="str">
        <f>VLOOKUP($C$8,$C$65:$AF$89,2,FALSE)</f>
        <v>mh</v>
      </c>
      <c r="E8" s="15" t="str">
        <f>VLOOKUP($C$8,$C$65:$AF$89,3,FALSE)</f>
        <v>Rien</v>
      </c>
      <c r="F8" s="15">
        <f>VLOOKUP($C$8,$C$65:$AF$89,4,FALSE)</f>
        <v>0</v>
      </c>
      <c r="G8" s="244">
        <f>IF(G$4&lt;ControlPanel!$D$59,VLOOKUP("Référence",$C$65:$AF$89,G$4-$G$4+5,FALSE),VLOOKUP($C$8,$C$65:$AF$89,G$4-$G$4+5,FALSE))</f>
        <v>0</v>
      </c>
      <c r="H8" s="244">
        <f>IF(H$4&lt;ControlPanel!$D$59,VLOOKUP("Référence",$C$65:$AF$89,H$4-$G$4+5,FALSE),VLOOKUP($C$8,$C$65:$AF$89,H$4-$G$4+5,FALSE))</f>
        <v>0</v>
      </c>
      <c r="I8" s="244">
        <f>IF(I$4&lt;ControlPanel!$D$59,VLOOKUP("Référence",$C$65:$AF$89,I$4-$G$4+5,FALSE),VLOOKUP($C$8,$C$65:$AF$89,I$4-$G$4+5,FALSE))</f>
        <v>0</v>
      </c>
      <c r="J8" s="244">
        <f>IF(J$4&lt;ControlPanel!$D$59,VLOOKUP("Référence",$C$65:$AF$89,J$4-$G$4+5,FALSE),VLOOKUP($C$8,$C$65:$AF$89,J$4-$G$4+5,FALSE))</f>
        <v>0</v>
      </c>
      <c r="K8" s="244">
        <f>IF(K$4&lt;ControlPanel!$D$59,VLOOKUP("Référence",$C$65:$AF$89,K$4-$G$4+5,FALSE),VLOOKUP($C$8,$C$65:$AF$89,K$4-$G$4+5,FALSE))</f>
        <v>0</v>
      </c>
      <c r="L8" s="244">
        <f>IF(L$4&lt;ControlPanel!$D$59,VLOOKUP("Référence",$C$65:$AF$89,L$4-$G$4+5,FALSE),VLOOKUP($C$8,$C$65:$AF$89,L$4-$G$4+5,FALSE))</f>
        <v>0</v>
      </c>
      <c r="M8" s="244">
        <f>IF(M$4&lt;ControlPanel!$D$59,VLOOKUP("Référence",$C$65:$AF$89,M$4-$G$4+5,FALSE),VLOOKUP($C$8,$C$65:$AF$89,M$4-$G$4+5,FALSE))</f>
        <v>0</v>
      </c>
      <c r="N8" s="244">
        <f>IF(N$4&lt;ControlPanel!$D$59,VLOOKUP("Référence",$C$65:$AF$89,N$4-$G$4+5,FALSE),VLOOKUP($C$8,$C$65:$AF$89,N$4-$G$4+5,FALSE))</f>
        <v>0</v>
      </c>
      <c r="O8" s="244">
        <f>IF(O$4&lt;ControlPanel!$D$59,VLOOKUP("Référence",$C$65:$AF$89,O$4-$G$4+5,FALSE),VLOOKUP($C$8,$C$65:$AF$89,O$4-$G$4+5,FALSE))</f>
        <v>0</v>
      </c>
      <c r="P8" s="244">
        <f>IF(P$4&lt;ControlPanel!$D$59,VLOOKUP("Référence",$C$65:$AF$89,P$4-$G$4+5,FALSE),VLOOKUP($C$8,$C$65:$AF$89,P$4-$G$4+5,FALSE))</f>
        <v>0</v>
      </c>
      <c r="Q8" s="244">
        <f>IF(Q$4&lt;ControlPanel!$D$59,VLOOKUP("Référence",$C$65:$AF$89,Q$4-$G$4+5,FALSE),VLOOKUP($C$8,$C$65:$AF$89,Q$4-$G$4+5,FALSE))</f>
        <v>0</v>
      </c>
      <c r="R8" s="244">
        <f>IF(R$4&lt;ControlPanel!$D$59,VLOOKUP("Référence",$C$65:$AF$89,R$4-$G$4+5,FALSE),VLOOKUP($C$8,$C$65:$AF$89,R$4-$G$4+5,FALSE))</f>
        <v>0</v>
      </c>
      <c r="S8" s="244">
        <f>IF(S$4&lt;ControlPanel!$D$59,VLOOKUP("Référence",$C$65:$AF$89,S$4-$G$4+5,FALSE),VLOOKUP($C$8,$C$65:$AF$89,S$4-$G$4+5,FALSE))</f>
        <v>0</v>
      </c>
      <c r="T8" s="244">
        <f>IF(T$4&lt;ControlPanel!$D$59,VLOOKUP("Référence",$C$65:$AF$89,T$4-$G$4+5,FALSE),VLOOKUP($C$8,$C$65:$AF$89,T$4-$G$4+5,FALSE))</f>
        <v>0</v>
      </c>
      <c r="U8" s="244">
        <f>IF(U$4&lt;ControlPanel!$D$59,VLOOKUP("Référence",$C$65:$AF$89,U$4-$G$4+5,FALSE),VLOOKUP($C$8,$C$65:$AF$89,U$4-$G$4+5,FALSE))</f>
        <v>0</v>
      </c>
      <c r="V8" s="244">
        <f>IF(V$4&lt;ControlPanel!$D$59,VLOOKUP("Référence",$C$65:$AF$89,V$4-$G$4+5,FALSE),VLOOKUP($C$8,$C$65:$AF$89,V$4-$G$4+5,FALSE))</f>
        <v>0</v>
      </c>
      <c r="W8" s="244">
        <f>IF(W$4&lt;ControlPanel!$D$59,VLOOKUP("Référence",$C$65:$AF$89,W$4-$G$4+5,FALSE),VLOOKUP($C$8,$C$65:$AF$89,W$4-$G$4+5,FALSE))</f>
        <v>0</v>
      </c>
      <c r="X8" s="244">
        <f>IF(X$4&lt;ControlPanel!$D$59,VLOOKUP("Référence",$C$65:$AF$89,X$4-$G$4+5,FALSE),VLOOKUP($C$8,$C$65:$AF$89,X$4-$G$4+5,FALSE))</f>
        <v>0</v>
      </c>
      <c r="Y8" s="244">
        <f>IF(Y$4&lt;ControlPanel!$D$59,VLOOKUP("Référence",$C$65:$AF$89,Y$4-$G$4+5,FALSE),VLOOKUP($C$8,$C$65:$AF$89,Y$4-$G$4+5,FALSE))</f>
        <v>0</v>
      </c>
      <c r="Z8" s="244">
        <f>IF(Z$4&lt;ControlPanel!$D$59,VLOOKUP("Référence",$C$65:$AF$89,Z$4-$G$4+5,FALSE),VLOOKUP($C$8,$C$65:$AF$89,Z$4-$G$4+5,FALSE))</f>
        <v>0</v>
      </c>
      <c r="AA8" s="244">
        <f>IF(AA$4&lt;ControlPanel!$D$59,VLOOKUP("Référence",$C$65:$AF$89,AA$4-$G$4+5,FALSE),VLOOKUP($C$8,$C$65:$AF$89,AA$4-$G$4+5,FALSE))</f>
        <v>0</v>
      </c>
      <c r="AB8" s="244">
        <f>IF(AB$4&lt;ControlPanel!$D$59,VLOOKUP("Référence",$C$65:$AF$89,AB$4-$G$4+5,FALSE),VLOOKUP($C$8,$C$65:$AF$89,AB$4-$G$4+5,FALSE))</f>
        <v>0</v>
      </c>
      <c r="AC8" s="244">
        <f>IF(AC$4&lt;ControlPanel!$D$59,VLOOKUP("Référence",$C$65:$AF$89,AC$4-$G$4+5,FALSE),VLOOKUP($C$8,$C$65:$AF$89,AC$4-$G$4+5,FALSE))</f>
        <v>0</v>
      </c>
      <c r="AD8" s="244">
        <f>IF(AD$4&lt;ControlPanel!$D$59,VLOOKUP("Référence",$C$65:$AF$89,AD$4-$G$4+5,FALSE),VLOOKUP($C$8,$C$65:$AF$89,AD$4-$G$4+5,FALSE))</f>
        <v>0</v>
      </c>
      <c r="AE8" s="244">
        <f>IF(AE$4&lt;ControlPanel!$D$59,VLOOKUP("Référence",$C$65:$AF$89,AE$4-$G$4+5,FALSE),VLOOKUP($C$8,$C$65:$AF$89,AE$4-$G$4+5,FALSE))</f>
        <v>0</v>
      </c>
      <c r="AF8" s="244">
        <f>IF(AF$4&lt;ControlPanel!$D$59,VLOOKUP("Référence",$C$65:$AF$89,AF$4-$G$4+5,FALSE),VLOOKUP($C$8,$C$65:$AF$89,AF$4-$G$4+5,FALSE))</f>
        <v>0</v>
      </c>
    </row>
    <row r="9" spans="1:32" ht="15" customHeight="1" thickBot="1">
      <c r="B9" s="165" t="s">
        <v>10</v>
      </c>
      <c r="C9" s="175" t="str">
        <f>ControlPanel!E49</f>
        <v>Référence</v>
      </c>
      <c r="D9" s="15" t="str">
        <f>VLOOKUP($C$9,$C$91:$AF$115,2,FALSE)</f>
        <v>mh</v>
      </c>
      <c r="E9" s="15" t="str">
        <f>VLOOKUP($C$9,$C$91:$AF$115,3,FALSE)</f>
        <v>Rien</v>
      </c>
      <c r="F9" s="15">
        <f>VLOOKUP($C$9,$C$91:$AF$115,4,FALSE)</f>
        <v>0</v>
      </c>
      <c r="G9" s="244">
        <f>IF(G$4&lt;ControlPanel!$D$59,VLOOKUP("Référence",$C$91:$AF$115,G$4-$G$4+5,FALSE),VLOOKUP($C$9,$C$91:$AF$115,G$4-$G$4+5,FALSE))</f>
        <v>0</v>
      </c>
      <c r="H9" s="244">
        <f>IF(H$4&lt;ControlPanel!$D$59,VLOOKUP("Référence",$C$91:$AF$115,H$4-$G$4+5,FALSE),VLOOKUP($C$9,$C$91:$AF$115,H$4-$G$4+5,FALSE))</f>
        <v>0</v>
      </c>
      <c r="I9" s="244">
        <f>IF(I$4&lt;ControlPanel!$D$59,VLOOKUP("Référence",$C$91:$AF$115,I$4-$G$4+5,FALSE),VLOOKUP($C$9,$C$91:$AF$115,I$4-$G$4+5,FALSE))</f>
        <v>0</v>
      </c>
      <c r="J9" s="244">
        <f>IF(J$4&lt;ControlPanel!$D$59,VLOOKUP("Référence",$C$91:$AF$115,J$4-$G$4+5,FALSE),VLOOKUP($C$9,$C$91:$AF$115,J$4-$G$4+5,FALSE))</f>
        <v>0</v>
      </c>
      <c r="K9" s="244">
        <f>IF(K$4&lt;ControlPanel!$D$59,VLOOKUP("Référence",$C$91:$AF$115,K$4-$G$4+5,FALSE),VLOOKUP($C$9,$C$91:$AF$115,K$4-$G$4+5,FALSE))</f>
        <v>0</v>
      </c>
      <c r="L9" s="244">
        <f>IF(L$4&lt;ControlPanel!$D$59,VLOOKUP("Référence",$C$91:$AF$115,L$4-$G$4+5,FALSE),VLOOKUP($C$9,$C$91:$AF$115,L$4-$G$4+5,FALSE))</f>
        <v>0</v>
      </c>
      <c r="M9" s="244">
        <f>IF(M$4&lt;ControlPanel!$D$59,VLOOKUP("Référence",$C$91:$AF$115,M$4-$G$4+5,FALSE),VLOOKUP($C$9,$C$91:$AF$115,M$4-$G$4+5,FALSE))</f>
        <v>0</v>
      </c>
      <c r="N9" s="244">
        <f>IF(N$4&lt;ControlPanel!$D$59,VLOOKUP("Référence",$C$91:$AF$115,N$4-$G$4+5,FALSE),VLOOKUP($C$9,$C$91:$AF$115,N$4-$G$4+5,FALSE))</f>
        <v>0</v>
      </c>
      <c r="O9" s="244">
        <f>IF(O$4&lt;ControlPanel!$D$59,VLOOKUP("Référence",$C$91:$AF$115,O$4-$G$4+5,FALSE),VLOOKUP($C$9,$C$91:$AF$115,O$4-$G$4+5,FALSE))</f>
        <v>0</v>
      </c>
      <c r="P9" s="244">
        <f>IF(P$4&lt;ControlPanel!$D$59,VLOOKUP("Référence",$C$91:$AF$115,P$4-$G$4+5,FALSE),VLOOKUP($C$9,$C$91:$AF$115,P$4-$G$4+5,FALSE))</f>
        <v>0</v>
      </c>
      <c r="Q9" s="244">
        <f>IF(Q$4&lt;ControlPanel!$D$59,VLOOKUP("Référence",$C$91:$AF$115,Q$4-$G$4+5,FALSE),VLOOKUP($C$9,$C$91:$AF$115,Q$4-$G$4+5,FALSE))</f>
        <v>0</v>
      </c>
      <c r="R9" s="244">
        <f>IF(R$4&lt;ControlPanel!$D$59,VLOOKUP("Référence",$C$91:$AF$115,R$4-$G$4+5,FALSE),VLOOKUP($C$9,$C$91:$AF$115,R$4-$G$4+5,FALSE))</f>
        <v>0</v>
      </c>
      <c r="S9" s="244">
        <f>IF(S$4&lt;ControlPanel!$D$59,VLOOKUP("Référence",$C$91:$AF$115,S$4-$G$4+5,FALSE),VLOOKUP($C$9,$C$91:$AF$115,S$4-$G$4+5,FALSE))</f>
        <v>0</v>
      </c>
      <c r="T9" s="244">
        <f>IF(T$4&lt;ControlPanel!$D$59,VLOOKUP("Référence",$C$91:$AF$115,T$4-$G$4+5,FALSE),VLOOKUP($C$9,$C$91:$AF$115,T$4-$G$4+5,FALSE))</f>
        <v>0</v>
      </c>
      <c r="U9" s="244">
        <f>IF(U$4&lt;ControlPanel!$D$59,VLOOKUP("Référence",$C$91:$AF$115,U$4-$G$4+5,FALSE),VLOOKUP($C$9,$C$91:$AF$115,U$4-$G$4+5,FALSE))</f>
        <v>0</v>
      </c>
      <c r="V9" s="244">
        <f>IF(V$4&lt;ControlPanel!$D$59,VLOOKUP("Référence",$C$91:$AF$115,V$4-$G$4+5,FALSE),VLOOKUP($C$9,$C$91:$AF$115,V$4-$G$4+5,FALSE))</f>
        <v>0</v>
      </c>
      <c r="W9" s="244">
        <f>IF(W$4&lt;ControlPanel!$D$59,VLOOKUP("Référence",$C$91:$AF$115,W$4-$G$4+5,FALSE),VLOOKUP($C$9,$C$91:$AF$115,W$4-$G$4+5,FALSE))</f>
        <v>0</v>
      </c>
      <c r="X9" s="244">
        <f>IF(X$4&lt;ControlPanel!$D$59,VLOOKUP("Référence",$C$91:$AF$115,X$4-$G$4+5,FALSE),VLOOKUP($C$9,$C$91:$AF$115,X$4-$G$4+5,FALSE))</f>
        <v>0</v>
      </c>
      <c r="Y9" s="244">
        <f>IF(Y$4&lt;ControlPanel!$D$59,VLOOKUP("Référence",$C$91:$AF$115,Y$4-$G$4+5,FALSE),VLOOKUP($C$9,$C$91:$AF$115,Y$4-$G$4+5,FALSE))</f>
        <v>0</v>
      </c>
      <c r="Z9" s="244">
        <f>IF(Z$4&lt;ControlPanel!$D$59,VLOOKUP("Référence",$C$91:$AF$115,Z$4-$G$4+5,FALSE),VLOOKUP($C$9,$C$91:$AF$115,Z$4-$G$4+5,FALSE))</f>
        <v>0</v>
      </c>
      <c r="AA9" s="244">
        <f>IF(AA$4&lt;ControlPanel!$D$59,VLOOKUP("Référence",$C$91:$AF$115,AA$4-$G$4+5,FALSE),VLOOKUP($C$9,$C$91:$AF$115,AA$4-$G$4+5,FALSE))</f>
        <v>0</v>
      </c>
      <c r="AB9" s="244">
        <f>IF(AB$4&lt;ControlPanel!$D$59,VLOOKUP("Référence",$C$91:$AF$115,AB$4-$G$4+5,FALSE),VLOOKUP($C$9,$C$91:$AF$115,AB$4-$G$4+5,FALSE))</f>
        <v>0</v>
      </c>
      <c r="AC9" s="244">
        <f>IF(AC$4&lt;ControlPanel!$D$59,VLOOKUP("Référence",$C$91:$AF$115,AC$4-$G$4+5,FALSE),VLOOKUP($C$9,$C$91:$AF$115,AC$4-$G$4+5,FALSE))</f>
        <v>0</v>
      </c>
      <c r="AD9" s="244">
        <f>IF(AD$4&lt;ControlPanel!$D$59,VLOOKUP("Référence",$C$91:$AF$115,AD$4-$G$4+5,FALSE),VLOOKUP($C$9,$C$91:$AF$115,AD$4-$G$4+5,FALSE))</f>
        <v>0</v>
      </c>
      <c r="AE9" s="244">
        <f>IF(AE$4&lt;ControlPanel!$D$59,VLOOKUP("Référence",$C$91:$AF$115,AE$4-$G$4+5,FALSE),VLOOKUP($C$9,$C$91:$AF$115,AE$4-$G$4+5,FALSE))</f>
        <v>0</v>
      </c>
      <c r="AF9" s="244">
        <f>IF(AF$4&lt;ControlPanel!$D$59,VLOOKUP("Référence",$C$91:$AF$115,AF$4-$G$4+5,FALSE),VLOOKUP($C$9,$C$91:$AF$115,AF$4-$G$4+5,FALSE))</f>
        <v>0</v>
      </c>
    </row>
    <row r="10" spans="1:32" ht="15" customHeight="1" thickBot="1">
      <c r="B10" s="165" t="s">
        <v>339</v>
      </c>
      <c r="C10" s="175" t="str">
        <f>ControlPanel!E45</f>
        <v>Référence</v>
      </c>
      <c r="D10" s="15" t="str">
        <f>VLOOKUP($C$10,$C$117:$AF$141,2,FALSE)</f>
        <v>mh</v>
      </c>
      <c r="E10" s="15" t="str">
        <f>VLOOKUP($C$10,$C$117:$AF$141,3,FALSE)</f>
        <v>5 Années</v>
      </c>
      <c r="F10" s="15">
        <f>VLOOKUP($C$10,$C$117:$AF$141,4,FALSE)</f>
        <v>0</v>
      </c>
      <c r="G10" s="244">
        <f>IF(G$4&lt;ControlPanel!$D$59,VLOOKUP("Référence",$C$117:$AF$141,G$4-$G$4+5,FALSE),VLOOKUP($C$10,$C$117:$AF$141,G$4-$G$4+5,FALSE))</f>
        <v>0</v>
      </c>
      <c r="H10" s="244">
        <f>IF(H$4&lt;ControlPanel!$D$59,VLOOKUP("Référence",$C$117:$AF$141,H$4-$G$4+5,FALSE),VLOOKUP($C$10,$C$117:$AF$141,H$4-$G$4+5,FALSE))</f>
        <v>0</v>
      </c>
      <c r="I10" s="244">
        <f>IF(I$4&lt;ControlPanel!$D$59,VLOOKUP("Référence",$C$117:$AF$141,I$4-$G$4+5,FALSE),VLOOKUP($C$10,$C$117:$AF$141,I$4-$G$4+5,FALSE))</f>
        <v>0</v>
      </c>
      <c r="J10" s="244">
        <f>IF(J$4&lt;ControlPanel!$D$59,VLOOKUP("Référence",$C$117:$AF$141,J$4-$G$4+5,FALSE),VLOOKUP($C$10,$C$117:$AF$141,J$4-$G$4+5,FALSE))</f>
        <v>0</v>
      </c>
      <c r="K10" s="244">
        <f>IF(K$4&lt;ControlPanel!$D$59,VLOOKUP("Référence",$C$117:$AF$141,K$4-$G$4+5,FALSE),VLOOKUP($C$10,$C$117:$AF$141,K$4-$G$4+5,FALSE))</f>
        <v>0</v>
      </c>
      <c r="L10" s="244">
        <f>IF(L$4&lt;ControlPanel!$D$59,VLOOKUP("Référence",$C$117:$AF$141,L$4-$G$4+5,FALSE),VLOOKUP($C$10,$C$117:$AF$141,L$4-$G$4+5,FALSE))</f>
        <v>5</v>
      </c>
      <c r="M10" s="244">
        <f>IF(M$4&lt;ControlPanel!$D$59,VLOOKUP("Référence",$C$117:$AF$141,M$4-$G$4+5,FALSE),VLOOKUP($C$10,$C$117:$AF$141,M$4-$G$4+5,FALSE))</f>
        <v>5</v>
      </c>
      <c r="N10" s="244">
        <f>IF(N$4&lt;ControlPanel!$D$59,VLOOKUP("Référence",$C$117:$AF$141,N$4-$G$4+5,FALSE),VLOOKUP($C$10,$C$117:$AF$141,N$4-$G$4+5,FALSE))</f>
        <v>5</v>
      </c>
      <c r="O10" s="244">
        <f>IF(O$4&lt;ControlPanel!$D$59,VLOOKUP("Référence",$C$117:$AF$141,O$4-$G$4+5,FALSE),VLOOKUP($C$10,$C$117:$AF$141,O$4-$G$4+5,FALSE))</f>
        <v>5</v>
      </c>
      <c r="P10" s="244">
        <f>IF(P$4&lt;ControlPanel!$D$59,VLOOKUP("Référence",$C$117:$AF$141,P$4-$G$4+5,FALSE),VLOOKUP($C$10,$C$117:$AF$141,P$4-$G$4+5,FALSE))</f>
        <v>5</v>
      </c>
      <c r="Q10" s="244">
        <f>IF(Q$4&lt;ControlPanel!$D$59,VLOOKUP("Référence",$C$117:$AF$141,Q$4-$G$4+5,FALSE),VLOOKUP($C$10,$C$117:$AF$141,Q$4-$G$4+5,FALSE))</f>
        <v>5</v>
      </c>
      <c r="R10" s="244">
        <f>IF(R$4&lt;ControlPanel!$D$59,VLOOKUP("Référence",$C$117:$AF$141,R$4-$G$4+5,FALSE),VLOOKUP($C$10,$C$117:$AF$141,R$4-$G$4+5,FALSE))</f>
        <v>5</v>
      </c>
      <c r="S10" s="244">
        <f>IF(S$4&lt;ControlPanel!$D$59,VLOOKUP("Référence",$C$117:$AF$141,S$4-$G$4+5,FALSE),VLOOKUP($C$10,$C$117:$AF$141,S$4-$G$4+5,FALSE))</f>
        <v>5</v>
      </c>
      <c r="T10" s="244">
        <f>IF(T$4&lt;ControlPanel!$D$59,VLOOKUP("Référence",$C$117:$AF$141,T$4-$G$4+5,FALSE),VLOOKUP($C$10,$C$117:$AF$141,T$4-$G$4+5,FALSE))</f>
        <v>5</v>
      </c>
      <c r="U10" s="244">
        <f>IF(U$4&lt;ControlPanel!$D$59,VLOOKUP("Référence",$C$117:$AF$141,U$4-$G$4+5,FALSE),VLOOKUP($C$10,$C$117:$AF$141,U$4-$G$4+5,FALSE))</f>
        <v>5</v>
      </c>
      <c r="V10" s="244">
        <f>IF(V$4&lt;ControlPanel!$D$59,VLOOKUP("Référence",$C$117:$AF$141,V$4-$G$4+5,FALSE),VLOOKUP($C$10,$C$117:$AF$141,V$4-$G$4+5,FALSE))</f>
        <v>5</v>
      </c>
      <c r="W10" s="244">
        <f>IF(W$4&lt;ControlPanel!$D$59,VLOOKUP("Référence",$C$117:$AF$141,W$4-$G$4+5,FALSE),VLOOKUP($C$10,$C$117:$AF$141,W$4-$G$4+5,FALSE))</f>
        <v>5</v>
      </c>
      <c r="X10" s="244">
        <f>IF(X$4&lt;ControlPanel!$D$59,VLOOKUP("Référence",$C$117:$AF$141,X$4-$G$4+5,FALSE),VLOOKUP($C$10,$C$117:$AF$141,X$4-$G$4+5,FALSE))</f>
        <v>5</v>
      </c>
      <c r="Y10" s="244">
        <f>IF(Y$4&lt;ControlPanel!$D$59,VLOOKUP("Référence",$C$117:$AF$141,Y$4-$G$4+5,FALSE),VLOOKUP($C$10,$C$117:$AF$141,Y$4-$G$4+5,FALSE))</f>
        <v>5</v>
      </c>
      <c r="Z10" s="244">
        <f>IF(Z$4&lt;ControlPanel!$D$59,VLOOKUP("Référence",$C$117:$AF$141,Z$4-$G$4+5,FALSE),VLOOKUP($C$10,$C$117:$AF$141,Z$4-$G$4+5,FALSE))</f>
        <v>5</v>
      </c>
      <c r="AA10" s="244">
        <f>IF(AA$4&lt;ControlPanel!$D$59,VLOOKUP("Référence",$C$117:$AF$141,AA$4-$G$4+5,FALSE),VLOOKUP($C$10,$C$117:$AF$141,AA$4-$G$4+5,FALSE))</f>
        <v>5</v>
      </c>
      <c r="AB10" s="244">
        <f>IF(AB$4&lt;ControlPanel!$D$59,VLOOKUP("Référence",$C$117:$AF$141,AB$4-$G$4+5,FALSE),VLOOKUP($C$10,$C$117:$AF$141,AB$4-$G$4+5,FALSE))</f>
        <v>5</v>
      </c>
      <c r="AC10" s="244">
        <f>IF(AC$4&lt;ControlPanel!$D$59,VLOOKUP("Référence",$C$117:$AF$141,AC$4-$G$4+5,FALSE),VLOOKUP($C$10,$C$117:$AF$141,AC$4-$G$4+5,FALSE))</f>
        <v>5</v>
      </c>
      <c r="AD10" s="244">
        <f>IF(AD$4&lt;ControlPanel!$D$59,VLOOKUP("Référence",$C$117:$AF$141,AD$4-$G$4+5,FALSE),VLOOKUP($C$10,$C$117:$AF$141,AD$4-$G$4+5,FALSE))</f>
        <v>5</v>
      </c>
      <c r="AE10" s="244">
        <f>IF(AE$4&lt;ControlPanel!$D$59,VLOOKUP("Référence",$C$117:$AF$141,AE$4-$G$4+5,FALSE),VLOOKUP($C$10,$C$117:$AF$141,AE$4-$G$4+5,FALSE))</f>
        <v>5</v>
      </c>
      <c r="AF10" s="244">
        <f>IF(AF$4&lt;ControlPanel!$D$59,VLOOKUP("Référence",$C$117:$AF$141,AF$4-$G$4+5,FALSE),VLOOKUP($C$10,$C$117:$AF$141,AF$4-$G$4+5,FALSE))</f>
        <v>5</v>
      </c>
    </row>
    <row r="11" spans="1:32" ht="15" customHeight="1" thickBot="1">
      <c r="B11" s="165" t="s">
        <v>340</v>
      </c>
      <c r="C11" s="175" t="str">
        <f>ControlPanel!E46</f>
        <v>Référence</v>
      </c>
      <c r="D11" s="15" t="str">
        <f>VLOOKUP($C$11,$C$143:$AF$167,2,FALSE)</f>
        <v>mh</v>
      </c>
      <c r="E11" s="15" t="str">
        <f>VLOOKUP($C$11,$C$143:$AF$167,3,FALSE)</f>
        <v>Rien</v>
      </c>
      <c r="F11" s="15">
        <f>VLOOKUP($C$11,$C$143:$AF$167,4,FALSE)</f>
        <v>0</v>
      </c>
      <c r="G11" s="244">
        <f>IF(G$4&lt;ControlPanel!$D$59,VLOOKUP("Référence",$C$143:$AF$167,G$4-$G$4+5,FALSE),VLOOKUP($C$11,$C$143:$AF$167,G$4-$G$4+5,FALSE))</f>
        <v>0</v>
      </c>
      <c r="H11" s="244">
        <f>IF(H$4&lt;ControlPanel!$D$59,VLOOKUP("Référence",$C$143:$AF$167,H$4-$G$4+5,FALSE),VLOOKUP($C$11,$C$143:$AF$167,H$4-$G$4+5,FALSE))</f>
        <v>0</v>
      </c>
      <c r="I11" s="244">
        <f>IF(I$4&lt;ControlPanel!$D$59,VLOOKUP("Référence",$C$143:$AF$167,I$4-$G$4+5,FALSE),VLOOKUP($C$11,$C$143:$AF$167,I$4-$G$4+5,FALSE))</f>
        <v>0</v>
      </c>
      <c r="J11" s="244">
        <f>IF(J$4&lt;ControlPanel!$D$59,VLOOKUP("Référence",$C$143:$AF$167,J$4-$G$4+5,FALSE),VLOOKUP($C$11,$C$143:$AF$167,J$4-$G$4+5,FALSE))</f>
        <v>0</v>
      </c>
      <c r="K11" s="244">
        <f>IF(K$4&lt;ControlPanel!$D$59,VLOOKUP("Référence",$C$143:$AF$167,K$4-$G$4+5,FALSE),VLOOKUP($C$11,$C$143:$AF$167,K$4-$G$4+5,FALSE))</f>
        <v>0</v>
      </c>
      <c r="L11" s="244">
        <f>IF(L$4&lt;ControlPanel!$D$59,VLOOKUP("Référence",$C$143:$AF$167,L$4-$G$4+5,FALSE),VLOOKUP($C$11,$C$143:$AF$167,L$4-$G$4+5,FALSE))</f>
        <v>0</v>
      </c>
      <c r="M11" s="244">
        <f>IF(M$4&lt;ControlPanel!$D$59,VLOOKUP("Référence",$C$143:$AF$167,M$4-$G$4+5,FALSE),VLOOKUP($C$11,$C$143:$AF$167,M$4-$G$4+5,FALSE))</f>
        <v>0</v>
      </c>
      <c r="N11" s="244">
        <f>IF(N$4&lt;ControlPanel!$D$59,VLOOKUP("Référence",$C$143:$AF$167,N$4-$G$4+5,FALSE),VLOOKUP($C$11,$C$143:$AF$167,N$4-$G$4+5,FALSE))</f>
        <v>0</v>
      </c>
      <c r="O11" s="244">
        <f>IF(O$4&lt;ControlPanel!$D$59,VLOOKUP("Référence",$C$143:$AF$167,O$4-$G$4+5,FALSE),VLOOKUP($C$11,$C$143:$AF$167,O$4-$G$4+5,FALSE))</f>
        <v>0</v>
      </c>
      <c r="P11" s="244">
        <f>IF(P$4&lt;ControlPanel!$D$59,VLOOKUP("Référence",$C$143:$AF$167,P$4-$G$4+5,FALSE),VLOOKUP($C$11,$C$143:$AF$167,P$4-$G$4+5,FALSE))</f>
        <v>0</v>
      </c>
      <c r="Q11" s="244">
        <f>IF(Q$4&lt;ControlPanel!$D$59,VLOOKUP("Référence",$C$143:$AF$167,Q$4-$G$4+5,FALSE),VLOOKUP($C$11,$C$143:$AF$167,Q$4-$G$4+5,FALSE))</f>
        <v>0</v>
      </c>
      <c r="R11" s="244">
        <f>IF(R$4&lt;ControlPanel!$D$59,VLOOKUP("Référence",$C$143:$AF$167,R$4-$G$4+5,FALSE),VLOOKUP($C$11,$C$143:$AF$167,R$4-$G$4+5,FALSE))</f>
        <v>0</v>
      </c>
      <c r="S11" s="244">
        <f>IF(S$4&lt;ControlPanel!$D$59,VLOOKUP("Référence",$C$143:$AF$167,S$4-$G$4+5,FALSE),VLOOKUP($C$11,$C$143:$AF$167,S$4-$G$4+5,FALSE))</f>
        <v>0</v>
      </c>
      <c r="T11" s="244">
        <f>IF(T$4&lt;ControlPanel!$D$59,VLOOKUP("Référence",$C$143:$AF$167,T$4-$G$4+5,FALSE),VLOOKUP($C$11,$C$143:$AF$167,T$4-$G$4+5,FALSE))</f>
        <v>0</v>
      </c>
      <c r="U11" s="244">
        <f>IF(U$4&lt;ControlPanel!$D$59,VLOOKUP("Référence",$C$143:$AF$167,U$4-$G$4+5,FALSE),VLOOKUP($C$11,$C$143:$AF$167,U$4-$G$4+5,FALSE))</f>
        <v>0</v>
      </c>
      <c r="V11" s="244">
        <f>IF(V$4&lt;ControlPanel!$D$59,VLOOKUP("Référence",$C$143:$AF$167,V$4-$G$4+5,FALSE),VLOOKUP($C$11,$C$143:$AF$167,V$4-$G$4+5,FALSE))</f>
        <v>0</v>
      </c>
      <c r="W11" s="244">
        <f>IF(W$4&lt;ControlPanel!$D$59,VLOOKUP("Référence",$C$143:$AF$167,W$4-$G$4+5,FALSE),VLOOKUP($C$11,$C$143:$AF$167,W$4-$G$4+5,FALSE))</f>
        <v>0</v>
      </c>
      <c r="X11" s="244">
        <f>IF(X$4&lt;ControlPanel!$D$59,VLOOKUP("Référence",$C$143:$AF$167,X$4-$G$4+5,FALSE),VLOOKUP($C$11,$C$143:$AF$167,X$4-$G$4+5,FALSE))</f>
        <v>0</v>
      </c>
      <c r="Y11" s="244">
        <f>IF(Y$4&lt;ControlPanel!$D$59,VLOOKUP("Référence",$C$143:$AF$167,Y$4-$G$4+5,FALSE),VLOOKUP($C$11,$C$143:$AF$167,Y$4-$G$4+5,FALSE))</f>
        <v>0</v>
      </c>
      <c r="Z11" s="244">
        <f>IF(Z$4&lt;ControlPanel!$D$59,VLOOKUP("Référence",$C$143:$AF$167,Z$4-$G$4+5,FALSE),VLOOKUP($C$11,$C$143:$AF$167,Z$4-$G$4+5,FALSE))</f>
        <v>0</v>
      </c>
      <c r="AA11" s="244">
        <f>IF(AA$4&lt;ControlPanel!$D$59,VLOOKUP("Référence",$C$143:$AF$167,AA$4-$G$4+5,FALSE),VLOOKUP($C$11,$C$143:$AF$167,AA$4-$G$4+5,FALSE))</f>
        <v>0</v>
      </c>
      <c r="AB11" s="244">
        <f>IF(AB$4&lt;ControlPanel!$D$59,VLOOKUP("Référence",$C$143:$AF$167,AB$4-$G$4+5,FALSE),VLOOKUP($C$11,$C$143:$AF$167,AB$4-$G$4+5,FALSE))</f>
        <v>0</v>
      </c>
      <c r="AC11" s="244">
        <f>IF(AC$4&lt;ControlPanel!$D$59,VLOOKUP("Référence",$C$143:$AF$167,AC$4-$G$4+5,FALSE),VLOOKUP($C$11,$C$143:$AF$167,AC$4-$G$4+5,FALSE))</f>
        <v>0</v>
      </c>
      <c r="AD11" s="244">
        <f>IF(AD$4&lt;ControlPanel!$D$59,VLOOKUP("Référence",$C$143:$AF$167,AD$4-$G$4+5,FALSE),VLOOKUP($C$11,$C$143:$AF$167,AD$4-$G$4+5,FALSE))</f>
        <v>0</v>
      </c>
      <c r="AE11" s="244">
        <f>IF(AE$4&lt;ControlPanel!$D$59,VLOOKUP("Référence",$C$143:$AF$167,AE$4-$G$4+5,FALSE),VLOOKUP($C$11,$C$143:$AF$167,AE$4-$G$4+5,FALSE))</f>
        <v>0</v>
      </c>
      <c r="AF11" s="244">
        <f>IF(AF$4&lt;ControlPanel!$D$59,VLOOKUP("Référence",$C$143:$AF$167,AF$4-$G$4+5,FALSE),VLOOKUP($C$11,$C$143:$AF$167,AF$4-$G$4+5,FALSE))</f>
        <v>0</v>
      </c>
    </row>
    <row r="12" spans="1:32" ht="15" customHeight="1" thickBot="1">
      <c r="B12" s="167" t="s">
        <v>530</v>
      </c>
      <c r="C12" s="177" t="str">
        <f>ControlPanel!E47</f>
        <v>Référence</v>
      </c>
      <c r="D12" s="40" t="str">
        <f>VLOOKUP($C$12,$C$169:$AF$193,2,FALSE)</f>
        <v>mh</v>
      </c>
      <c r="E12" s="40" t="str">
        <f>VLOOKUP($C$12,$C$169:$AF$193,3,FALSE)</f>
        <v>5 Années</v>
      </c>
      <c r="F12" s="15">
        <f>VLOOKUP($C$12,$C$169:$AF$193,4,FALSE)</f>
        <v>0</v>
      </c>
      <c r="G12" s="244">
        <f>IF(G$4&lt;ControlPanel!$D$59,VLOOKUP("Référence",$C$169:$AF$193,G$4-$G$4+5,FALSE),VLOOKUP($C$12,$C$169:$AF$193,G$4-$G$4+5,FALSE))</f>
        <v>0</v>
      </c>
      <c r="H12" s="244">
        <f>IF(H$4&lt;ControlPanel!$D$59,VLOOKUP("Référence",$C$169:$AF$193,H$4-$G$4+5,FALSE),VLOOKUP($C$12,$C$169:$AF$193,H$4-$G$4+5,FALSE))</f>
        <v>0</v>
      </c>
      <c r="I12" s="244">
        <f>IF(I$4&lt;ControlPanel!$D$59,VLOOKUP("Référence",$C$169:$AF$193,I$4-$G$4+5,FALSE),VLOOKUP($C$12,$C$169:$AF$193,I$4-$G$4+5,FALSE))</f>
        <v>0</v>
      </c>
      <c r="J12" s="244">
        <f>IF(J$4&lt;ControlPanel!$D$59,VLOOKUP("Référence",$C$169:$AF$193,J$4-$G$4+5,FALSE),VLOOKUP($C$12,$C$169:$AF$193,J$4-$G$4+5,FALSE))</f>
        <v>0</v>
      </c>
      <c r="K12" s="244">
        <f>IF(K$4&lt;ControlPanel!$D$59,VLOOKUP("Référence",$C$169:$AF$193,K$4-$G$4+5,FALSE),VLOOKUP($C$12,$C$169:$AF$193,K$4-$G$4+5,FALSE))</f>
        <v>0</v>
      </c>
      <c r="L12" s="244">
        <f>IF(L$4&lt;ControlPanel!$D$59,VLOOKUP("Référence",$C$169:$AF$193,L$4-$G$4+5,FALSE),VLOOKUP($C$12,$C$169:$AF$193,L$4-$G$4+5,FALSE))</f>
        <v>5</v>
      </c>
      <c r="M12" s="244">
        <f>IF(M$4&lt;ControlPanel!$D$59,VLOOKUP("Référence",$C$169:$AF$193,M$4-$G$4+5,FALSE),VLOOKUP($C$12,$C$169:$AF$193,M$4-$G$4+5,FALSE))</f>
        <v>5</v>
      </c>
      <c r="N12" s="244">
        <f>IF(N$4&lt;ControlPanel!$D$59,VLOOKUP("Référence",$C$169:$AF$193,N$4-$G$4+5,FALSE),VLOOKUP($C$12,$C$169:$AF$193,N$4-$G$4+5,FALSE))</f>
        <v>5</v>
      </c>
      <c r="O12" s="244">
        <f>IF(O$4&lt;ControlPanel!$D$59,VLOOKUP("Référence",$C$169:$AF$193,O$4-$G$4+5,FALSE),VLOOKUP($C$12,$C$169:$AF$193,O$4-$G$4+5,FALSE))</f>
        <v>5</v>
      </c>
      <c r="P12" s="244">
        <f>IF(P$4&lt;ControlPanel!$D$59,VLOOKUP("Référence",$C$169:$AF$193,P$4-$G$4+5,FALSE),VLOOKUP($C$12,$C$169:$AF$193,P$4-$G$4+5,FALSE))</f>
        <v>5</v>
      </c>
      <c r="Q12" s="244">
        <f>IF(Q$4&lt;ControlPanel!$D$59,VLOOKUP("Référence",$C$169:$AF$193,Q$4-$G$4+5,FALSE),VLOOKUP($C$12,$C$169:$AF$193,Q$4-$G$4+5,FALSE))</f>
        <v>5</v>
      </c>
      <c r="R12" s="244">
        <f>IF(R$4&lt;ControlPanel!$D$59,VLOOKUP("Référence",$C$169:$AF$193,R$4-$G$4+5,FALSE),VLOOKUP($C$12,$C$169:$AF$193,R$4-$G$4+5,FALSE))</f>
        <v>5</v>
      </c>
      <c r="S12" s="244">
        <f>IF(S$4&lt;ControlPanel!$D$59,VLOOKUP("Référence",$C$169:$AF$193,S$4-$G$4+5,FALSE),VLOOKUP($C$12,$C$169:$AF$193,S$4-$G$4+5,FALSE))</f>
        <v>5</v>
      </c>
      <c r="T12" s="244">
        <f>IF(T$4&lt;ControlPanel!$D$59,VLOOKUP("Référence",$C$169:$AF$193,T$4-$G$4+5,FALSE),VLOOKUP($C$12,$C$169:$AF$193,T$4-$G$4+5,FALSE))</f>
        <v>5</v>
      </c>
      <c r="U12" s="244">
        <f>IF(U$4&lt;ControlPanel!$D$59,VLOOKUP("Référence",$C$169:$AF$193,U$4-$G$4+5,FALSE),VLOOKUP($C$12,$C$169:$AF$193,U$4-$G$4+5,FALSE))</f>
        <v>5</v>
      </c>
      <c r="V12" s="244">
        <f>IF(V$4&lt;ControlPanel!$D$59,VLOOKUP("Référence",$C$169:$AF$193,V$4-$G$4+5,FALSE),VLOOKUP($C$12,$C$169:$AF$193,V$4-$G$4+5,FALSE))</f>
        <v>5</v>
      </c>
      <c r="W12" s="244">
        <f>IF(W$4&lt;ControlPanel!$D$59,VLOOKUP("Référence",$C$169:$AF$193,W$4-$G$4+5,FALSE),VLOOKUP($C$12,$C$169:$AF$193,W$4-$G$4+5,FALSE))</f>
        <v>5</v>
      </c>
      <c r="X12" s="244">
        <f>IF(X$4&lt;ControlPanel!$D$59,VLOOKUP("Référence",$C$169:$AF$193,X$4-$G$4+5,FALSE),VLOOKUP($C$12,$C$169:$AF$193,X$4-$G$4+5,FALSE))</f>
        <v>5</v>
      </c>
      <c r="Y12" s="244">
        <f>IF(Y$4&lt;ControlPanel!$D$59,VLOOKUP("Référence",$C$169:$AF$193,Y$4-$G$4+5,FALSE),VLOOKUP($C$12,$C$169:$AF$193,Y$4-$G$4+5,FALSE))</f>
        <v>5</v>
      </c>
      <c r="Z12" s="244">
        <f>IF(Z$4&lt;ControlPanel!$D$59,VLOOKUP("Référence",$C$169:$AF$193,Z$4-$G$4+5,FALSE),VLOOKUP($C$12,$C$169:$AF$193,Z$4-$G$4+5,FALSE))</f>
        <v>5</v>
      </c>
      <c r="AA12" s="244">
        <f>IF(AA$4&lt;ControlPanel!$D$59,VLOOKUP("Référence",$C$169:$AF$193,AA$4-$G$4+5,FALSE),VLOOKUP($C$12,$C$169:$AF$193,AA$4-$G$4+5,FALSE))</f>
        <v>5</v>
      </c>
      <c r="AB12" s="244">
        <f>IF(AB$4&lt;ControlPanel!$D$59,VLOOKUP("Référence",$C$169:$AF$193,AB$4-$G$4+5,FALSE),VLOOKUP($C$12,$C$169:$AF$193,AB$4-$G$4+5,FALSE))</f>
        <v>5</v>
      </c>
      <c r="AC12" s="244">
        <f>IF(AC$4&lt;ControlPanel!$D$59,VLOOKUP("Référence",$C$169:$AF$193,AC$4-$G$4+5,FALSE),VLOOKUP($C$12,$C$169:$AF$193,AC$4-$G$4+5,FALSE))</f>
        <v>5</v>
      </c>
      <c r="AD12" s="244">
        <f>IF(AD$4&lt;ControlPanel!$D$59,VLOOKUP("Référence",$C$169:$AF$193,AD$4-$G$4+5,FALSE),VLOOKUP($C$12,$C$169:$AF$193,AD$4-$G$4+5,FALSE))</f>
        <v>5</v>
      </c>
      <c r="AE12" s="244">
        <f>IF(AE$4&lt;ControlPanel!$D$59,VLOOKUP("Référence",$C$169:$AF$193,AE$4-$G$4+5,FALSE),VLOOKUP($C$12,$C$169:$AF$193,AE$4-$G$4+5,FALSE))</f>
        <v>5</v>
      </c>
      <c r="AF12" s="244">
        <f>IF(AF$4&lt;ControlPanel!$D$59,VLOOKUP("Référence",$C$169:$AF$193,AF$4-$G$4+5,FALSE),VLOOKUP($C$12,$C$169:$AF$193,AF$4-$G$4+5,FALSE))</f>
        <v>5</v>
      </c>
    </row>
    <row r="13" spans="1:32" ht="15" customHeight="1">
      <c r="B13" s="166" t="s">
        <v>529</v>
      </c>
      <c r="C13" s="314" t="s">
        <v>409</v>
      </c>
      <c r="D13" s="22" t="s">
        <v>48</v>
      </c>
      <c r="E13" s="35" t="s">
        <v>834</v>
      </c>
      <c r="F13" s="540"/>
      <c r="G13" s="23">
        <v>0</v>
      </c>
      <c r="H13" s="23">
        <v>0</v>
      </c>
      <c r="I13" s="23">
        <v>0</v>
      </c>
      <c r="J13" s="23">
        <v>0</v>
      </c>
      <c r="K13" s="23">
        <v>0</v>
      </c>
      <c r="L13" s="23">
        <v>0</v>
      </c>
      <c r="M13" s="23">
        <v>0</v>
      </c>
      <c r="N13" s="23">
        <v>0</v>
      </c>
      <c r="O13" s="23">
        <v>0</v>
      </c>
      <c r="P13" s="23">
        <v>0</v>
      </c>
      <c r="Q13" s="23">
        <v>0</v>
      </c>
      <c r="R13" s="23">
        <v>0</v>
      </c>
      <c r="S13" s="23">
        <v>0</v>
      </c>
      <c r="T13" s="23">
        <v>0</v>
      </c>
      <c r="U13" s="23">
        <v>0</v>
      </c>
      <c r="V13" s="23">
        <v>0</v>
      </c>
      <c r="W13" s="23">
        <v>0</v>
      </c>
      <c r="X13" s="23">
        <v>0</v>
      </c>
      <c r="Y13" s="23">
        <v>0</v>
      </c>
      <c r="Z13" s="23">
        <v>0</v>
      </c>
      <c r="AA13" s="23">
        <v>0</v>
      </c>
      <c r="AB13" s="23">
        <v>0</v>
      </c>
      <c r="AC13" s="23">
        <v>0</v>
      </c>
      <c r="AD13" s="23">
        <v>0</v>
      </c>
      <c r="AE13" s="23">
        <v>0</v>
      </c>
      <c r="AF13" s="23">
        <v>0</v>
      </c>
    </row>
    <row r="14" spans="1:32" s="462" customFormat="1" ht="15" customHeight="1">
      <c r="A14" s="9"/>
      <c r="B14" s="63"/>
      <c r="C14" s="168" t="s">
        <v>834</v>
      </c>
      <c r="D14" s="12" t="s">
        <v>48</v>
      </c>
      <c r="E14" s="11" t="s">
        <v>834</v>
      </c>
      <c r="F14" s="215"/>
      <c r="G14" s="321"/>
      <c r="H14" s="321"/>
      <c r="I14" s="321"/>
      <c r="J14" s="321"/>
      <c r="K14" s="321"/>
      <c r="L14" s="321">
        <v>0</v>
      </c>
      <c r="M14" s="321">
        <v>0</v>
      </c>
      <c r="N14" s="321">
        <v>0</v>
      </c>
      <c r="O14" s="321">
        <v>0</v>
      </c>
      <c r="P14" s="321">
        <v>0</v>
      </c>
      <c r="Q14" s="321">
        <v>0</v>
      </c>
      <c r="R14" s="321">
        <v>0</v>
      </c>
      <c r="S14" s="321">
        <v>0</v>
      </c>
      <c r="T14" s="321">
        <v>0</v>
      </c>
      <c r="U14" s="321">
        <v>0</v>
      </c>
      <c r="V14" s="321">
        <v>0</v>
      </c>
      <c r="W14" s="321">
        <v>0</v>
      </c>
      <c r="X14" s="321">
        <v>0</v>
      </c>
      <c r="Y14" s="321">
        <v>0</v>
      </c>
      <c r="Z14" s="321">
        <v>0</v>
      </c>
      <c r="AA14" s="321">
        <v>0</v>
      </c>
      <c r="AB14" s="321">
        <v>0</v>
      </c>
      <c r="AC14" s="321">
        <v>0</v>
      </c>
      <c r="AD14" s="321">
        <v>0</v>
      </c>
      <c r="AE14" s="321">
        <v>0</v>
      </c>
      <c r="AF14" s="321">
        <v>0</v>
      </c>
    </row>
    <row r="15" spans="1:32" s="462" customFormat="1" ht="15" customHeight="1">
      <c r="A15" s="9"/>
      <c r="B15" s="63"/>
      <c r="C15" s="1166" t="s">
        <v>844</v>
      </c>
      <c r="D15" s="12" t="s">
        <v>48</v>
      </c>
      <c r="E15" s="1166" t="s">
        <v>844</v>
      </c>
      <c r="F15" s="215"/>
      <c r="G15" s="321"/>
      <c r="H15" s="321"/>
      <c r="I15" s="321"/>
      <c r="J15" s="321"/>
      <c r="K15" s="321"/>
      <c r="L15" s="321">
        <v>1</v>
      </c>
      <c r="M15" s="321">
        <v>1</v>
      </c>
      <c r="N15" s="321">
        <v>1</v>
      </c>
      <c r="O15" s="321">
        <v>1</v>
      </c>
      <c r="P15" s="321">
        <v>1</v>
      </c>
      <c r="Q15" s="321">
        <v>1</v>
      </c>
      <c r="R15" s="321">
        <v>1</v>
      </c>
      <c r="S15" s="321">
        <v>1</v>
      </c>
      <c r="T15" s="321">
        <v>1</v>
      </c>
      <c r="U15" s="321">
        <v>1</v>
      </c>
      <c r="V15" s="321">
        <v>1</v>
      </c>
      <c r="W15" s="321">
        <v>1</v>
      </c>
      <c r="X15" s="321">
        <v>1</v>
      </c>
      <c r="Y15" s="321">
        <v>1</v>
      </c>
      <c r="Z15" s="321">
        <v>1</v>
      </c>
      <c r="AA15" s="321">
        <v>1</v>
      </c>
      <c r="AB15" s="321">
        <v>1</v>
      </c>
      <c r="AC15" s="321">
        <v>1</v>
      </c>
      <c r="AD15" s="321">
        <v>1</v>
      </c>
      <c r="AE15" s="321">
        <v>1</v>
      </c>
      <c r="AF15" s="321">
        <v>1</v>
      </c>
    </row>
    <row r="16" spans="1:32" s="462" customFormat="1" ht="15" customHeight="1">
      <c r="A16" s="9"/>
      <c r="B16" s="63"/>
      <c r="C16" s="16" t="s">
        <v>835</v>
      </c>
      <c r="D16" s="12" t="s">
        <v>48</v>
      </c>
      <c r="E16" s="16" t="s">
        <v>835</v>
      </c>
      <c r="F16" s="215"/>
      <c r="G16" s="321"/>
      <c r="H16" s="321"/>
      <c r="I16" s="321"/>
      <c r="J16" s="321"/>
      <c r="K16" s="321"/>
      <c r="L16" s="321"/>
      <c r="M16" s="321"/>
      <c r="N16" s="321"/>
      <c r="O16" s="321"/>
      <c r="P16" s="321"/>
      <c r="Q16" s="321">
        <v>2</v>
      </c>
      <c r="R16" s="321">
        <v>2</v>
      </c>
      <c r="S16" s="321">
        <v>2</v>
      </c>
      <c r="T16" s="321">
        <v>2</v>
      </c>
      <c r="U16" s="321">
        <v>2</v>
      </c>
      <c r="V16" s="321">
        <v>2</v>
      </c>
      <c r="W16" s="321">
        <v>2</v>
      </c>
      <c r="X16" s="321">
        <v>2</v>
      </c>
      <c r="Y16" s="321">
        <v>2</v>
      </c>
      <c r="Z16" s="321">
        <v>2</v>
      </c>
      <c r="AA16" s="321">
        <v>2</v>
      </c>
      <c r="AB16" s="321">
        <v>2</v>
      </c>
      <c r="AC16" s="321">
        <v>2</v>
      </c>
      <c r="AD16" s="321">
        <v>2</v>
      </c>
      <c r="AE16" s="321">
        <v>2</v>
      </c>
      <c r="AF16" s="321">
        <v>2</v>
      </c>
    </row>
    <row r="17" spans="1:32" s="462" customFormat="1" ht="15" customHeight="1">
      <c r="A17" s="9"/>
      <c r="B17" s="63"/>
      <c r="C17" s="16" t="s">
        <v>836</v>
      </c>
      <c r="D17" s="12" t="s">
        <v>48</v>
      </c>
      <c r="E17" s="16" t="s">
        <v>836</v>
      </c>
      <c r="F17" s="215"/>
      <c r="G17" s="321"/>
      <c r="H17" s="321"/>
      <c r="I17" s="321"/>
      <c r="J17" s="321"/>
      <c r="K17" s="321"/>
      <c r="L17" s="321"/>
      <c r="M17" s="321"/>
      <c r="N17" s="321"/>
      <c r="O17" s="321"/>
      <c r="P17" s="321"/>
      <c r="Q17" s="321">
        <v>3</v>
      </c>
      <c r="R17" s="321">
        <v>3</v>
      </c>
      <c r="S17" s="321">
        <v>3</v>
      </c>
      <c r="T17" s="321">
        <v>3</v>
      </c>
      <c r="U17" s="321">
        <v>3</v>
      </c>
      <c r="V17" s="321">
        <v>3</v>
      </c>
      <c r="W17" s="321">
        <v>3</v>
      </c>
      <c r="X17" s="321">
        <v>3</v>
      </c>
      <c r="Y17" s="321">
        <v>3</v>
      </c>
      <c r="Z17" s="321">
        <v>3</v>
      </c>
      <c r="AA17" s="321">
        <v>3</v>
      </c>
      <c r="AB17" s="321">
        <v>3</v>
      </c>
      <c r="AC17" s="321">
        <v>3</v>
      </c>
      <c r="AD17" s="321">
        <v>3</v>
      </c>
      <c r="AE17" s="321">
        <v>3</v>
      </c>
      <c r="AF17" s="321">
        <v>3</v>
      </c>
    </row>
    <row r="18" spans="1:32" s="462" customFormat="1" ht="15" customHeight="1">
      <c r="A18" s="9"/>
      <c r="B18" s="63"/>
      <c r="C18" s="16" t="s">
        <v>837</v>
      </c>
      <c r="D18" s="12" t="s">
        <v>48</v>
      </c>
      <c r="E18" s="16" t="s">
        <v>837</v>
      </c>
      <c r="F18" s="215"/>
      <c r="G18" s="321"/>
      <c r="H18" s="321"/>
      <c r="I18" s="321"/>
      <c r="J18" s="321"/>
      <c r="K18" s="321"/>
      <c r="L18" s="321"/>
      <c r="M18" s="321"/>
      <c r="N18" s="321"/>
      <c r="O18" s="321"/>
      <c r="P18" s="321"/>
      <c r="Q18" s="321">
        <v>4</v>
      </c>
      <c r="R18" s="321">
        <v>4</v>
      </c>
      <c r="S18" s="321">
        <v>4</v>
      </c>
      <c r="T18" s="321">
        <v>4</v>
      </c>
      <c r="U18" s="321">
        <v>4</v>
      </c>
      <c r="V18" s="321">
        <v>4</v>
      </c>
      <c r="W18" s="321">
        <v>4</v>
      </c>
      <c r="X18" s="321">
        <v>4</v>
      </c>
      <c r="Y18" s="321">
        <v>4</v>
      </c>
      <c r="Z18" s="321">
        <v>4</v>
      </c>
      <c r="AA18" s="321">
        <v>4</v>
      </c>
      <c r="AB18" s="321">
        <v>4</v>
      </c>
      <c r="AC18" s="321">
        <v>4</v>
      </c>
      <c r="AD18" s="321">
        <v>4</v>
      </c>
      <c r="AE18" s="321">
        <v>4</v>
      </c>
      <c r="AF18" s="321">
        <v>4</v>
      </c>
    </row>
    <row r="19" spans="1:32" s="462" customFormat="1" ht="15" customHeight="1">
      <c r="A19" s="9"/>
      <c r="B19" s="63"/>
      <c r="C19" s="16" t="s">
        <v>838</v>
      </c>
      <c r="D19" s="12" t="s">
        <v>48</v>
      </c>
      <c r="E19" s="16" t="s">
        <v>838</v>
      </c>
      <c r="F19" s="215"/>
      <c r="G19" s="321"/>
      <c r="H19" s="321"/>
      <c r="I19" s="321"/>
      <c r="J19" s="321"/>
      <c r="K19" s="321"/>
      <c r="L19" s="321"/>
      <c r="M19" s="321"/>
      <c r="N19" s="321"/>
      <c r="O19" s="321"/>
      <c r="P19" s="321"/>
      <c r="Q19" s="321">
        <v>5</v>
      </c>
      <c r="R19" s="321">
        <v>5</v>
      </c>
      <c r="S19" s="321">
        <v>5</v>
      </c>
      <c r="T19" s="321">
        <v>5</v>
      </c>
      <c r="U19" s="321">
        <v>5</v>
      </c>
      <c r="V19" s="321">
        <v>5</v>
      </c>
      <c r="W19" s="321">
        <v>5</v>
      </c>
      <c r="X19" s="321">
        <v>5</v>
      </c>
      <c r="Y19" s="321">
        <v>5</v>
      </c>
      <c r="Z19" s="321">
        <v>5</v>
      </c>
      <c r="AA19" s="321">
        <v>5</v>
      </c>
      <c r="AB19" s="321">
        <v>5</v>
      </c>
      <c r="AC19" s="321">
        <v>5</v>
      </c>
      <c r="AD19" s="321">
        <v>5</v>
      </c>
      <c r="AE19" s="321">
        <v>5</v>
      </c>
      <c r="AF19" s="321">
        <v>5</v>
      </c>
    </row>
    <row r="20" spans="1:32" s="462" customFormat="1" ht="15" customHeight="1">
      <c r="A20" s="9"/>
      <c r="B20" s="63"/>
      <c r="C20" s="16" t="s">
        <v>839</v>
      </c>
      <c r="D20" s="12" t="s">
        <v>48</v>
      </c>
      <c r="E20" s="16" t="s">
        <v>839</v>
      </c>
      <c r="F20" s="215"/>
      <c r="G20" s="321"/>
      <c r="H20" s="321"/>
      <c r="I20" s="321"/>
      <c r="J20" s="321"/>
      <c r="K20" s="321"/>
      <c r="L20" s="321"/>
      <c r="M20" s="321"/>
      <c r="N20" s="321"/>
      <c r="O20" s="321"/>
      <c r="P20" s="321"/>
      <c r="Q20" s="321">
        <v>6</v>
      </c>
      <c r="R20" s="321">
        <v>6</v>
      </c>
      <c r="S20" s="321">
        <v>6</v>
      </c>
      <c r="T20" s="321">
        <v>6</v>
      </c>
      <c r="U20" s="321">
        <v>6</v>
      </c>
      <c r="V20" s="321">
        <v>6</v>
      </c>
      <c r="W20" s="321">
        <v>6</v>
      </c>
      <c r="X20" s="321">
        <v>6</v>
      </c>
      <c r="Y20" s="321">
        <v>6</v>
      </c>
      <c r="Z20" s="321">
        <v>6</v>
      </c>
      <c r="AA20" s="321">
        <v>6</v>
      </c>
      <c r="AB20" s="321">
        <v>6</v>
      </c>
      <c r="AC20" s="321">
        <v>6</v>
      </c>
      <c r="AD20" s="321">
        <v>6</v>
      </c>
      <c r="AE20" s="321">
        <v>6</v>
      </c>
      <c r="AF20" s="321">
        <v>6</v>
      </c>
    </row>
    <row r="21" spans="1:32" s="462" customFormat="1" ht="15" customHeight="1">
      <c r="A21" s="9"/>
      <c r="B21" s="63"/>
      <c r="C21" s="16" t="s">
        <v>840</v>
      </c>
      <c r="D21" s="12" t="s">
        <v>48</v>
      </c>
      <c r="E21" s="16" t="s">
        <v>840</v>
      </c>
      <c r="F21" s="215"/>
      <c r="G21" s="321"/>
      <c r="H21" s="321"/>
      <c r="I21" s="321"/>
      <c r="J21" s="321"/>
      <c r="K21" s="321"/>
      <c r="L21" s="321"/>
      <c r="M21" s="321"/>
      <c r="N21" s="321"/>
      <c r="O21" s="321"/>
      <c r="P21" s="321"/>
      <c r="Q21" s="321">
        <v>7</v>
      </c>
      <c r="R21" s="321">
        <v>7</v>
      </c>
      <c r="S21" s="321">
        <v>7</v>
      </c>
      <c r="T21" s="321">
        <v>7</v>
      </c>
      <c r="U21" s="321">
        <v>7</v>
      </c>
      <c r="V21" s="321">
        <v>7</v>
      </c>
      <c r="W21" s="321">
        <v>7</v>
      </c>
      <c r="X21" s="321">
        <v>7</v>
      </c>
      <c r="Y21" s="321">
        <v>7</v>
      </c>
      <c r="Z21" s="321">
        <v>7</v>
      </c>
      <c r="AA21" s="321">
        <v>7</v>
      </c>
      <c r="AB21" s="321">
        <v>7</v>
      </c>
      <c r="AC21" s="321">
        <v>7</v>
      </c>
      <c r="AD21" s="321">
        <v>7</v>
      </c>
      <c r="AE21" s="321">
        <v>7</v>
      </c>
      <c r="AF21" s="321">
        <v>7</v>
      </c>
    </row>
    <row r="22" spans="1:32" s="462" customFormat="1" ht="15" customHeight="1">
      <c r="A22" s="9"/>
      <c r="B22" s="63"/>
      <c r="C22" s="16" t="s">
        <v>841</v>
      </c>
      <c r="D22" s="12" t="s">
        <v>48</v>
      </c>
      <c r="E22" s="16" t="s">
        <v>841</v>
      </c>
      <c r="F22" s="215"/>
      <c r="G22" s="321"/>
      <c r="H22" s="321"/>
      <c r="I22" s="321"/>
      <c r="J22" s="321"/>
      <c r="K22" s="321"/>
      <c r="L22" s="321"/>
      <c r="M22" s="321"/>
      <c r="N22" s="321"/>
      <c r="O22" s="321"/>
      <c r="P22" s="321"/>
      <c r="Q22" s="321">
        <v>8</v>
      </c>
      <c r="R22" s="321">
        <v>8</v>
      </c>
      <c r="S22" s="321">
        <v>8</v>
      </c>
      <c r="T22" s="321">
        <v>8</v>
      </c>
      <c r="U22" s="321">
        <v>8</v>
      </c>
      <c r="V22" s="321">
        <v>8</v>
      </c>
      <c r="W22" s="321">
        <v>8</v>
      </c>
      <c r="X22" s="321">
        <v>8</v>
      </c>
      <c r="Y22" s="321">
        <v>8</v>
      </c>
      <c r="Z22" s="321">
        <v>8</v>
      </c>
      <c r="AA22" s="321">
        <v>8</v>
      </c>
      <c r="AB22" s="321">
        <v>8</v>
      </c>
      <c r="AC22" s="321">
        <v>8</v>
      </c>
      <c r="AD22" s="321">
        <v>8</v>
      </c>
      <c r="AE22" s="321">
        <v>8</v>
      </c>
      <c r="AF22" s="321">
        <v>8</v>
      </c>
    </row>
    <row r="23" spans="1:32" s="462" customFormat="1" ht="15" customHeight="1">
      <c r="A23" s="9"/>
      <c r="B23" s="63"/>
      <c r="C23" s="16" t="s">
        <v>842</v>
      </c>
      <c r="D23" s="12" t="s">
        <v>48</v>
      </c>
      <c r="E23" s="16" t="s">
        <v>842</v>
      </c>
      <c r="F23" s="215"/>
      <c r="G23" s="321"/>
      <c r="H23" s="321"/>
      <c r="I23" s="321"/>
      <c r="J23" s="321"/>
      <c r="K23" s="321"/>
      <c r="L23" s="321"/>
      <c r="M23" s="321"/>
      <c r="N23" s="321"/>
      <c r="O23" s="321"/>
      <c r="P23" s="321"/>
      <c r="Q23" s="321">
        <v>9</v>
      </c>
      <c r="R23" s="321">
        <v>9</v>
      </c>
      <c r="S23" s="321">
        <v>9</v>
      </c>
      <c r="T23" s="321">
        <v>9</v>
      </c>
      <c r="U23" s="321">
        <v>9</v>
      </c>
      <c r="V23" s="321">
        <v>9</v>
      </c>
      <c r="W23" s="321">
        <v>9</v>
      </c>
      <c r="X23" s="321">
        <v>9</v>
      </c>
      <c r="Y23" s="321">
        <v>9</v>
      </c>
      <c r="Z23" s="321">
        <v>9</v>
      </c>
      <c r="AA23" s="321">
        <v>9</v>
      </c>
      <c r="AB23" s="321">
        <v>9</v>
      </c>
      <c r="AC23" s="321">
        <v>9</v>
      </c>
      <c r="AD23" s="321">
        <v>9</v>
      </c>
      <c r="AE23" s="321">
        <v>9</v>
      </c>
      <c r="AF23" s="321">
        <v>9</v>
      </c>
    </row>
    <row r="24" spans="1:32" s="462" customFormat="1" ht="15" customHeight="1">
      <c r="A24" s="9"/>
      <c r="B24" s="63"/>
      <c r="C24" s="16" t="s">
        <v>843</v>
      </c>
      <c r="D24" s="12" t="s">
        <v>48</v>
      </c>
      <c r="E24" s="16" t="s">
        <v>843</v>
      </c>
      <c r="F24" s="215"/>
      <c r="G24" s="321"/>
      <c r="H24" s="321"/>
      <c r="I24" s="321"/>
      <c r="J24" s="321"/>
      <c r="K24" s="321"/>
      <c r="L24" s="321"/>
      <c r="M24" s="321"/>
      <c r="N24" s="321"/>
      <c r="O24" s="321"/>
      <c r="P24" s="321"/>
      <c r="Q24" s="321">
        <v>10</v>
      </c>
      <c r="R24" s="321">
        <v>10</v>
      </c>
      <c r="S24" s="321">
        <v>10</v>
      </c>
      <c r="T24" s="321">
        <v>10</v>
      </c>
      <c r="U24" s="321">
        <v>10</v>
      </c>
      <c r="V24" s="321">
        <v>10</v>
      </c>
      <c r="W24" s="321">
        <v>10</v>
      </c>
      <c r="X24" s="321">
        <v>10</v>
      </c>
      <c r="Y24" s="321">
        <v>10</v>
      </c>
      <c r="Z24" s="321">
        <v>10</v>
      </c>
      <c r="AA24" s="321">
        <v>10</v>
      </c>
      <c r="AB24" s="321">
        <v>10</v>
      </c>
      <c r="AC24" s="321">
        <v>10</v>
      </c>
      <c r="AD24" s="321">
        <v>10</v>
      </c>
      <c r="AE24" s="321">
        <v>10</v>
      </c>
      <c r="AF24" s="321">
        <v>10</v>
      </c>
    </row>
    <row r="25" spans="1:32" s="462" customFormat="1" ht="15" customHeight="1">
      <c r="B25" s="463"/>
      <c r="C25" s="176"/>
      <c r="D25" s="179"/>
      <c r="E25" s="163"/>
      <c r="F25" s="532"/>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row>
    <row r="26" spans="1:32" s="462" customFormat="1" ht="15" customHeight="1">
      <c r="B26" s="463"/>
      <c r="C26" s="176"/>
      <c r="D26" s="179"/>
      <c r="E26" s="163"/>
      <c r="F26" s="532"/>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row>
    <row r="27" spans="1:32" s="462" customFormat="1" ht="15" customHeight="1">
      <c r="B27" s="463"/>
      <c r="C27" s="176"/>
      <c r="D27" s="179"/>
      <c r="E27" s="163"/>
      <c r="F27" s="532"/>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row>
    <row r="28" spans="1:32" s="462" customFormat="1" ht="15" customHeight="1">
      <c r="B28" s="463"/>
      <c r="C28" s="176"/>
      <c r="D28" s="179"/>
      <c r="E28" s="163"/>
      <c r="F28" s="532"/>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row>
    <row r="29" spans="1:32" s="462" customFormat="1" ht="15" customHeight="1">
      <c r="B29" s="463"/>
      <c r="C29" s="176"/>
      <c r="D29" s="179"/>
      <c r="E29" s="163"/>
      <c r="F29" s="532"/>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row>
    <row r="30" spans="1:32" s="462" customFormat="1" ht="15" customHeight="1">
      <c r="B30" s="463"/>
      <c r="C30" s="176"/>
      <c r="D30" s="179"/>
      <c r="E30" s="163"/>
      <c r="F30" s="532"/>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row>
    <row r="31" spans="1:32" s="462" customFormat="1" ht="15" customHeight="1">
      <c r="B31" s="463"/>
      <c r="C31" s="176"/>
      <c r="D31" s="179"/>
      <c r="E31" s="163"/>
      <c r="F31" s="532"/>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c r="AE31" s="180"/>
      <c r="AF31" s="180"/>
    </row>
    <row r="32" spans="1:32" s="462" customFormat="1" ht="15" customHeight="1">
      <c r="B32" s="463"/>
      <c r="C32" s="176"/>
      <c r="D32" s="179"/>
      <c r="E32" s="163"/>
      <c r="F32" s="532"/>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row>
    <row r="33" spans="1:32" s="462" customFormat="1" ht="15" customHeight="1">
      <c r="B33" s="463"/>
      <c r="C33" s="176"/>
      <c r="D33" s="179"/>
      <c r="E33" s="163"/>
      <c r="F33" s="532"/>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row>
    <row r="34" spans="1:32" s="462" customFormat="1" ht="15" customHeight="1">
      <c r="B34" s="463"/>
      <c r="C34" s="176"/>
      <c r="D34" s="179"/>
      <c r="E34" s="163"/>
      <c r="F34" s="532"/>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row>
    <row r="35" spans="1:32" s="462" customFormat="1" ht="15" customHeight="1">
      <c r="B35" s="463"/>
      <c r="C35" s="176"/>
      <c r="D35" s="179"/>
      <c r="E35" s="163"/>
      <c r="F35" s="532"/>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row>
    <row r="36" spans="1:32" s="462" customFormat="1" ht="15" customHeight="1">
      <c r="B36" s="463"/>
      <c r="C36" s="176"/>
      <c r="D36" s="179"/>
      <c r="E36" s="163"/>
      <c r="F36" s="532"/>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row>
    <row r="37" spans="1:32" s="462" customFormat="1" ht="15" customHeight="1">
      <c r="B37" s="464"/>
      <c r="C37" s="178"/>
      <c r="D37" s="181"/>
      <c r="E37" s="182"/>
      <c r="F37" s="533"/>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row>
    <row r="38" spans="1:32" ht="15" customHeight="1">
      <c r="C38" s="18"/>
      <c r="D38" s="18"/>
      <c r="E38" s="18"/>
      <c r="F38" s="18"/>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row>
    <row r="39" spans="1:32" ht="15" customHeight="1">
      <c r="B39" s="166" t="s">
        <v>349</v>
      </c>
      <c r="C39" s="314" t="s">
        <v>409</v>
      </c>
      <c r="D39" s="22" t="s">
        <v>48</v>
      </c>
      <c r="E39" s="35" t="s">
        <v>834</v>
      </c>
      <c r="F39" s="540"/>
      <c r="G39" s="23">
        <v>0</v>
      </c>
      <c r="H39" s="23">
        <v>0</v>
      </c>
      <c r="I39" s="23">
        <v>0</v>
      </c>
      <c r="J39" s="23">
        <v>0</v>
      </c>
      <c r="K39" s="23">
        <v>0</v>
      </c>
      <c r="L39" s="23">
        <v>0</v>
      </c>
      <c r="M39" s="23">
        <v>0</v>
      </c>
      <c r="N39" s="23">
        <v>0</v>
      </c>
      <c r="O39" s="23">
        <v>0</v>
      </c>
      <c r="P39" s="23">
        <v>0</v>
      </c>
      <c r="Q39" s="23">
        <v>0</v>
      </c>
      <c r="R39" s="23">
        <v>0</v>
      </c>
      <c r="S39" s="23">
        <v>0</v>
      </c>
      <c r="T39" s="23">
        <v>0</v>
      </c>
      <c r="U39" s="23">
        <v>0</v>
      </c>
      <c r="V39" s="23">
        <v>0</v>
      </c>
      <c r="W39" s="23">
        <v>0</v>
      </c>
      <c r="X39" s="23">
        <v>0</v>
      </c>
      <c r="Y39" s="23">
        <v>0</v>
      </c>
      <c r="Z39" s="23">
        <v>0</v>
      </c>
      <c r="AA39" s="23">
        <v>0</v>
      </c>
      <c r="AB39" s="23">
        <v>0</v>
      </c>
      <c r="AC39" s="23">
        <v>0</v>
      </c>
      <c r="AD39" s="23">
        <v>0</v>
      </c>
      <c r="AE39" s="23">
        <v>0</v>
      </c>
      <c r="AF39" s="23">
        <v>0</v>
      </c>
    </row>
    <row r="40" spans="1:32" s="462" customFormat="1" ht="15" customHeight="1">
      <c r="A40" s="9"/>
      <c r="B40" s="63"/>
      <c r="C40" s="168" t="s">
        <v>834</v>
      </c>
      <c r="D40" s="12" t="s">
        <v>48</v>
      </c>
      <c r="E40" s="11" t="s">
        <v>834</v>
      </c>
      <c r="F40" s="215"/>
      <c r="G40" s="321"/>
      <c r="H40" s="321"/>
      <c r="I40" s="321"/>
      <c r="J40" s="321"/>
      <c r="K40" s="321"/>
      <c r="L40" s="321">
        <v>0</v>
      </c>
      <c r="M40" s="321">
        <v>0</v>
      </c>
      <c r="N40" s="321">
        <v>0</v>
      </c>
      <c r="O40" s="321">
        <v>0</v>
      </c>
      <c r="P40" s="321">
        <v>0</v>
      </c>
      <c r="Q40" s="321">
        <v>0</v>
      </c>
      <c r="R40" s="321">
        <v>0</v>
      </c>
      <c r="S40" s="321">
        <v>0</v>
      </c>
      <c r="T40" s="321">
        <v>0</v>
      </c>
      <c r="U40" s="321">
        <v>0</v>
      </c>
      <c r="V40" s="321">
        <v>0</v>
      </c>
      <c r="W40" s="321">
        <v>0</v>
      </c>
      <c r="X40" s="321">
        <v>0</v>
      </c>
      <c r="Y40" s="321">
        <v>0</v>
      </c>
      <c r="Z40" s="321">
        <v>0</v>
      </c>
      <c r="AA40" s="321">
        <v>0</v>
      </c>
      <c r="AB40" s="321">
        <v>0</v>
      </c>
      <c r="AC40" s="321">
        <v>0</v>
      </c>
      <c r="AD40" s="321">
        <v>0</v>
      </c>
      <c r="AE40" s="321">
        <v>0</v>
      </c>
      <c r="AF40" s="321">
        <v>0</v>
      </c>
    </row>
    <row r="41" spans="1:32" s="462" customFormat="1" ht="15" customHeight="1">
      <c r="A41" s="9"/>
      <c r="B41" s="63"/>
      <c r="C41" s="1166" t="s">
        <v>844</v>
      </c>
      <c r="D41" s="12" t="s">
        <v>48</v>
      </c>
      <c r="E41" s="1166" t="s">
        <v>844</v>
      </c>
      <c r="F41" s="215"/>
      <c r="G41" s="321"/>
      <c r="H41" s="321"/>
      <c r="I41" s="321"/>
      <c r="J41" s="321"/>
      <c r="K41" s="321"/>
      <c r="L41" s="321">
        <v>1</v>
      </c>
      <c r="M41" s="321">
        <v>1</v>
      </c>
      <c r="N41" s="321">
        <v>1</v>
      </c>
      <c r="O41" s="321">
        <v>1</v>
      </c>
      <c r="P41" s="321">
        <v>1</v>
      </c>
      <c r="Q41" s="321">
        <v>1</v>
      </c>
      <c r="R41" s="321">
        <v>1</v>
      </c>
      <c r="S41" s="321">
        <v>1</v>
      </c>
      <c r="T41" s="321">
        <v>1</v>
      </c>
      <c r="U41" s="321">
        <v>1</v>
      </c>
      <c r="V41" s="321">
        <v>1</v>
      </c>
      <c r="W41" s="321">
        <v>1</v>
      </c>
      <c r="X41" s="321">
        <v>1</v>
      </c>
      <c r="Y41" s="321">
        <v>1</v>
      </c>
      <c r="Z41" s="321">
        <v>1</v>
      </c>
      <c r="AA41" s="321">
        <v>1</v>
      </c>
      <c r="AB41" s="321">
        <v>1</v>
      </c>
      <c r="AC41" s="321">
        <v>1</v>
      </c>
      <c r="AD41" s="321">
        <v>1</v>
      </c>
      <c r="AE41" s="321">
        <v>1</v>
      </c>
      <c r="AF41" s="321">
        <v>1</v>
      </c>
    </row>
    <row r="42" spans="1:32" s="462" customFormat="1" ht="15" customHeight="1">
      <c r="A42" s="9"/>
      <c r="B42" s="63"/>
      <c r="C42" s="16" t="s">
        <v>835</v>
      </c>
      <c r="D42" s="12" t="s">
        <v>48</v>
      </c>
      <c r="E42" s="16" t="s">
        <v>835</v>
      </c>
      <c r="F42" s="215"/>
      <c r="G42" s="321"/>
      <c r="H42" s="321"/>
      <c r="I42" s="321"/>
      <c r="J42" s="321"/>
      <c r="K42" s="321"/>
      <c r="L42" s="321"/>
      <c r="M42" s="321"/>
      <c r="N42" s="321"/>
      <c r="O42" s="321"/>
      <c r="P42" s="321"/>
      <c r="Q42" s="321">
        <v>2</v>
      </c>
      <c r="R42" s="321">
        <v>2</v>
      </c>
      <c r="S42" s="321">
        <v>2</v>
      </c>
      <c r="T42" s="321">
        <v>2</v>
      </c>
      <c r="U42" s="321">
        <v>2</v>
      </c>
      <c r="V42" s="321">
        <v>2</v>
      </c>
      <c r="W42" s="321">
        <v>2</v>
      </c>
      <c r="X42" s="321">
        <v>2</v>
      </c>
      <c r="Y42" s="321">
        <v>2</v>
      </c>
      <c r="Z42" s="321">
        <v>2</v>
      </c>
      <c r="AA42" s="321">
        <v>2</v>
      </c>
      <c r="AB42" s="321">
        <v>2</v>
      </c>
      <c r="AC42" s="321">
        <v>2</v>
      </c>
      <c r="AD42" s="321">
        <v>2</v>
      </c>
      <c r="AE42" s="321">
        <v>2</v>
      </c>
      <c r="AF42" s="321">
        <v>2</v>
      </c>
    </row>
    <row r="43" spans="1:32" s="462" customFormat="1" ht="15" customHeight="1">
      <c r="A43" s="9"/>
      <c r="B43" s="63"/>
      <c r="C43" s="16" t="s">
        <v>836</v>
      </c>
      <c r="D43" s="12" t="s">
        <v>48</v>
      </c>
      <c r="E43" s="16" t="s">
        <v>836</v>
      </c>
      <c r="F43" s="215"/>
      <c r="G43" s="321"/>
      <c r="H43" s="321"/>
      <c r="I43" s="321"/>
      <c r="J43" s="321"/>
      <c r="K43" s="321"/>
      <c r="L43" s="321"/>
      <c r="M43" s="321"/>
      <c r="N43" s="321"/>
      <c r="O43" s="321"/>
      <c r="P43" s="321"/>
      <c r="Q43" s="321">
        <v>3</v>
      </c>
      <c r="R43" s="321">
        <v>3</v>
      </c>
      <c r="S43" s="321">
        <v>3</v>
      </c>
      <c r="T43" s="321">
        <v>3</v>
      </c>
      <c r="U43" s="321">
        <v>3</v>
      </c>
      <c r="V43" s="321">
        <v>3</v>
      </c>
      <c r="W43" s="321">
        <v>3</v>
      </c>
      <c r="X43" s="321">
        <v>3</v>
      </c>
      <c r="Y43" s="321">
        <v>3</v>
      </c>
      <c r="Z43" s="321">
        <v>3</v>
      </c>
      <c r="AA43" s="321">
        <v>3</v>
      </c>
      <c r="AB43" s="321">
        <v>3</v>
      </c>
      <c r="AC43" s="321">
        <v>3</v>
      </c>
      <c r="AD43" s="321">
        <v>3</v>
      </c>
      <c r="AE43" s="321">
        <v>3</v>
      </c>
      <c r="AF43" s="321">
        <v>3</v>
      </c>
    </row>
    <row r="44" spans="1:32" s="462" customFormat="1" ht="15" customHeight="1">
      <c r="A44" s="9"/>
      <c r="B44" s="63"/>
      <c r="C44" s="16" t="s">
        <v>837</v>
      </c>
      <c r="D44" s="12" t="s">
        <v>48</v>
      </c>
      <c r="E44" s="16" t="s">
        <v>837</v>
      </c>
      <c r="F44" s="215"/>
      <c r="G44" s="321"/>
      <c r="H44" s="321"/>
      <c r="I44" s="321"/>
      <c r="J44" s="321"/>
      <c r="K44" s="321"/>
      <c r="L44" s="321"/>
      <c r="M44" s="321"/>
      <c r="N44" s="321"/>
      <c r="O44" s="321"/>
      <c r="P44" s="321"/>
      <c r="Q44" s="321">
        <v>4</v>
      </c>
      <c r="R44" s="321">
        <v>4</v>
      </c>
      <c r="S44" s="321">
        <v>4</v>
      </c>
      <c r="T44" s="321">
        <v>4</v>
      </c>
      <c r="U44" s="321">
        <v>4</v>
      </c>
      <c r="V44" s="321">
        <v>4</v>
      </c>
      <c r="W44" s="321">
        <v>4</v>
      </c>
      <c r="X44" s="321">
        <v>4</v>
      </c>
      <c r="Y44" s="321">
        <v>4</v>
      </c>
      <c r="Z44" s="321">
        <v>4</v>
      </c>
      <c r="AA44" s="321">
        <v>4</v>
      </c>
      <c r="AB44" s="321">
        <v>4</v>
      </c>
      <c r="AC44" s="321">
        <v>4</v>
      </c>
      <c r="AD44" s="321">
        <v>4</v>
      </c>
      <c r="AE44" s="321">
        <v>4</v>
      </c>
      <c r="AF44" s="321">
        <v>4</v>
      </c>
    </row>
    <row r="45" spans="1:32" s="462" customFormat="1" ht="15" customHeight="1">
      <c r="A45" s="9"/>
      <c r="B45" s="63"/>
      <c r="C45" s="16" t="s">
        <v>838</v>
      </c>
      <c r="D45" s="12" t="s">
        <v>48</v>
      </c>
      <c r="E45" s="16" t="s">
        <v>838</v>
      </c>
      <c r="F45" s="215"/>
      <c r="G45" s="321"/>
      <c r="H45" s="321"/>
      <c r="I45" s="321"/>
      <c r="J45" s="321"/>
      <c r="K45" s="321"/>
      <c r="L45" s="321"/>
      <c r="M45" s="321"/>
      <c r="N45" s="321"/>
      <c r="O45" s="321"/>
      <c r="P45" s="321"/>
      <c r="Q45" s="321">
        <v>5</v>
      </c>
      <c r="R45" s="321">
        <v>5</v>
      </c>
      <c r="S45" s="321">
        <v>5</v>
      </c>
      <c r="T45" s="321">
        <v>5</v>
      </c>
      <c r="U45" s="321">
        <v>5</v>
      </c>
      <c r="V45" s="321">
        <v>5</v>
      </c>
      <c r="W45" s="321">
        <v>5</v>
      </c>
      <c r="X45" s="321">
        <v>5</v>
      </c>
      <c r="Y45" s="321">
        <v>5</v>
      </c>
      <c r="Z45" s="321">
        <v>5</v>
      </c>
      <c r="AA45" s="321">
        <v>5</v>
      </c>
      <c r="AB45" s="321">
        <v>5</v>
      </c>
      <c r="AC45" s="321">
        <v>5</v>
      </c>
      <c r="AD45" s="321">
        <v>5</v>
      </c>
      <c r="AE45" s="321">
        <v>5</v>
      </c>
      <c r="AF45" s="321">
        <v>5</v>
      </c>
    </row>
    <row r="46" spans="1:32" s="462" customFormat="1" ht="15" customHeight="1">
      <c r="A46" s="9"/>
      <c r="B46" s="63"/>
      <c r="C46" s="16" t="s">
        <v>839</v>
      </c>
      <c r="D46" s="12" t="s">
        <v>48</v>
      </c>
      <c r="E46" s="16" t="s">
        <v>839</v>
      </c>
      <c r="F46" s="215"/>
      <c r="G46" s="321"/>
      <c r="H46" s="321"/>
      <c r="I46" s="321"/>
      <c r="J46" s="321"/>
      <c r="K46" s="321"/>
      <c r="L46" s="321"/>
      <c r="M46" s="321"/>
      <c r="N46" s="321"/>
      <c r="O46" s="321"/>
      <c r="P46" s="321"/>
      <c r="Q46" s="321">
        <v>6</v>
      </c>
      <c r="R46" s="321">
        <v>6</v>
      </c>
      <c r="S46" s="321">
        <v>6</v>
      </c>
      <c r="T46" s="321">
        <v>6</v>
      </c>
      <c r="U46" s="321">
        <v>6</v>
      </c>
      <c r="V46" s="321">
        <v>6</v>
      </c>
      <c r="W46" s="321">
        <v>6</v>
      </c>
      <c r="X46" s="321">
        <v>6</v>
      </c>
      <c r="Y46" s="321">
        <v>6</v>
      </c>
      <c r="Z46" s="321">
        <v>6</v>
      </c>
      <c r="AA46" s="321">
        <v>6</v>
      </c>
      <c r="AB46" s="321">
        <v>6</v>
      </c>
      <c r="AC46" s="321">
        <v>6</v>
      </c>
      <c r="AD46" s="321">
        <v>6</v>
      </c>
      <c r="AE46" s="321">
        <v>6</v>
      </c>
      <c r="AF46" s="321">
        <v>6</v>
      </c>
    </row>
    <row r="47" spans="1:32" s="462" customFormat="1" ht="15" customHeight="1">
      <c r="A47" s="9"/>
      <c r="B47" s="63"/>
      <c r="C47" s="16" t="s">
        <v>840</v>
      </c>
      <c r="D47" s="12" t="s">
        <v>48</v>
      </c>
      <c r="E47" s="16" t="s">
        <v>840</v>
      </c>
      <c r="F47" s="215"/>
      <c r="G47" s="321"/>
      <c r="H47" s="321"/>
      <c r="I47" s="321"/>
      <c r="J47" s="321"/>
      <c r="K47" s="321"/>
      <c r="L47" s="321"/>
      <c r="M47" s="321"/>
      <c r="N47" s="321"/>
      <c r="O47" s="321"/>
      <c r="P47" s="321"/>
      <c r="Q47" s="321">
        <v>7</v>
      </c>
      <c r="R47" s="321">
        <v>7</v>
      </c>
      <c r="S47" s="321">
        <v>7</v>
      </c>
      <c r="T47" s="321">
        <v>7</v>
      </c>
      <c r="U47" s="321">
        <v>7</v>
      </c>
      <c r="V47" s="321">
        <v>7</v>
      </c>
      <c r="W47" s="321">
        <v>7</v>
      </c>
      <c r="X47" s="321">
        <v>7</v>
      </c>
      <c r="Y47" s="321">
        <v>7</v>
      </c>
      <c r="Z47" s="321">
        <v>7</v>
      </c>
      <c r="AA47" s="321">
        <v>7</v>
      </c>
      <c r="AB47" s="321">
        <v>7</v>
      </c>
      <c r="AC47" s="321">
        <v>7</v>
      </c>
      <c r="AD47" s="321">
        <v>7</v>
      </c>
      <c r="AE47" s="321">
        <v>7</v>
      </c>
      <c r="AF47" s="321">
        <v>7</v>
      </c>
    </row>
    <row r="48" spans="1:32" s="462" customFormat="1" ht="15" customHeight="1">
      <c r="A48" s="9"/>
      <c r="B48" s="63"/>
      <c r="C48" s="16" t="s">
        <v>841</v>
      </c>
      <c r="D48" s="12" t="s">
        <v>48</v>
      </c>
      <c r="E48" s="16" t="s">
        <v>841</v>
      </c>
      <c r="F48" s="215"/>
      <c r="G48" s="321"/>
      <c r="H48" s="321"/>
      <c r="I48" s="321"/>
      <c r="J48" s="321"/>
      <c r="K48" s="321"/>
      <c r="L48" s="321"/>
      <c r="M48" s="321"/>
      <c r="N48" s="321"/>
      <c r="O48" s="321"/>
      <c r="P48" s="321"/>
      <c r="Q48" s="321">
        <v>8</v>
      </c>
      <c r="R48" s="321">
        <v>8</v>
      </c>
      <c r="S48" s="321">
        <v>8</v>
      </c>
      <c r="T48" s="321">
        <v>8</v>
      </c>
      <c r="U48" s="321">
        <v>8</v>
      </c>
      <c r="V48" s="321">
        <v>8</v>
      </c>
      <c r="W48" s="321">
        <v>8</v>
      </c>
      <c r="X48" s="321">
        <v>8</v>
      </c>
      <c r="Y48" s="321">
        <v>8</v>
      </c>
      <c r="Z48" s="321">
        <v>8</v>
      </c>
      <c r="AA48" s="321">
        <v>8</v>
      </c>
      <c r="AB48" s="321">
        <v>8</v>
      </c>
      <c r="AC48" s="321">
        <v>8</v>
      </c>
      <c r="AD48" s="321">
        <v>8</v>
      </c>
      <c r="AE48" s="321">
        <v>8</v>
      </c>
      <c r="AF48" s="321">
        <v>8</v>
      </c>
    </row>
    <row r="49" spans="1:32" s="462" customFormat="1" ht="15" customHeight="1">
      <c r="A49" s="9"/>
      <c r="B49" s="63"/>
      <c r="C49" s="16" t="s">
        <v>842</v>
      </c>
      <c r="D49" s="12" t="s">
        <v>48</v>
      </c>
      <c r="E49" s="16" t="s">
        <v>842</v>
      </c>
      <c r="F49" s="215"/>
      <c r="G49" s="321"/>
      <c r="H49" s="321"/>
      <c r="I49" s="321"/>
      <c r="J49" s="321"/>
      <c r="K49" s="321"/>
      <c r="L49" s="321"/>
      <c r="M49" s="321"/>
      <c r="N49" s="321"/>
      <c r="O49" s="321"/>
      <c r="P49" s="321"/>
      <c r="Q49" s="321">
        <v>9</v>
      </c>
      <c r="R49" s="321">
        <v>9</v>
      </c>
      <c r="S49" s="321">
        <v>9</v>
      </c>
      <c r="T49" s="321">
        <v>9</v>
      </c>
      <c r="U49" s="321">
        <v>9</v>
      </c>
      <c r="V49" s="321">
        <v>9</v>
      </c>
      <c r="W49" s="321">
        <v>9</v>
      </c>
      <c r="X49" s="321">
        <v>9</v>
      </c>
      <c r="Y49" s="321">
        <v>9</v>
      </c>
      <c r="Z49" s="321">
        <v>9</v>
      </c>
      <c r="AA49" s="321">
        <v>9</v>
      </c>
      <c r="AB49" s="321">
        <v>9</v>
      </c>
      <c r="AC49" s="321">
        <v>9</v>
      </c>
      <c r="AD49" s="321">
        <v>9</v>
      </c>
      <c r="AE49" s="321">
        <v>9</v>
      </c>
      <c r="AF49" s="321">
        <v>9</v>
      </c>
    </row>
    <row r="50" spans="1:32" s="462" customFormat="1" ht="15" customHeight="1">
      <c r="A50" s="9"/>
      <c r="B50" s="63"/>
      <c r="C50" s="16" t="s">
        <v>843</v>
      </c>
      <c r="D50" s="12" t="s">
        <v>48</v>
      </c>
      <c r="E50" s="16" t="s">
        <v>843</v>
      </c>
      <c r="F50" s="215"/>
      <c r="G50" s="321"/>
      <c r="H50" s="321"/>
      <c r="I50" s="321"/>
      <c r="J50" s="321"/>
      <c r="K50" s="321"/>
      <c r="L50" s="321"/>
      <c r="M50" s="321"/>
      <c r="N50" s="321"/>
      <c r="O50" s="321"/>
      <c r="P50" s="321"/>
      <c r="Q50" s="321">
        <v>10</v>
      </c>
      <c r="R50" s="321">
        <v>10</v>
      </c>
      <c r="S50" s="321">
        <v>10</v>
      </c>
      <c r="T50" s="321">
        <v>10</v>
      </c>
      <c r="U50" s="321">
        <v>10</v>
      </c>
      <c r="V50" s="321">
        <v>10</v>
      </c>
      <c r="W50" s="321">
        <v>10</v>
      </c>
      <c r="X50" s="321">
        <v>10</v>
      </c>
      <c r="Y50" s="321">
        <v>10</v>
      </c>
      <c r="Z50" s="321">
        <v>10</v>
      </c>
      <c r="AA50" s="321">
        <v>10</v>
      </c>
      <c r="AB50" s="321">
        <v>10</v>
      </c>
      <c r="AC50" s="321">
        <v>10</v>
      </c>
      <c r="AD50" s="321">
        <v>10</v>
      </c>
      <c r="AE50" s="321">
        <v>10</v>
      </c>
      <c r="AF50" s="321">
        <v>10</v>
      </c>
    </row>
    <row r="51" spans="1:32" s="462" customFormat="1" ht="15" customHeight="1">
      <c r="B51" s="463"/>
      <c r="C51" s="176"/>
      <c r="D51" s="179"/>
      <c r="E51" s="163"/>
      <c r="F51" s="53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row>
    <row r="52" spans="1:32" s="462" customFormat="1" ht="15" customHeight="1">
      <c r="B52" s="463"/>
      <c r="C52" s="176"/>
      <c r="D52" s="179"/>
      <c r="E52" s="163"/>
      <c r="F52" s="532"/>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row>
    <row r="53" spans="1:32" s="462" customFormat="1" ht="15" customHeight="1">
      <c r="B53" s="463"/>
      <c r="C53" s="176"/>
      <c r="D53" s="179"/>
      <c r="E53" s="163"/>
      <c r="F53" s="532"/>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row>
    <row r="54" spans="1:32" s="462" customFormat="1" ht="15" customHeight="1">
      <c r="B54" s="463"/>
      <c r="C54" s="176"/>
      <c r="D54" s="179"/>
      <c r="E54" s="163"/>
      <c r="F54" s="532"/>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row>
    <row r="55" spans="1:32" s="462" customFormat="1" ht="15" customHeight="1">
      <c r="B55" s="463"/>
      <c r="C55" s="176"/>
      <c r="D55" s="179"/>
      <c r="E55" s="163"/>
      <c r="F55" s="532"/>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row>
    <row r="56" spans="1:32" s="462" customFormat="1" ht="15" customHeight="1">
      <c r="B56" s="463"/>
      <c r="C56" s="176"/>
      <c r="D56" s="179"/>
      <c r="E56" s="163"/>
      <c r="F56" s="532"/>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row>
    <row r="57" spans="1:32" s="462" customFormat="1" ht="15" customHeight="1">
      <c r="B57" s="463"/>
      <c r="C57" s="176"/>
      <c r="D57" s="179"/>
      <c r="E57" s="163"/>
      <c r="F57" s="532"/>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row>
    <row r="58" spans="1:32" s="462" customFormat="1" ht="15" customHeight="1">
      <c r="B58" s="463"/>
      <c r="C58" s="176"/>
      <c r="D58" s="179"/>
      <c r="E58" s="163"/>
      <c r="F58" s="532"/>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row>
    <row r="59" spans="1:32" s="462" customFormat="1" ht="15" customHeight="1">
      <c r="B59" s="463"/>
      <c r="C59" s="176"/>
      <c r="D59" s="179"/>
      <c r="E59" s="163"/>
      <c r="F59" s="532"/>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row>
    <row r="60" spans="1:32" s="462" customFormat="1" ht="15" customHeight="1">
      <c r="B60" s="463"/>
      <c r="C60" s="176"/>
      <c r="D60" s="179"/>
      <c r="E60" s="163"/>
      <c r="F60" s="532"/>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row>
    <row r="61" spans="1:32" s="462" customFormat="1" ht="15" customHeight="1">
      <c r="B61" s="463"/>
      <c r="C61" s="176"/>
      <c r="D61" s="179"/>
      <c r="E61" s="163"/>
      <c r="F61" s="532"/>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row>
    <row r="62" spans="1:32" s="462" customFormat="1" ht="15" customHeight="1">
      <c r="B62" s="463"/>
      <c r="C62" s="176"/>
      <c r="D62" s="179"/>
      <c r="E62" s="163"/>
      <c r="F62" s="532"/>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c r="AE62" s="180"/>
      <c r="AF62" s="180"/>
    </row>
    <row r="63" spans="1:32" s="462" customFormat="1" ht="15" customHeight="1">
      <c r="B63" s="464"/>
      <c r="C63" s="176"/>
      <c r="D63" s="179"/>
      <c r="E63" s="163"/>
      <c r="F63" s="532"/>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c r="AE63" s="180"/>
      <c r="AF63" s="180"/>
    </row>
    <row r="64" spans="1:32" ht="15" customHeight="1">
      <c r="C64" s="18"/>
      <c r="D64" s="18"/>
      <c r="E64" s="18"/>
      <c r="F64" s="18"/>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row>
    <row r="65" spans="1:32" ht="15" customHeight="1">
      <c r="B65" s="166" t="s">
        <v>11</v>
      </c>
      <c r="C65" s="314" t="s">
        <v>409</v>
      </c>
      <c r="D65" s="22" t="s">
        <v>48</v>
      </c>
      <c r="E65" s="35" t="s">
        <v>834</v>
      </c>
      <c r="F65" s="540"/>
      <c r="G65" s="23">
        <v>0</v>
      </c>
      <c r="H65" s="23">
        <v>0</v>
      </c>
      <c r="I65" s="23">
        <v>0</v>
      </c>
      <c r="J65" s="23">
        <v>0</v>
      </c>
      <c r="K65" s="23">
        <v>0</v>
      </c>
      <c r="L65" s="23">
        <v>0</v>
      </c>
      <c r="M65" s="23">
        <v>0</v>
      </c>
      <c r="N65" s="23">
        <v>0</v>
      </c>
      <c r="O65" s="23">
        <v>0</v>
      </c>
      <c r="P65" s="23">
        <v>0</v>
      </c>
      <c r="Q65" s="23">
        <v>0</v>
      </c>
      <c r="R65" s="23">
        <v>0</v>
      </c>
      <c r="S65" s="23">
        <v>0</v>
      </c>
      <c r="T65" s="23">
        <v>0</v>
      </c>
      <c r="U65" s="23">
        <v>0</v>
      </c>
      <c r="V65" s="23">
        <v>0</v>
      </c>
      <c r="W65" s="23">
        <v>0</v>
      </c>
      <c r="X65" s="23">
        <v>0</v>
      </c>
      <c r="Y65" s="23">
        <v>0</v>
      </c>
      <c r="Z65" s="23">
        <v>0</v>
      </c>
      <c r="AA65" s="23">
        <v>0</v>
      </c>
      <c r="AB65" s="23">
        <v>0</v>
      </c>
      <c r="AC65" s="23">
        <v>0</v>
      </c>
      <c r="AD65" s="23">
        <v>0</v>
      </c>
      <c r="AE65" s="23">
        <v>0</v>
      </c>
      <c r="AF65" s="23">
        <v>0</v>
      </c>
    </row>
    <row r="66" spans="1:32" s="462" customFormat="1" ht="15" customHeight="1">
      <c r="A66" s="9"/>
      <c r="B66" s="63"/>
      <c r="C66" s="168" t="s">
        <v>834</v>
      </c>
      <c r="D66" s="12" t="s">
        <v>48</v>
      </c>
      <c r="E66" s="11" t="s">
        <v>834</v>
      </c>
      <c r="F66" s="215"/>
      <c r="G66" s="321"/>
      <c r="H66" s="321"/>
      <c r="I66" s="321"/>
      <c r="J66" s="321"/>
      <c r="K66" s="321"/>
      <c r="L66" s="321">
        <v>0</v>
      </c>
      <c r="M66" s="321">
        <v>0</v>
      </c>
      <c r="N66" s="321">
        <v>0</v>
      </c>
      <c r="O66" s="321">
        <v>0</v>
      </c>
      <c r="P66" s="321">
        <v>0</v>
      </c>
      <c r="Q66" s="321">
        <v>0</v>
      </c>
      <c r="R66" s="321">
        <v>0</v>
      </c>
      <c r="S66" s="321">
        <v>0</v>
      </c>
      <c r="T66" s="321">
        <v>0</v>
      </c>
      <c r="U66" s="321">
        <v>0</v>
      </c>
      <c r="V66" s="321">
        <v>0</v>
      </c>
      <c r="W66" s="321">
        <v>0</v>
      </c>
      <c r="X66" s="321">
        <v>0</v>
      </c>
      <c r="Y66" s="321">
        <v>0</v>
      </c>
      <c r="Z66" s="321">
        <v>0</v>
      </c>
      <c r="AA66" s="321">
        <v>0</v>
      </c>
      <c r="AB66" s="321">
        <v>0</v>
      </c>
      <c r="AC66" s="321">
        <v>0</v>
      </c>
      <c r="AD66" s="321">
        <v>0</v>
      </c>
      <c r="AE66" s="321">
        <v>0</v>
      </c>
      <c r="AF66" s="321">
        <v>0</v>
      </c>
    </row>
    <row r="67" spans="1:32" s="462" customFormat="1" ht="15" customHeight="1">
      <c r="A67" s="9"/>
      <c r="B67" s="63"/>
      <c r="C67" s="1166" t="s">
        <v>844</v>
      </c>
      <c r="D67" s="12" t="s">
        <v>48</v>
      </c>
      <c r="E67" s="1166" t="s">
        <v>844</v>
      </c>
      <c r="F67" s="215"/>
      <c r="G67" s="321"/>
      <c r="H67" s="321"/>
      <c r="I67" s="321"/>
      <c r="J67" s="321"/>
      <c r="K67" s="321"/>
      <c r="L67" s="321">
        <v>1</v>
      </c>
      <c r="M67" s="321">
        <v>1</v>
      </c>
      <c r="N67" s="321">
        <v>1</v>
      </c>
      <c r="O67" s="321">
        <v>1</v>
      </c>
      <c r="P67" s="321">
        <v>1</v>
      </c>
      <c r="Q67" s="321">
        <v>1</v>
      </c>
      <c r="R67" s="321">
        <v>1</v>
      </c>
      <c r="S67" s="321">
        <v>1</v>
      </c>
      <c r="T67" s="321">
        <v>1</v>
      </c>
      <c r="U67" s="321">
        <v>1</v>
      </c>
      <c r="V67" s="321">
        <v>1</v>
      </c>
      <c r="W67" s="321">
        <v>1</v>
      </c>
      <c r="X67" s="321">
        <v>1</v>
      </c>
      <c r="Y67" s="321">
        <v>1</v>
      </c>
      <c r="Z67" s="321">
        <v>1</v>
      </c>
      <c r="AA67" s="321">
        <v>1</v>
      </c>
      <c r="AB67" s="321">
        <v>1</v>
      </c>
      <c r="AC67" s="321">
        <v>1</v>
      </c>
      <c r="AD67" s="321">
        <v>1</v>
      </c>
      <c r="AE67" s="321">
        <v>1</v>
      </c>
      <c r="AF67" s="321">
        <v>1</v>
      </c>
    </row>
    <row r="68" spans="1:32" s="462" customFormat="1" ht="15" customHeight="1">
      <c r="A68" s="9"/>
      <c r="B68" s="63"/>
      <c r="C68" s="16" t="s">
        <v>835</v>
      </c>
      <c r="D68" s="12" t="s">
        <v>48</v>
      </c>
      <c r="E68" s="16" t="s">
        <v>835</v>
      </c>
      <c r="F68" s="215"/>
      <c r="G68" s="321"/>
      <c r="H68" s="321"/>
      <c r="I68" s="321"/>
      <c r="J68" s="321"/>
      <c r="K68" s="321"/>
      <c r="L68" s="321"/>
      <c r="M68" s="321"/>
      <c r="N68" s="321"/>
      <c r="O68" s="321"/>
      <c r="P68" s="321"/>
      <c r="Q68" s="321">
        <v>2</v>
      </c>
      <c r="R68" s="321">
        <v>2</v>
      </c>
      <c r="S68" s="321">
        <v>2</v>
      </c>
      <c r="T68" s="321">
        <v>2</v>
      </c>
      <c r="U68" s="321">
        <v>2</v>
      </c>
      <c r="V68" s="321">
        <v>2</v>
      </c>
      <c r="W68" s="321">
        <v>2</v>
      </c>
      <c r="X68" s="321">
        <v>2</v>
      </c>
      <c r="Y68" s="321">
        <v>2</v>
      </c>
      <c r="Z68" s="321">
        <v>2</v>
      </c>
      <c r="AA68" s="321">
        <v>2</v>
      </c>
      <c r="AB68" s="321">
        <v>2</v>
      </c>
      <c r="AC68" s="321">
        <v>2</v>
      </c>
      <c r="AD68" s="321">
        <v>2</v>
      </c>
      <c r="AE68" s="321">
        <v>2</v>
      </c>
      <c r="AF68" s="321">
        <v>2</v>
      </c>
    </row>
    <row r="69" spans="1:32" s="462" customFormat="1" ht="15" customHeight="1">
      <c r="A69" s="9"/>
      <c r="B69" s="63"/>
      <c r="C69" s="16" t="s">
        <v>836</v>
      </c>
      <c r="D69" s="12" t="s">
        <v>48</v>
      </c>
      <c r="E69" s="16" t="s">
        <v>836</v>
      </c>
      <c r="F69" s="215"/>
      <c r="G69" s="321"/>
      <c r="H69" s="321"/>
      <c r="I69" s="321"/>
      <c r="J69" s="321"/>
      <c r="K69" s="321"/>
      <c r="L69" s="321"/>
      <c r="M69" s="321"/>
      <c r="N69" s="321"/>
      <c r="O69" s="321"/>
      <c r="P69" s="321"/>
      <c r="Q69" s="321">
        <v>3</v>
      </c>
      <c r="R69" s="321">
        <v>3</v>
      </c>
      <c r="S69" s="321">
        <v>3</v>
      </c>
      <c r="T69" s="321">
        <v>3</v>
      </c>
      <c r="U69" s="321">
        <v>3</v>
      </c>
      <c r="V69" s="321">
        <v>3</v>
      </c>
      <c r="W69" s="321">
        <v>3</v>
      </c>
      <c r="X69" s="321">
        <v>3</v>
      </c>
      <c r="Y69" s="321">
        <v>3</v>
      </c>
      <c r="Z69" s="321">
        <v>3</v>
      </c>
      <c r="AA69" s="321">
        <v>3</v>
      </c>
      <c r="AB69" s="321">
        <v>3</v>
      </c>
      <c r="AC69" s="321">
        <v>3</v>
      </c>
      <c r="AD69" s="321">
        <v>3</v>
      </c>
      <c r="AE69" s="321">
        <v>3</v>
      </c>
      <c r="AF69" s="321">
        <v>3</v>
      </c>
    </row>
    <row r="70" spans="1:32" s="462" customFormat="1" ht="15" customHeight="1">
      <c r="A70" s="9"/>
      <c r="B70" s="63"/>
      <c r="C70" s="16" t="s">
        <v>837</v>
      </c>
      <c r="D70" s="12" t="s">
        <v>48</v>
      </c>
      <c r="E70" s="16" t="s">
        <v>837</v>
      </c>
      <c r="F70" s="215"/>
      <c r="G70" s="321"/>
      <c r="H70" s="321"/>
      <c r="I70" s="321"/>
      <c r="J70" s="321"/>
      <c r="K70" s="321"/>
      <c r="L70" s="321"/>
      <c r="M70" s="321"/>
      <c r="N70" s="321"/>
      <c r="O70" s="321"/>
      <c r="P70" s="321"/>
      <c r="Q70" s="321">
        <v>4</v>
      </c>
      <c r="R70" s="321">
        <v>4</v>
      </c>
      <c r="S70" s="321">
        <v>4</v>
      </c>
      <c r="T70" s="321">
        <v>4</v>
      </c>
      <c r="U70" s="321">
        <v>4</v>
      </c>
      <c r="V70" s="321">
        <v>4</v>
      </c>
      <c r="W70" s="321">
        <v>4</v>
      </c>
      <c r="X70" s="321">
        <v>4</v>
      </c>
      <c r="Y70" s="321">
        <v>4</v>
      </c>
      <c r="Z70" s="321">
        <v>4</v>
      </c>
      <c r="AA70" s="321">
        <v>4</v>
      </c>
      <c r="AB70" s="321">
        <v>4</v>
      </c>
      <c r="AC70" s="321">
        <v>4</v>
      </c>
      <c r="AD70" s="321">
        <v>4</v>
      </c>
      <c r="AE70" s="321">
        <v>4</v>
      </c>
      <c r="AF70" s="321">
        <v>4</v>
      </c>
    </row>
    <row r="71" spans="1:32" s="462" customFormat="1" ht="15" customHeight="1">
      <c r="A71" s="9"/>
      <c r="B71" s="63"/>
      <c r="C71" s="16" t="s">
        <v>838</v>
      </c>
      <c r="D71" s="12" t="s">
        <v>48</v>
      </c>
      <c r="E71" s="16" t="s">
        <v>838</v>
      </c>
      <c r="F71" s="215"/>
      <c r="G71" s="321"/>
      <c r="H71" s="321"/>
      <c r="I71" s="321"/>
      <c r="J71" s="321"/>
      <c r="K71" s="321"/>
      <c r="L71" s="321"/>
      <c r="M71" s="321"/>
      <c r="N71" s="321"/>
      <c r="O71" s="321"/>
      <c r="P71" s="321"/>
      <c r="Q71" s="321">
        <v>5</v>
      </c>
      <c r="R71" s="321">
        <v>5</v>
      </c>
      <c r="S71" s="321">
        <v>5</v>
      </c>
      <c r="T71" s="321">
        <v>5</v>
      </c>
      <c r="U71" s="321">
        <v>5</v>
      </c>
      <c r="V71" s="321">
        <v>5</v>
      </c>
      <c r="W71" s="321">
        <v>5</v>
      </c>
      <c r="X71" s="321">
        <v>5</v>
      </c>
      <c r="Y71" s="321">
        <v>5</v>
      </c>
      <c r="Z71" s="321">
        <v>5</v>
      </c>
      <c r="AA71" s="321">
        <v>5</v>
      </c>
      <c r="AB71" s="321">
        <v>5</v>
      </c>
      <c r="AC71" s="321">
        <v>5</v>
      </c>
      <c r="AD71" s="321">
        <v>5</v>
      </c>
      <c r="AE71" s="321">
        <v>5</v>
      </c>
      <c r="AF71" s="321">
        <v>5</v>
      </c>
    </row>
    <row r="72" spans="1:32" s="462" customFormat="1" ht="15" customHeight="1">
      <c r="A72" s="9"/>
      <c r="B72" s="63"/>
      <c r="C72" s="16" t="s">
        <v>839</v>
      </c>
      <c r="D72" s="12" t="s">
        <v>48</v>
      </c>
      <c r="E72" s="16" t="s">
        <v>839</v>
      </c>
      <c r="F72" s="215"/>
      <c r="G72" s="321"/>
      <c r="H72" s="321"/>
      <c r="I72" s="321"/>
      <c r="J72" s="321"/>
      <c r="K72" s="321"/>
      <c r="L72" s="321"/>
      <c r="M72" s="321"/>
      <c r="N72" s="321"/>
      <c r="O72" s="321"/>
      <c r="P72" s="321"/>
      <c r="Q72" s="321">
        <v>6</v>
      </c>
      <c r="R72" s="321">
        <v>6</v>
      </c>
      <c r="S72" s="321">
        <v>6</v>
      </c>
      <c r="T72" s="321">
        <v>6</v>
      </c>
      <c r="U72" s="321">
        <v>6</v>
      </c>
      <c r="V72" s="321">
        <v>6</v>
      </c>
      <c r="W72" s="321">
        <v>6</v>
      </c>
      <c r="X72" s="321">
        <v>6</v>
      </c>
      <c r="Y72" s="321">
        <v>6</v>
      </c>
      <c r="Z72" s="321">
        <v>6</v>
      </c>
      <c r="AA72" s="321">
        <v>6</v>
      </c>
      <c r="AB72" s="321">
        <v>6</v>
      </c>
      <c r="AC72" s="321">
        <v>6</v>
      </c>
      <c r="AD72" s="321">
        <v>6</v>
      </c>
      <c r="AE72" s="321">
        <v>6</v>
      </c>
      <c r="AF72" s="321">
        <v>6</v>
      </c>
    </row>
    <row r="73" spans="1:32" s="462" customFormat="1" ht="15" customHeight="1">
      <c r="A73" s="9"/>
      <c r="B73" s="63"/>
      <c r="C73" s="16" t="s">
        <v>840</v>
      </c>
      <c r="D73" s="12" t="s">
        <v>48</v>
      </c>
      <c r="E73" s="16" t="s">
        <v>840</v>
      </c>
      <c r="F73" s="215"/>
      <c r="G73" s="321"/>
      <c r="H73" s="321"/>
      <c r="I73" s="321"/>
      <c r="J73" s="321"/>
      <c r="K73" s="321"/>
      <c r="L73" s="321"/>
      <c r="M73" s="321"/>
      <c r="N73" s="321"/>
      <c r="O73" s="321"/>
      <c r="P73" s="321"/>
      <c r="Q73" s="321">
        <v>7</v>
      </c>
      <c r="R73" s="321">
        <v>7</v>
      </c>
      <c r="S73" s="321">
        <v>7</v>
      </c>
      <c r="T73" s="321">
        <v>7</v>
      </c>
      <c r="U73" s="321">
        <v>7</v>
      </c>
      <c r="V73" s="321">
        <v>7</v>
      </c>
      <c r="W73" s="321">
        <v>7</v>
      </c>
      <c r="X73" s="321">
        <v>7</v>
      </c>
      <c r="Y73" s="321">
        <v>7</v>
      </c>
      <c r="Z73" s="321">
        <v>7</v>
      </c>
      <c r="AA73" s="321">
        <v>7</v>
      </c>
      <c r="AB73" s="321">
        <v>7</v>
      </c>
      <c r="AC73" s="321">
        <v>7</v>
      </c>
      <c r="AD73" s="321">
        <v>7</v>
      </c>
      <c r="AE73" s="321">
        <v>7</v>
      </c>
      <c r="AF73" s="321">
        <v>7</v>
      </c>
    </row>
    <row r="74" spans="1:32" s="462" customFormat="1" ht="15" customHeight="1">
      <c r="A74" s="9"/>
      <c r="B74" s="63"/>
      <c r="C74" s="16" t="s">
        <v>841</v>
      </c>
      <c r="D74" s="12" t="s">
        <v>48</v>
      </c>
      <c r="E74" s="16" t="s">
        <v>841</v>
      </c>
      <c r="F74" s="215"/>
      <c r="G74" s="321"/>
      <c r="H74" s="321"/>
      <c r="I74" s="321"/>
      <c r="J74" s="321"/>
      <c r="K74" s="321"/>
      <c r="L74" s="321"/>
      <c r="M74" s="321"/>
      <c r="N74" s="321"/>
      <c r="O74" s="321"/>
      <c r="P74" s="321"/>
      <c r="Q74" s="321">
        <v>8</v>
      </c>
      <c r="R74" s="321">
        <v>8</v>
      </c>
      <c r="S74" s="321">
        <v>8</v>
      </c>
      <c r="T74" s="321">
        <v>8</v>
      </c>
      <c r="U74" s="321">
        <v>8</v>
      </c>
      <c r="V74" s="321">
        <v>8</v>
      </c>
      <c r="W74" s="321">
        <v>8</v>
      </c>
      <c r="X74" s="321">
        <v>8</v>
      </c>
      <c r="Y74" s="321">
        <v>8</v>
      </c>
      <c r="Z74" s="321">
        <v>8</v>
      </c>
      <c r="AA74" s="321">
        <v>8</v>
      </c>
      <c r="AB74" s="321">
        <v>8</v>
      </c>
      <c r="AC74" s="321">
        <v>8</v>
      </c>
      <c r="AD74" s="321">
        <v>8</v>
      </c>
      <c r="AE74" s="321">
        <v>8</v>
      </c>
      <c r="AF74" s="321">
        <v>8</v>
      </c>
    </row>
    <row r="75" spans="1:32" s="462" customFormat="1" ht="15" customHeight="1">
      <c r="A75" s="9"/>
      <c r="B75" s="63"/>
      <c r="C75" s="16" t="s">
        <v>842</v>
      </c>
      <c r="D75" s="12" t="s">
        <v>48</v>
      </c>
      <c r="E75" s="16" t="s">
        <v>842</v>
      </c>
      <c r="F75" s="215"/>
      <c r="G75" s="321"/>
      <c r="H75" s="321"/>
      <c r="I75" s="321"/>
      <c r="J75" s="321"/>
      <c r="K75" s="321"/>
      <c r="L75" s="321"/>
      <c r="M75" s="321"/>
      <c r="N75" s="321"/>
      <c r="O75" s="321"/>
      <c r="P75" s="321"/>
      <c r="Q75" s="321">
        <v>9</v>
      </c>
      <c r="R75" s="321">
        <v>9</v>
      </c>
      <c r="S75" s="321">
        <v>9</v>
      </c>
      <c r="T75" s="321">
        <v>9</v>
      </c>
      <c r="U75" s="321">
        <v>9</v>
      </c>
      <c r="V75" s="321">
        <v>9</v>
      </c>
      <c r="W75" s="321">
        <v>9</v>
      </c>
      <c r="X75" s="321">
        <v>9</v>
      </c>
      <c r="Y75" s="321">
        <v>9</v>
      </c>
      <c r="Z75" s="321">
        <v>9</v>
      </c>
      <c r="AA75" s="321">
        <v>9</v>
      </c>
      <c r="AB75" s="321">
        <v>9</v>
      </c>
      <c r="AC75" s="321">
        <v>9</v>
      </c>
      <c r="AD75" s="321">
        <v>9</v>
      </c>
      <c r="AE75" s="321">
        <v>9</v>
      </c>
      <c r="AF75" s="321">
        <v>9</v>
      </c>
    </row>
    <row r="76" spans="1:32" s="462" customFormat="1" ht="15" customHeight="1">
      <c r="A76" s="9"/>
      <c r="B76" s="63"/>
      <c r="C76" s="16" t="s">
        <v>843</v>
      </c>
      <c r="D76" s="12" t="s">
        <v>48</v>
      </c>
      <c r="E76" s="16" t="s">
        <v>843</v>
      </c>
      <c r="F76" s="215"/>
      <c r="G76" s="321"/>
      <c r="H76" s="321"/>
      <c r="I76" s="321"/>
      <c r="J76" s="321"/>
      <c r="K76" s="321"/>
      <c r="L76" s="321"/>
      <c r="M76" s="321"/>
      <c r="N76" s="321"/>
      <c r="O76" s="321"/>
      <c r="P76" s="321"/>
      <c r="Q76" s="321">
        <v>10</v>
      </c>
      <c r="R76" s="321">
        <v>10</v>
      </c>
      <c r="S76" s="321">
        <v>10</v>
      </c>
      <c r="T76" s="321">
        <v>10</v>
      </c>
      <c r="U76" s="321">
        <v>10</v>
      </c>
      <c r="V76" s="321">
        <v>10</v>
      </c>
      <c r="W76" s="321">
        <v>10</v>
      </c>
      <c r="X76" s="321">
        <v>10</v>
      </c>
      <c r="Y76" s="321">
        <v>10</v>
      </c>
      <c r="Z76" s="321">
        <v>10</v>
      </c>
      <c r="AA76" s="321">
        <v>10</v>
      </c>
      <c r="AB76" s="321">
        <v>10</v>
      </c>
      <c r="AC76" s="321">
        <v>10</v>
      </c>
      <c r="AD76" s="321">
        <v>10</v>
      </c>
      <c r="AE76" s="321">
        <v>10</v>
      </c>
      <c r="AF76" s="321">
        <v>10</v>
      </c>
    </row>
    <row r="77" spans="1:32" s="462" customFormat="1" ht="15" customHeight="1">
      <c r="B77" s="463"/>
      <c r="C77" s="176"/>
      <c r="D77" s="179"/>
      <c r="E77" s="163"/>
      <c r="F77" s="532"/>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c r="AE77" s="180"/>
      <c r="AF77" s="180"/>
    </row>
    <row r="78" spans="1:32" s="462" customFormat="1" ht="15" customHeight="1">
      <c r="B78" s="463"/>
      <c r="C78" s="176"/>
      <c r="D78" s="179"/>
      <c r="E78" s="163"/>
      <c r="F78" s="532"/>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row>
    <row r="79" spans="1:32" s="462" customFormat="1" ht="15" customHeight="1">
      <c r="B79" s="463"/>
      <c r="C79" s="176"/>
      <c r="D79" s="179"/>
      <c r="E79" s="163"/>
      <c r="F79" s="532"/>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c r="AE79" s="180"/>
      <c r="AF79" s="180"/>
    </row>
    <row r="80" spans="1:32" s="462" customFormat="1" ht="15" customHeight="1">
      <c r="B80" s="463"/>
      <c r="C80" s="176"/>
      <c r="D80" s="179"/>
      <c r="E80" s="163"/>
      <c r="F80" s="532"/>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c r="AE80" s="180"/>
      <c r="AF80" s="180"/>
    </row>
    <row r="81" spans="1:32" s="462" customFormat="1" ht="15" customHeight="1">
      <c r="B81" s="463"/>
      <c r="C81" s="176"/>
      <c r="D81" s="179"/>
      <c r="E81" s="163"/>
      <c r="F81" s="532"/>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c r="AE81" s="180"/>
      <c r="AF81" s="180"/>
    </row>
    <row r="82" spans="1:32" s="462" customFormat="1" ht="15" customHeight="1">
      <c r="B82" s="463"/>
      <c r="C82" s="176"/>
      <c r="D82" s="179"/>
      <c r="E82" s="163"/>
      <c r="F82" s="532"/>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row>
    <row r="83" spans="1:32" s="462" customFormat="1" ht="15" customHeight="1">
      <c r="B83" s="463"/>
      <c r="C83" s="176"/>
      <c r="D83" s="179"/>
      <c r="E83" s="163"/>
      <c r="F83" s="532"/>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row>
    <row r="84" spans="1:32" s="462" customFormat="1" ht="15" customHeight="1">
      <c r="B84" s="463"/>
      <c r="C84" s="176"/>
      <c r="D84" s="179"/>
      <c r="E84" s="163"/>
      <c r="F84" s="532"/>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row>
    <row r="85" spans="1:32" s="462" customFormat="1" ht="15" customHeight="1">
      <c r="B85" s="463"/>
      <c r="C85" s="176"/>
      <c r="D85" s="179"/>
      <c r="E85" s="163"/>
      <c r="F85" s="532"/>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row>
    <row r="86" spans="1:32" s="462" customFormat="1" ht="15" customHeight="1">
      <c r="B86" s="463"/>
      <c r="C86" s="176"/>
      <c r="D86" s="179"/>
      <c r="E86" s="163"/>
      <c r="F86" s="532"/>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c r="AE86" s="180"/>
      <c r="AF86" s="180"/>
    </row>
    <row r="87" spans="1:32" s="462" customFormat="1" ht="15" customHeight="1">
      <c r="B87" s="463"/>
      <c r="C87" s="176"/>
      <c r="D87" s="179"/>
      <c r="E87" s="163"/>
      <c r="F87" s="532"/>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c r="AE87" s="180"/>
      <c r="AF87" s="180"/>
    </row>
    <row r="88" spans="1:32" s="462" customFormat="1" ht="15" customHeight="1">
      <c r="B88" s="463"/>
      <c r="C88" s="176"/>
      <c r="D88" s="179"/>
      <c r="E88" s="163"/>
      <c r="F88" s="532"/>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c r="AE88" s="180"/>
      <c r="AF88" s="180"/>
    </row>
    <row r="89" spans="1:32" s="462" customFormat="1" ht="15" customHeight="1">
      <c r="B89" s="464"/>
      <c r="C89" s="176"/>
      <c r="D89" s="179"/>
      <c r="E89" s="163"/>
      <c r="F89" s="532"/>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row>
    <row r="90" spans="1:32" ht="15" customHeight="1">
      <c r="C90" s="18"/>
      <c r="D90" s="18"/>
      <c r="E90" s="18"/>
      <c r="F90" s="18"/>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row>
    <row r="91" spans="1:32" ht="15" customHeight="1">
      <c r="B91" s="166" t="s">
        <v>10</v>
      </c>
      <c r="C91" s="314" t="s">
        <v>409</v>
      </c>
      <c r="D91" s="22" t="s">
        <v>48</v>
      </c>
      <c r="E91" s="35" t="s">
        <v>834</v>
      </c>
      <c r="F91" s="540"/>
      <c r="G91" s="23">
        <v>0</v>
      </c>
      <c r="H91" s="23">
        <v>0</v>
      </c>
      <c r="I91" s="23">
        <v>0</v>
      </c>
      <c r="J91" s="23">
        <v>0</v>
      </c>
      <c r="K91" s="23">
        <v>0</v>
      </c>
      <c r="L91" s="23">
        <v>0</v>
      </c>
      <c r="M91" s="23">
        <v>0</v>
      </c>
      <c r="N91" s="23">
        <v>0</v>
      </c>
      <c r="O91" s="23">
        <v>0</v>
      </c>
      <c r="P91" s="23">
        <v>0</v>
      </c>
      <c r="Q91" s="23">
        <v>0</v>
      </c>
      <c r="R91" s="23">
        <v>0</v>
      </c>
      <c r="S91" s="23">
        <v>0</v>
      </c>
      <c r="T91" s="23">
        <v>0</v>
      </c>
      <c r="U91" s="23">
        <v>0</v>
      </c>
      <c r="V91" s="23">
        <v>0</v>
      </c>
      <c r="W91" s="23">
        <v>0</v>
      </c>
      <c r="X91" s="23">
        <v>0</v>
      </c>
      <c r="Y91" s="23">
        <v>0</v>
      </c>
      <c r="Z91" s="23">
        <v>0</v>
      </c>
      <c r="AA91" s="23">
        <v>0</v>
      </c>
      <c r="AB91" s="23">
        <v>0</v>
      </c>
      <c r="AC91" s="23">
        <v>0</v>
      </c>
      <c r="AD91" s="23">
        <v>0</v>
      </c>
      <c r="AE91" s="23">
        <v>0</v>
      </c>
      <c r="AF91" s="23">
        <v>0</v>
      </c>
    </row>
    <row r="92" spans="1:32" s="462" customFormat="1" ht="15" customHeight="1">
      <c r="A92" s="9"/>
      <c r="B92" s="63"/>
      <c r="C92" s="168" t="s">
        <v>834</v>
      </c>
      <c r="D92" s="12" t="s">
        <v>48</v>
      </c>
      <c r="E92" s="11" t="s">
        <v>834</v>
      </c>
      <c r="F92" s="215"/>
      <c r="G92" s="321"/>
      <c r="H92" s="321"/>
      <c r="I92" s="321"/>
      <c r="J92" s="321"/>
      <c r="K92" s="321"/>
      <c r="L92" s="321">
        <v>0</v>
      </c>
      <c r="M92" s="321">
        <v>0</v>
      </c>
      <c r="N92" s="321">
        <v>0</v>
      </c>
      <c r="O92" s="321">
        <v>0</v>
      </c>
      <c r="P92" s="321">
        <v>0</v>
      </c>
      <c r="Q92" s="321">
        <v>0</v>
      </c>
      <c r="R92" s="321">
        <v>0</v>
      </c>
      <c r="S92" s="321">
        <v>0</v>
      </c>
      <c r="T92" s="321">
        <v>0</v>
      </c>
      <c r="U92" s="321">
        <v>0</v>
      </c>
      <c r="V92" s="321">
        <v>0</v>
      </c>
      <c r="W92" s="321">
        <v>0</v>
      </c>
      <c r="X92" s="321">
        <v>0</v>
      </c>
      <c r="Y92" s="321">
        <v>0</v>
      </c>
      <c r="Z92" s="321">
        <v>0</v>
      </c>
      <c r="AA92" s="321">
        <v>0</v>
      </c>
      <c r="AB92" s="321">
        <v>0</v>
      </c>
      <c r="AC92" s="321">
        <v>0</v>
      </c>
      <c r="AD92" s="321">
        <v>0</v>
      </c>
      <c r="AE92" s="321">
        <v>0</v>
      </c>
      <c r="AF92" s="321">
        <v>0</v>
      </c>
    </row>
    <row r="93" spans="1:32" s="462" customFormat="1" ht="15" customHeight="1">
      <c r="A93" s="9"/>
      <c r="B93" s="63"/>
      <c r="C93" s="1166" t="s">
        <v>844</v>
      </c>
      <c r="D93" s="12" t="s">
        <v>48</v>
      </c>
      <c r="E93" s="1166" t="s">
        <v>844</v>
      </c>
      <c r="F93" s="215"/>
      <c r="G93" s="321"/>
      <c r="H93" s="321"/>
      <c r="I93" s="321"/>
      <c r="J93" s="321"/>
      <c r="K93" s="321"/>
      <c r="L93" s="321">
        <v>1</v>
      </c>
      <c r="M93" s="321">
        <v>1</v>
      </c>
      <c r="N93" s="321">
        <v>1</v>
      </c>
      <c r="O93" s="321">
        <v>1</v>
      </c>
      <c r="P93" s="321">
        <v>1</v>
      </c>
      <c r="Q93" s="321">
        <v>1</v>
      </c>
      <c r="R93" s="321">
        <v>1</v>
      </c>
      <c r="S93" s="321">
        <v>1</v>
      </c>
      <c r="T93" s="321">
        <v>1</v>
      </c>
      <c r="U93" s="321">
        <v>1</v>
      </c>
      <c r="V93" s="321">
        <v>1</v>
      </c>
      <c r="W93" s="321">
        <v>1</v>
      </c>
      <c r="X93" s="321">
        <v>1</v>
      </c>
      <c r="Y93" s="321">
        <v>1</v>
      </c>
      <c r="Z93" s="321">
        <v>1</v>
      </c>
      <c r="AA93" s="321">
        <v>1</v>
      </c>
      <c r="AB93" s="321">
        <v>1</v>
      </c>
      <c r="AC93" s="321">
        <v>1</v>
      </c>
      <c r="AD93" s="321">
        <v>1</v>
      </c>
      <c r="AE93" s="321">
        <v>1</v>
      </c>
      <c r="AF93" s="321">
        <v>1</v>
      </c>
    </row>
    <row r="94" spans="1:32" s="462" customFormat="1" ht="15" customHeight="1">
      <c r="A94" s="9"/>
      <c r="B94" s="63"/>
      <c r="C94" s="16" t="s">
        <v>835</v>
      </c>
      <c r="D94" s="12" t="s">
        <v>48</v>
      </c>
      <c r="E94" s="16" t="s">
        <v>835</v>
      </c>
      <c r="F94" s="215"/>
      <c r="G94" s="321"/>
      <c r="H94" s="321"/>
      <c r="I94" s="321"/>
      <c r="J94" s="321"/>
      <c r="K94" s="321"/>
      <c r="L94" s="321"/>
      <c r="M94" s="321"/>
      <c r="N94" s="321"/>
      <c r="O94" s="321"/>
      <c r="P94" s="321"/>
      <c r="Q94" s="321">
        <v>2</v>
      </c>
      <c r="R94" s="321">
        <v>2</v>
      </c>
      <c r="S94" s="321">
        <v>2</v>
      </c>
      <c r="T94" s="321">
        <v>2</v>
      </c>
      <c r="U94" s="321">
        <v>2</v>
      </c>
      <c r="V94" s="321">
        <v>2</v>
      </c>
      <c r="W94" s="321">
        <v>2</v>
      </c>
      <c r="X94" s="321">
        <v>2</v>
      </c>
      <c r="Y94" s="321">
        <v>2</v>
      </c>
      <c r="Z94" s="321">
        <v>2</v>
      </c>
      <c r="AA94" s="321">
        <v>2</v>
      </c>
      <c r="AB94" s="321">
        <v>2</v>
      </c>
      <c r="AC94" s="321">
        <v>2</v>
      </c>
      <c r="AD94" s="321">
        <v>2</v>
      </c>
      <c r="AE94" s="321">
        <v>2</v>
      </c>
      <c r="AF94" s="321">
        <v>2</v>
      </c>
    </row>
    <row r="95" spans="1:32" s="462" customFormat="1" ht="15" customHeight="1">
      <c r="A95" s="9"/>
      <c r="B95" s="63"/>
      <c r="C95" s="16" t="s">
        <v>836</v>
      </c>
      <c r="D95" s="12" t="s">
        <v>48</v>
      </c>
      <c r="E95" s="16" t="s">
        <v>836</v>
      </c>
      <c r="F95" s="215"/>
      <c r="G95" s="321"/>
      <c r="H95" s="321"/>
      <c r="I95" s="321"/>
      <c r="J95" s="321"/>
      <c r="K95" s="321"/>
      <c r="L95" s="321"/>
      <c r="M95" s="321"/>
      <c r="N95" s="321"/>
      <c r="O95" s="321"/>
      <c r="P95" s="321"/>
      <c r="Q95" s="321">
        <v>3</v>
      </c>
      <c r="R95" s="321">
        <v>3</v>
      </c>
      <c r="S95" s="321">
        <v>3</v>
      </c>
      <c r="T95" s="321">
        <v>3</v>
      </c>
      <c r="U95" s="321">
        <v>3</v>
      </c>
      <c r="V95" s="321">
        <v>3</v>
      </c>
      <c r="W95" s="321">
        <v>3</v>
      </c>
      <c r="X95" s="321">
        <v>3</v>
      </c>
      <c r="Y95" s="321">
        <v>3</v>
      </c>
      <c r="Z95" s="321">
        <v>3</v>
      </c>
      <c r="AA95" s="321">
        <v>3</v>
      </c>
      <c r="AB95" s="321">
        <v>3</v>
      </c>
      <c r="AC95" s="321">
        <v>3</v>
      </c>
      <c r="AD95" s="321">
        <v>3</v>
      </c>
      <c r="AE95" s="321">
        <v>3</v>
      </c>
      <c r="AF95" s="321">
        <v>3</v>
      </c>
    </row>
    <row r="96" spans="1:32" s="462" customFormat="1" ht="15" customHeight="1">
      <c r="A96" s="9"/>
      <c r="B96" s="63"/>
      <c r="C96" s="16" t="s">
        <v>837</v>
      </c>
      <c r="D96" s="12" t="s">
        <v>48</v>
      </c>
      <c r="E96" s="16" t="s">
        <v>837</v>
      </c>
      <c r="F96" s="215"/>
      <c r="G96" s="321"/>
      <c r="H96" s="321"/>
      <c r="I96" s="321"/>
      <c r="J96" s="321"/>
      <c r="K96" s="321"/>
      <c r="L96" s="321"/>
      <c r="M96" s="321"/>
      <c r="N96" s="321"/>
      <c r="O96" s="321"/>
      <c r="P96" s="321"/>
      <c r="Q96" s="321">
        <v>4</v>
      </c>
      <c r="R96" s="321">
        <v>4</v>
      </c>
      <c r="S96" s="321">
        <v>4</v>
      </c>
      <c r="T96" s="321">
        <v>4</v>
      </c>
      <c r="U96" s="321">
        <v>4</v>
      </c>
      <c r="V96" s="321">
        <v>4</v>
      </c>
      <c r="W96" s="321">
        <v>4</v>
      </c>
      <c r="X96" s="321">
        <v>4</v>
      </c>
      <c r="Y96" s="321">
        <v>4</v>
      </c>
      <c r="Z96" s="321">
        <v>4</v>
      </c>
      <c r="AA96" s="321">
        <v>4</v>
      </c>
      <c r="AB96" s="321">
        <v>4</v>
      </c>
      <c r="AC96" s="321">
        <v>4</v>
      </c>
      <c r="AD96" s="321">
        <v>4</v>
      </c>
      <c r="AE96" s="321">
        <v>4</v>
      </c>
      <c r="AF96" s="321">
        <v>4</v>
      </c>
    </row>
    <row r="97" spans="1:32" s="462" customFormat="1" ht="15" customHeight="1">
      <c r="A97" s="9"/>
      <c r="B97" s="63"/>
      <c r="C97" s="16" t="s">
        <v>838</v>
      </c>
      <c r="D97" s="12" t="s">
        <v>48</v>
      </c>
      <c r="E97" s="16" t="s">
        <v>838</v>
      </c>
      <c r="F97" s="215"/>
      <c r="G97" s="321"/>
      <c r="H97" s="321"/>
      <c r="I97" s="321"/>
      <c r="J97" s="321"/>
      <c r="K97" s="321"/>
      <c r="L97" s="321"/>
      <c r="M97" s="321"/>
      <c r="N97" s="321"/>
      <c r="O97" s="321"/>
      <c r="P97" s="321"/>
      <c r="Q97" s="321">
        <v>5</v>
      </c>
      <c r="R97" s="321">
        <v>5</v>
      </c>
      <c r="S97" s="321">
        <v>5</v>
      </c>
      <c r="T97" s="321">
        <v>5</v>
      </c>
      <c r="U97" s="321">
        <v>5</v>
      </c>
      <c r="V97" s="321">
        <v>5</v>
      </c>
      <c r="W97" s="321">
        <v>5</v>
      </c>
      <c r="X97" s="321">
        <v>5</v>
      </c>
      <c r="Y97" s="321">
        <v>5</v>
      </c>
      <c r="Z97" s="321">
        <v>5</v>
      </c>
      <c r="AA97" s="321">
        <v>5</v>
      </c>
      <c r="AB97" s="321">
        <v>5</v>
      </c>
      <c r="AC97" s="321">
        <v>5</v>
      </c>
      <c r="AD97" s="321">
        <v>5</v>
      </c>
      <c r="AE97" s="321">
        <v>5</v>
      </c>
      <c r="AF97" s="321">
        <v>5</v>
      </c>
    </row>
    <row r="98" spans="1:32" s="462" customFormat="1" ht="15" customHeight="1">
      <c r="A98" s="9"/>
      <c r="B98" s="63"/>
      <c r="C98" s="16" t="s">
        <v>839</v>
      </c>
      <c r="D98" s="12" t="s">
        <v>48</v>
      </c>
      <c r="E98" s="16" t="s">
        <v>839</v>
      </c>
      <c r="F98" s="215"/>
      <c r="G98" s="321"/>
      <c r="H98" s="321"/>
      <c r="I98" s="321"/>
      <c r="J98" s="321"/>
      <c r="K98" s="321"/>
      <c r="L98" s="321"/>
      <c r="M98" s="321"/>
      <c r="N98" s="321"/>
      <c r="O98" s="321"/>
      <c r="P98" s="321"/>
      <c r="Q98" s="321">
        <v>6</v>
      </c>
      <c r="R98" s="321">
        <v>6</v>
      </c>
      <c r="S98" s="321">
        <v>6</v>
      </c>
      <c r="T98" s="321">
        <v>6</v>
      </c>
      <c r="U98" s="321">
        <v>6</v>
      </c>
      <c r="V98" s="321">
        <v>6</v>
      </c>
      <c r="W98" s="321">
        <v>6</v>
      </c>
      <c r="X98" s="321">
        <v>6</v>
      </c>
      <c r="Y98" s="321">
        <v>6</v>
      </c>
      <c r="Z98" s="321">
        <v>6</v>
      </c>
      <c r="AA98" s="321">
        <v>6</v>
      </c>
      <c r="AB98" s="321">
        <v>6</v>
      </c>
      <c r="AC98" s="321">
        <v>6</v>
      </c>
      <c r="AD98" s="321">
        <v>6</v>
      </c>
      <c r="AE98" s="321">
        <v>6</v>
      </c>
      <c r="AF98" s="321">
        <v>6</v>
      </c>
    </row>
    <row r="99" spans="1:32" s="462" customFormat="1" ht="15" customHeight="1">
      <c r="A99" s="9"/>
      <c r="B99" s="63"/>
      <c r="C99" s="16" t="s">
        <v>840</v>
      </c>
      <c r="D99" s="12" t="s">
        <v>48</v>
      </c>
      <c r="E99" s="16" t="s">
        <v>840</v>
      </c>
      <c r="F99" s="215"/>
      <c r="G99" s="321"/>
      <c r="H99" s="321"/>
      <c r="I99" s="321"/>
      <c r="J99" s="321"/>
      <c r="K99" s="321"/>
      <c r="L99" s="321"/>
      <c r="M99" s="321"/>
      <c r="N99" s="321"/>
      <c r="O99" s="321"/>
      <c r="P99" s="321"/>
      <c r="Q99" s="321">
        <v>7</v>
      </c>
      <c r="R99" s="321">
        <v>7</v>
      </c>
      <c r="S99" s="321">
        <v>7</v>
      </c>
      <c r="T99" s="321">
        <v>7</v>
      </c>
      <c r="U99" s="321">
        <v>7</v>
      </c>
      <c r="V99" s="321">
        <v>7</v>
      </c>
      <c r="W99" s="321">
        <v>7</v>
      </c>
      <c r="X99" s="321">
        <v>7</v>
      </c>
      <c r="Y99" s="321">
        <v>7</v>
      </c>
      <c r="Z99" s="321">
        <v>7</v>
      </c>
      <c r="AA99" s="321">
        <v>7</v>
      </c>
      <c r="AB99" s="321">
        <v>7</v>
      </c>
      <c r="AC99" s="321">
        <v>7</v>
      </c>
      <c r="AD99" s="321">
        <v>7</v>
      </c>
      <c r="AE99" s="321">
        <v>7</v>
      </c>
      <c r="AF99" s="321">
        <v>7</v>
      </c>
    </row>
    <row r="100" spans="1:32" s="462" customFormat="1" ht="15" customHeight="1">
      <c r="A100" s="9"/>
      <c r="B100" s="63"/>
      <c r="C100" s="16" t="s">
        <v>841</v>
      </c>
      <c r="D100" s="12" t="s">
        <v>48</v>
      </c>
      <c r="E100" s="16" t="s">
        <v>841</v>
      </c>
      <c r="F100" s="215"/>
      <c r="G100" s="321"/>
      <c r="H100" s="321"/>
      <c r="I100" s="321"/>
      <c r="J100" s="321"/>
      <c r="K100" s="321"/>
      <c r="L100" s="321"/>
      <c r="M100" s="321"/>
      <c r="N100" s="321"/>
      <c r="O100" s="321"/>
      <c r="P100" s="321"/>
      <c r="Q100" s="321">
        <v>8</v>
      </c>
      <c r="R100" s="321">
        <v>8</v>
      </c>
      <c r="S100" s="321">
        <v>8</v>
      </c>
      <c r="T100" s="321">
        <v>8</v>
      </c>
      <c r="U100" s="321">
        <v>8</v>
      </c>
      <c r="V100" s="321">
        <v>8</v>
      </c>
      <c r="W100" s="321">
        <v>8</v>
      </c>
      <c r="X100" s="321">
        <v>8</v>
      </c>
      <c r="Y100" s="321">
        <v>8</v>
      </c>
      <c r="Z100" s="321">
        <v>8</v>
      </c>
      <c r="AA100" s="321">
        <v>8</v>
      </c>
      <c r="AB100" s="321">
        <v>8</v>
      </c>
      <c r="AC100" s="321">
        <v>8</v>
      </c>
      <c r="AD100" s="321">
        <v>8</v>
      </c>
      <c r="AE100" s="321">
        <v>8</v>
      </c>
      <c r="AF100" s="321">
        <v>8</v>
      </c>
    </row>
    <row r="101" spans="1:32" s="462" customFormat="1" ht="15" customHeight="1">
      <c r="A101" s="9"/>
      <c r="B101" s="63"/>
      <c r="C101" s="16" t="s">
        <v>842</v>
      </c>
      <c r="D101" s="12" t="s">
        <v>48</v>
      </c>
      <c r="E101" s="16" t="s">
        <v>842</v>
      </c>
      <c r="F101" s="215"/>
      <c r="G101" s="321"/>
      <c r="H101" s="321"/>
      <c r="I101" s="321"/>
      <c r="J101" s="321"/>
      <c r="K101" s="321"/>
      <c r="L101" s="321"/>
      <c r="M101" s="321"/>
      <c r="N101" s="321"/>
      <c r="O101" s="321"/>
      <c r="P101" s="321"/>
      <c r="Q101" s="321">
        <v>9</v>
      </c>
      <c r="R101" s="321">
        <v>9</v>
      </c>
      <c r="S101" s="321">
        <v>9</v>
      </c>
      <c r="T101" s="321">
        <v>9</v>
      </c>
      <c r="U101" s="321">
        <v>9</v>
      </c>
      <c r="V101" s="321">
        <v>9</v>
      </c>
      <c r="W101" s="321">
        <v>9</v>
      </c>
      <c r="X101" s="321">
        <v>9</v>
      </c>
      <c r="Y101" s="321">
        <v>9</v>
      </c>
      <c r="Z101" s="321">
        <v>9</v>
      </c>
      <c r="AA101" s="321">
        <v>9</v>
      </c>
      <c r="AB101" s="321">
        <v>9</v>
      </c>
      <c r="AC101" s="321">
        <v>9</v>
      </c>
      <c r="AD101" s="321">
        <v>9</v>
      </c>
      <c r="AE101" s="321">
        <v>9</v>
      </c>
      <c r="AF101" s="321">
        <v>9</v>
      </c>
    </row>
    <row r="102" spans="1:32" s="462" customFormat="1" ht="15" customHeight="1">
      <c r="A102" s="9"/>
      <c r="B102" s="63"/>
      <c r="C102" s="16" t="s">
        <v>843</v>
      </c>
      <c r="D102" s="12" t="s">
        <v>48</v>
      </c>
      <c r="E102" s="16" t="s">
        <v>843</v>
      </c>
      <c r="F102" s="215"/>
      <c r="G102" s="321"/>
      <c r="H102" s="321"/>
      <c r="I102" s="321"/>
      <c r="J102" s="321"/>
      <c r="K102" s="321"/>
      <c r="L102" s="321"/>
      <c r="M102" s="321"/>
      <c r="N102" s="321"/>
      <c r="O102" s="321"/>
      <c r="P102" s="321"/>
      <c r="Q102" s="321">
        <v>10</v>
      </c>
      <c r="R102" s="321">
        <v>10</v>
      </c>
      <c r="S102" s="321">
        <v>10</v>
      </c>
      <c r="T102" s="321">
        <v>10</v>
      </c>
      <c r="U102" s="321">
        <v>10</v>
      </c>
      <c r="V102" s="321">
        <v>10</v>
      </c>
      <c r="W102" s="321">
        <v>10</v>
      </c>
      <c r="X102" s="321">
        <v>10</v>
      </c>
      <c r="Y102" s="321">
        <v>10</v>
      </c>
      <c r="Z102" s="321">
        <v>10</v>
      </c>
      <c r="AA102" s="321">
        <v>10</v>
      </c>
      <c r="AB102" s="321">
        <v>10</v>
      </c>
      <c r="AC102" s="321">
        <v>10</v>
      </c>
      <c r="AD102" s="321">
        <v>10</v>
      </c>
      <c r="AE102" s="321">
        <v>10</v>
      </c>
      <c r="AF102" s="321">
        <v>10</v>
      </c>
    </row>
    <row r="103" spans="1:32" s="462" customFormat="1" ht="15" customHeight="1">
      <c r="B103" s="463"/>
      <c r="C103" s="176"/>
      <c r="D103" s="179"/>
      <c r="E103" s="163"/>
      <c r="F103" s="532"/>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row>
    <row r="104" spans="1:32" s="462" customFormat="1" ht="15" customHeight="1">
      <c r="B104" s="463"/>
      <c r="C104" s="176"/>
      <c r="D104" s="179"/>
      <c r="E104" s="163"/>
      <c r="F104" s="532"/>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row>
    <row r="105" spans="1:32" s="462" customFormat="1" ht="15" customHeight="1">
      <c r="B105" s="463"/>
      <c r="C105" s="176"/>
      <c r="D105" s="179"/>
      <c r="E105" s="163"/>
      <c r="F105" s="532"/>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row>
    <row r="106" spans="1:32" s="462" customFormat="1" ht="15" customHeight="1">
      <c r="B106" s="463"/>
      <c r="C106" s="176"/>
      <c r="D106" s="179"/>
      <c r="E106" s="163"/>
      <c r="F106" s="532"/>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row>
    <row r="107" spans="1:32" s="462" customFormat="1" ht="15" customHeight="1">
      <c r="B107" s="463"/>
      <c r="C107" s="176"/>
      <c r="D107" s="179"/>
      <c r="E107" s="163"/>
      <c r="F107" s="532"/>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row>
    <row r="108" spans="1:32" s="462" customFormat="1" ht="15" customHeight="1">
      <c r="B108" s="463"/>
      <c r="C108" s="176"/>
      <c r="D108" s="179"/>
      <c r="E108" s="163"/>
      <c r="F108" s="532"/>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row>
    <row r="109" spans="1:32" s="462" customFormat="1" ht="15" customHeight="1">
      <c r="B109" s="463"/>
      <c r="C109" s="176"/>
      <c r="D109" s="179"/>
      <c r="E109" s="163"/>
      <c r="F109" s="532"/>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row>
    <row r="110" spans="1:32" s="462" customFormat="1" ht="15" customHeight="1">
      <c r="B110" s="463"/>
      <c r="C110" s="176"/>
      <c r="D110" s="179"/>
      <c r="E110" s="163"/>
      <c r="F110" s="532"/>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row>
    <row r="111" spans="1:32" s="462" customFormat="1" ht="15" customHeight="1">
      <c r="B111" s="463"/>
      <c r="C111" s="176"/>
      <c r="D111" s="179"/>
      <c r="E111" s="163"/>
      <c r="F111" s="532"/>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row>
    <row r="112" spans="1:32" s="462" customFormat="1" ht="15" customHeight="1">
      <c r="B112" s="463"/>
      <c r="C112" s="176"/>
      <c r="D112" s="179"/>
      <c r="E112" s="163"/>
      <c r="F112" s="532"/>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row>
    <row r="113" spans="1:32" s="462" customFormat="1" ht="15" customHeight="1">
      <c r="B113" s="463"/>
      <c r="C113" s="176"/>
      <c r="D113" s="179"/>
      <c r="E113" s="163"/>
      <c r="F113" s="532"/>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row>
    <row r="114" spans="1:32" s="462" customFormat="1" ht="15" customHeight="1">
      <c r="B114" s="463"/>
      <c r="C114" s="176"/>
      <c r="D114" s="179"/>
      <c r="E114" s="163"/>
      <c r="F114" s="532"/>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row>
    <row r="115" spans="1:32" s="462" customFormat="1" ht="15" customHeight="1">
      <c r="B115" s="464"/>
      <c r="C115" s="176"/>
      <c r="D115" s="179"/>
      <c r="E115" s="163"/>
      <c r="F115" s="532"/>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row>
    <row r="116" spans="1:32" ht="15" customHeight="1">
      <c r="C116" s="18"/>
      <c r="D116" s="18"/>
      <c r="E116" s="18"/>
      <c r="F116" s="18"/>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row>
    <row r="117" spans="1:32" ht="15" customHeight="1">
      <c r="B117" s="166" t="s">
        <v>339</v>
      </c>
      <c r="C117" s="314" t="s">
        <v>409</v>
      </c>
      <c r="D117" s="22" t="s">
        <v>48</v>
      </c>
      <c r="E117" s="314" t="s">
        <v>838</v>
      </c>
      <c r="F117" s="540"/>
      <c r="G117" s="23">
        <v>0</v>
      </c>
      <c r="H117" s="23">
        <v>0</v>
      </c>
      <c r="I117" s="23">
        <v>0</v>
      </c>
      <c r="J117" s="23">
        <v>0</v>
      </c>
      <c r="K117" s="23">
        <v>0</v>
      </c>
      <c r="L117" s="23">
        <v>5</v>
      </c>
      <c r="M117" s="23">
        <v>5</v>
      </c>
      <c r="N117" s="23">
        <v>5</v>
      </c>
      <c r="O117" s="23">
        <v>5</v>
      </c>
      <c r="P117" s="23">
        <v>5</v>
      </c>
      <c r="Q117" s="23">
        <v>5</v>
      </c>
      <c r="R117" s="23">
        <v>5</v>
      </c>
      <c r="S117" s="23">
        <v>5</v>
      </c>
      <c r="T117" s="23">
        <v>5</v>
      </c>
      <c r="U117" s="23">
        <v>5</v>
      </c>
      <c r="V117" s="23">
        <v>5</v>
      </c>
      <c r="W117" s="23">
        <v>5</v>
      </c>
      <c r="X117" s="23">
        <v>5</v>
      </c>
      <c r="Y117" s="23">
        <v>5</v>
      </c>
      <c r="Z117" s="23">
        <v>5</v>
      </c>
      <c r="AA117" s="23">
        <v>5</v>
      </c>
      <c r="AB117" s="23">
        <v>5</v>
      </c>
      <c r="AC117" s="23">
        <v>5</v>
      </c>
      <c r="AD117" s="23">
        <v>5</v>
      </c>
      <c r="AE117" s="23">
        <v>5</v>
      </c>
      <c r="AF117" s="23">
        <v>5</v>
      </c>
    </row>
    <row r="118" spans="1:32" s="462" customFormat="1" ht="15" customHeight="1">
      <c r="A118" s="9"/>
      <c r="B118" s="63"/>
      <c r="C118" s="168" t="s">
        <v>834</v>
      </c>
      <c r="D118" s="12" t="s">
        <v>48</v>
      </c>
      <c r="E118" s="11" t="s">
        <v>834</v>
      </c>
      <c r="F118" s="215"/>
      <c r="G118" s="321"/>
      <c r="H118" s="321"/>
      <c r="I118" s="321"/>
      <c r="J118" s="321"/>
      <c r="K118" s="321"/>
      <c r="L118" s="321">
        <v>0</v>
      </c>
      <c r="M118" s="321">
        <v>0</v>
      </c>
      <c r="N118" s="321">
        <v>0</v>
      </c>
      <c r="O118" s="321">
        <v>0</v>
      </c>
      <c r="P118" s="321">
        <v>0</v>
      </c>
      <c r="Q118" s="321">
        <v>0</v>
      </c>
      <c r="R118" s="321">
        <v>0</v>
      </c>
      <c r="S118" s="321">
        <v>0</v>
      </c>
      <c r="T118" s="321">
        <v>0</v>
      </c>
      <c r="U118" s="321">
        <v>0</v>
      </c>
      <c r="V118" s="321">
        <v>0</v>
      </c>
      <c r="W118" s="321">
        <v>0</v>
      </c>
      <c r="X118" s="321">
        <v>0</v>
      </c>
      <c r="Y118" s="321">
        <v>0</v>
      </c>
      <c r="Z118" s="321">
        <v>0</v>
      </c>
      <c r="AA118" s="321">
        <v>0</v>
      </c>
      <c r="AB118" s="321">
        <v>0</v>
      </c>
      <c r="AC118" s="321">
        <v>0</v>
      </c>
      <c r="AD118" s="321">
        <v>0</v>
      </c>
      <c r="AE118" s="321">
        <v>0</v>
      </c>
      <c r="AF118" s="321">
        <v>0</v>
      </c>
    </row>
    <row r="119" spans="1:32" s="462" customFormat="1" ht="15" customHeight="1">
      <c r="A119" s="9"/>
      <c r="B119" s="63"/>
      <c r="C119" s="1166" t="s">
        <v>844</v>
      </c>
      <c r="D119" s="12" t="s">
        <v>48</v>
      </c>
      <c r="E119" s="1166" t="s">
        <v>844</v>
      </c>
      <c r="F119" s="215"/>
      <c r="G119" s="321"/>
      <c r="H119" s="321"/>
      <c r="I119" s="321"/>
      <c r="J119" s="321"/>
      <c r="K119" s="321"/>
      <c r="L119" s="321">
        <v>1</v>
      </c>
      <c r="M119" s="321">
        <v>1</v>
      </c>
      <c r="N119" s="321">
        <v>1</v>
      </c>
      <c r="O119" s="321">
        <v>1</v>
      </c>
      <c r="P119" s="321">
        <v>1</v>
      </c>
      <c r="Q119" s="321">
        <v>1</v>
      </c>
      <c r="R119" s="321">
        <v>1</v>
      </c>
      <c r="S119" s="321">
        <v>1</v>
      </c>
      <c r="T119" s="321">
        <v>1</v>
      </c>
      <c r="U119" s="321">
        <v>1</v>
      </c>
      <c r="V119" s="321">
        <v>1</v>
      </c>
      <c r="W119" s="321">
        <v>1</v>
      </c>
      <c r="X119" s="321">
        <v>1</v>
      </c>
      <c r="Y119" s="321">
        <v>1</v>
      </c>
      <c r="Z119" s="321">
        <v>1</v>
      </c>
      <c r="AA119" s="321">
        <v>1</v>
      </c>
      <c r="AB119" s="321">
        <v>1</v>
      </c>
      <c r="AC119" s="321">
        <v>1</v>
      </c>
      <c r="AD119" s="321">
        <v>1</v>
      </c>
      <c r="AE119" s="321">
        <v>1</v>
      </c>
      <c r="AF119" s="321">
        <v>1</v>
      </c>
    </row>
    <row r="120" spans="1:32" s="462" customFormat="1" ht="15" customHeight="1">
      <c r="A120" s="9"/>
      <c r="B120" s="63"/>
      <c r="C120" s="16" t="s">
        <v>835</v>
      </c>
      <c r="D120" s="12" t="s">
        <v>48</v>
      </c>
      <c r="E120" s="16" t="s">
        <v>835</v>
      </c>
      <c r="F120" s="215"/>
      <c r="G120" s="321"/>
      <c r="H120" s="321"/>
      <c r="I120" s="321"/>
      <c r="J120" s="321"/>
      <c r="K120" s="321"/>
      <c r="L120" s="321"/>
      <c r="M120" s="321"/>
      <c r="N120" s="321"/>
      <c r="O120" s="321"/>
      <c r="P120" s="321"/>
      <c r="Q120" s="321">
        <v>2</v>
      </c>
      <c r="R120" s="321">
        <v>2</v>
      </c>
      <c r="S120" s="321">
        <v>2</v>
      </c>
      <c r="T120" s="321">
        <v>2</v>
      </c>
      <c r="U120" s="321">
        <v>2</v>
      </c>
      <c r="V120" s="321">
        <v>2</v>
      </c>
      <c r="W120" s="321">
        <v>2</v>
      </c>
      <c r="X120" s="321">
        <v>2</v>
      </c>
      <c r="Y120" s="321">
        <v>2</v>
      </c>
      <c r="Z120" s="321">
        <v>2</v>
      </c>
      <c r="AA120" s="321">
        <v>2</v>
      </c>
      <c r="AB120" s="321">
        <v>2</v>
      </c>
      <c r="AC120" s="321">
        <v>2</v>
      </c>
      <c r="AD120" s="321">
        <v>2</v>
      </c>
      <c r="AE120" s="321">
        <v>2</v>
      </c>
      <c r="AF120" s="321">
        <v>2</v>
      </c>
    </row>
    <row r="121" spans="1:32" s="462" customFormat="1" ht="15" customHeight="1">
      <c r="A121" s="9"/>
      <c r="B121" s="63"/>
      <c r="C121" s="16" t="s">
        <v>836</v>
      </c>
      <c r="D121" s="12" t="s">
        <v>48</v>
      </c>
      <c r="E121" s="16" t="s">
        <v>836</v>
      </c>
      <c r="F121" s="215"/>
      <c r="G121" s="321"/>
      <c r="H121" s="321"/>
      <c r="I121" s="321"/>
      <c r="J121" s="321"/>
      <c r="K121" s="321"/>
      <c r="L121" s="321"/>
      <c r="M121" s="321"/>
      <c r="N121" s="321"/>
      <c r="O121" s="321"/>
      <c r="P121" s="321"/>
      <c r="Q121" s="321">
        <v>3</v>
      </c>
      <c r="R121" s="321">
        <v>3</v>
      </c>
      <c r="S121" s="321">
        <v>3</v>
      </c>
      <c r="T121" s="321">
        <v>3</v>
      </c>
      <c r="U121" s="321">
        <v>3</v>
      </c>
      <c r="V121" s="321">
        <v>3</v>
      </c>
      <c r="W121" s="321">
        <v>3</v>
      </c>
      <c r="X121" s="321">
        <v>3</v>
      </c>
      <c r="Y121" s="321">
        <v>3</v>
      </c>
      <c r="Z121" s="321">
        <v>3</v>
      </c>
      <c r="AA121" s="321">
        <v>3</v>
      </c>
      <c r="AB121" s="321">
        <v>3</v>
      </c>
      <c r="AC121" s="321">
        <v>3</v>
      </c>
      <c r="AD121" s="321">
        <v>3</v>
      </c>
      <c r="AE121" s="321">
        <v>3</v>
      </c>
      <c r="AF121" s="321">
        <v>3</v>
      </c>
    </row>
    <row r="122" spans="1:32" s="462" customFormat="1" ht="15" customHeight="1">
      <c r="A122" s="9"/>
      <c r="B122" s="63"/>
      <c r="C122" s="16" t="s">
        <v>837</v>
      </c>
      <c r="D122" s="12" t="s">
        <v>48</v>
      </c>
      <c r="E122" s="16" t="s">
        <v>837</v>
      </c>
      <c r="F122" s="215"/>
      <c r="G122" s="321"/>
      <c r="H122" s="321"/>
      <c r="I122" s="321"/>
      <c r="J122" s="321"/>
      <c r="K122" s="321"/>
      <c r="L122" s="321"/>
      <c r="M122" s="321"/>
      <c r="N122" s="321"/>
      <c r="O122" s="321"/>
      <c r="P122" s="321"/>
      <c r="Q122" s="321">
        <v>4</v>
      </c>
      <c r="R122" s="321">
        <v>4</v>
      </c>
      <c r="S122" s="321">
        <v>4</v>
      </c>
      <c r="T122" s="321">
        <v>4</v>
      </c>
      <c r="U122" s="321">
        <v>4</v>
      </c>
      <c r="V122" s="321">
        <v>4</v>
      </c>
      <c r="W122" s="321">
        <v>4</v>
      </c>
      <c r="X122" s="321">
        <v>4</v>
      </c>
      <c r="Y122" s="321">
        <v>4</v>
      </c>
      <c r="Z122" s="321">
        <v>4</v>
      </c>
      <c r="AA122" s="321">
        <v>4</v>
      </c>
      <c r="AB122" s="321">
        <v>4</v>
      </c>
      <c r="AC122" s="321">
        <v>4</v>
      </c>
      <c r="AD122" s="321">
        <v>4</v>
      </c>
      <c r="AE122" s="321">
        <v>4</v>
      </c>
      <c r="AF122" s="321">
        <v>4</v>
      </c>
    </row>
    <row r="123" spans="1:32" s="462" customFormat="1" ht="15" customHeight="1">
      <c r="A123" s="9"/>
      <c r="B123" s="63"/>
      <c r="C123" s="16" t="s">
        <v>838</v>
      </c>
      <c r="D123" s="12" t="s">
        <v>48</v>
      </c>
      <c r="E123" s="16" t="s">
        <v>838</v>
      </c>
      <c r="F123" s="215"/>
      <c r="G123" s="321"/>
      <c r="H123" s="321"/>
      <c r="I123" s="321"/>
      <c r="J123" s="321"/>
      <c r="K123" s="321"/>
      <c r="L123" s="321"/>
      <c r="M123" s="321"/>
      <c r="N123" s="321"/>
      <c r="O123" s="321"/>
      <c r="P123" s="321"/>
      <c r="Q123" s="321">
        <v>5</v>
      </c>
      <c r="R123" s="321">
        <v>5</v>
      </c>
      <c r="S123" s="321">
        <v>5</v>
      </c>
      <c r="T123" s="321">
        <v>5</v>
      </c>
      <c r="U123" s="321">
        <v>5</v>
      </c>
      <c r="V123" s="321">
        <v>5</v>
      </c>
      <c r="W123" s="321">
        <v>5</v>
      </c>
      <c r="X123" s="321">
        <v>5</v>
      </c>
      <c r="Y123" s="321">
        <v>5</v>
      </c>
      <c r="Z123" s="321">
        <v>5</v>
      </c>
      <c r="AA123" s="321">
        <v>5</v>
      </c>
      <c r="AB123" s="321">
        <v>5</v>
      </c>
      <c r="AC123" s="321">
        <v>5</v>
      </c>
      <c r="AD123" s="321">
        <v>5</v>
      </c>
      <c r="AE123" s="321">
        <v>5</v>
      </c>
      <c r="AF123" s="321">
        <v>5</v>
      </c>
    </row>
    <row r="124" spans="1:32" s="462" customFormat="1" ht="15" customHeight="1">
      <c r="A124" s="9"/>
      <c r="B124" s="63"/>
      <c r="C124" s="16" t="s">
        <v>839</v>
      </c>
      <c r="D124" s="12" t="s">
        <v>48</v>
      </c>
      <c r="E124" s="16" t="s">
        <v>839</v>
      </c>
      <c r="F124" s="215"/>
      <c r="G124" s="321"/>
      <c r="H124" s="321"/>
      <c r="I124" s="321"/>
      <c r="J124" s="321"/>
      <c r="K124" s="321"/>
      <c r="L124" s="321"/>
      <c r="M124" s="321"/>
      <c r="N124" s="321"/>
      <c r="O124" s="321"/>
      <c r="P124" s="321"/>
      <c r="Q124" s="321">
        <v>6</v>
      </c>
      <c r="R124" s="321">
        <v>6</v>
      </c>
      <c r="S124" s="321">
        <v>6</v>
      </c>
      <c r="T124" s="321">
        <v>6</v>
      </c>
      <c r="U124" s="321">
        <v>6</v>
      </c>
      <c r="V124" s="321">
        <v>6</v>
      </c>
      <c r="W124" s="321">
        <v>6</v>
      </c>
      <c r="X124" s="321">
        <v>6</v>
      </c>
      <c r="Y124" s="321">
        <v>6</v>
      </c>
      <c r="Z124" s="321">
        <v>6</v>
      </c>
      <c r="AA124" s="321">
        <v>6</v>
      </c>
      <c r="AB124" s="321">
        <v>6</v>
      </c>
      <c r="AC124" s="321">
        <v>6</v>
      </c>
      <c r="AD124" s="321">
        <v>6</v>
      </c>
      <c r="AE124" s="321">
        <v>6</v>
      </c>
      <c r="AF124" s="321">
        <v>6</v>
      </c>
    </row>
    <row r="125" spans="1:32" s="462" customFormat="1" ht="15" customHeight="1">
      <c r="A125" s="9"/>
      <c r="B125" s="63"/>
      <c r="C125" s="16" t="s">
        <v>840</v>
      </c>
      <c r="D125" s="12" t="s">
        <v>48</v>
      </c>
      <c r="E125" s="16" t="s">
        <v>840</v>
      </c>
      <c r="F125" s="215"/>
      <c r="G125" s="321"/>
      <c r="H125" s="321"/>
      <c r="I125" s="321"/>
      <c r="J125" s="321"/>
      <c r="K125" s="321"/>
      <c r="L125" s="321"/>
      <c r="M125" s="321"/>
      <c r="N125" s="321"/>
      <c r="O125" s="321"/>
      <c r="P125" s="321"/>
      <c r="Q125" s="321">
        <v>7</v>
      </c>
      <c r="R125" s="321">
        <v>7</v>
      </c>
      <c r="S125" s="321">
        <v>7</v>
      </c>
      <c r="T125" s="321">
        <v>7</v>
      </c>
      <c r="U125" s="321">
        <v>7</v>
      </c>
      <c r="V125" s="321">
        <v>7</v>
      </c>
      <c r="W125" s="321">
        <v>7</v>
      </c>
      <c r="X125" s="321">
        <v>7</v>
      </c>
      <c r="Y125" s="321">
        <v>7</v>
      </c>
      <c r="Z125" s="321">
        <v>7</v>
      </c>
      <c r="AA125" s="321">
        <v>7</v>
      </c>
      <c r="AB125" s="321">
        <v>7</v>
      </c>
      <c r="AC125" s="321">
        <v>7</v>
      </c>
      <c r="AD125" s="321">
        <v>7</v>
      </c>
      <c r="AE125" s="321">
        <v>7</v>
      </c>
      <c r="AF125" s="321">
        <v>7</v>
      </c>
    </row>
    <row r="126" spans="1:32" s="462" customFormat="1" ht="15" customHeight="1">
      <c r="A126" s="9"/>
      <c r="B126" s="63"/>
      <c r="C126" s="16" t="s">
        <v>841</v>
      </c>
      <c r="D126" s="12" t="s">
        <v>48</v>
      </c>
      <c r="E126" s="16" t="s">
        <v>841</v>
      </c>
      <c r="F126" s="215"/>
      <c r="G126" s="321"/>
      <c r="H126" s="321"/>
      <c r="I126" s="321"/>
      <c r="J126" s="321"/>
      <c r="K126" s="321"/>
      <c r="L126" s="321"/>
      <c r="M126" s="321"/>
      <c r="N126" s="321"/>
      <c r="O126" s="321"/>
      <c r="P126" s="321"/>
      <c r="Q126" s="321">
        <v>8</v>
      </c>
      <c r="R126" s="321">
        <v>8</v>
      </c>
      <c r="S126" s="321">
        <v>8</v>
      </c>
      <c r="T126" s="321">
        <v>8</v>
      </c>
      <c r="U126" s="321">
        <v>8</v>
      </c>
      <c r="V126" s="321">
        <v>8</v>
      </c>
      <c r="W126" s="321">
        <v>8</v>
      </c>
      <c r="X126" s="321">
        <v>8</v>
      </c>
      <c r="Y126" s="321">
        <v>8</v>
      </c>
      <c r="Z126" s="321">
        <v>8</v>
      </c>
      <c r="AA126" s="321">
        <v>8</v>
      </c>
      <c r="AB126" s="321">
        <v>8</v>
      </c>
      <c r="AC126" s="321">
        <v>8</v>
      </c>
      <c r="AD126" s="321">
        <v>8</v>
      </c>
      <c r="AE126" s="321">
        <v>8</v>
      </c>
      <c r="AF126" s="321">
        <v>8</v>
      </c>
    </row>
    <row r="127" spans="1:32" s="462" customFormat="1" ht="15" customHeight="1">
      <c r="A127" s="9"/>
      <c r="B127" s="63"/>
      <c r="C127" s="16" t="s">
        <v>842</v>
      </c>
      <c r="D127" s="12" t="s">
        <v>48</v>
      </c>
      <c r="E127" s="16" t="s">
        <v>842</v>
      </c>
      <c r="F127" s="215"/>
      <c r="G127" s="321"/>
      <c r="H127" s="321"/>
      <c r="I127" s="321"/>
      <c r="J127" s="321"/>
      <c r="K127" s="321"/>
      <c r="L127" s="321"/>
      <c r="M127" s="321"/>
      <c r="N127" s="321"/>
      <c r="O127" s="321"/>
      <c r="P127" s="321"/>
      <c r="Q127" s="321">
        <v>9</v>
      </c>
      <c r="R127" s="321">
        <v>9</v>
      </c>
      <c r="S127" s="321">
        <v>9</v>
      </c>
      <c r="T127" s="321">
        <v>9</v>
      </c>
      <c r="U127" s="321">
        <v>9</v>
      </c>
      <c r="V127" s="321">
        <v>9</v>
      </c>
      <c r="W127" s="321">
        <v>9</v>
      </c>
      <c r="X127" s="321">
        <v>9</v>
      </c>
      <c r="Y127" s="321">
        <v>9</v>
      </c>
      <c r="Z127" s="321">
        <v>9</v>
      </c>
      <c r="AA127" s="321">
        <v>9</v>
      </c>
      <c r="AB127" s="321">
        <v>9</v>
      </c>
      <c r="AC127" s="321">
        <v>9</v>
      </c>
      <c r="AD127" s="321">
        <v>9</v>
      </c>
      <c r="AE127" s="321">
        <v>9</v>
      </c>
      <c r="AF127" s="321">
        <v>9</v>
      </c>
    </row>
    <row r="128" spans="1:32" s="462" customFormat="1" ht="15" customHeight="1">
      <c r="A128" s="9"/>
      <c r="B128" s="63"/>
      <c r="C128" s="16" t="s">
        <v>843</v>
      </c>
      <c r="D128" s="12" t="s">
        <v>48</v>
      </c>
      <c r="E128" s="16" t="s">
        <v>843</v>
      </c>
      <c r="F128" s="215"/>
      <c r="G128" s="321"/>
      <c r="H128" s="321"/>
      <c r="I128" s="321"/>
      <c r="J128" s="321"/>
      <c r="K128" s="321"/>
      <c r="L128" s="321"/>
      <c r="M128" s="321"/>
      <c r="N128" s="321"/>
      <c r="O128" s="321"/>
      <c r="P128" s="321"/>
      <c r="Q128" s="321">
        <v>10</v>
      </c>
      <c r="R128" s="321">
        <v>10</v>
      </c>
      <c r="S128" s="321">
        <v>10</v>
      </c>
      <c r="T128" s="321">
        <v>10</v>
      </c>
      <c r="U128" s="321">
        <v>10</v>
      </c>
      <c r="V128" s="321">
        <v>10</v>
      </c>
      <c r="W128" s="321">
        <v>10</v>
      </c>
      <c r="X128" s="321">
        <v>10</v>
      </c>
      <c r="Y128" s="321">
        <v>10</v>
      </c>
      <c r="Z128" s="321">
        <v>10</v>
      </c>
      <c r="AA128" s="321">
        <v>10</v>
      </c>
      <c r="AB128" s="321">
        <v>10</v>
      </c>
      <c r="AC128" s="321">
        <v>10</v>
      </c>
      <c r="AD128" s="321">
        <v>10</v>
      </c>
      <c r="AE128" s="321">
        <v>10</v>
      </c>
      <c r="AF128" s="321">
        <v>10</v>
      </c>
    </row>
    <row r="129" spans="1:32" s="462" customFormat="1" ht="15" customHeight="1">
      <c r="A129" s="9"/>
      <c r="B129" s="63"/>
      <c r="C129" s="16"/>
      <c r="D129" s="12"/>
      <c r="E129" s="11"/>
      <c r="F129" s="215"/>
      <c r="G129" s="321"/>
      <c r="H129" s="321"/>
      <c r="I129" s="321"/>
      <c r="J129" s="321"/>
      <c r="K129" s="321"/>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row>
    <row r="130" spans="1:32" s="462" customFormat="1" ht="15" customHeight="1">
      <c r="A130" s="9"/>
      <c r="B130" s="63"/>
      <c r="C130" s="16" t="s">
        <v>296</v>
      </c>
      <c r="D130" s="48" t="s">
        <v>297</v>
      </c>
      <c r="E130" s="11" t="s">
        <v>299</v>
      </c>
      <c r="F130" s="215"/>
      <c r="G130" s="321"/>
      <c r="H130" s="321"/>
      <c r="I130" s="321"/>
      <c r="J130" s="321"/>
      <c r="K130" s="321"/>
      <c r="L130" s="321"/>
      <c r="M130" s="321"/>
      <c r="N130" s="321"/>
      <c r="O130" s="321"/>
      <c r="P130" s="321"/>
      <c r="Q130" s="321">
        <f t="shared" ref="Q130:AF130" si="0">Q123</f>
        <v>5</v>
      </c>
      <c r="R130" s="321">
        <f t="shared" si="0"/>
        <v>5</v>
      </c>
      <c r="S130" s="321">
        <f t="shared" si="0"/>
        <v>5</v>
      </c>
      <c r="T130" s="321">
        <f t="shared" si="0"/>
        <v>5</v>
      </c>
      <c r="U130" s="321">
        <f t="shared" si="0"/>
        <v>5</v>
      </c>
      <c r="V130" s="321">
        <f t="shared" si="0"/>
        <v>5</v>
      </c>
      <c r="W130" s="321">
        <f t="shared" si="0"/>
        <v>5</v>
      </c>
      <c r="X130" s="321">
        <f t="shared" si="0"/>
        <v>5</v>
      </c>
      <c r="Y130" s="321">
        <f t="shared" si="0"/>
        <v>5</v>
      </c>
      <c r="Z130" s="321">
        <f t="shared" si="0"/>
        <v>5</v>
      </c>
      <c r="AA130" s="321">
        <f t="shared" si="0"/>
        <v>5</v>
      </c>
      <c r="AB130" s="321">
        <f t="shared" si="0"/>
        <v>5</v>
      </c>
      <c r="AC130" s="321">
        <f t="shared" si="0"/>
        <v>5</v>
      </c>
      <c r="AD130" s="321">
        <f t="shared" si="0"/>
        <v>5</v>
      </c>
      <c r="AE130" s="321">
        <f t="shared" si="0"/>
        <v>5</v>
      </c>
      <c r="AF130" s="321">
        <f t="shared" si="0"/>
        <v>5</v>
      </c>
    </row>
    <row r="131" spans="1:32" s="462" customFormat="1" ht="15" customHeight="1">
      <c r="B131" s="463"/>
      <c r="C131" s="176"/>
      <c r="D131" s="179"/>
      <c r="E131" s="163"/>
      <c r="F131" s="532"/>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row>
    <row r="132" spans="1:32" s="462" customFormat="1" ht="15" customHeight="1">
      <c r="B132" s="463"/>
      <c r="C132" s="176"/>
      <c r="D132" s="179"/>
      <c r="E132" s="163"/>
      <c r="F132" s="532"/>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row>
    <row r="133" spans="1:32" s="462" customFormat="1" ht="15" customHeight="1">
      <c r="B133" s="463"/>
      <c r="C133" s="176"/>
      <c r="D133" s="179"/>
      <c r="E133" s="163"/>
      <c r="F133" s="532"/>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c r="AE133" s="180"/>
      <c r="AF133" s="180"/>
    </row>
    <row r="134" spans="1:32" s="462" customFormat="1" ht="15" customHeight="1">
      <c r="B134" s="463"/>
      <c r="C134" s="176"/>
      <c r="D134" s="179"/>
      <c r="E134" s="163"/>
      <c r="F134" s="532"/>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c r="AE134" s="180"/>
      <c r="AF134" s="180"/>
    </row>
    <row r="135" spans="1:32" s="462" customFormat="1" ht="15" customHeight="1">
      <c r="B135" s="463"/>
      <c r="C135" s="176"/>
      <c r="D135" s="179"/>
      <c r="E135" s="163"/>
      <c r="F135" s="532"/>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c r="AE135" s="180"/>
      <c r="AF135" s="180"/>
    </row>
    <row r="136" spans="1:32" s="462" customFormat="1" ht="15" customHeight="1">
      <c r="B136" s="463"/>
      <c r="C136" s="176"/>
      <c r="D136" s="179"/>
      <c r="E136" s="163"/>
      <c r="F136" s="532"/>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row>
    <row r="137" spans="1:32" s="462" customFormat="1" ht="15" customHeight="1">
      <c r="B137" s="463"/>
      <c r="C137" s="176"/>
      <c r="D137" s="179"/>
      <c r="E137" s="163"/>
      <c r="F137" s="532"/>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c r="AE137" s="180"/>
      <c r="AF137" s="180"/>
    </row>
    <row r="138" spans="1:32" s="462" customFormat="1" ht="15" customHeight="1">
      <c r="B138" s="463"/>
      <c r="C138" s="176"/>
      <c r="D138" s="179"/>
      <c r="E138" s="163"/>
      <c r="F138" s="532"/>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row>
    <row r="139" spans="1:32" s="462" customFormat="1" ht="15" customHeight="1">
      <c r="B139" s="463"/>
      <c r="C139" s="176"/>
      <c r="D139" s="179"/>
      <c r="E139" s="163"/>
      <c r="F139" s="532"/>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c r="AE139" s="180"/>
      <c r="AF139" s="180"/>
    </row>
    <row r="140" spans="1:32" s="462" customFormat="1" ht="15" customHeight="1">
      <c r="B140" s="463"/>
      <c r="C140" s="176"/>
      <c r="D140" s="179"/>
      <c r="E140" s="163"/>
      <c r="F140" s="532"/>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row>
    <row r="141" spans="1:32" s="462" customFormat="1" ht="15" customHeight="1">
      <c r="B141" s="464"/>
      <c r="C141" s="176"/>
      <c r="D141" s="179"/>
      <c r="E141" s="163"/>
      <c r="F141" s="532"/>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row>
    <row r="142" spans="1:32" ht="15" customHeight="1">
      <c r="C142" s="18"/>
      <c r="D142" s="18"/>
      <c r="E142" s="18"/>
      <c r="F142" s="18"/>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row>
    <row r="143" spans="1:32" ht="15" customHeight="1">
      <c r="B143" s="166" t="s">
        <v>340</v>
      </c>
      <c r="C143" s="314" t="s">
        <v>409</v>
      </c>
      <c r="D143" s="22" t="s">
        <v>48</v>
      </c>
      <c r="E143" s="35" t="s">
        <v>834</v>
      </c>
      <c r="F143" s="540"/>
      <c r="G143" s="23">
        <v>0</v>
      </c>
      <c r="H143" s="23">
        <v>0</v>
      </c>
      <c r="I143" s="23">
        <v>0</v>
      </c>
      <c r="J143" s="23">
        <v>0</v>
      </c>
      <c r="K143" s="23">
        <v>0</v>
      </c>
      <c r="L143" s="23">
        <v>0</v>
      </c>
      <c r="M143" s="23">
        <v>0</v>
      </c>
      <c r="N143" s="23">
        <v>0</v>
      </c>
      <c r="O143" s="23">
        <v>0</v>
      </c>
      <c r="P143" s="23">
        <v>0</v>
      </c>
      <c r="Q143" s="23">
        <v>0</v>
      </c>
      <c r="R143" s="23">
        <v>0</v>
      </c>
      <c r="S143" s="23">
        <v>0</v>
      </c>
      <c r="T143" s="23">
        <v>0</v>
      </c>
      <c r="U143" s="23">
        <v>0</v>
      </c>
      <c r="V143" s="23">
        <v>0</v>
      </c>
      <c r="W143" s="23">
        <v>0</v>
      </c>
      <c r="X143" s="23">
        <v>0</v>
      </c>
      <c r="Y143" s="23">
        <v>0</v>
      </c>
      <c r="Z143" s="23">
        <v>0</v>
      </c>
      <c r="AA143" s="23">
        <v>0</v>
      </c>
      <c r="AB143" s="23">
        <v>0</v>
      </c>
      <c r="AC143" s="23">
        <v>0</v>
      </c>
      <c r="AD143" s="23">
        <v>0</v>
      </c>
      <c r="AE143" s="23">
        <v>0</v>
      </c>
      <c r="AF143" s="23">
        <v>0</v>
      </c>
    </row>
    <row r="144" spans="1:32" s="462" customFormat="1" ht="15" customHeight="1">
      <c r="A144" s="9"/>
      <c r="B144" s="63"/>
      <c r="C144" s="168" t="s">
        <v>834</v>
      </c>
      <c r="D144" s="12" t="s">
        <v>48</v>
      </c>
      <c r="E144" s="11" t="s">
        <v>834</v>
      </c>
      <c r="F144" s="215"/>
      <c r="G144" s="321"/>
      <c r="H144" s="321"/>
      <c r="I144" s="321"/>
      <c r="J144" s="321"/>
      <c r="K144" s="321"/>
      <c r="L144" s="321">
        <v>0</v>
      </c>
      <c r="M144" s="321">
        <v>0</v>
      </c>
      <c r="N144" s="321">
        <v>0</v>
      </c>
      <c r="O144" s="321">
        <v>0</v>
      </c>
      <c r="P144" s="321">
        <v>0</v>
      </c>
      <c r="Q144" s="321">
        <v>0</v>
      </c>
      <c r="R144" s="321">
        <v>0</v>
      </c>
      <c r="S144" s="321">
        <v>0</v>
      </c>
      <c r="T144" s="321">
        <v>0</v>
      </c>
      <c r="U144" s="321">
        <v>0</v>
      </c>
      <c r="V144" s="321">
        <v>0</v>
      </c>
      <c r="W144" s="321">
        <v>0</v>
      </c>
      <c r="X144" s="321">
        <v>0</v>
      </c>
      <c r="Y144" s="321">
        <v>0</v>
      </c>
      <c r="Z144" s="321">
        <v>0</v>
      </c>
      <c r="AA144" s="321">
        <v>0</v>
      </c>
      <c r="AB144" s="321">
        <v>0</v>
      </c>
      <c r="AC144" s="321">
        <v>0</v>
      </c>
      <c r="AD144" s="321">
        <v>0</v>
      </c>
      <c r="AE144" s="321">
        <v>0</v>
      </c>
      <c r="AF144" s="321">
        <v>0</v>
      </c>
    </row>
    <row r="145" spans="1:32" s="462" customFormat="1" ht="15" customHeight="1">
      <c r="A145" s="9"/>
      <c r="B145" s="63"/>
      <c r="C145" s="1166" t="s">
        <v>844</v>
      </c>
      <c r="D145" s="12" t="s">
        <v>48</v>
      </c>
      <c r="E145" s="1166" t="s">
        <v>844</v>
      </c>
      <c r="F145" s="215"/>
      <c r="G145" s="321"/>
      <c r="H145" s="321"/>
      <c r="I145" s="321"/>
      <c r="J145" s="321"/>
      <c r="K145" s="321"/>
      <c r="L145" s="321">
        <v>1</v>
      </c>
      <c r="M145" s="321">
        <v>1</v>
      </c>
      <c r="N145" s="321">
        <v>1</v>
      </c>
      <c r="O145" s="321">
        <v>1</v>
      </c>
      <c r="P145" s="321">
        <v>1</v>
      </c>
      <c r="Q145" s="321">
        <v>1</v>
      </c>
      <c r="R145" s="321">
        <v>1</v>
      </c>
      <c r="S145" s="321">
        <v>1</v>
      </c>
      <c r="T145" s="321">
        <v>1</v>
      </c>
      <c r="U145" s="321">
        <v>1</v>
      </c>
      <c r="V145" s="321">
        <v>1</v>
      </c>
      <c r="W145" s="321">
        <v>1</v>
      </c>
      <c r="X145" s="321">
        <v>1</v>
      </c>
      <c r="Y145" s="321">
        <v>1</v>
      </c>
      <c r="Z145" s="321">
        <v>1</v>
      </c>
      <c r="AA145" s="321">
        <v>1</v>
      </c>
      <c r="AB145" s="321">
        <v>1</v>
      </c>
      <c r="AC145" s="321">
        <v>1</v>
      </c>
      <c r="AD145" s="321">
        <v>1</v>
      </c>
      <c r="AE145" s="321">
        <v>1</v>
      </c>
      <c r="AF145" s="321">
        <v>1</v>
      </c>
    </row>
    <row r="146" spans="1:32" s="462" customFormat="1" ht="15" customHeight="1">
      <c r="A146" s="9"/>
      <c r="B146" s="63"/>
      <c r="C146" s="16" t="s">
        <v>835</v>
      </c>
      <c r="D146" s="12" t="s">
        <v>48</v>
      </c>
      <c r="E146" s="16" t="s">
        <v>835</v>
      </c>
      <c r="F146" s="215"/>
      <c r="G146" s="321"/>
      <c r="H146" s="321"/>
      <c r="I146" s="321"/>
      <c r="J146" s="321"/>
      <c r="K146" s="321"/>
      <c r="L146" s="321"/>
      <c r="M146" s="321"/>
      <c r="N146" s="321"/>
      <c r="O146" s="321"/>
      <c r="P146" s="321"/>
      <c r="Q146" s="321">
        <v>2</v>
      </c>
      <c r="R146" s="321">
        <v>2</v>
      </c>
      <c r="S146" s="321">
        <v>2</v>
      </c>
      <c r="T146" s="321">
        <v>2</v>
      </c>
      <c r="U146" s="321">
        <v>2</v>
      </c>
      <c r="V146" s="321">
        <v>2</v>
      </c>
      <c r="W146" s="321">
        <v>2</v>
      </c>
      <c r="X146" s="321">
        <v>2</v>
      </c>
      <c r="Y146" s="321">
        <v>2</v>
      </c>
      <c r="Z146" s="321">
        <v>2</v>
      </c>
      <c r="AA146" s="321">
        <v>2</v>
      </c>
      <c r="AB146" s="321">
        <v>2</v>
      </c>
      <c r="AC146" s="321">
        <v>2</v>
      </c>
      <c r="AD146" s="321">
        <v>2</v>
      </c>
      <c r="AE146" s="321">
        <v>2</v>
      </c>
      <c r="AF146" s="321">
        <v>2</v>
      </c>
    </row>
    <row r="147" spans="1:32" s="462" customFormat="1" ht="15" customHeight="1">
      <c r="A147" s="9"/>
      <c r="B147" s="63"/>
      <c r="C147" s="16" t="s">
        <v>836</v>
      </c>
      <c r="D147" s="12" t="s">
        <v>48</v>
      </c>
      <c r="E147" s="16" t="s">
        <v>836</v>
      </c>
      <c r="F147" s="215"/>
      <c r="G147" s="321"/>
      <c r="H147" s="321"/>
      <c r="I147" s="321"/>
      <c r="J147" s="321"/>
      <c r="K147" s="321"/>
      <c r="L147" s="321"/>
      <c r="M147" s="321"/>
      <c r="N147" s="321"/>
      <c r="O147" s="321"/>
      <c r="P147" s="321"/>
      <c r="Q147" s="321">
        <v>3</v>
      </c>
      <c r="R147" s="321">
        <v>3</v>
      </c>
      <c r="S147" s="321">
        <v>3</v>
      </c>
      <c r="T147" s="321">
        <v>3</v>
      </c>
      <c r="U147" s="321">
        <v>3</v>
      </c>
      <c r="V147" s="321">
        <v>3</v>
      </c>
      <c r="W147" s="321">
        <v>3</v>
      </c>
      <c r="X147" s="321">
        <v>3</v>
      </c>
      <c r="Y147" s="321">
        <v>3</v>
      </c>
      <c r="Z147" s="321">
        <v>3</v>
      </c>
      <c r="AA147" s="321">
        <v>3</v>
      </c>
      <c r="AB147" s="321">
        <v>3</v>
      </c>
      <c r="AC147" s="321">
        <v>3</v>
      </c>
      <c r="AD147" s="321">
        <v>3</v>
      </c>
      <c r="AE147" s="321">
        <v>3</v>
      </c>
      <c r="AF147" s="321">
        <v>3</v>
      </c>
    </row>
    <row r="148" spans="1:32" s="462" customFormat="1" ht="15" customHeight="1">
      <c r="A148" s="9"/>
      <c r="B148" s="63"/>
      <c r="C148" s="16" t="s">
        <v>837</v>
      </c>
      <c r="D148" s="12" t="s">
        <v>48</v>
      </c>
      <c r="E148" s="16" t="s">
        <v>837</v>
      </c>
      <c r="F148" s="215"/>
      <c r="G148" s="321"/>
      <c r="H148" s="321"/>
      <c r="I148" s="321"/>
      <c r="J148" s="321"/>
      <c r="K148" s="321"/>
      <c r="L148" s="321"/>
      <c r="M148" s="321"/>
      <c r="N148" s="321"/>
      <c r="O148" s="321"/>
      <c r="P148" s="321"/>
      <c r="Q148" s="321">
        <v>4</v>
      </c>
      <c r="R148" s="321">
        <v>4</v>
      </c>
      <c r="S148" s="321">
        <v>4</v>
      </c>
      <c r="T148" s="321">
        <v>4</v>
      </c>
      <c r="U148" s="321">
        <v>4</v>
      </c>
      <c r="V148" s="321">
        <v>4</v>
      </c>
      <c r="W148" s="321">
        <v>4</v>
      </c>
      <c r="X148" s="321">
        <v>4</v>
      </c>
      <c r="Y148" s="321">
        <v>4</v>
      </c>
      <c r="Z148" s="321">
        <v>4</v>
      </c>
      <c r="AA148" s="321">
        <v>4</v>
      </c>
      <c r="AB148" s="321">
        <v>4</v>
      </c>
      <c r="AC148" s="321">
        <v>4</v>
      </c>
      <c r="AD148" s="321">
        <v>4</v>
      </c>
      <c r="AE148" s="321">
        <v>4</v>
      </c>
      <c r="AF148" s="321">
        <v>4</v>
      </c>
    </row>
    <row r="149" spans="1:32" s="462" customFormat="1" ht="15" customHeight="1">
      <c r="A149" s="9"/>
      <c r="B149" s="63"/>
      <c r="C149" s="16" t="s">
        <v>838</v>
      </c>
      <c r="D149" s="12" t="s">
        <v>48</v>
      </c>
      <c r="E149" s="16" t="s">
        <v>838</v>
      </c>
      <c r="F149" s="215"/>
      <c r="G149" s="321"/>
      <c r="H149" s="321"/>
      <c r="I149" s="321"/>
      <c r="J149" s="321"/>
      <c r="K149" s="321"/>
      <c r="L149" s="321"/>
      <c r="M149" s="321"/>
      <c r="N149" s="321"/>
      <c r="O149" s="321"/>
      <c r="P149" s="321"/>
      <c r="Q149" s="321">
        <v>5</v>
      </c>
      <c r="R149" s="321">
        <v>5</v>
      </c>
      <c r="S149" s="321">
        <v>5</v>
      </c>
      <c r="T149" s="321">
        <v>5</v>
      </c>
      <c r="U149" s="321">
        <v>5</v>
      </c>
      <c r="V149" s="321">
        <v>5</v>
      </c>
      <c r="W149" s="321">
        <v>5</v>
      </c>
      <c r="X149" s="321">
        <v>5</v>
      </c>
      <c r="Y149" s="321">
        <v>5</v>
      </c>
      <c r="Z149" s="321">
        <v>5</v>
      </c>
      <c r="AA149" s="321">
        <v>5</v>
      </c>
      <c r="AB149" s="321">
        <v>5</v>
      </c>
      <c r="AC149" s="321">
        <v>5</v>
      </c>
      <c r="AD149" s="321">
        <v>5</v>
      </c>
      <c r="AE149" s="321">
        <v>5</v>
      </c>
      <c r="AF149" s="321">
        <v>5</v>
      </c>
    </row>
    <row r="150" spans="1:32" s="462" customFormat="1" ht="15" customHeight="1">
      <c r="A150" s="9"/>
      <c r="B150" s="63"/>
      <c r="C150" s="16" t="s">
        <v>839</v>
      </c>
      <c r="D150" s="12" t="s">
        <v>48</v>
      </c>
      <c r="E150" s="16" t="s">
        <v>839</v>
      </c>
      <c r="F150" s="215"/>
      <c r="G150" s="321"/>
      <c r="H150" s="321"/>
      <c r="I150" s="321"/>
      <c r="J150" s="321"/>
      <c r="K150" s="321"/>
      <c r="L150" s="321"/>
      <c r="M150" s="321"/>
      <c r="N150" s="321"/>
      <c r="O150" s="321"/>
      <c r="P150" s="321"/>
      <c r="Q150" s="321">
        <v>6</v>
      </c>
      <c r="R150" s="321">
        <v>6</v>
      </c>
      <c r="S150" s="321">
        <v>6</v>
      </c>
      <c r="T150" s="321">
        <v>6</v>
      </c>
      <c r="U150" s="321">
        <v>6</v>
      </c>
      <c r="V150" s="321">
        <v>6</v>
      </c>
      <c r="W150" s="321">
        <v>6</v>
      </c>
      <c r="X150" s="321">
        <v>6</v>
      </c>
      <c r="Y150" s="321">
        <v>6</v>
      </c>
      <c r="Z150" s="321">
        <v>6</v>
      </c>
      <c r="AA150" s="321">
        <v>6</v>
      </c>
      <c r="AB150" s="321">
        <v>6</v>
      </c>
      <c r="AC150" s="321">
        <v>6</v>
      </c>
      <c r="AD150" s="321">
        <v>6</v>
      </c>
      <c r="AE150" s="321">
        <v>6</v>
      </c>
      <c r="AF150" s="321">
        <v>6</v>
      </c>
    </row>
    <row r="151" spans="1:32" s="462" customFormat="1" ht="15" customHeight="1">
      <c r="A151" s="9"/>
      <c r="B151" s="63"/>
      <c r="C151" s="16" t="s">
        <v>840</v>
      </c>
      <c r="D151" s="12" t="s">
        <v>48</v>
      </c>
      <c r="E151" s="16" t="s">
        <v>840</v>
      </c>
      <c r="F151" s="215"/>
      <c r="G151" s="321"/>
      <c r="H151" s="321"/>
      <c r="I151" s="321"/>
      <c r="J151" s="321"/>
      <c r="K151" s="321"/>
      <c r="L151" s="321"/>
      <c r="M151" s="321"/>
      <c r="N151" s="321"/>
      <c r="O151" s="321"/>
      <c r="P151" s="321"/>
      <c r="Q151" s="321">
        <v>7</v>
      </c>
      <c r="R151" s="321">
        <v>7</v>
      </c>
      <c r="S151" s="321">
        <v>7</v>
      </c>
      <c r="T151" s="321">
        <v>7</v>
      </c>
      <c r="U151" s="321">
        <v>7</v>
      </c>
      <c r="V151" s="321">
        <v>7</v>
      </c>
      <c r="W151" s="321">
        <v>7</v>
      </c>
      <c r="X151" s="321">
        <v>7</v>
      </c>
      <c r="Y151" s="321">
        <v>7</v>
      </c>
      <c r="Z151" s="321">
        <v>7</v>
      </c>
      <c r="AA151" s="321">
        <v>7</v>
      </c>
      <c r="AB151" s="321">
        <v>7</v>
      </c>
      <c r="AC151" s="321">
        <v>7</v>
      </c>
      <c r="AD151" s="321">
        <v>7</v>
      </c>
      <c r="AE151" s="321">
        <v>7</v>
      </c>
      <c r="AF151" s="321">
        <v>7</v>
      </c>
    </row>
    <row r="152" spans="1:32" s="462" customFormat="1" ht="15" customHeight="1">
      <c r="A152" s="9"/>
      <c r="B152" s="63"/>
      <c r="C152" s="16" t="s">
        <v>841</v>
      </c>
      <c r="D152" s="12" t="s">
        <v>48</v>
      </c>
      <c r="E152" s="16" t="s">
        <v>841</v>
      </c>
      <c r="F152" s="215"/>
      <c r="G152" s="321"/>
      <c r="H152" s="321"/>
      <c r="I152" s="321"/>
      <c r="J152" s="321"/>
      <c r="K152" s="321"/>
      <c r="L152" s="321"/>
      <c r="M152" s="321"/>
      <c r="N152" s="321"/>
      <c r="O152" s="321"/>
      <c r="P152" s="321"/>
      <c r="Q152" s="321">
        <v>8</v>
      </c>
      <c r="R152" s="321">
        <v>8</v>
      </c>
      <c r="S152" s="321">
        <v>8</v>
      </c>
      <c r="T152" s="321">
        <v>8</v>
      </c>
      <c r="U152" s="321">
        <v>8</v>
      </c>
      <c r="V152" s="321">
        <v>8</v>
      </c>
      <c r="W152" s="321">
        <v>8</v>
      </c>
      <c r="X152" s="321">
        <v>8</v>
      </c>
      <c r="Y152" s="321">
        <v>8</v>
      </c>
      <c r="Z152" s="321">
        <v>8</v>
      </c>
      <c r="AA152" s="321">
        <v>8</v>
      </c>
      <c r="AB152" s="321">
        <v>8</v>
      </c>
      <c r="AC152" s="321">
        <v>8</v>
      </c>
      <c r="AD152" s="321">
        <v>8</v>
      </c>
      <c r="AE152" s="321">
        <v>8</v>
      </c>
      <c r="AF152" s="321">
        <v>8</v>
      </c>
    </row>
    <row r="153" spans="1:32" s="462" customFormat="1" ht="15" customHeight="1">
      <c r="A153" s="9"/>
      <c r="B153" s="63"/>
      <c r="C153" s="16" t="s">
        <v>842</v>
      </c>
      <c r="D153" s="12" t="s">
        <v>48</v>
      </c>
      <c r="E153" s="16" t="s">
        <v>842</v>
      </c>
      <c r="F153" s="215"/>
      <c r="G153" s="321"/>
      <c r="H153" s="321"/>
      <c r="I153" s="321"/>
      <c r="J153" s="321"/>
      <c r="K153" s="321"/>
      <c r="L153" s="321"/>
      <c r="M153" s="321"/>
      <c r="N153" s="321"/>
      <c r="O153" s="321"/>
      <c r="P153" s="321"/>
      <c r="Q153" s="321">
        <v>9</v>
      </c>
      <c r="R153" s="321">
        <v>9</v>
      </c>
      <c r="S153" s="321">
        <v>9</v>
      </c>
      <c r="T153" s="321">
        <v>9</v>
      </c>
      <c r="U153" s="321">
        <v>9</v>
      </c>
      <c r="V153" s="321">
        <v>9</v>
      </c>
      <c r="W153" s="321">
        <v>9</v>
      </c>
      <c r="X153" s="321">
        <v>9</v>
      </c>
      <c r="Y153" s="321">
        <v>9</v>
      </c>
      <c r="Z153" s="321">
        <v>9</v>
      </c>
      <c r="AA153" s="321">
        <v>9</v>
      </c>
      <c r="AB153" s="321">
        <v>9</v>
      </c>
      <c r="AC153" s="321">
        <v>9</v>
      </c>
      <c r="AD153" s="321">
        <v>9</v>
      </c>
      <c r="AE153" s="321">
        <v>9</v>
      </c>
      <c r="AF153" s="321">
        <v>9</v>
      </c>
    </row>
    <row r="154" spans="1:32" s="462" customFormat="1" ht="15" customHeight="1">
      <c r="A154" s="9"/>
      <c r="B154" s="63"/>
      <c r="C154" s="16" t="s">
        <v>843</v>
      </c>
      <c r="D154" s="12" t="s">
        <v>48</v>
      </c>
      <c r="E154" s="16" t="s">
        <v>843</v>
      </c>
      <c r="F154" s="215"/>
      <c r="G154" s="321"/>
      <c r="H154" s="321"/>
      <c r="I154" s="321"/>
      <c r="J154" s="321"/>
      <c r="K154" s="321"/>
      <c r="L154" s="321"/>
      <c r="M154" s="321"/>
      <c r="N154" s="321"/>
      <c r="O154" s="321"/>
      <c r="P154" s="321"/>
      <c r="Q154" s="321">
        <v>10</v>
      </c>
      <c r="R154" s="321">
        <v>10</v>
      </c>
      <c r="S154" s="321">
        <v>10</v>
      </c>
      <c r="T154" s="321">
        <v>10</v>
      </c>
      <c r="U154" s="321">
        <v>10</v>
      </c>
      <c r="V154" s="321">
        <v>10</v>
      </c>
      <c r="W154" s="321">
        <v>10</v>
      </c>
      <c r="X154" s="321">
        <v>10</v>
      </c>
      <c r="Y154" s="321">
        <v>10</v>
      </c>
      <c r="Z154" s="321">
        <v>10</v>
      </c>
      <c r="AA154" s="321">
        <v>10</v>
      </c>
      <c r="AB154" s="321">
        <v>10</v>
      </c>
      <c r="AC154" s="321">
        <v>10</v>
      </c>
      <c r="AD154" s="321">
        <v>10</v>
      </c>
      <c r="AE154" s="321">
        <v>10</v>
      </c>
      <c r="AF154" s="321">
        <v>10</v>
      </c>
    </row>
    <row r="155" spans="1:32" s="462" customFormat="1" ht="15" customHeight="1">
      <c r="B155" s="463"/>
      <c r="C155" s="176"/>
      <c r="D155" s="179"/>
      <c r="E155" s="163"/>
      <c r="F155" s="532"/>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row>
    <row r="156" spans="1:32" s="462" customFormat="1" ht="15" customHeight="1">
      <c r="B156" s="463"/>
      <c r="C156" s="176"/>
      <c r="D156" s="179"/>
      <c r="E156" s="163"/>
      <c r="F156" s="532"/>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row>
    <row r="157" spans="1:32" s="462" customFormat="1" ht="15" customHeight="1">
      <c r="B157" s="463"/>
      <c r="C157" s="176"/>
      <c r="D157" s="179"/>
      <c r="E157" s="163"/>
      <c r="F157" s="532"/>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row>
    <row r="158" spans="1:32" s="462" customFormat="1" ht="15" customHeight="1">
      <c r="B158" s="463"/>
      <c r="C158" s="176"/>
      <c r="D158" s="179"/>
      <c r="E158" s="163"/>
      <c r="F158" s="532"/>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row>
    <row r="159" spans="1:32" s="462" customFormat="1" ht="15" customHeight="1">
      <c r="B159" s="463"/>
      <c r="C159" s="176"/>
      <c r="D159" s="179"/>
      <c r="E159" s="163"/>
      <c r="F159" s="532"/>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row>
    <row r="160" spans="1:32" s="462" customFormat="1" ht="15" customHeight="1">
      <c r="B160" s="463"/>
      <c r="C160" s="176"/>
      <c r="D160" s="179"/>
      <c r="E160" s="163"/>
      <c r="F160" s="532"/>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row>
    <row r="161" spans="1:32" s="462" customFormat="1" ht="15" customHeight="1">
      <c r="B161" s="463"/>
      <c r="C161" s="176"/>
      <c r="D161" s="179"/>
      <c r="E161" s="163"/>
      <c r="F161" s="532"/>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row>
    <row r="162" spans="1:32" s="462" customFormat="1" ht="15" customHeight="1">
      <c r="B162" s="463"/>
      <c r="C162" s="176"/>
      <c r="D162" s="179"/>
      <c r="E162" s="163"/>
      <c r="F162" s="532"/>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row>
    <row r="163" spans="1:32" s="462" customFormat="1" ht="15" customHeight="1">
      <c r="B163" s="463"/>
      <c r="C163" s="176"/>
      <c r="D163" s="179"/>
      <c r="E163" s="163"/>
      <c r="F163" s="532"/>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row>
    <row r="164" spans="1:32" s="462" customFormat="1" ht="15" customHeight="1">
      <c r="B164" s="463"/>
      <c r="C164" s="176"/>
      <c r="D164" s="179"/>
      <c r="E164" s="163"/>
      <c r="F164" s="532"/>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row>
    <row r="165" spans="1:32" s="462" customFormat="1" ht="15" customHeight="1">
      <c r="B165" s="463"/>
      <c r="C165" s="176"/>
      <c r="D165" s="179"/>
      <c r="E165" s="163"/>
      <c r="F165" s="532"/>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row>
    <row r="166" spans="1:32" s="462" customFormat="1" ht="15" customHeight="1">
      <c r="B166" s="463"/>
      <c r="C166" s="176"/>
      <c r="D166" s="179"/>
      <c r="E166" s="163"/>
      <c r="F166" s="532"/>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row>
    <row r="167" spans="1:32" s="462" customFormat="1" ht="15" customHeight="1">
      <c r="B167" s="464"/>
      <c r="C167" s="176"/>
      <c r="D167" s="179"/>
      <c r="E167" s="163"/>
      <c r="F167" s="532"/>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c r="AE167" s="180"/>
      <c r="AF167" s="180"/>
    </row>
    <row r="168" spans="1:32" ht="15" customHeight="1">
      <c r="C168" s="18"/>
      <c r="D168" s="18"/>
      <c r="E168" s="18"/>
      <c r="F168" s="18"/>
      <c r="G168" s="17"/>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row>
    <row r="169" spans="1:32" ht="15" customHeight="1">
      <c r="B169" s="166" t="s">
        <v>12</v>
      </c>
      <c r="C169" s="314" t="s">
        <v>409</v>
      </c>
      <c r="D169" s="22" t="s">
        <v>48</v>
      </c>
      <c r="E169" s="35" t="s">
        <v>838</v>
      </c>
      <c r="F169" s="540"/>
      <c r="G169" s="23"/>
      <c r="H169" s="23"/>
      <c r="I169" s="23"/>
      <c r="J169" s="23"/>
      <c r="K169" s="23"/>
      <c r="L169" s="23">
        <v>5</v>
      </c>
      <c r="M169" s="23">
        <v>5</v>
      </c>
      <c r="N169" s="23">
        <v>5</v>
      </c>
      <c r="O169" s="23">
        <v>5</v>
      </c>
      <c r="P169" s="23">
        <v>5</v>
      </c>
      <c r="Q169" s="23">
        <v>5</v>
      </c>
      <c r="R169" s="23">
        <v>5</v>
      </c>
      <c r="S169" s="23">
        <v>5</v>
      </c>
      <c r="T169" s="23">
        <v>5</v>
      </c>
      <c r="U169" s="23">
        <v>5</v>
      </c>
      <c r="V169" s="23">
        <v>5</v>
      </c>
      <c r="W169" s="23">
        <v>5</v>
      </c>
      <c r="X169" s="23">
        <v>5</v>
      </c>
      <c r="Y169" s="23">
        <v>5</v>
      </c>
      <c r="Z169" s="23">
        <v>5</v>
      </c>
      <c r="AA169" s="23">
        <v>5</v>
      </c>
      <c r="AB169" s="23">
        <v>5</v>
      </c>
      <c r="AC169" s="23">
        <v>5</v>
      </c>
      <c r="AD169" s="23">
        <v>5</v>
      </c>
      <c r="AE169" s="23">
        <v>5</v>
      </c>
      <c r="AF169" s="23">
        <v>5</v>
      </c>
    </row>
    <row r="170" spans="1:32" s="462" customFormat="1" ht="15" customHeight="1">
      <c r="A170" s="9"/>
      <c r="B170" s="63"/>
      <c r="C170" s="168" t="s">
        <v>834</v>
      </c>
      <c r="D170" s="12" t="s">
        <v>48</v>
      </c>
      <c r="E170" s="11" t="s">
        <v>834</v>
      </c>
      <c r="F170" s="215"/>
      <c r="G170" s="321"/>
      <c r="H170" s="321"/>
      <c r="I170" s="321"/>
      <c r="J170" s="321"/>
      <c r="K170" s="321"/>
      <c r="L170" s="321">
        <v>0</v>
      </c>
      <c r="M170" s="321">
        <v>0</v>
      </c>
      <c r="N170" s="321">
        <v>0</v>
      </c>
      <c r="O170" s="321">
        <v>0</v>
      </c>
      <c r="P170" s="321">
        <v>0</v>
      </c>
      <c r="Q170" s="321">
        <v>0</v>
      </c>
      <c r="R170" s="321">
        <v>0</v>
      </c>
      <c r="S170" s="321">
        <v>0</v>
      </c>
      <c r="T170" s="321">
        <v>0</v>
      </c>
      <c r="U170" s="321">
        <v>0</v>
      </c>
      <c r="V170" s="321">
        <v>0</v>
      </c>
      <c r="W170" s="321">
        <v>0</v>
      </c>
      <c r="X170" s="321">
        <v>0</v>
      </c>
      <c r="Y170" s="321">
        <v>0</v>
      </c>
      <c r="Z170" s="321">
        <v>0</v>
      </c>
      <c r="AA170" s="321">
        <v>0</v>
      </c>
      <c r="AB170" s="321">
        <v>0</v>
      </c>
      <c r="AC170" s="321">
        <v>0</v>
      </c>
      <c r="AD170" s="321">
        <v>0</v>
      </c>
      <c r="AE170" s="321">
        <v>0</v>
      </c>
      <c r="AF170" s="321">
        <v>0</v>
      </c>
    </row>
    <row r="171" spans="1:32" s="462" customFormat="1" ht="15" customHeight="1">
      <c r="A171" s="9"/>
      <c r="B171" s="63"/>
      <c r="C171" s="1166" t="s">
        <v>844</v>
      </c>
      <c r="D171" s="12" t="s">
        <v>48</v>
      </c>
      <c r="E171" s="1166" t="s">
        <v>844</v>
      </c>
      <c r="F171" s="215"/>
      <c r="G171" s="321"/>
      <c r="H171" s="321"/>
      <c r="I171" s="321"/>
      <c r="J171" s="321"/>
      <c r="K171" s="321"/>
      <c r="L171" s="321">
        <v>1</v>
      </c>
      <c r="M171" s="321">
        <v>1</v>
      </c>
      <c r="N171" s="321">
        <v>1</v>
      </c>
      <c r="O171" s="321">
        <v>1</v>
      </c>
      <c r="P171" s="321">
        <v>1</v>
      </c>
      <c r="Q171" s="321">
        <v>1</v>
      </c>
      <c r="R171" s="321">
        <v>1</v>
      </c>
      <c r="S171" s="321">
        <v>1</v>
      </c>
      <c r="T171" s="321">
        <v>1</v>
      </c>
      <c r="U171" s="321">
        <v>1</v>
      </c>
      <c r="V171" s="321">
        <v>1</v>
      </c>
      <c r="W171" s="321">
        <v>1</v>
      </c>
      <c r="X171" s="321">
        <v>1</v>
      </c>
      <c r="Y171" s="321">
        <v>1</v>
      </c>
      <c r="Z171" s="321">
        <v>1</v>
      </c>
      <c r="AA171" s="321">
        <v>1</v>
      </c>
      <c r="AB171" s="321">
        <v>1</v>
      </c>
      <c r="AC171" s="321">
        <v>1</v>
      </c>
      <c r="AD171" s="321">
        <v>1</v>
      </c>
      <c r="AE171" s="321">
        <v>1</v>
      </c>
      <c r="AF171" s="321">
        <v>1</v>
      </c>
    </row>
    <row r="172" spans="1:32" s="462" customFormat="1" ht="15" customHeight="1">
      <c r="A172" s="9"/>
      <c r="B172" s="63"/>
      <c r="C172" s="16" t="s">
        <v>835</v>
      </c>
      <c r="D172" s="12" t="s">
        <v>48</v>
      </c>
      <c r="E172" s="16" t="s">
        <v>835</v>
      </c>
      <c r="F172" s="215"/>
      <c r="G172" s="321"/>
      <c r="H172" s="321"/>
      <c r="I172" s="321"/>
      <c r="J172" s="321"/>
      <c r="K172" s="321"/>
      <c r="L172" s="321"/>
      <c r="M172" s="321"/>
      <c r="N172" s="321"/>
      <c r="O172" s="321"/>
      <c r="P172" s="321"/>
      <c r="Q172" s="321">
        <v>2</v>
      </c>
      <c r="R172" s="321">
        <v>2</v>
      </c>
      <c r="S172" s="321">
        <v>2</v>
      </c>
      <c r="T172" s="321">
        <v>2</v>
      </c>
      <c r="U172" s="321">
        <v>2</v>
      </c>
      <c r="V172" s="321">
        <v>2</v>
      </c>
      <c r="W172" s="321">
        <v>2</v>
      </c>
      <c r="X172" s="321">
        <v>2</v>
      </c>
      <c r="Y172" s="321">
        <v>2</v>
      </c>
      <c r="Z172" s="321">
        <v>2</v>
      </c>
      <c r="AA172" s="321">
        <v>2</v>
      </c>
      <c r="AB172" s="321">
        <v>2</v>
      </c>
      <c r="AC172" s="321">
        <v>2</v>
      </c>
      <c r="AD172" s="321">
        <v>2</v>
      </c>
      <c r="AE172" s="321">
        <v>2</v>
      </c>
      <c r="AF172" s="321">
        <v>2</v>
      </c>
    </row>
    <row r="173" spans="1:32" s="462" customFormat="1" ht="15" customHeight="1">
      <c r="A173" s="9"/>
      <c r="B173" s="63"/>
      <c r="C173" s="16" t="s">
        <v>836</v>
      </c>
      <c r="D173" s="12" t="s">
        <v>48</v>
      </c>
      <c r="E173" s="16" t="s">
        <v>836</v>
      </c>
      <c r="F173" s="215"/>
      <c r="G173" s="321"/>
      <c r="H173" s="321"/>
      <c r="I173" s="321"/>
      <c r="J173" s="321"/>
      <c r="K173" s="321"/>
      <c r="L173" s="321"/>
      <c r="M173" s="321"/>
      <c r="N173" s="321"/>
      <c r="O173" s="321"/>
      <c r="P173" s="321"/>
      <c r="Q173" s="321">
        <v>3</v>
      </c>
      <c r="R173" s="321">
        <v>3</v>
      </c>
      <c r="S173" s="321">
        <v>3</v>
      </c>
      <c r="T173" s="321">
        <v>3</v>
      </c>
      <c r="U173" s="321">
        <v>3</v>
      </c>
      <c r="V173" s="321">
        <v>3</v>
      </c>
      <c r="W173" s="321">
        <v>3</v>
      </c>
      <c r="X173" s="321">
        <v>3</v>
      </c>
      <c r="Y173" s="321">
        <v>3</v>
      </c>
      <c r="Z173" s="321">
        <v>3</v>
      </c>
      <c r="AA173" s="321">
        <v>3</v>
      </c>
      <c r="AB173" s="321">
        <v>3</v>
      </c>
      <c r="AC173" s="321">
        <v>3</v>
      </c>
      <c r="AD173" s="321">
        <v>3</v>
      </c>
      <c r="AE173" s="321">
        <v>3</v>
      </c>
      <c r="AF173" s="321">
        <v>3</v>
      </c>
    </row>
    <row r="174" spans="1:32" s="462" customFormat="1" ht="15" customHeight="1">
      <c r="A174" s="9"/>
      <c r="B174" s="63"/>
      <c r="C174" s="16" t="s">
        <v>837</v>
      </c>
      <c r="D174" s="12" t="s">
        <v>48</v>
      </c>
      <c r="E174" s="16" t="s">
        <v>837</v>
      </c>
      <c r="F174" s="215"/>
      <c r="G174" s="321"/>
      <c r="H174" s="321"/>
      <c r="I174" s="321"/>
      <c r="J174" s="321"/>
      <c r="K174" s="321"/>
      <c r="L174" s="321"/>
      <c r="M174" s="321"/>
      <c r="N174" s="321"/>
      <c r="O174" s="321"/>
      <c r="P174" s="321"/>
      <c r="Q174" s="321">
        <v>4</v>
      </c>
      <c r="R174" s="321">
        <v>4</v>
      </c>
      <c r="S174" s="321">
        <v>4</v>
      </c>
      <c r="T174" s="321">
        <v>4</v>
      </c>
      <c r="U174" s="321">
        <v>4</v>
      </c>
      <c r="V174" s="321">
        <v>4</v>
      </c>
      <c r="W174" s="321">
        <v>4</v>
      </c>
      <c r="X174" s="321">
        <v>4</v>
      </c>
      <c r="Y174" s="321">
        <v>4</v>
      </c>
      <c r="Z174" s="321">
        <v>4</v>
      </c>
      <c r="AA174" s="321">
        <v>4</v>
      </c>
      <c r="AB174" s="321">
        <v>4</v>
      </c>
      <c r="AC174" s="321">
        <v>4</v>
      </c>
      <c r="AD174" s="321">
        <v>4</v>
      </c>
      <c r="AE174" s="321">
        <v>4</v>
      </c>
      <c r="AF174" s="321">
        <v>4</v>
      </c>
    </row>
    <row r="175" spans="1:32" s="462" customFormat="1" ht="15" customHeight="1">
      <c r="A175" s="9"/>
      <c r="B175" s="63"/>
      <c r="C175" s="16" t="s">
        <v>838</v>
      </c>
      <c r="D175" s="12" t="s">
        <v>48</v>
      </c>
      <c r="E175" s="16" t="s">
        <v>838</v>
      </c>
      <c r="F175" s="215"/>
      <c r="G175" s="321"/>
      <c r="H175" s="321"/>
      <c r="I175" s="321"/>
      <c r="J175" s="321"/>
      <c r="K175" s="321"/>
      <c r="L175" s="321"/>
      <c r="M175" s="321"/>
      <c r="N175" s="321"/>
      <c r="O175" s="321"/>
      <c r="P175" s="321"/>
      <c r="Q175" s="321">
        <v>5</v>
      </c>
      <c r="R175" s="321">
        <v>5</v>
      </c>
      <c r="S175" s="321">
        <v>5</v>
      </c>
      <c r="T175" s="321">
        <v>5</v>
      </c>
      <c r="U175" s="321">
        <v>5</v>
      </c>
      <c r="V175" s="321">
        <v>5</v>
      </c>
      <c r="W175" s="321">
        <v>5</v>
      </c>
      <c r="X175" s="321">
        <v>5</v>
      </c>
      <c r="Y175" s="321">
        <v>5</v>
      </c>
      <c r="Z175" s="321">
        <v>5</v>
      </c>
      <c r="AA175" s="321">
        <v>5</v>
      </c>
      <c r="AB175" s="321">
        <v>5</v>
      </c>
      <c r="AC175" s="321">
        <v>5</v>
      </c>
      <c r="AD175" s="321">
        <v>5</v>
      </c>
      <c r="AE175" s="321">
        <v>5</v>
      </c>
      <c r="AF175" s="321">
        <v>5</v>
      </c>
    </row>
    <row r="176" spans="1:32" s="462" customFormat="1" ht="15" customHeight="1">
      <c r="A176" s="9"/>
      <c r="B176" s="63"/>
      <c r="C176" s="16" t="s">
        <v>839</v>
      </c>
      <c r="D176" s="12" t="s">
        <v>48</v>
      </c>
      <c r="E176" s="16" t="s">
        <v>839</v>
      </c>
      <c r="F176" s="215"/>
      <c r="G176" s="321"/>
      <c r="H176" s="321"/>
      <c r="I176" s="321"/>
      <c r="J176" s="321"/>
      <c r="K176" s="321"/>
      <c r="L176" s="321"/>
      <c r="M176" s="321"/>
      <c r="N176" s="321"/>
      <c r="O176" s="321"/>
      <c r="P176" s="321"/>
      <c r="Q176" s="321">
        <v>6</v>
      </c>
      <c r="R176" s="321">
        <v>6</v>
      </c>
      <c r="S176" s="321">
        <v>6</v>
      </c>
      <c r="T176" s="321">
        <v>6</v>
      </c>
      <c r="U176" s="321">
        <v>6</v>
      </c>
      <c r="V176" s="321">
        <v>6</v>
      </c>
      <c r="W176" s="321">
        <v>6</v>
      </c>
      <c r="X176" s="321">
        <v>6</v>
      </c>
      <c r="Y176" s="321">
        <v>6</v>
      </c>
      <c r="Z176" s="321">
        <v>6</v>
      </c>
      <c r="AA176" s="321">
        <v>6</v>
      </c>
      <c r="AB176" s="321">
        <v>6</v>
      </c>
      <c r="AC176" s="321">
        <v>6</v>
      </c>
      <c r="AD176" s="321">
        <v>6</v>
      </c>
      <c r="AE176" s="321">
        <v>6</v>
      </c>
      <c r="AF176" s="321">
        <v>6</v>
      </c>
    </row>
    <row r="177" spans="1:32" s="462" customFormat="1" ht="15" customHeight="1">
      <c r="A177" s="9"/>
      <c r="B177" s="63"/>
      <c r="C177" s="16" t="s">
        <v>840</v>
      </c>
      <c r="D177" s="12" t="s">
        <v>48</v>
      </c>
      <c r="E177" s="16" t="s">
        <v>840</v>
      </c>
      <c r="F177" s="215"/>
      <c r="G177" s="321"/>
      <c r="H177" s="321"/>
      <c r="I177" s="321"/>
      <c r="J177" s="321"/>
      <c r="K177" s="321"/>
      <c r="L177" s="321"/>
      <c r="M177" s="321"/>
      <c r="N177" s="321"/>
      <c r="O177" s="321"/>
      <c r="P177" s="321"/>
      <c r="Q177" s="321">
        <v>7</v>
      </c>
      <c r="R177" s="321">
        <v>7</v>
      </c>
      <c r="S177" s="321">
        <v>7</v>
      </c>
      <c r="T177" s="321">
        <v>7</v>
      </c>
      <c r="U177" s="321">
        <v>7</v>
      </c>
      <c r="V177" s="321">
        <v>7</v>
      </c>
      <c r="W177" s="321">
        <v>7</v>
      </c>
      <c r="X177" s="321">
        <v>7</v>
      </c>
      <c r="Y177" s="321">
        <v>7</v>
      </c>
      <c r="Z177" s="321">
        <v>7</v>
      </c>
      <c r="AA177" s="321">
        <v>7</v>
      </c>
      <c r="AB177" s="321">
        <v>7</v>
      </c>
      <c r="AC177" s="321">
        <v>7</v>
      </c>
      <c r="AD177" s="321">
        <v>7</v>
      </c>
      <c r="AE177" s="321">
        <v>7</v>
      </c>
      <c r="AF177" s="321">
        <v>7</v>
      </c>
    </row>
    <row r="178" spans="1:32" s="462" customFormat="1" ht="15" customHeight="1">
      <c r="A178" s="9"/>
      <c r="B178" s="63"/>
      <c r="C178" s="16" t="s">
        <v>841</v>
      </c>
      <c r="D178" s="12" t="s">
        <v>48</v>
      </c>
      <c r="E178" s="16" t="s">
        <v>841</v>
      </c>
      <c r="F178" s="215"/>
      <c r="G178" s="321"/>
      <c r="H178" s="321"/>
      <c r="I178" s="321"/>
      <c r="J178" s="321"/>
      <c r="K178" s="321"/>
      <c r="L178" s="321"/>
      <c r="M178" s="321"/>
      <c r="N178" s="321"/>
      <c r="O178" s="321"/>
      <c r="P178" s="321"/>
      <c r="Q178" s="321">
        <v>8</v>
      </c>
      <c r="R178" s="321">
        <v>8</v>
      </c>
      <c r="S178" s="321">
        <v>8</v>
      </c>
      <c r="T178" s="321">
        <v>8</v>
      </c>
      <c r="U178" s="321">
        <v>8</v>
      </c>
      <c r="V178" s="321">
        <v>8</v>
      </c>
      <c r="W178" s="321">
        <v>8</v>
      </c>
      <c r="X178" s="321">
        <v>8</v>
      </c>
      <c r="Y178" s="321">
        <v>8</v>
      </c>
      <c r="Z178" s="321">
        <v>8</v>
      </c>
      <c r="AA178" s="321">
        <v>8</v>
      </c>
      <c r="AB178" s="321">
        <v>8</v>
      </c>
      <c r="AC178" s="321">
        <v>8</v>
      </c>
      <c r="AD178" s="321">
        <v>8</v>
      </c>
      <c r="AE178" s="321">
        <v>8</v>
      </c>
      <c r="AF178" s="321">
        <v>8</v>
      </c>
    </row>
    <row r="179" spans="1:32" s="462" customFormat="1" ht="15" customHeight="1">
      <c r="A179" s="9"/>
      <c r="B179" s="63"/>
      <c r="C179" s="16" t="s">
        <v>842</v>
      </c>
      <c r="D179" s="12" t="s">
        <v>48</v>
      </c>
      <c r="E179" s="16" t="s">
        <v>842</v>
      </c>
      <c r="F179" s="215"/>
      <c r="G179" s="321"/>
      <c r="H179" s="321"/>
      <c r="I179" s="321"/>
      <c r="J179" s="321"/>
      <c r="K179" s="321"/>
      <c r="L179" s="321"/>
      <c r="M179" s="321"/>
      <c r="N179" s="321"/>
      <c r="O179" s="321"/>
      <c r="P179" s="321"/>
      <c r="Q179" s="321">
        <v>9</v>
      </c>
      <c r="R179" s="321">
        <v>9</v>
      </c>
      <c r="S179" s="321">
        <v>9</v>
      </c>
      <c r="T179" s="321">
        <v>9</v>
      </c>
      <c r="U179" s="321">
        <v>9</v>
      </c>
      <c r="V179" s="321">
        <v>9</v>
      </c>
      <c r="W179" s="321">
        <v>9</v>
      </c>
      <c r="X179" s="321">
        <v>9</v>
      </c>
      <c r="Y179" s="321">
        <v>9</v>
      </c>
      <c r="Z179" s="321">
        <v>9</v>
      </c>
      <c r="AA179" s="321">
        <v>9</v>
      </c>
      <c r="AB179" s="321">
        <v>9</v>
      </c>
      <c r="AC179" s="321">
        <v>9</v>
      </c>
      <c r="AD179" s="321">
        <v>9</v>
      </c>
      <c r="AE179" s="321">
        <v>9</v>
      </c>
      <c r="AF179" s="321">
        <v>9</v>
      </c>
    </row>
    <row r="180" spans="1:32" s="462" customFormat="1" ht="15" customHeight="1">
      <c r="A180" s="9"/>
      <c r="B180" s="63"/>
      <c r="C180" s="16" t="s">
        <v>843</v>
      </c>
      <c r="D180" s="12" t="s">
        <v>48</v>
      </c>
      <c r="E180" s="16" t="s">
        <v>843</v>
      </c>
      <c r="F180" s="215"/>
      <c r="G180" s="321"/>
      <c r="H180" s="321"/>
      <c r="I180" s="321"/>
      <c r="J180" s="321"/>
      <c r="K180" s="321"/>
      <c r="L180" s="321"/>
      <c r="M180" s="321"/>
      <c r="N180" s="321"/>
      <c r="O180" s="321"/>
      <c r="P180" s="321"/>
      <c r="Q180" s="321">
        <v>10</v>
      </c>
      <c r="R180" s="321">
        <v>10</v>
      </c>
      <c r="S180" s="321">
        <v>10</v>
      </c>
      <c r="T180" s="321">
        <v>10</v>
      </c>
      <c r="U180" s="321">
        <v>10</v>
      </c>
      <c r="V180" s="321">
        <v>10</v>
      </c>
      <c r="W180" s="321">
        <v>10</v>
      </c>
      <c r="X180" s="321">
        <v>10</v>
      </c>
      <c r="Y180" s="321">
        <v>10</v>
      </c>
      <c r="Z180" s="321">
        <v>10</v>
      </c>
      <c r="AA180" s="321">
        <v>10</v>
      </c>
      <c r="AB180" s="321">
        <v>10</v>
      </c>
      <c r="AC180" s="321">
        <v>10</v>
      </c>
      <c r="AD180" s="321">
        <v>10</v>
      </c>
      <c r="AE180" s="321">
        <v>10</v>
      </c>
      <c r="AF180" s="321">
        <v>10</v>
      </c>
    </row>
    <row r="181" spans="1:32" s="462" customFormat="1" ht="15" customHeight="1">
      <c r="B181" s="463"/>
      <c r="C181" s="176"/>
      <c r="D181" s="179"/>
      <c r="E181" s="163"/>
      <c r="F181" s="532"/>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row>
    <row r="182" spans="1:32" s="462" customFormat="1" ht="15" customHeight="1">
      <c r="B182" s="463"/>
      <c r="C182" s="176"/>
      <c r="D182" s="179"/>
      <c r="E182" s="163"/>
      <c r="F182" s="532"/>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row>
    <row r="183" spans="1:32" s="462" customFormat="1" ht="15" customHeight="1">
      <c r="B183" s="463"/>
      <c r="C183" s="176"/>
      <c r="D183" s="179"/>
      <c r="E183" s="163"/>
      <c r="F183" s="532"/>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row>
    <row r="184" spans="1:32" s="462" customFormat="1" ht="15" customHeight="1">
      <c r="B184" s="463"/>
      <c r="C184" s="176"/>
      <c r="D184" s="179"/>
      <c r="E184" s="163"/>
      <c r="F184" s="532"/>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row>
    <row r="185" spans="1:32" s="462" customFormat="1" ht="15" customHeight="1">
      <c r="B185" s="463"/>
      <c r="C185" s="176"/>
      <c r="D185" s="179"/>
      <c r="E185" s="163"/>
      <c r="F185" s="532"/>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row>
    <row r="186" spans="1:32" s="462" customFormat="1" ht="15" customHeight="1">
      <c r="B186" s="463"/>
      <c r="C186" s="176"/>
      <c r="D186" s="179"/>
      <c r="E186" s="163"/>
      <c r="F186" s="532"/>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row>
    <row r="187" spans="1:32" s="462" customFormat="1" ht="15" customHeight="1">
      <c r="B187" s="463"/>
      <c r="C187" s="176"/>
      <c r="D187" s="179"/>
      <c r="E187" s="163"/>
      <c r="F187" s="532"/>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row>
    <row r="188" spans="1:32" s="462" customFormat="1" ht="15" customHeight="1">
      <c r="B188" s="463"/>
      <c r="C188" s="176"/>
      <c r="D188" s="179"/>
      <c r="E188" s="163"/>
      <c r="F188" s="532"/>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row>
    <row r="189" spans="1:32" s="462" customFormat="1" ht="15" customHeight="1">
      <c r="B189" s="463"/>
      <c r="C189" s="176"/>
      <c r="D189" s="179"/>
      <c r="E189" s="163"/>
      <c r="F189" s="532"/>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row>
    <row r="190" spans="1:32" s="462" customFormat="1" ht="15" customHeight="1">
      <c r="B190" s="463"/>
      <c r="C190" s="176"/>
      <c r="D190" s="179"/>
      <c r="E190" s="163"/>
      <c r="F190" s="532"/>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row>
    <row r="191" spans="1:32" s="462" customFormat="1" ht="15" customHeight="1">
      <c r="B191" s="463"/>
      <c r="C191" s="176"/>
      <c r="D191" s="179"/>
      <c r="E191" s="163"/>
      <c r="F191" s="532"/>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row>
    <row r="192" spans="1:32" s="462" customFormat="1" ht="15" customHeight="1">
      <c r="B192" s="463"/>
      <c r="C192" s="176"/>
      <c r="D192" s="179"/>
      <c r="E192" s="163"/>
      <c r="F192" s="532"/>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row>
    <row r="193" spans="2:32" s="462" customFormat="1" ht="15" customHeight="1">
      <c r="B193" s="464"/>
      <c r="C193" s="178"/>
      <c r="D193" s="181"/>
      <c r="E193" s="182"/>
      <c r="F193" s="533"/>
      <c r="G193" s="183"/>
      <c r="H193" s="183"/>
      <c r="I193" s="183"/>
      <c r="J193" s="183"/>
      <c r="K193" s="183"/>
      <c r="L193" s="183"/>
      <c r="M193" s="183"/>
      <c r="N193" s="183"/>
      <c r="O193" s="183"/>
      <c r="P193" s="183"/>
      <c r="Q193" s="183"/>
      <c r="R193" s="183"/>
      <c r="S193" s="183"/>
      <c r="T193" s="183"/>
      <c r="U193" s="183"/>
      <c r="V193" s="183"/>
      <c r="W193" s="183"/>
      <c r="X193" s="183"/>
      <c r="Y193" s="183"/>
      <c r="Z193" s="183"/>
      <c r="AA193" s="183"/>
      <c r="AB193" s="183"/>
      <c r="AC193" s="183"/>
      <c r="AD193" s="183"/>
      <c r="AE193" s="183"/>
      <c r="AF193" s="183"/>
    </row>
    <row r="194" spans="2:32" ht="15" customHeight="1">
      <c r="C194" s="21"/>
      <c r="D194" s="18"/>
      <c r="E194" s="18"/>
      <c r="F194" s="18"/>
      <c r="G194" s="17"/>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row>
    <row r="195" spans="2:32" ht="15" customHeight="1"/>
    <row r="196" spans="2:32" ht="15" customHeight="1"/>
    <row r="197" spans="2:32" ht="15" customHeight="1"/>
    <row r="198" spans="2:32" ht="15" customHeight="1"/>
    <row r="199" spans="2:32" ht="15" customHeight="1"/>
    <row r="200" spans="2:32" ht="15" customHeight="1"/>
    <row r="201" spans="2:32" ht="15" customHeight="1"/>
    <row r="202" spans="2:32" ht="15" customHeight="1"/>
    <row r="203" spans="2:32" ht="15" customHeight="1"/>
    <row r="204" spans="2:32" ht="15" customHeight="1"/>
    <row r="205" spans="2:32" ht="15" customHeight="1"/>
    <row r="206" spans="2:32" ht="15" customHeight="1"/>
    <row r="207" spans="2:32" ht="15" customHeight="1"/>
    <row r="208" spans="2: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14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1" operator="greaterThan" id="{B22263EE-DF5F-43FF-AC7D-0A6D26C0B63C}">
            <xm:f>ControlPanel!$D$59-1</xm:f>
            <x14:dxf>
              <font>
                <color rgb="FF9C6500"/>
              </font>
              <fill>
                <patternFill>
                  <fgColor indexed="64"/>
                  <bgColor rgb="FFFFEB9C"/>
                </patternFill>
              </fill>
            </x14:dxf>
          </x14:cfRule>
          <x14:cfRule type="cellIs" priority="2" operator="lessThan" id="{41F05496-8663-404E-8382-9FEED80CFD1D}">
            <xm:f>ControlPanel!$D$59</xm:f>
            <x14:dxf>
              <font>
                <color rgb="FF006100"/>
              </font>
              <fill>
                <patternFill>
                  <fgColor indexed="64"/>
                  <bgColor rgb="FFC6EFCE"/>
                </patternFill>
              </fill>
            </x14:dxf>
          </x14:cfRule>
          <x14:cfRule type="cellIs" priority="3" operator="lessThan" id="{87E9B0A4-769D-4158-8107-34443BF66FF3}">
            <xm:f>ControlPanel!$D$59+1</xm:f>
            <x14:dxf>
              <font>
                <color rgb="FF006100"/>
              </font>
              <fill>
                <patternFill>
                  <fgColor indexed="64"/>
                  <bgColor rgb="FFC6EFCE"/>
                </patternFill>
              </fill>
            </x14:dxf>
          </x14:cfRule>
          <xm:sqref>G4:AF4</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1">
    <tabColor theme="9" tint="0.39997558519241921"/>
    <pageSetUpPr fitToPage="1"/>
  </sheetPr>
  <dimension ref="A1:AE1359"/>
  <sheetViews>
    <sheetView zoomScaleNormal="100" workbookViewId="0">
      <selection activeCell="B13" sqref="B13"/>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64" t="s">
        <v>845</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17</v>
      </c>
      <c r="G5" s="323" t="s">
        <v>17</v>
      </c>
      <c r="H5" s="323" t="s">
        <v>17</v>
      </c>
      <c r="I5" s="323" t="s">
        <v>17</v>
      </c>
      <c r="J5" s="323" t="s">
        <v>17</v>
      </c>
      <c r="K5" s="323" t="s">
        <v>17</v>
      </c>
      <c r="L5" s="323" t="s">
        <v>17</v>
      </c>
      <c r="M5" s="323" t="s">
        <v>17</v>
      </c>
      <c r="N5" s="323" t="s">
        <v>17</v>
      </c>
      <c r="O5" s="323" t="s">
        <v>17</v>
      </c>
      <c r="P5" s="323" t="s">
        <v>17</v>
      </c>
      <c r="Q5" s="323" t="s">
        <v>17</v>
      </c>
      <c r="R5" s="323" t="s">
        <v>17</v>
      </c>
      <c r="S5" s="323" t="s">
        <v>17</v>
      </c>
      <c r="T5" s="323" t="s">
        <v>17</v>
      </c>
      <c r="U5" s="323" t="s">
        <v>17</v>
      </c>
      <c r="V5" s="323" t="s">
        <v>17</v>
      </c>
      <c r="W5" s="323" t="s">
        <v>17</v>
      </c>
      <c r="X5" s="323" t="s">
        <v>17</v>
      </c>
      <c r="Y5" s="323" t="s">
        <v>17</v>
      </c>
      <c r="Z5" s="323" t="s">
        <v>17</v>
      </c>
      <c r="AA5" s="323" t="s">
        <v>17</v>
      </c>
      <c r="AB5" s="323" t="s">
        <v>17</v>
      </c>
      <c r="AC5" s="323" t="s">
        <v>17</v>
      </c>
      <c r="AD5" s="323" t="s">
        <v>17</v>
      </c>
      <c r="AE5" s="323" t="s">
        <v>17</v>
      </c>
    </row>
    <row r="6" spans="1:31" ht="51.75" customHeight="1" thickBot="1">
      <c r="B6" s="170" t="str">
        <f>ControlPanel!L19</f>
        <v>Référence</v>
      </c>
      <c r="C6" s="15" t="str">
        <f>VLOOKUP($B$6,$B$7:$AE$25,2,FALSE)</f>
        <v>fh</v>
      </c>
      <c r="D6" s="486" t="str">
        <f>VLOOKUP($B$6,$B$7:$AE$25,3,FALSE)</f>
        <v>5 -&gt; 6 ct/kWh</v>
      </c>
      <c r="E6" s="648" t="str">
        <f>VLOOKUP($B$6,$B$7:$AE$25,4,FALSE)</f>
        <v>"2021: calcul de la surtaxe GRT 2020 pour 2021: 40,74 € / MWh, 2022-2023: valeur fixe au 14 octobre)
par la suite augmentation linéaire à 60 € / MWh en 2035 "</v>
      </c>
      <c r="F6" s="14">
        <f>IF(F$4&lt;ControlPanel!$D$59,VLOOKUP("Référence",$B$7:$AE$25,F$4-$F$4+5,FALSE),VLOOKUP($B$6,$B$7:$AE$25,F$4-$F$4+5,FALSE))</f>
        <v>53.650480000000002</v>
      </c>
      <c r="G6" s="14">
        <f>IF(G$4&lt;ControlPanel!$D$59,VLOOKUP("Référence",$B$7:$AE$25,G$4-$F$4+5,FALSE),VLOOKUP($B$6,$B$7:$AE$25,G$4-$F$4+5,FALSE))</f>
        <v>50.739089999999997</v>
      </c>
      <c r="H6" s="14">
        <f>IF(H$4&lt;ControlPanel!$D$59,VLOOKUP("Référence",$B$7:$AE$25,H$4-$F$4+5,FALSE),VLOOKUP($B$6,$B$7:$AE$25,H$4-$F$4+5,FALSE))</f>
        <v>55.22</v>
      </c>
      <c r="I6" s="14">
        <f>IF(I$4&lt;ControlPanel!$D$59,VLOOKUP("Référence",$B$7:$AE$25,I$4-$F$4+5,FALSE),VLOOKUP($B$6,$B$7:$AE$25,I$4-$F$4+5,FALSE))</f>
        <v>51.15</v>
      </c>
      <c r="J6" s="14">
        <f>IF(J$4&lt;ControlPanel!$D$59,VLOOKUP("Référence",$B$7:$AE$25,J$4-$F$4+5,FALSE),VLOOKUP($B$6,$B$7:$AE$25,J$4-$F$4+5,FALSE))</f>
        <v>41.45</v>
      </c>
      <c r="K6" s="14">
        <f>IF(K$4&lt;ControlPanel!$D$59,VLOOKUP("Référence",$B$7:$AE$25,K$4-$F$4+5,FALSE),VLOOKUP($B$6,$B$7:$AE$25,K$4-$F$4+5,FALSE))</f>
        <v>35.67</v>
      </c>
      <c r="L6" s="14">
        <f>IF(L$4&lt;ControlPanel!$D$59,VLOOKUP("Référence",$B$7:$AE$25,L$4-$F$4+5,FALSE),VLOOKUP($B$6,$B$7:$AE$25,L$4-$F$4+5,FALSE))</f>
        <v>31.26</v>
      </c>
      <c r="M6" s="14">
        <f>IF(M$4&lt;ControlPanel!$D$59,VLOOKUP("Référence",$B$7:$AE$25,M$4-$F$4+5,FALSE),VLOOKUP($B$6,$B$7:$AE$25,M$4-$F$4+5,FALSE))</f>
        <v>26.75</v>
      </c>
      <c r="N6" s="14">
        <f>IF(N$4&lt;ControlPanel!$D$59,VLOOKUP("Référence",$B$7:$AE$25,N$4-$F$4+5,FALSE),VLOOKUP($B$6,$B$7:$AE$25,N$4-$F$4+5,FALSE))</f>
        <v>32.22</v>
      </c>
      <c r="O6" s="14">
        <f>IF(O$4&lt;ControlPanel!$D$59,VLOOKUP("Référence",$B$7:$AE$25,O$4-$F$4+5,FALSE),VLOOKUP($B$6,$B$7:$AE$25,O$4-$F$4+5,FALSE))</f>
        <v>46.28</v>
      </c>
      <c r="P6" s="14">
        <f>IF(P$4&lt;ControlPanel!$D$59,VLOOKUP("Référence",$B$7:$AE$25,P$4-$F$4+5,FALSE),VLOOKUP($B$6,$B$7:$AE$25,P$4-$F$4+5,FALSE))</f>
        <v>49.34</v>
      </c>
      <c r="Q6" s="14">
        <f>IF(Q$4&lt;ControlPanel!$D$59,VLOOKUP("Référence",$B$7:$AE$25,Q$4-$F$4+5,FALSE),VLOOKUP($B$6,$B$7:$AE$25,Q$4-$F$4+5,FALSE))</f>
        <v>40.74</v>
      </c>
      <c r="R6" s="14">
        <f>IF(R$4&lt;ControlPanel!$D$59,VLOOKUP("Référence",$B$7:$AE$25,R$4-$F$4+5,FALSE),VLOOKUP($B$6,$B$7:$AE$25,R$4-$F$4+5,FALSE))</f>
        <v>43.62</v>
      </c>
      <c r="S6" s="14">
        <f>IF(S$4&lt;ControlPanel!$D$59,VLOOKUP("Référence",$B$7:$AE$25,S$4-$F$4+5,FALSE),VLOOKUP($B$6,$B$7:$AE$25,S$4-$F$4+5,FALSE))</f>
        <v>45.45</v>
      </c>
      <c r="T6" s="14">
        <f>IF(T$4&lt;ControlPanel!$D$59,VLOOKUP("Référence",$B$7:$AE$25,T$4-$F$4+5,FALSE),VLOOKUP($B$6,$B$7:$AE$25,T$4-$F$4+5,FALSE))</f>
        <v>46.662500000000001</v>
      </c>
      <c r="U6" s="14">
        <f>IF(U$4&lt;ControlPanel!$D$59,VLOOKUP("Référence",$B$7:$AE$25,U$4-$F$4+5,FALSE),VLOOKUP($B$6,$B$7:$AE$25,U$4-$F$4+5,FALSE))</f>
        <v>47.875</v>
      </c>
      <c r="V6" s="14">
        <f>IF(V$4&lt;ControlPanel!$D$59,VLOOKUP("Référence",$B$7:$AE$25,V$4-$F$4+5,FALSE),VLOOKUP($B$6,$B$7:$AE$25,V$4-$F$4+5,FALSE))</f>
        <v>49.087500000000006</v>
      </c>
      <c r="W6" s="14">
        <f>IF(W$4&lt;ControlPanel!$D$59,VLOOKUP("Référence",$B$7:$AE$25,W$4-$F$4+5,FALSE),VLOOKUP($B$6,$B$7:$AE$25,W$4-$F$4+5,FALSE))</f>
        <v>50.300000000000004</v>
      </c>
      <c r="X6" s="14">
        <f>IF(X$4&lt;ControlPanel!$D$59,VLOOKUP("Référence",$B$7:$AE$25,X$4-$F$4+5,FALSE),VLOOKUP($B$6,$B$7:$AE$25,X$4-$F$4+5,FALSE))</f>
        <v>51.512500000000003</v>
      </c>
      <c r="Y6" s="14">
        <f>IF(Y$4&lt;ControlPanel!$D$59,VLOOKUP("Référence",$B$7:$AE$25,Y$4-$F$4+5,FALSE),VLOOKUP($B$6,$B$7:$AE$25,Y$4-$F$4+5,FALSE))</f>
        <v>52.725000000000001</v>
      </c>
      <c r="Z6" s="14">
        <f>IF(Z$4&lt;ControlPanel!$D$59,VLOOKUP("Référence",$B$7:$AE$25,Z$4-$F$4+5,FALSE),VLOOKUP($B$6,$B$7:$AE$25,Z$4-$F$4+5,FALSE))</f>
        <v>53.9375</v>
      </c>
      <c r="AA6" s="14">
        <f>IF(AA$4&lt;ControlPanel!$D$59,VLOOKUP("Référence",$B$7:$AE$25,AA$4-$F$4+5,FALSE),VLOOKUP($B$6,$B$7:$AE$25,AA$4-$F$4+5,FALSE))</f>
        <v>55.15</v>
      </c>
      <c r="AB6" s="14">
        <f>IF(AB$4&lt;ControlPanel!$D$59,VLOOKUP("Référence",$B$7:$AE$25,AB$4-$F$4+5,FALSE),VLOOKUP($B$6,$B$7:$AE$25,AB$4-$F$4+5,FALSE))</f>
        <v>56.362500000000004</v>
      </c>
      <c r="AC6" s="14">
        <f>IF(AC$4&lt;ControlPanel!$D$59,VLOOKUP("Référence",$B$7:$AE$25,AC$4-$F$4+5,FALSE),VLOOKUP($B$6,$B$7:$AE$25,AC$4-$F$4+5,FALSE))</f>
        <v>57.575000000000003</v>
      </c>
      <c r="AD6" s="14">
        <f>IF(AD$4&lt;ControlPanel!$D$59,VLOOKUP("Référence",$B$7:$AE$25,AD$4-$F$4+5,FALSE),VLOOKUP($B$6,$B$7:$AE$25,AD$4-$F$4+5,FALSE))</f>
        <v>58.787500000000001</v>
      </c>
      <c r="AE6" s="14">
        <f>IF(AE$4&lt;ControlPanel!$D$59,VLOOKUP("Référence",$B$7:$AE$25,AE$4-$F$4+5,FALSE),VLOOKUP($B$6,$B$7:$AE$25,AE$4-$F$4+5,FALSE))</f>
        <v>60</v>
      </c>
    </row>
    <row r="7" spans="1:31" ht="66">
      <c r="B7" s="16" t="s">
        <v>409</v>
      </c>
      <c r="C7" s="12" t="s">
        <v>300</v>
      </c>
      <c r="D7" s="487" t="str">
        <f>TEXT(O7/10,"##,0")&amp;" -&gt; "&amp;TEXT(AE7/10,"##,0")&amp;" ct/kWh"</f>
        <v>5 -&gt; 6 ct/kWh</v>
      </c>
      <c r="E7" s="1133" t="s">
        <v>847</v>
      </c>
      <c r="F7" s="321">
        <v>53.650480000000002</v>
      </c>
      <c r="G7" s="321">
        <v>50.739089999999997</v>
      </c>
      <c r="H7" s="321">
        <v>55.22</v>
      </c>
      <c r="I7" s="321">
        <v>51.15</v>
      </c>
      <c r="J7" s="321">
        <v>41.45</v>
      </c>
      <c r="K7" s="321">
        <v>35.67</v>
      </c>
      <c r="L7" s="321">
        <v>31.26</v>
      </c>
      <c r="M7" s="321">
        <v>26.75</v>
      </c>
      <c r="N7" s="321">
        <v>32.22</v>
      </c>
      <c r="O7" s="321">
        <v>46.28</v>
      </c>
      <c r="P7" s="321">
        <v>49.34</v>
      </c>
      <c r="Q7" s="321">
        <v>40.74</v>
      </c>
      <c r="R7" s="321">
        <v>43.62</v>
      </c>
      <c r="S7" s="321">
        <v>45.45</v>
      </c>
      <c r="T7" s="321">
        <f>$S7+($AE7-$S7)*(T$4-$S$4)/($AE$4-$S$4)</f>
        <v>46.662500000000001</v>
      </c>
      <c r="U7" s="321">
        <f t="shared" ref="U7:AD7" si="0">$S7+($AE7-$S7)*(U$4-$S$4)/($AE$4-$S$4)</f>
        <v>47.875</v>
      </c>
      <c r="V7" s="321">
        <f t="shared" si="0"/>
        <v>49.087500000000006</v>
      </c>
      <c r="W7" s="321">
        <f t="shared" si="0"/>
        <v>50.300000000000004</v>
      </c>
      <c r="X7" s="321">
        <f t="shared" si="0"/>
        <v>51.512500000000003</v>
      </c>
      <c r="Y7" s="321">
        <f t="shared" si="0"/>
        <v>52.725000000000001</v>
      </c>
      <c r="Z7" s="321">
        <f t="shared" si="0"/>
        <v>53.9375</v>
      </c>
      <c r="AA7" s="321">
        <f t="shared" si="0"/>
        <v>55.15</v>
      </c>
      <c r="AB7" s="321">
        <f t="shared" si="0"/>
        <v>56.362500000000004</v>
      </c>
      <c r="AC7" s="321">
        <f t="shared" si="0"/>
        <v>57.575000000000003</v>
      </c>
      <c r="AD7" s="321">
        <f t="shared" si="0"/>
        <v>58.787500000000001</v>
      </c>
      <c r="AE7" s="321">
        <v>60</v>
      </c>
    </row>
    <row r="8" spans="1:31">
      <c r="B8" s="16" t="s">
        <v>851</v>
      </c>
      <c r="C8" s="322" t="s">
        <v>300</v>
      </c>
      <c r="D8" s="487" t="str">
        <f>TEXT(P8/10,"##,0")&amp;" -&gt; "&amp;TEXT(AE8/10,"##,0")&amp;" ct/kWh"</f>
        <v>5 -&gt; 6 ct/kWh</v>
      </c>
      <c r="E8" s="16" t="s">
        <v>848</v>
      </c>
      <c r="F8" s="321"/>
      <c r="G8" s="321"/>
      <c r="H8" s="321"/>
      <c r="I8" s="321"/>
      <c r="J8" s="321"/>
      <c r="K8" s="321"/>
      <c r="L8" s="321"/>
      <c r="M8" s="321"/>
      <c r="N8" s="321"/>
      <c r="O8" s="321"/>
      <c r="P8" s="321">
        <v>49.34</v>
      </c>
      <c r="Q8" s="321">
        <f>P8*1.015</f>
        <v>50.080100000000002</v>
      </c>
      <c r="R8" s="321">
        <f>Q8*1.015</f>
        <v>50.831301499999995</v>
      </c>
      <c r="S8" s="321">
        <f t="shared" ref="S8:AE8" si="1">R8*1.015</f>
        <v>51.593771022499993</v>
      </c>
      <c r="T8" s="321">
        <f t="shared" si="1"/>
        <v>52.367677587837491</v>
      </c>
      <c r="U8" s="321">
        <f t="shared" si="1"/>
        <v>53.153192751655048</v>
      </c>
      <c r="V8" s="321">
        <f t="shared" si="1"/>
        <v>53.950490642929871</v>
      </c>
      <c r="W8" s="321">
        <f t="shared" si="1"/>
        <v>54.759748002573815</v>
      </c>
      <c r="X8" s="321">
        <f t="shared" si="1"/>
        <v>55.581144222612416</v>
      </c>
      <c r="Y8" s="321">
        <f t="shared" si="1"/>
        <v>56.414861385951596</v>
      </c>
      <c r="Z8" s="321">
        <f t="shared" si="1"/>
        <v>57.261084306740862</v>
      </c>
      <c r="AA8" s="321">
        <f t="shared" si="1"/>
        <v>58.120000571341969</v>
      </c>
      <c r="AB8" s="321">
        <f t="shared" si="1"/>
        <v>58.991800579912095</v>
      </c>
      <c r="AC8" s="321">
        <f t="shared" si="1"/>
        <v>59.876677588610768</v>
      </c>
      <c r="AD8" s="321">
        <f t="shared" si="1"/>
        <v>60.774827752439926</v>
      </c>
      <c r="AE8" s="321">
        <f t="shared" si="1"/>
        <v>61.686450168726516</v>
      </c>
    </row>
    <row r="9" spans="1:31">
      <c r="B9" s="16" t="s">
        <v>355</v>
      </c>
      <c r="C9" s="322" t="s">
        <v>300</v>
      </c>
      <c r="D9" s="487" t="str">
        <f>TEXT(P9/10,"##,0")&amp;" -&gt; "&amp;TEXT(AE9/10,"##,0")&amp;" ct/kWh"</f>
        <v>5 -&gt; 5 ct/kWh</v>
      </c>
      <c r="E9" s="16" t="s">
        <v>849</v>
      </c>
      <c r="F9" s="321"/>
      <c r="G9" s="321"/>
      <c r="H9" s="321"/>
      <c r="I9" s="321"/>
      <c r="J9" s="321"/>
      <c r="K9" s="321"/>
      <c r="L9" s="321"/>
      <c r="M9" s="321"/>
      <c r="N9" s="321"/>
      <c r="O9" s="321"/>
      <c r="P9" s="321">
        <v>49.34</v>
      </c>
      <c r="Q9" s="321">
        <v>49.34</v>
      </c>
      <c r="R9" s="321">
        <v>49.34</v>
      </c>
      <c r="S9" s="321">
        <v>49.34</v>
      </c>
      <c r="T9" s="321">
        <v>49.34</v>
      </c>
      <c r="U9" s="321">
        <v>49.34</v>
      </c>
      <c r="V9" s="321">
        <v>49.34</v>
      </c>
      <c r="W9" s="321">
        <v>49.34</v>
      </c>
      <c r="X9" s="321">
        <v>49.34</v>
      </c>
      <c r="Y9" s="321">
        <v>49.34</v>
      </c>
      <c r="Z9" s="321">
        <v>49.34</v>
      </c>
      <c r="AA9" s="321">
        <v>49.34</v>
      </c>
      <c r="AB9" s="321">
        <v>49.34</v>
      </c>
      <c r="AC9" s="321">
        <v>49.34</v>
      </c>
      <c r="AD9" s="321">
        <v>49.34</v>
      </c>
      <c r="AE9" s="321">
        <v>49.34</v>
      </c>
    </row>
    <row r="10" spans="1:31">
      <c r="B10" s="16" t="s">
        <v>356</v>
      </c>
      <c r="C10" s="322" t="s">
        <v>300</v>
      </c>
      <c r="D10" s="487" t="str">
        <f>TEXT(P10/10,"##,0")&amp;" -&gt; "&amp;TEXT(AE10/10,"##,0")&amp;" ct/kWh"</f>
        <v>5 -&gt; 6 ct/kWh</v>
      </c>
      <c r="E10" s="16" t="str">
        <f>"Augmentation à  "&amp;TEXT(AE10,"##")&amp;" €/MWh"</f>
        <v>Augmentation à  55 €/MWh</v>
      </c>
      <c r="F10" s="321"/>
      <c r="G10" s="321"/>
      <c r="H10" s="321"/>
      <c r="I10" s="321"/>
      <c r="J10" s="321"/>
      <c r="K10" s="321"/>
      <c r="L10" s="321"/>
      <c r="M10" s="321"/>
      <c r="N10" s="321"/>
      <c r="O10" s="321"/>
      <c r="P10" s="321">
        <v>49.34</v>
      </c>
      <c r="Q10" s="321">
        <f>P10+($AE10-$O7)/($AE$4-$O$4)</f>
        <v>49.885000000000005</v>
      </c>
      <c r="R10" s="321">
        <f t="shared" ref="R10:AD10" si="2">Q10+($AE10-$O7)/($AE$4-$O$4)</f>
        <v>50.430000000000007</v>
      </c>
      <c r="S10" s="321">
        <f t="shared" si="2"/>
        <v>50.975000000000009</v>
      </c>
      <c r="T10" s="321">
        <f t="shared" si="2"/>
        <v>51.52000000000001</v>
      </c>
      <c r="U10" s="321">
        <f t="shared" si="2"/>
        <v>52.065000000000012</v>
      </c>
      <c r="V10" s="321">
        <f t="shared" si="2"/>
        <v>52.610000000000014</v>
      </c>
      <c r="W10" s="321">
        <f t="shared" si="2"/>
        <v>53.155000000000015</v>
      </c>
      <c r="X10" s="321">
        <f t="shared" si="2"/>
        <v>53.700000000000017</v>
      </c>
      <c r="Y10" s="321">
        <f t="shared" si="2"/>
        <v>54.245000000000019</v>
      </c>
      <c r="Z10" s="321">
        <f t="shared" si="2"/>
        <v>54.79000000000002</v>
      </c>
      <c r="AA10" s="321">
        <f t="shared" si="2"/>
        <v>55.335000000000022</v>
      </c>
      <c r="AB10" s="321">
        <f t="shared" si="2"/>
        <v>55.880000000000024</v>
      </c>
      <c r="AC10" s="321">
        <f t="shared" si="2"/>
        <v>56.425000000000026</v>
      </c>
      <c r="AD10" s="321">
        <f t="shared" si="2"/>
        <v>56.970000000000027</v>
      </c>
      <c r="AE10" s="321">
        <v>55</v>
      </c>
    </row>
    <row r="11" spans="1:31">
      <c r="B11" s="16" t="s">
        <v>357</v>
      </c>
      <c r="C11" s="322" t="s">
        <v>300</v>
      </c>
      <c r="D11" s="487" t="str">
        <f>TEXT(P11/10,"##,0")&amp;" -&gt; "&amp;TEXT(AE11/10,"##,0")&amp;" ct/kWh"</f>
        <v>5 -&gt; 7 ct/kWh</v>
      </c>
      <c r="E11" s="16" t="str">
        <f>"Augmentation à"&amp;TEXT(AE11,"##")&amp;" €/MWh"</f>
        <v>Augmentation à65 €/MWh</v>
      </c>
      <c r="F11" s="321"/>
      <c r="G11" s="321"/>
      <c r="H11" s="321"/>
      <c r="I11" s="321"/>
      <c r="J11" s="321"/>
      <c r="K11" s="321"/>
      <c r="L11" s="321"/>
      <c r="M11" s="321"/>
      <c r="N11" s="321"/>
      <c r="O11" s="321"/>
      <c r="P11" s="321">
        <v>49.34</v>
      </c>
      <c r="Q11" s="321">
        <f>P11+($AE11-$O7)/($AE$4-$O$4)</f>
        <v>50.510000000000005</v>
      </c>
      <c r="R11" s="321">
        <f t="shared" ref="R11:AD11" si="3">Q11+($AE11-$O7)/($AE$4-$O$4)</f>
        <v>51.680000000000007</v>
      </c>
      <c r="S11" s="321">
        <f t="shared" si="3"/>
        <v>52.850000000000009</v>
      </c>
      <c r="T11" s="321">
        <f t="shared" si="3"/>
        <v>54.02000000000001</v>
      </c>
      <c r="U11" s="321">
        <f t="shared" si="3"/>
        <v>55.190000000000012</v>
      </c>
      <c r="V11" s="321">
        <f t="shared" si="3"/>
        <v>56.360000000000014</v>
      </c>
      <c r="W11" s="321">
        <f t="shared" si="3"/>
        <v>57.530000000000015</v>
      </c>
      <c r="X11" s="321">
        <f t="shared" si="3"/>
        <v>58.700000000000017</v>
      </c>
      <c r="Y11" s="321">
        <f t="shared" si="3"/>
        <v>59.870000000000019</v>
      </c>
      <c r="Z11" s="321">
        <f t="shared" si="3"/>
        <v>61.04000000000002</v>
      </c>
      <c r="AA11" s="321">
        <f t="shared" si="3"/>
        <v>62.210000000000022</v>
      </c>
      <c r="AB11" s="321">
        <f t="shared" si="3"/>
        <v>63.380000000000024</v>
      </c>
      <c r="AC11" s="321">
        <f t="shared" si="3"/>
        <v>64.550000000000026</v>
      </c>
      <c r="AD11" s="321">
        <f t="shared" si="3"/>
        <v>65.720000000000027</v>
      </c>
      <c r="AE11" s="321">
        <v>65</v>
      </c>
    </row>
    <row r="12" spans="1:31" ht="79.2">
      <c r="B12" s="16" t="s">
        <v>852</v>
      </c>
      <c r="C12" s="12" t="s">
        <v>48</v>
      </c>
      <c r="D12" s="1200" t="str">
        <f>TEXT(O12/10,"##,0")&amp;" -&gt; "&amp;TEXT(AE12/10,"##,0")&amp;" ct/kWh"</f>
        <v>5 -&gt; 5 ct/kWh</v>
      </c>
      <c r="E12" s="1201" t="s">
        <v>850</v>
      </c>
      <c r="F12" s="321">
        <v>53.650480000000002</v>
      </c>
      <c r="G12" s="321">
        <v>50.739089999999997</v>
      </c>
      <c r="H12" s="321">
        <v>55.22</v>
      </c>
      <c r="I12" s="321">
        <v>51.15</v>
      </c>
      <c r="J12" s="321">
        <v>41.45</v>
      </c>
      <c r="K12" s="321">
        <v>35.67</v>
      </c>
      <c r="L12" s="321">
        <v>31.26</v>
      </c>
      <c r="M12" s="321">
        <v>26.75</v>
      </c>
      <c r="N12" s="321">
        <v>32.22</v>
      </c>
      <c r="O12" s="321">
        <v>46.28</v>
      </c>
      <c r="P12" s="321">
        <f>$O12+($AE12-$O12)*(P$4-$O$4)/($AE$4-$O$4)</f>
        <v>46.512500000000003</v>
      </c>
      <c r="Q12" s="321">
        <f>$O12+($AE12-$O12)*(Q$4-$O$4)/($AE$4-$O$4)</f>
        <v>46.745000000000005</v>
      </c>
      <c r="R12" s="321">
        <f t="shared" ref="R12:AC12" si="4">$O12+($AE12-$O12)*(R$4-$O$4)/($AE$4-$O$4)</f>
        <v>46.977499999999999</v>
      </c>
      <c r="S12" s="321">
        <f t="shared" si="4"/>
        <v>47.21</v>
      </c>
      <c r="T12" s="321">
        <f>$O12+($AE12-$O12)*(T$4-$O$4)/($AE$4-$O$4)</f>
        <v>47.442500000000003</v>
      </c>
      <c r="U12" s="321">
        <f t="shared" si="4"/>
        <v>47.674999999999997</v>
      </c>
      <c r="V12" s="321">
        <f t="shared" si="4"/>
        <v>47.907499999999999</v>
      </c>
      <c r="W12" s="321">
        <f t="shared" si="4"/>
        <v>48.14</v>
      </c>
      <c r="X12" s="321">
        <f t="shared" si="4"/>
        <v>48.372500000000002</v>
      </c>
      <c r="Y12" s="321">
        <f t="shared" si="4"/>
        <v>48.605000000000004</v>
      </c>
      <c r="Z12" s="321">
        <f t="shared" si="4"/>
        <v>48.837499999999999</v>
      </c>
      <c r="AA12" s="321">
        <f t="shared" si="4"/>
        <v>49.07</v>
      </c>
      <c r="AB12" s="321">
        <f t="shared" si="4"/>
        <v>49.302500000000002</v>
      </c>
      <c r="AC12" s="321">
        <f t="shared" si="4"/>
        <v>49.534999999999997</v>
      </c>
      <c r="AD12" s="321">
        <f>$O12+($AE12-$O12)*(AD$4-$O$4)/($AE$4-$O$4)</f>
        <v>49.767499999999998</v>
      </c>
      <c r="AE12" s="321">
        <v>50</v>
      </c>
    </row>
    <row r="13" spans="1:31">
      <c r="B13" s="176"/>
      <c r="C13" s="179"/>
      <c r="D13" s="592"/>
      <c r="E13" s="592"/>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row>
    <row r="14" spans="1:31">
      <c r="B14" s="176"/>
      <c r="C14" s="162"/>
      <c r="D14" s="176"/>
      <c r="E14" s="176"/>
      <c r="F14" s="1073"/>
      <c r="G14" s="1073"/>
      <c r="H14" s="1073"/>
      <c r="I14" s="1073"/>
      <c r="J14" s="1073"/>
      <c r="K14" s="1073"/>
      <c r="L14" s="1073"/>
      <c r="M14" s="1082"/>
      <c r="N14" s="1082"/>
      <c r="O14" s="180"/>
      <c r="P14" s="180"/>
      <c r="Q14" s="180"/>
      <c r="R14" s="180"/>
      <c r="S14" s="180"/>
      <c r="T14" s="180"/>
      <c r="U14" s="180"/>
      <c r="V14" s="180"/>
      <c r="W14" s="180"/>
      <c r="X14" s="180"/>
      <c r="Y14" s="180"/>
      <c r="Z14" s="180"/>
      <c r="AA14" s="180"/>
      <c r="AB14" s="180"/>
      <c r="AC14" s="180"/>
      <c r="AD14" s="180"/>
      <c r="AE14" s="180"/>
    </row>
    <row r="15" spans="1:31">
      <c r="B15" s="592"/>
      <c r="C15" s="179"/>
      <c r="D15" s="592"/>
      <c r="E15" s="592"/>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c r="B16" s="176"/>
      <c r="C16" s="179"/>
      <c r="D16" s="592"/>
      <c r="E16" s="59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c r="B17" s="176"/>
      <c r="C17" s="179"/>
      <c r="D17" s="592"/>
      <c r="E17" s="59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c r="B18" s="176"/>
      <c r="C18" s="162"/>
      <c r="D18" s="176"/>
      <c r="E18" s="592"/>
      <c r="F18" s="180"/>
      <c r="G18" s="180"/>
      <c r="H18" s="180"/>
      <c r="I18" s="180"/>
      <c r="J18" s="180"/>
      <c r="K18" s="161"/>
      <c r="L18" s="161"/>
      <c r="M18" s="161"/>
      <c r="N18" s="161"/>
      <c r="O18" s="161"/>
      <c r="P18" s="161"/>
      <c r="Q18" s="161"/>
      <c r="R18" s="161"/>
      <c r="S18" s="161"/>
      <c r="T18" s="161"/>
      <c r="U18" s="161"/>
      <c r="V18" s="161"/>
      <c r="W18" s="161"/>
      <c r="X18" s="161"/>
      <c r="Y18" s="161"/>
      <c r="Z18" s="161"/>
      <c r="AA18" s="161"/>
      <c r="AB18" s="161"/>
      <c r="AC18" s="161"/>
      <c r="AD18" s="161"/>
      <c r="AE18" s="161"/>
    </row>
    <row r="19" spans="2:31">
      <c r="B19" s="176"/>
      <c r="C19" s="179"/>
      <c r="D19" s="592"/>
      <c r="E19" s="176"/>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c r="B20" s="176"/>
      <c r="C20" s="179"/>
      <c r="D20" s="517"/>
      <c r="E20" s="163"/>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c r="B21" s="176"/>
      <c r="C21" s="179"/>
      <c r="D21" s="517"/>
      <c r="E21" s="163"/>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c r="B22" s="176"/>
      <c r="C22" s="179"/>
      <c r="D22" s="517"/>
      <c r="E22" s="163"/>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c r="B23" s="176"/>
      <c r="C23" s="179"/>
      <c r="D23" s="517"/>
      <c r="E23" s="163"/>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c r="B24" s="176"/>
      <c r="C24" s="179"/>
      <c r="D24" s="517"/>
      <c r="E24" s="163"/>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c r="B25" s="178"/>
      <c r="C25" s="181"/>
      <c r="D25" s="593"/>
      <c r="E25" s="182"/>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500-000000000000}"/>
  </hyperlinks>
  <pageMargins left="0.78740157480314965" right="0.78740157480314965" top="0.98425196850393704" bottom="0.98425196850393704" header="0.59055118110236227" footer="0.59055118110236227"/>
  <pageSetup paperSize="9" scale="84"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05" operator="greaterThan" id="{2149E094-AD2D-415B-AC8F-DBE291AB00DB}">
            <xm:f>ControlPanel!$D$59-1</xm:f>
            <x14:dxf>
              <font>
                <color rgb="FF9C6500"/>
              </font>
              <fill>
                <patternFill>
                  <bgColor rgb="FFFFEB9C"/>
                </patternFill>
              </fill>
            </x14:dxf>
          </x14:cfRule>
          <x14:cfRule type="cellIs" priority="706" operator="lessThan" id="{35BC31FA-5959-49C7-9DE3-10974EF8966A}">
            <xm:f>ControlPanel!$D$59</xm:f>
            <x14:dxf>
              <font>
                <color rgb="FF006100"/>
              </font>
              <fill>
                <patternFill>
                  <bgColor rgb="FFC6EFCE"/>
                </patternFill>
              </fill>
            </x14:dxf>
          </x14:cfRule>
          <xm:sqref>F4:AE4</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5">
    <tabColor theme="9" tint="0.39997558519241921"/>
    <pageSetUpPr fitToPage="1"/>
  </sheetPr>
  <dimension ref="A1:AE1359"/>
  <sheetViews>
    <sheetView zoomScaleNormal="100" workbookViewId="0">
      <selection activeCell="E16" sqref="E16"/>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64" t="s">
        <v>853</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20</v>
      </c>
      <c r="G5" s="323" t="s">
        <v>20</v>
      </c>
      <c r="H5" s="323" t="s">
        <v>20</v>
      </c>
      <c r="I5" s="323" t="s">
        <v>20</v>
      </c>
      <c r="J5" s="323" t="s">
        <v>20</v>
      </c>
      <c r="K5" s="323" t="s">
        <v>20</v>
      </c>
      <c r="L5" s="323" t="s">
        <v>20</v>
      </c>
      <c r="M5" s="323" t="s">
        <v>20</v>
      </c>
      <c r="N5" s="323" t="s">
        <v>20</v>
      </c>
      <c r="O5" s="323" t="s">
        <v>20</v>
      </c>
      <c r="P5" s="323" t="s">
        <v>20</v>
      </c>
      <c r="Q5" s="323" t="s">
        <v>20</v>
      </c>
      <c r="R5" s="323" t="s">
        <v>20</v>
      </c>
      <c r="S5" s="323" t="s">
        <v>20</v>
      </c>
      <c r="T5" s="323" t="s">
        <v>20</v>
      </c>
      <c r="U5" s="323" t="s">
        <v>20</v>
      </c>
      <c r="V5" s="323" t="s">
        <v>20</v>
      </c>
      <c r="W5" s="323" t="s">
        <v>20</v>
      </c>
      <c r="X5" s="323" t="s">
        <v>20</v>
      </c>
      <c r="Y5" s="323" t="s">
        <v>20</v>
      </c>
      <c r="Z5" s="323" t="s">
        <v>20</v>
      </c>
      <c r="AA5" s="323" t="s">
        <v>20</v>
      </c>
      <c r="AB5" s="323" t="s">
        <v>20</v>
      </c>
      <c r="AC5" s="323" t="s">
        <v>20</v>
      </c>
      <c r="AD5" s="323" t="s">
        <v>20</v>
      </c>
      <c r="AE5" s="323" t="s">
        <v>20</v>
      </c>
    </row>
    <row r="6" spans="1:31" ht="48" customHeight="1" thickBot="1">
      <c r="B6" s="170" t="str">
        <f>ControlPanel!L20</f>
        <v>Référence</v>
      </c>
      <c r="C6" s="15" t="str">
        <f>VLOOKUP($B$6,$B$7:$AE$25,2,FALSE)</f>
        <v>fh</v>
      </c>
      <c r="D6" s="486" t="str">
        <f>VLOOKUP($B$6,$B$7:$AE$25,3,FALSE)</f>
        <v>Calcul des prélèvements GRT, puis 6%</v>
      </c>
      <c r="E6" s="486" t="str">
        <f>VLOOKUP($B$6,$B$7:$AE$25,4,FALSE)</f>
        <v>jusqu'en 2020: prévisions annuelles GRT,
après: 6%</v>
      </c>
      <c r="F6" s="38">
        <f>IF(F$4&lt;ControlPanel!$D$59,VLOOKUP("Référence",$B$7:$AE$25,F$4-$F$4+5,FALSE),VLOOKUP($B$6,$B$7:$AE$25,F$4-$F$4+5,FALSE))</f>
        <v>0</v>
      </c>
      <c r="G6" s="38">
        <f>IF(G$4&lt;ControlPanel!$D$59,VLOOKUP("Référence",$B$7:$AE$25,G$4-$F$4+5,FALSE),VLOOKUP($B$6,$B$7:$AE$25,G$4-$F$4+5,FALSE))</f>
        <v>0</v>
      </c>
      <c r="H6" s="38">
        <f>IF(H$4&lt;ControlPanel!$D$59,VLOOKUP("Référence",$B$7:$AE$25,H$4-$F$4+5,FALSE),VLOOKUP($B$6,$B$7:$AE$25,H$4-$F$4+5,FALSE))</f>
        <v>0.03</v>
      </c>
      <c r="I6" s="38">
        <f>IF(I$4&lt;ControlPanel!$D$59,VLOOKUP("Référence",$B$7:$AE$25,I$4-$F$4+5,FALSE),VLOOKUP($B$6,$B$7:$AE$25,I$4-$F$4+5,FALSE))</f>
        <v>0.1</v>
      </c>
      <c r="J6" s="38">
        <f>IF(J$4&lt;ControlPanel!$D$59,VLOOKUP("Référence",$B$7:$AE$25,J$4-$F$4+5,FALSE),VLOOKUP($B$6,$B$7:$AE$25,J$4-$F$4+5,FALSE))</f>
        <v>0.1</v>
      </c>
      <c r="K6" s="38">
        <f>IF(K$4&lt;ControlPanel!$D$59,VLOOKUP("Référence",$B$7:$AE$25,K$4-$F$4+5,FALSE),VLOOKUP($B$6,$B$7:$AE$25,K$4-$F$4+5,FALSE))</f>
        <v>0.1</v>
      </c>
      <c r="L6" s="38">
        <f>IF(L$4&lt;ControlPanel!$D$59,VLOOKUP("Référence",$B$7:$AE$25,L$4-$F$4+5,FALSE),VLOOKUP($B$6,$B$7:$AE$25,L$4-$F$4+5,FALSE))</f>
        <v>0.1</v>
      </c>
      <c r="M6" s="38">
        <f>IF(M$4&lt;ControlPanel!$D$59,VLOOKUP("Référence",$B$7:$AE$25,M$4-$F$4+5,FALSE),VLOOKUP($B$6,$B$7:$AE$25,M$4-$F$4+5,FALSE))</f>
        <v>0.06</v>
      </c>
      <c r="N6" s="14">
        <f>IF(N$4&lt;ControlPanel!$D$59,VLOOKUP("Référence",$B$7:$AE$25,N$4-$F$4+5,FALSE),VLOOKUP($B$6,$B$7:$AE$25,N$4-$F$4+5,FALSE))</f>
        <v>0.06</v>
      </c>
      <c r="O6" s="14">
        <f>IF(O$4&lt;ControlPanel!$D$59,VLOOKUP("Référence",$B$7:$AE$25,O$4-$F$4+5,FALSE),VLOOKUP($B$6,$B$7:$AE$25,O$4-$F$4+5,FALSE))</f>
        <v>0.06</v>
      </c>
      <c r="P6" s="14">
        <f>IF(P$4&lt;ControlPanel!$D$59,VLOOKUP("Référence",$B$7:$AE$25,P$4-$F$4+5,FALSE),VLOOKUP($B$6,$B$7:$AE$25,P$4-$F$4+5,FALSE))</f>
        <v>0.08</v>
      </c>
      <c r="Q6" s="14">
        <f>IF(Q$4&lt;ControlPanel!$D$59,VLOOKUP("Référence",$B$7:$AE$25,Q$4-$F$4+5,FALSE),VLOOKUP($B$6,$B$7:$AE$25,Q$4-$F$4+5,FALSE))</f>
        <v>0.1</v>
      </c>
      <c r="R6" s="14">
        <f>IF(R$4&lt;ControlPanel!$D$59,VLOOKUP("Référence",$B$7:$AE$25,R$4-$F$4+5,FALSE),VLOOKUP($B$6,$B$7:$AE$25,R$4-$F$4+5,FALSE))</f>
        <v>0.06</v>
      </c>
      <c r="S6" s="14">
        <f>IF(S$4&lt;ControlPanel!$D$59,VLOOKUP("Référence",$B$7:$AE$25,S$4-$F$4+5,FALSE),VLOOKUP($B$6,$B$7:$AE$25,S$4-$F$4+5,FALSE))</f>
        <v>0.06</v>
      </c>
      <c r="T6" s="14">
        <f>IF(T$4&lt;ControlPanel!$D$59,VLOOKUP("Référence",$B$7:$AE$25,T$4-$F$4+5,FALSE),VLOOKUP($B$6,$B$7:$AE$25,T$4-$F$4+5,FALSE))</f>
        <v>0.06</v>
      </c>
      <c r="U6" s="14">
        <f>IF(U$4&lt;ControlPanel!$D$59,VLOOKUP("Référence",$B$7:$AE$25,U$4-$F$4+5,FALSE),VLOOKUP($B$6,$B$7:$AE$25,U$4-$F$4+5,FALSE))</f>
        <v>0.06</v>
      </c>
      <c r="V6" s="14">
        <f>IF(V$4&lt;ControlPanel!$D$59,VLOOKUP("Référence",$B$7:$AE$25,V$4-$F$4+5,FALSE),VLOOKUP($B$6,$B$7:$AE$25,V$4-$F$4+5,FALSE))</f>
        <v>0.06</v>
      </c>
      <c r="W6" s="14">
        <f>IF(W$4&lt;ControlPanel!$D$59,VLOOKUP("Référence",$B$7:$AE$25,W$4-$F$4+5,FALSE),VLOOKUP($B$6,$B$7:$AE$25,W$4-$F$4+5,FALSE))</f>
        <v>0.06</v>
      </c>
      <c r="X6" s="14">
        <f>IF(X$4&lt;ControlPanel!$D$59,VLOOKUP("Référence",$B$7:$AE$25,X$4-$F$4+5,FALSE),VLOOKUP($B$6,$B$7:$AE$25,X$4-$F$4+5,FALSE))</f>
        <v>0.06</v>
      </c>
      <c r="Y6" s="14">
        <f>IF(Y$4&lt;ControlPanel!$D$59,VLOOKUP("Référence",$B$7:$AE$25,Y$4-$F$4+5,FALSE),VLOOKUP($B$6,$B$7:$AE$25,Y$4-$F$4+5,FALSE))</f>
        <v>0.06</v>
      </c>
      <c r="Z6" s="14">
        <f>IF(Z$4&lt;ControlPanel!$D$59,VLOOKUP("Référence",$B$7:$AE$25,Z$4-$F$4+5,FALSE),VLOOKUP($B$6,$B$7:$AE$25,Z$4-$F$4+5,FALSE))</f>
        <v>0.06</v>
      </c>
      <c r="AA6" s="14">
        <f>IF(AA$4&lt;ControlPanel!$D$59,VLOOKUP("Référence",$B$7:$AE$25,AA$4-$F$4+5,FALSE),VLOOKUP($B$6,$B$7:$AE$25,AA$4-$F$4+5,FALSE))</f>
        <v>0.06</v>
      </c>
      <c r="AB6" s="14">
        <f>IF(AB$4&lt;ControlPanel!$D$59,VLOOKUP("Référence",$B$7:$AE$25,AB$4-$F$4+5,FALSE),VLOOKUP($B$6,$B$7:$AE$25,AB$4-$F$4+5,FALSE))</f>
        <v>0.06</v>
      </c>
      <c r="AC6" s="14">
        <f>IF(AC$4&lt;ControlPanel!$D$59,VLOOKUP("Référence",$B$7:$AE$25,AC$4-$F$4+5,FALSE),VLOOKUP($B$6,$B$7:$AE$25,AC$4-$F$4+5,FALSE))</f>
        <v>0.06</v>
      </c>
      <c r="AD6" s="14">
        <f>IF(AD$4&lt;ControlPanel!$D$59,VLOOKUP("Référence",$B$7:$AE$25,AD$4-$F$4+5,FALSE),VLOOKUP($B$6,$B$7:$AE$25,AD$4-$F$4+5,FALSE))</f>
        <v>0.06</v>
      </c>
      <c r="AE6" s="14">
        <f>IF(AE$4&lt;ControlPanel!$D$59,VLOOKUP("Référence",$B$7:$AE$25,AE$4-$F$4+5,FALSE),VLOOKUP($B$6,$B$7:$AE$25,AE$4-$F$4+5,FALSE))</f>
        <v>0.06</v>
      </c>
    </row>
    <row r="7" spans="1:31" ht="26.4">
      <c r="B7" s="16" t="s">
        <v>409</v>
      </c>
      <c r="C7" s="12" t="s">
        <v>300</v>
      </c>
      <c r="D7" s="1204" t="s">
        <v>855</v>
      </c>
      <c r="E7" s="488" t="s">
        <v>854</v>
      </c>
      <c r="F7" s="225">
        <v>0</v>
      </c>
      <c r="G7" s="225">
        <v>0</v>
      </c>
      <c r="H7" s="225">
        <v>0.03</v>
      </c>
      <c r="I7" s="225">
        <v>0.1</v>
      </c>
      <c r="J7" s="225">
        <v>0.1</v>
      </c>
      <c r="K7" s="225">
        <v>0.1</v>
      </c>
      <c r="L7" s="225">
        <v>0.1</v>
      </c>
      <c r="M7" s="225">
        <v>0.06</v>
      </c>
      <c r="N7" s="225">
        <v>0.06</v>
      </c>
      <c r="O7" s="225">
        <v>0.06</v>
      </c>
      <c r="P7" s="225">
        <v>0.08</v>
      </c>
      <c r="Q7" s="225">
        <v>0.1</v>
      </c>
      <c r="R7" s="225">
        <v>0.06</v>
      </c>
      <c r="S7" s="225">
        <v>0.06</v>
      </c>
      <c r="T7" s="225">
        <v>0.06</v>
      </c>
      <c r="U7" s="225">
        <v>0.06</v>
      </c>
      <c r="V7" s="225">
        <v>0.06</v>
      </c>
      <c r="W7" s="225">
        <v>0.06</v>
      </c>
      <c r="X7" s="225">
        <v>0.06</v>
      </c>
      <c r="Y7" s="225">
        <v>0.06</v>
      </c>
      <c r="Z7" s="225">
        <v>0.06</v>
      </c>
      <c r="AA7" s="225">
        <v>0.06</v>
      </c>
      <c r="AB7" s="225">
        <v>0.06</v>
      </c>
      <c r="AC7" s="225">
        <v>0.06</v>
      </c>
      <c r="AD7" s="225">
        <v>0.06</v>
      </c>
      <c r="AE7" s="225">
        <v>0.06</v>
      </c>
    </row>
    <row r="8" spans="1:31" ht="15" customHeight="1">
      <c r="B8" s="169" t="str">
        <f>P8*100&amp;"%"</f>
        <v>0%</v>
      </c>
      <c r="C8" s="1147" t="s">
        <v>48</v>
      </c>
      <c r="D8" s="169" t="str">
        <f t="shared" ref="D8:D18" si="0">B8&amp;" à partir de  2020"</f>
        <v>0% à partir de  2020</v>
      </c>
      <c r="E8" s="536" t="str">
        <f>D8</f>
        <v>0% à partir de  2020</v>
      </c>
      <c r="F8" s="225"/>
      <c r="G8" s="225"/>
      <c r="H8" s="225"/>
      <c r="I8" s="225"/>
      <c r="J8" s="225"/>
      <c r="K8" s="225"/>
      <c r="L8" s="225"/>
      <c r="M8" s="225"/>
      <c r="N8" s="225"/>
      <c r="O8" s="225"/>
      <c r="P8" s="225">
        <v>0</v>
      </c>
      <c r="Q8" s="225">
        <v>0</v>
      </c>
      <c r="R8" s="225">
        <v>0</v>
      </c>
      <c r="S8" s="225">
        <v>0</v>
      </c>
      <c r="T8" s="225">
        <v>0</v>
      </c>
      <c r="U8" s="225">
        <v>0</v>
      </c>
      <c r="V8" s="225">
        <v>0</v>
      </c>
      <c r="W8" s="225">
        <v>0</v>
      </c>
      <c r="X8" s="225">
        <v>0</v>
      </c>
      <c r="Y8" s="225">
        <v>0</v>
      </c>
      <c r="Z8" s="225">
        <v>0</v>
      </c>
      <c r="AA8" s="225">
        <v>0</v>
      </c>
      <c r="AB8" s="225">
        <v>0</v>
      </c>
      <c r="AC8" s="225">
        <v>0</v>
      </c>
      <c r="AD8" s="225">
        <v>0</v>
      </c>
      <c r="AE8" s="225">
        <v>0</v>
      </c>
    </row>
    <row r="9" spans="1:31" ht="15" customHeight="1">
      <c r="B9" s="169" t="str">
        <f t="shared" ref="B9:B18" si="1">P9*100&amp;"%"</f>
        <v>1%</v>
      </c>
      <c r="C9" s="322" t="s">
        <v>48</v>
      </c>
      <c r="D9" s="169" t="str">
        <f t="shared" si="0"/>
        <v>1% à partir de  2020</v>
      </c>
      <c r="E9" s="534" t="str">
        <f t="shared" ref="E9:E18" si="2">D9</f>
        <v>1% à partir de  2020</v>
      </c>
      <c r="F9" s="225"/>
      <c r="G9" s="225"/>
      <c r="H9" s="225"/>
      <c r="I9" s="225"/>
      <c r="J9" s="225"/>
      <c r="K9" s="225"/>
      <c r="L9" s="225"/>
      <c r="M9" s="225"/>
      <c r="N9" s="225"/>
      <c r="O9" s="225"/>
      <c r="P9" s="225">
        <v>0.01</v>
      </c>
      <c r="Q9" s="225">
        <v>0.01</v>
      </c>
      <c r="R9" s="225">
        <v>0.01</v>
      </c>
      <c r="S9" s="225">
        <v>0.01</v>
      </c>
      <c r="T9" s="225">
        <v>0.01</v>
      </c>
      <c r="U9" s="225">
        <v>0.01</v>
      </c>
      <c r="V9" s="225">
        <v>0.01</v>
      </c>
      <c r="W9" s="225">
        <v>0.01</v>
      </c>
      <c r="X9" s="225">
        <v>0.01</v>
      </c>
      <c r="Y9" s="225">
        <v>0.01</v>
      </c>
      <c r="Z9" s="225">
        <v>0.01</v>
      </c>
      <c r="AA9" s="225">
        <v>0.01</v>
      </c>
      <c r="AB9" s="225">
        <v>0.01</v>
      </c>
      <c r="AC9" s="225">
        <v>0.01</v>
      </c>
      <c r="AD9" s="225">
        <v>0.01</v>
      </c>
      <c r="AE9" s="225">
        <v>0.01</v>
      </c>
    </row>
    <row r="10" spans="1:31" ht="15" customHeight="1">
      <c r="B10" s="169" t="str">
        <f t="shared" si="1"/>
        <v>2%</v>
      </c>
      <c r="C10" s="322" t="s">
        <v>48</v>
      </c>
      <c r="D10" s="169" t="str">
        <f t="shared" si="0"/>
        <v>2% à partir de  2020</v>
      </c>
      <c r="E10" s="534" t="str">
        <f t="shared" si="2"/>
        <v>2% à partir de  2020</v>
      </c>
      <c r="F10" s="225"/>
      <c r="G10" s="225"/>
      <c r="H10" s="225"/>
      <c r="I10" s="225"/>
      <c r="J10" s="225"/>
      <c r="K10" s="225"/>
      <c r="L10" s="225"/>
      <c r="M10" s="225"/>
      <c r="N10" s="225"/>
      <c r="O10" s="225"/>
      <c r="P10" s="225">
        <v>0.02</v>
      </c>
      <c r="Q10" s="225">
        <v>0.02</v>
      </c>
      <c r="R10" s="225">
        <v>0.02</v>
      </c>
      <c r="S10" s="225">
        <v>0.02</v>
      </c>
      <c r="T10" s="225">
        <v>0.02</v>
      </c>
      <c r="U10" s="225">
        <v>0.02</v>
      </c>
      <c r="V10" s="225">
        <v>0.02</v>
      </c>
      <c r="W10" s="225">
        <v>0.02</v>
      </c>
      <c r="X10" s="225">
        <v>0.02</v>
      </c>
      <c r="Y10" s="225">
        <v>0.02</v>
      </c>
      <c r="Z10" s="225">
        <v>0.02</v>
      </c>
      <c r="AA10" s="225">
        <v>0.02</v>
      </c>
      <c r="AB10" s="225">
        <v>0.02</v>
      </c>
      <c r="AC10" s="225">
        <v>0.02</v>
      </c>
      <c r="AD10" s="225">
        <v>0.02</v>
      </c>
      <c r="AE10" s="225">
        <v>0.02</v>
      </c>
    </row>
    <row r="11" spans="1:31" ht="15" customHeight="1">
      <c r="B11" s="169" t="str">
        <f t="shared" si="1"/>
        <v>3%</v>
      </c>
      <c r="C11" s="322" t="s">
        <v>48</v>
      </c>
      <c r="D11" s="169" t="str">
        <f t="shared" si="0"/>
        <v>3% à partir de  2020</v>
      </c>
      <c r="E11" s="534" t="str">
        <f t="shared" si="2"/>
        <v>3% à partir de  2020</v>
      </c>
      <c r="F11" s="225"/>
      <c r="G11" s="225"/>
      <c r="H11" s="225"/>
      <c r="I11" s="225"/>
      <c r="J11" s="225"/>
      <c r="K11" s="225"/>
      <c r="L11" s="225"/>
      <c r="M11" s="225"/>
      <c r="N11" s="225"/>
      <c r="O11" s="225"/>
      <c r="P11" s="225">
        <v>0.03</v>
      </c>
      <c r="Q11" s="225">
        <v>0.03</v>
      </c>
      <c r="R11" s="225">
        <v>0.03</v>
      </c>
      <c r="S11" s="225">
        <v>0.03</v>
      </c>
      <c r="T11" s="225">
        <v>0.03</v>
      </c>
      <c r="U11" s="225">
        <v>0.03</v>
      </c>
      <c r="V11" s="225">
        <v>0.03</v>
      </c>
      <c r="W11" s="225">
        <v>0.03</v>
      </c>
      <c r="X11" s="225">
        <v>0.03</v>
      </c>
      <c r="Y11" s="225">
        <v>0.03</v>
      </c>
      <c r="Z11" s="225">
        <v>0.03</v>
      </c>
      <c r="AA11" s="225">
        <v>0.03</v>
      </c>
      <c r="AB11" s="225">
        <v>0.03</v>
      </c>
      <c r="AC11" s="225">
        <v>0.03</v>
      </c>
      <c r="AD11" s="225">
        <v>0.03</v>
      </c>
      <c r="AE11" s="225">
        <v>0.03</v>
      </c>
    </row>
    <row r="12" spans="1:31" ht="15" customHeight="1">
      <c r="B12" s="169" t="str">
        <f t="shared" si="1"/>
        <v>4%</v>
      </c>
      <c r="C12" s="322" t="s">
        <v>48</v>
      </c>
      <c r="D12" s="169" t="str">
        <f t="shared" si="0"/>
        <v>4% à partir de  2020</v>
      </c>
      <c r="E12" s="534" t="str">
        <f t="shared" si="2"/>
        <v>4% à partir de  2020</v>
      </c>
      <c r="F12" s="225"/>
      <c r="G12" s="225"/>
      <c r="H12" s="225"/>
      <c r="I12" s="225"/>
      <c r="J12" s="225"/>
      <c r="K12" s="225"/>
      <c r="L12" s="225"/>
      <c r="M12" s="225"/>
      <c r="N12" s="225"/>
      <c r="O12" s="225"/>
      <c r="P12" s="225">
        <v>0.04</v>
      </c>
      <c r="Q12" s="225">
        <v>0.04</v>
      </c>
      <c r="R12" s="225">
        <v>0.04</v>
      </c>
      <c r="S12" s="225">
        <v>0.04</v>
      </c>
      <c r="T12" s="225">
        <v>0.04</v>
      </c>
      <c r="U12" s="225">
        <v>0.04</v>
      </c>
      <c r="V12" s="225">
        <v>0.04</v>
      </c>
      <c r="W12" s="225">
        <v>0.04</v>
      </c>
      <c r="X12" s="225">
        <v>0.04</v>
      </c>
      <c r="Y12" s="225">
        <v>0.04</v>
      </c>
      <c r="Z12" s="225">
        <v>0.04</v>
      </c>
      <c r="AA12" s="225">
        <v>0.04</v>
      </c>
      <c r="AB12" s="225">
        <v>0.04</v>
      </c>
      <c r="AC12" s="225">
        <v>0.04</v>
      </c>
      <c r="AD12" s="225">
        <v>0.04</v>
      </c>
      <c r="AE12" s="225">
        <v>0.04</v>
      </c>
    </row>
    <row r="13" spans="1:31" ht="15" customHeight="1">
      <c r="B13" s="169" t="str">
        <f t="shared" si="1"/>
        <v>5%</v>
      </c>
      <c r="C13" s="322" t="s">
        <v>48</v>
      </c>
      <c r="D13" s="169" t="str">
        <f t="shared" si="0"/>
        <v>5% à partir de  2020</v>
      </c>
      <c r="E13" s="534" t="str">
        <f t="shared" si="2"/>
        <v>5% à partir de  2020</v>
      </c>
      <c r="F13" s="225"/>
      <c r="G13" s="225"/>
      <c r="H13" s="225"/>
      <c r="I13" s="225"/>
      <c r="J13" s="225"/>
      <c r="K13" s="225"/>
      <c r="L13" s="225"/>
      <c r="M13" s="225"/>
      <c r="N13" s="225"/>
      <c r="O13" s="225"/>
      <c r="P13" s="225">
        <v>0.05</v>
      </c>
      <c r="Q13" s="225">
        <v>0.05</v>
      </c>
      <c r="R13" s="225">
        <v>0.05</v>
      </c>
      <c r="S13" s="225">
        <v>0.05</v>
      </c>
      <c r="T13" s="225">
        <v>0.05</v>
      </c>
      <c r="U13" s="225">
        <v>0.05</v>
      </c>
      <c r="V13" s="225">
        <v>0.05</v>
      </c>
      <c r="W13" s="225">
        <v>0.05</v>
      </c>
      <c r="X13" s="225">
        <v>0.05</v>
      </c>
      <c r="Y13" s="225">
        <v>0.05</v>
      </c>
      <c r="Z13" s="225">
        <v>0.05</v>
      </c>
      <c r="AA13" s="225">
        <v>0.05</v>
      </c>
      <c r="AB13" s="225">
        <v>0.05</v>
      </c>
      <c r="AC13" s="225">
        <v>0.05</v>
      </c>
      <c r="AD13" s="225">
        <v>0.05</v>
      </c>
      <c r="AE13" s="225">
        <v>0.05</v>
      </c>
    </row>
    <row r="14" spans="1:31" ht="15" customHeight="1">
      <c r="B14" s="169" t="str">
        <f t="shared" si="1"/>
        <v>6%</v>
      </c>
      <c r="C14" s="322" t="s">
        <v>48</v>
      </c>
      <c r="D14" s="169" t="str">
        <f t="shared" si="0"/>
        <v>6% à partir de  2020</v>
      </c>
      <c r="E14" s="534" t="str">
        <f t="shared" si="2"/>
        <v>6% à partir de  2020</v>
      </c>
      <c r="F14" s="225"/>
      <c r="G14" s="225"/>
      <c r="H14" s="225"/>
      <c r="I14" s="225"/>
      <c r="J14" s="225"/>
      <c r="K14" s="225"/>
      <c r="L14" s="225"/>
      <c r="M14" s="225"/>
      <c r="N14" s="225"/>
      <c r="O14" s="225"/>
      <c r="P14" s="225">
        <v>0.06</v>
      </c>
      <c r="Q14" s="225">
        <v>0.06</v>
      </c>
      <c r="R14" s="225">
        <v>0.06</v>
      </c>
      <c r="S14" s="225">
        <v>0.06</v>
      </c>
      <c r="T14" s="225">
        <v>0.06</v>
      </c>
      <c r="U14" s="225">
        <v>0.06</v>
      </c>
      <c r="V14" s="225">
        <v>0.06</v>
      </c>
      <c r="W14" s="225">
        <v>0.06</v>
      </c>
      <c r="X14" s="225">
        <v>0.06</v>
      </c>
      <c r="Y14" s="225">
        <v>0.06</v>
      </c>
      <c r="Z14" s="225">
        <v>0.06</v>
      </c>
      <c r="AA14" s="225">
        <v>0.06</v>
      </c>
      <c r="AB14" s="225">
        <v>0.06</v>
      </c>
      <c r="AC14" s="225">
        <v>0.06</v>
      </c>
      <c r="AD14" s="225">
        <v>0.06</v>
      </c>
      <c r="AE14" s="225">
        <v>0.06</v>
      </c>
    </row>
    <row r="15" spans="1:31" ht="15" customHeight="1">
      <c r="B15" s="169" t="str">
        <f t="shared" si="1"/>
        <v>7%</v>
      </c>
      <c r="C15" s="322" t="s">
        <v>48</v>
      </c>
      <c r="D15" s="169" t="str">
        <f t="shared" si="0"/>
        <v>7% à partir de  2020</v>
      </c>
      <c r="E15" s="534" t="str">
        <f t="shared" si="2"/>
        <v>7% à partir de  2020</v>
      </c>
      <c r="F15" s="225"/>
      <c r="G15" s="225"/>
      <c r="H15" s="225"/>
      <c r="I15" s="225"/>
      <c r="J15" s="225"/>
      <c r="K15" s="225"/>
      <c r="L15" s="225"/>
      <c r="M15" s="225"/>
      <c r="N15" s="225"/>
      <c r="O15" s="225"/>
      <c r="P15" s="225">
        <v>7.0000000000000007E-2</v>
      </c>
      <c r="Q15" s="225">
        <v>7.0000000000000007E-2</v>
      </c>
      <c r="R15" s="225">
        <v>7.0000000000000007E-2</v>
      </c>
      <c r="S15" s="225">
        <v>7.0000000000000007E-2</v>
      </c>
      <c r="T15" s="225">
        <v>7.0000000000000007E-2</v>
      </c>
      <c r="U15" s="225">
        <v>7.0000000000000007E-2</v>
      </c>
      <c r="V15" s="225">
        <v>7.0000000000000007E-2</v>
      </c>
      <c r="W15" s="225">
        <v>7.0000000000000007E-2</v>
      </c>
      <c r="X15" s="225">
        <v>7.0000000000000007E-2</v>
      </c>
      <c r="Y15" s="225">
        <v>7.0000000000000007E-2</v>
      </c>
      <c r="Z15" s="225">
        <v>7.0000000000000007E-2</v>
      </c>
      <c r="AA15" s="225">
        <v>7.0000000000000007E-2</v>
      </c>
      <c r="AB15" s="225">
        <v>7.0000000000000007E-2</v>
      </c>
      <c r="AC15" s="225">
        <v>7.0000000000000007E-2</v>
      </c>
      <c r="AD15" s="225">
        <v>7.0000000000000007E-2</v>
      </c>
      <c r="AE15" s="225">
        <v>7.0000000000000007E-2</v>
      </c>
    </row>
    <row r="16" spans="1:31" ht="15" customHeight="1">
      <c r="B16" s="169" t="str">
        <f t="shared" si="1"/>
        <v>8%</v>
      </c>
      <c r="C16" s="12" t="s">
        <v>48</v>
      </c>
      <c r="D16" s="169" t="str">
        <f t="shared" si="0"/>
        <v>8% à partir de  2020</v>
      </c>
      <c r="E16" s="215" t="str">
        <f t="shared" si="2"/>
        <v>8% à partir de  2020</v>
      </c>
      <c r="F16" s="225"/>
      <c r="G16" s="225"/>
      <c r="H16" s="225"/>
      <c r="I16" s="225"/>
      <c r="J16" s="225"/>
      <c r="K16" s="225"/>
      <c r="L16" s="225"/>
      <c r="M16" s="225"/>
      <c r="N16" s="225"/>
      <c r="O16" s="225"/>
      <c r="P16" s="225">
        <v>0.08</v>
      </c>
      <c r="Q16" s="225">
        <v>0.08</v>
      </c>
      <c r="R16" s="225">
        <v>0.08</v>
      </c>
      <c r="S16" s="225">
        <v>0.08</v>
      </c>
      <c r="T16" s="225">
        <v>0.08</v>
      </c>
      <c r="U16" s="225">
        <v>0.08</v>
      </c>
      <c r="V16" s="225">
        <v>0.08</v>
      </c>
      <c r="W16" s="225">
        <v>0.08</v>
      </c>
      <c r="X16" s="225">
        <v>0.08</v>
      </c>
      <c r="Y16" s="225">
        <v>0.08</v>
      </c>
      <c r="Z16" s="225">
        <v>0.08</v>
      </c>
      <c r="AA16" s="225">
        <v>0.08</v>
      </c>
      <c r="AB16" s="225">
        <v>0.08</v>
      </c>
      <c r="AC16" s="225">
        <v>0.08</v>
      </c>
      <c r="AD16" s="225">
        <v>0.08</v>
      </c>
      <c r="AE16" s="225">
        <v>0.08</v>
      </c>
    </row>
    <row r="17" spans="2:31" ht="15" customHeight="1">
      <c r="B17" s="169" t="str">
        <f t="shared" si="1"/>
        <v>9%</v>
      </c>
      <c r="C17" s="12" t="s">
        <v>48</v>
      </c>
      <c r="D17" s="169" t="str">
        <f t="shared" si="0"/>
        <v>9% à partir de  2020</v>
      </c>
      <c r="E17" s="215" t="str">
        <f t="shared" si="2"/>
        <v>9% à partir de  2020</v>
      </c>
      <c r="F17" s="225"/>
      <c r="G17" s="225"/>
      <c r="H17" s="225"/>
      <c r="I17" s="225"/>
      <c r="J17" s="225"/>
      <c r="K17" s="225"/>
      <c r="L17" s="225"/>
      <c r="M17" s="225"/>
      <c r="N17" s="225"/>
      <c r="O17" s="225"/>
      <c r="P17" s="225">
        <v>0.09</v>
      </c>
      <c r="Q17" s="225">
        <v>0.09</v>
      </c>
      <c r="R17" s="225">
        <v>0.09</v>
      </c>
      <c r="S17" s="225">
        <v>0.09</v>
      </c>
      <c r="T17" s="225">
        <v>0.09</v>
      </c>
      <c r="U17" s="225">
        <v>0.09</v>
      </c>
      <c r="V17" s="225">
        <v>0.09</v>
      </c>
      <c r="W17" s="225">
        <v>0.09</v>
      </c>
      <c r="X17" s="225">
        <v>0.09</v>
      </c>
      <c r="Y17" s="225">
        <v>0.09</v>
      </c>
      <c r="Z17" s="225">
        <v>0.09</v>
      </c>
      <c r="AA17" s="225">
        <v>0.09</v>
      </c>
      <c r="AB17" s="225">
        <v>0.09</v>
      </c>
      <c r="AC17" s="225">
        <v>0.09</v>
      </c>
      <c r="AD17" s="225">
        <v>0.09</v>
      </c>
      <c r="AE17" s="225">
        <v>0.09</v>
      </c>
    </row>
    <row r="18" spans="2:31" ht="15" customHeight="1">
      <c r="B18" s="169" t="str">
        <f t="shared" si="1"/>
        <v>10%</v>
      </c>
      <c r="C18" s="12" t="s">
        <v>48</v>
      </c>
      <c r="D18" s="169" t="str">
        <f t="shared" si="0"/>
        <v>10% à partir de  2020</v>
      </c>
      <c r="E18" s="215" t="str">
        <f t="shared" si="2"/>
        <v>10% à partir de  2020</v>
      </c>
      <c r="F18" s="225"/>
      <c r="G18" s="225"/>
      <c r="H18" s="225"/>
      <c r="I18" s="225"/>
      <c r="J18" s="225"/>
      <c r="K18" s="225"/>
      <c r="L18" s="225"/>
      <c r="M18" s="225"/>
      <c r="N18" s="225"/>
      <c r="O18" s="225"/>
      <c r="P18" s="225">
        <v>0.1</v>
      </c>
      <c r="Q18" s="225">
        <v>0.1</v>
      </c>
      <c r="R18" s="225">
        <v>0.1</v>
      </c>
      <c r="S18" s="225">
        <v>0.1</v>
      </c>
      <c r="T18" s="225">
        <v>0.1</v>
      </c>
      <c r="U18" s="225">
        <v>0.1</v>
      </c>
      <c r="V18" s="225">
        <v>0.1</v>
      </c>
      <c r="W18" s="225">
        <v>0.1</v>
      </c>
      <c r="X18" s="225">
        <v>0.1</v>
      </c>
      <c r="Y18" s="225">
        <v>0.1</v>
      </c>
      <c r="Z18" s="225">
        <v>0.1</v>
      </c>
      <c r="AA18" s="225">
        <v>0.1</v>
      </c>
      <c r="AB18" s="225">
        <v>0.1</v>
      </c>
      <c r="AC18" s="225">
        <v>0.1</v>
      </c>
      <c r="AD18" s="225">
        <v>0.1</v>
      </c>
      <c r="AE18" s="225">
        <v>0.1</v>
      </c>
    </row>
    <row r="19" spans="2:31" ht="15" customHeight="1">
      <c r="B19" s="176"/>
      <c r="C19" s="179"/>
      <c r="D19" s="163"/>
      <c r="E19" s="532"/>
      <c r="F19" s="523"/>
      <c r="G19" s="523"/>
      <c r="H19" s="523"/>
      <c r="I19" s="523"/>
      <c r="J19" s="523"/>
      <c r="K19" s="523"/>
      <c r="L19" s="523"/>
      <c r="M19" s="523"/>
      <c r="N19" s="180"/>
      <c r="O19" s="180"/>
      <c r="P19" s="180"/>
      <c r="Q19" s="180"/>
      <c r="R19" s="180"/>
      <c r="S19" s="180"/>
      <c r="T19" s="180"/>
      <c r="U19" s="180"/>
      <c r="V19" s="180"/>
      <c r="W19" s="180"/>
      <c r="X19" s="180"/>
      <c r="Y19" s="180"/>
      <c r="Z19" s="180"/>
      <c r="AA19" s="180"/>
      <c r="AB19" s="180"/>
      <c r="AC19" s="180"/>
      <c r="AD19" s="180"/>
      <c r="AE19" s="180"/>
    </row>
    <row r="20" spans="2:31" ht="15" customHeight="1">
      <c r="B20" s="176"/>
      <c r="C20" s="179"/>
      <c r="D20" s="163"/>
      <c r="E20" s="532"/>
      <c r="F20" s="523"/>
      <c r="G20" s="523"/>
      <c r="H20" s="523"/>
      <c r="I20" s="523"/>
      <c r="J20" s="523"/>
      <c r="K20" s="523"/>
      <c r="L20" s="523"/>
      <c r="M20" s="523"/>
      <c r="N20" s="180"/>
      <c r="O20" s="180"/>
      <c r="P20" s="180"/>
      <c r="Q20" s="180"/>
      <c r="R20" s="180"/>
      <c r="S20" s="180"/>
      <c r="T20" s="180"/>
      <c r="U20" s="180"/>
      <c r="V20" s="180"/>
      <c r="W20" s="180"/>
      <c r="X20" s="180"/>
      <c r="Y20" s="180"/>
      <c r="Z20" s="180"/>
      <c r="AA20" s="180"/>
      <c r="AB20" s="180"/>
      <c r="AC20" s="180"/>
      <c r="AD20" s="180"/>
      <c r="AE20" s="180"/>
    </row>
    <row r="21" spans="2:31" ht="15" customHeight="1">
      <c r="B21" s="176"/>
      <c r="C21" s="179"/>
      <c r="D21" s="163"/>
      <c r="E21" s="532"/>
      <c r="F21" s="523"/>
      <c r="G21" s="523"/>
      <c r="H21" s="523"/>
      <c r="I21" s="523"/>
      <c r="J21" s="523"/>
      <c r="K21" s="523"/>
      <c r="L21" s="523"/>
      <c r="M21" s="523"/>
      <c r="N21" s="180"/>
      <c r="O21" s="180"/>
      <c r="P21" s="180"/>
      <c r="Q21" s="180"/>
      <c r="R21" s="180"/>
      <c r="S21" s="180"/>
      <c r="T21" s="180"/>
      <c r="U21" s="180"/>
      <c r="V21" s="180"/>
      <c r="W21" s="180"/>
      <c r="X21" s="180"/>
      <c r="Y21" s="180"/>
      <c r="Z21" s="180"/>
      <c r="AA21" s="180"/>
      <c r="AB21" s="180"/>
      <c r="AC21" s="180"/>
      <c r="AD21" s="180"/>
      <c r="AE21" s="180"/>
    </row>
    <row r="22" spans="2:31" ht="15" customHeight="1">
      <c r="B22" s="176"/>
      <c r="C22" s="179"/>
      <c r="D22" s="163"/>
      <c r="E22" s="532"/>
      <c r="F22" s="523"/>
      <c r="G22" s="523"/>
      <c r="H22" s="523"/>
      <c r="I22" s="523"/>
      <c r="J22" s="523"/>
      <c r="K22" s="523"/>
      <c r="L22" s="523"/>
      <c r="M22" s="523"/>
      <c r="N22" s="180"/>
      <c r="O22" s="180"/>
      <c r="P22" s="180"/>
      <c r="Q22" s="180"/>
      <c r="R22" s="180"/>
      <c r="S22" s="180"/>
      <c r="T22" s="180"/>
      <c r="U22" s="180"/>
      <c r="V22" s="180"/>
      <c r="W22" s="180"/>
      <c r="X22" s="180"/>
      <c r="Y22" s="180"/>
      <c r="Z22" s="180"/>
      <c r="AA22" s="180"/>
      <c r="AB22" s="180"/>
      <c r="AC22" s="180"/>
      <c r="AD22" s="180"/>
      <c r="AE22" s="180"/>
    </row>
    <row r="23" spans="2:31" ht="15" customHeight="1">
      <c r="B23" s="176"/>
      <c r="C23" s="179"/>
      <c r="D23" s="163"/>
      <c r="E23" s="532"/>
      <c r="F23" s="523"/>
      <c r="G23" s="523"/>
      <c r="H23" s="523"/>
      <c r="I23" s="523"/>
      <c r="J23" s="523"/>
      <c r="K23" s="523"/>
      <c r="L23" s="523"/>
      <c r="M23" s="523"/>
      <c r="N23" s="180"/>
      <c r="O23" s="180"/>
      <c r="P23" s="180"/>
      <c r="Q23" s="180"/>
      <c r="R23" s="180"/>
      <c r="S23" s="180"/>
      <c r="T23" s="180"/>
      <c r="U23" s="180"/>
      <c r="V23" s="180"/>
      <c r="W23" s="180"/>
      <c r="X23" s="180"/>
      <c r="Y23" s="180"/>
      <c r="Z23" s="180"/>
      <c r="AA23" s="180"/>
      <c r="AB23" s="180"/>
      <c r="AC23" s="180"/>
      <c r="AD23" s="180"/>
      <c r="AE23" s="180"/>
    </row>
    <row r="24" spans="2:31" ht="15" customHeight="1">
      <c r="B24" s="176"/>
      <c r="C24" s="179"/>
      <c r="D24" s="163"/>
      <c r="E24" s="532"/>
      <c r="F24" s="523"/>
      <c r="G24" s="523"/>
      <c r="H24" s="523"/>
      <c r="I24" s="523"/>
      <c r="J24" s="523"/>
      <c r="K24" s="523"/>
      <c r="L24" s="523"/>
      <c r="M24" s="523"/>
      <c r="N24" s="180"/>
      <c r="O24" s="180"/>
      <c r="P24" s="180"/>
      <c r="Q24" s="180"/>
      <c r="R24" s="180"/>
      <c r="S24" s="180"/>
      <c r="T24" s="180"/>
      <c r="U24" s="180"/>
      <c r="V24" s="180"/>
      <c r="W24" s="180"/>
      <c r="X24" s="180"/>
      <c r="Y24" s="180"/>
      <c r="Z24" s="180"/>
      <c r="AA24" s="180"/>
      <c r="AB24" s="180"/>
      <c r="AC24" s="180"/>
      <c r="AD24" s="180"/>
      <c r="AE24" s="180"/>
    </row>
    <row r="25" spans="2:31" ht="15" customHeight="1">
      <c r="B25" s="178"/>
      <c r="C25" s="181"/>
      <c r="D25" s="182"/>
      <c r="E25" s="533"/>
      <c r="F25" s="524"/>
      <c r="G25" s="524"/>
      <c r="H25" s="524"/>
      <c r="I25" s="524"/>
      <c r="J25" s="524"/>
      <c r="K25" s="524"/>
      <c r="L25" s="524"/>
      <c r="M25" s="524"/>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600-000000000000}"/>
  </hyperlinks>
  <pageMargins left="0.78740157480314965" right="0.78740157480314965" top="0.98425196850393704" bottom="0.98425196850393704" header="0.59055118110236227" footer="0.59055118110236227"/>
  <pageSetup paperSize="9" scale="84"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09" operator="greaterThan" id="{00000000-0000-0000-0000-000000000000}">
            <xm:f>ControlPanel!$D$59-1</xm:f>
            <x14:dxf>
              <font>
                <color rgb="FF9C6500"/>
              </font>
              <fill>
                <patternFill>
                  <fgColor indexed="64"/>
                  <bgColor rgb="FFFFEB9C"/>
                </patternFill>
              </fill>
            </x14:dxf>
          </x14:cfRule>
          <x14:cfRule type="cellIs" priority="710" operator="lessThan" id="{00000000-0000-0000-0000-000000000000}">
            <xm:f>ControlPanel!$D$59</xm:f>
            <x14:dxf>
              <font>
                <color rgb="FF006100"/>
              </font>
              <fill>
                <patternFill>
                  <fgColor indexed="64"/>
                  <bgColor rgb="FFC6EFCE"/>
                </patternFill>
              </fill>
            </x14:dxf>
          </x14:cfRule>
          <xm:sqref>F4:AE4</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27">
    <tabColor theme="9" tint="0.39997558519241921"/>
    <pageSetUpPr fitToPage="1"/>
  </sheetPr>
  <dimension ref="A1:AE1359"/>
  <sheetViews>
    <sheetView zoomScaleNormal="100" workbookViewId="0">
      <selection activeCell="D13" sqref="D13"/>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393</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26</v>
      </c>
      <c r="G5" s="323" t="s">
        <v>26</v>
      </c>
      <c r="H5" s="323" t="s">
        <v>26</v>
      </c>
      <c r="I5" s="323" t="s">
        <v>26</v>
      </c>
      <c r="J5" s="323" t="s">
        <v>26</v>
      </c>
      <c r="K5" s="323" t="s">
        <v>26</v>
      </c>
      <c r="L5" s="323" t="s">
        <v>26</v>
      </c>
      <c r="M5" s="323" t="s">
        <v>26</v>
      </c>
      <c r="N5" s="323" t="s">
        <v>26</v>
      </c>
      <c r="O5" s="323" t="s">
        <v>26</v>
      </c>
      <c r="P5" s="323" t="s">
        <v>26</v>
      </c>
      <c r="Q5" s="323" t="s">
        <v>26</v>
      </c>
      <c r="R5" s="323" t="s">
        <v>26</v>
      </c>
      <c r="S5" s="323" t="s">
        <v>26</v>
      </c>
      <c r="T5" s="323" t="s">
        <v>26</v>
      </c>
      <c r="U5" s="323" t="s">
        <v>26</v>
      </c>
      <c r="V5" s="323" t="s">
        <v>26</v>
      </c>
      <c r="W5" s="323" t="s">
        <v>26</v>
      </c>
      <c r="X5" s="323" t="s">
        <v>26</v>
      </c>
      <c r="Y5" s="323" t="s">
        <v>26</v>
      </c>
      <c r="Z5" s="323" t="s">
        <v>26</v>
      </c>
      <c r="AA5" s="323" t="s">
        <v>26</v>
      </c>
      <c r="AB5" s="323" t="s">
        <v>26</v>
      </c>
      <c r="AC5" s="323" t="s">
        <v>26</v>
      </c>
      <c r="AD5" s="323" t="s">
        <v>26</v>
      </c>
      <c r="AE5" s="323" t="s">
        <v>26</v>
      </c>
    </row>
    <row r="6" spans="1:31" ht="27" thickBot="1">
      <c r="B6" s="171" t="str">
        <f>ControlPanel!L26</f>
        <v>Référence</v>
      </c>
      <c r="C6" s="15" t="str">
        <f>VLOOKUP($B$6,$B$7:$AE$25,2,FALSE)</f>
        <v>fh</v>
      </c>
      <c r="D6" s="486" t="str">
        <f>VLOOKUP($B$6,$B$7:$AE$25,3,FALSE)</f>
        <v>2021: calcul GRT 2020. Par la suite constante</v>
      </c>
      <c r="E6" s="486" t="str">
        <f>VLOOKUP($B$6,$B$7:$AE$25,4,FALSE)</f>
        <v>Valeur officielle des prévisions GRT jusqu'en 2025, constante par la suite</v>
      </c>
      <c r="F6" s="14">
        <f>IF(F$4&lt;ControlPanel!$D$59,VLOOKUP("Référence",$B$7:$AE$25,F$4-$F$4+5,FALSE),VLOOKUP($B$6,$B$7:$AE$25,F$4-$F$4+5,FALSE))</f>
        <v>535.4</v>
      </c>
      <c r="G6" s="14">
        <f>IF(G$4&lt;ControlPanel!$D$59,VLOOKUP("Référence",$B$7:$AE$25,G$4-$F$4+5,FALSE),VLOOKUP($B$6,$B$7:$AE$25,G$4-$F$4+5,FALSE))</f>
        <v>536.79999999999995</v>
      </c>
      <c r="H6" s="14">
        <f>IF(H$4&lt;ControlPanel!$D$59,VLOOKUP("Référence",$B$7:$AE$25,H$4-$F$4+5,FALSE),VLOOKUP($B$6,$B$7:$AE$25,H$4-$F$4+5,FALSE))</f>
        <v>540.29999999999995</v>
      </c>
      <c r="I6" s="14">
        <f>IF(I$4&lt;ControlPanel!$D$59,VLOOKUP("Référence",$B$7:$AE$25,I$4-$F$4+5,FALSE),VLOOKUP($B$6,$B$7:$AE$25,I$4-$F$4+5,FALSE))</f>
        <v>537.10000000000014</v>
      </c>
      <c r="J6" s="14">
        <f>IF(J$4&lt;ControlPanel!$D$59,VLOOKUP("Référence",$B$7:$AE$25,J$4-$F$4+5,FALSE),VLOOKUP($B$6,$B$7:$AE$25,J$4-$F$4+5,FALSE))</f>
        <v>529.87864653548297</v>
      </c>
      <c r="K6" s="14">
        <f>IF(K$4&lt;ControlPanel!$D$59,VLOOKUP("Référence",$B$7:$AE$25,K$4-$F$4+5,FALSE),VLOOKUP($B$6,$B$7:$AE$25,K$4-$F$4+5,FALSE))</f>
        <v>520.6</v>
      </c>
      <c r="L6" s="14">
        <f>IF(L$4&lt;ControlPanel!$D$59,VLOOKUP("Référence",$B$7:$AE$25,L$4-$F$4+5,FALSE),VLOOKUP($B$6,$B$7:$AE$25,L$4-$F$4+5,FALSE))</f>
        <v>511.6</v>
      </c>
      <c r="M6" s="14">
        <f>IF(M$4&lt;ControlPanel!$D$59,VLOOKUP("Référence",$B$7:$AE$25,M$4-$F$4+5,FALSE),VLOOKUP($B$6,$B$7:$AE$25,M$4-$F$4+5,FALSE))</f>
        <v>521.90464399999996</v>
      </c>
      <c r="N6" s="14">
        <f>IF(N$4&lt;ControlPanel!$D$59,VLOOKUP("Référence",$B$7:$AE$25,N$4-$F$4+5,FALSE),VLOOKUP($B$6,$B$7:$AE$25,N$4-$F$4+5,FALSE))</f>
        <v>524.64</v>
      </c>
      <c r="O6" s="14">
        <f>IF(O$4&lt;ControlPanel!$D$59,VLOOKUP("Référence",$B$7:$AE$25,O$4-$F$4+5,FALSE),VLOOKUP($B$6,$B$7:$AE$25,O$4-$F$4+5,FALSE))</f>
        <v>536.23646499999995</v>
      </c>
      <c r="P6" s="14">
        <f>IF(P$4&lt;ControlPanel!$D$59,VLOOKUP("Référence",$B$7:$AE$25,P$4-$F$4+5,FALSE),VLOOKUP($B$6,$B$7:$AE$25,P$4-$F$4+5,FALSE))</f>
        <v>538.51776999999993</v>
      </c>
      <c r="Q6" s="14">
        <f>IF(Q$4&lt;ControlPanel!$D$59,VLOOKUP("Référence",$B$7:$AE$25,Q$4-$F$4+5,FALSE),VLOOKUP($B$6,$B$7:$AE$25,Q$4-$F$4+5,FALSE))</f>
        <v>518.52683000000002</v>
      </c>
      <c r="R6" s="14">
        <f>IF(R$4&lt;ControlPanel!$D$59,VLOOKUP("Référence",$B$7:$AE$25,R$4-$F$4+5,FALSE),VLOOKUP($B$6,$B$7:$AE$25,R$4-$F$4+5,FALSE))</f>
        <v>516.05999999999995</v>
      </c>
      <c r="S6" s="14">
        <f>IF(S$4&lt;ControlPanel!$D$59,VLOOKUP("Référence",$B$7:$AE$25,S$4-$F$4+5,FALSE),VLOOKUP($B$6,$B$7:$AE$25,S$4-$F$4+5,FALSE))</f>
        <v>513.67999999999995</v>
      </c>
      <c r="T6" s="14">
        <f>IF(T$4&lt;ControlPanel!$D$59,VLOOKUP("Référence",$B$7:$AE$25,T$4-$F$4+5,FALSE),VLOOKUP($B$6,$B$7:$AE$25,T$4-$F$4+5,FALSE))</f>
        <v>511.67</v>
      </c>
      <c r="U6" s="14">
        <f>IF(U$4&lt;ControlPanel!$D$59,VLOOKUP("Référence",$B$7:$AE$25,U$4-$F$4+5,FALSE),VLOOKUP($B$6,$B$7:$AE$25,U$4-$F$4+5,FALSE))</f>
        <v>510.33</v>
      </c>
      <c r="V6" s="14">
        <f>IF(V$4&lt;ControlPanel!$D$59,VLOOKUP("Référence",$B$7:$AE$25,V$4-$F$4+5,FALSE),VLOOKUP($B$6,$B$7:$AE$25,V$4-$F$4+5,FALSE))</f>
        <v>510.33</v>
      </c>
      <c r="W6" s="14">
        <f>IF(W$4&lt;ControlPanel!$D$59,VLOOKUP("Référence",$B$7:$AE$25,W$4-$F$4+5,FALSE),VLOOKUP($B$6,$B$7:$AE$25,W$4-$F$4+5,FALSE))</f>
        <v>510.33</v>
      </c>
      <c r="X6" s="14">
        <f>IF(X$4&lt;ControlPanel!$D$59,VLOOKUP("Référence",$B$7:$AE$25,X$4-$F$4+5,FALSE),VLOOKUP($B$6,$B$7:$AE$25,X$4-$F$4+5,FALSE))</f>
        <v>510.33</v>
      </c>
      <c r="Y6" s="14">
        <f>IF(Y$4&lt;ControlPanel!$D$59,VLOOKUP("Référence",$B$7:$AE$25,Y$4-$F$4+5,FALSE),VLOOKUP($B$6,$B$7:$AE$25,Y$4-$F$4+5,FALSE))</f>
        <v>510.33</v>
      </c>
      <c r="Z6" s="14">
        <f>IF(Z$4&lt;ControlPanel!$D$59,VLOOKUP("Référence",$B$7:$AE$25,Z$4-$F$4+5,FALSE),VLOOKUP($B$6,$B$7:$AE$25,Z$4-$F$4+5,FALSE))</f>
        <v>510.33</v>
      </c>
      <c r="AA6" s="14">
        <f>IF(AA$4&lt;ControlPanel!$D$59,VLOOKUP("Référence",$B$7:$AE$25,AA$4-$F$4+5,FALSE),VLOOKUP($B$6,$B$7:$AE$25,AA$4-$F$4+5,FALSE))</f>
        <v>510.33</v>
      </c>
      <c r="AB6" s="14">
        <f>IF(AB$4&lt;ControlPanel!$D$59,VLOOKUP("Référence",$B$7:$AE$25,AB$4-$F$4+5,FALSE),VLOOKUP($B$6,$B$7:$AE$25,AB$4-$F$4+5,FALSE))</f>
        <v>510.33</v>
      </c>
      <c r="AC6" s="14">
        <f>IF(AC$4&lt;ControlPanel!$D$59,VLOOKUP("Référence",$B$7:$AE$25,AC$4-$F$4+5,FALSE),VLOOKUP($B$6,$B$7:$AE$25,AC$4-$F$4+5,FALSE))</f>
        <v>510.33</v>
      </c>
      <c r="AD6" s="14">
        <f>IF(AD$4&lt;ControlPanel!$D$59,VLOOKUP("Référence",$B$7:$AE$25,AD$4-$F$4+5,FALSE),VLOOKUP($B$6,$B$7:$AE$25,AD$4-$F$4+5,FALSE))</f>
        <v>510.33</v>
      </c>
      <c r="AE6" s="14">
        <f>IF(AE$4&lt;ControlPanel!$D$59,VLOOKUP("Référence",$B$7:$AE$25,AE$4-$F$4+5,FALSE),VLOOKUP($B$6,$B$7:$AE$25,AE$4-$F$4+5,FALSE))</f>
        <v>510.33</v>
      </c>
    </row>
    <row r="7" spans="1:31" ht="26.4">
      <c r="B7" s="322" t="s">
        <v>409</v>
      </c>
      <c r="C7" s="12" t="s">
        <v>300</v>
      </c>
      <c r="D7" s="1083" t="s">
        <v>1038</v>
      </c>
      <c r="E7" s="1083" t="s">
        <v>859</v>
      </c>
      <c r="F7" s="321">
        <v>535.4</v>
      </c>
      <c r="G7" s="321">
        <v>536.79999999999995</v>
      </c>
      <c r="H7" s="321">
        <v>540.29999999999995</v>
      </c>
      <c r="I7" s="321">
        <v>537.10000000000014</v>
      </c>
      <c r="J7" s="52">
        <v>529.87864653548297</v>
      </c>
      <c r="K7" s="321">
        <v>520.6</v>
      </c>
      <c r="L7" s="321">
        <v>511.6</v>
      </c>
      <c r="M7" s="321">
        <v>521.90464399999996</v>
      </c>
      <c r="N7" s="321">
        <v>524.64</v>
      </c>
      <c r="O7" s="321">
        <v>536.23646499999995</v>
      </c>
      <c r="P7" s="321">
        <v>538.51776999999993</v>
      </c>
      <c r="Q7" s="321">
        <v>518.52683000000002</v>
      </c>
      <c r="R7" s="321">
        <v>516.05999999999995</v>
      </c>
      <c r="S7" s="321">
        <v>513.67999999999995</v>
      </c>
      <c r="T7" s="321">
        <v>511.67</v>
      </c>
      <c r="U7" s="321">
        <v>510.33</v>
      </c>
      <c r="V7" s="321">
        <f t="shared" ref="V7:AE7" si="0">U7</f>
        <v>510.33</v>
      </c>
      <c r="W7" s="321">
        <f t="shared" si="0"/>
        <v>510.33</v>
      </c>
      <c r="X7" s="321">
        <f t="shared" si="0"/>
        <v>510.33</v>
      </c>
      <c r="Y7" s="321">
        <f t="shared" si="0"/>
        <v>510.33</v>
      </c>
      <c r="Z7" s="321">
        <f t="shared" si="0"/>
        <v>510.33</v>
      </c>
      <c r="AA7" s="321">
        <f t="shared" si="0"/>
        <v>510.33</v>
      </c>
      <c r="AB7" s="321">
        <f t="shared" si="0"/>
        <v>510.33</v>
      </c>
      <c r="AC7" s="321">
        <f t="shared" si="0"/>
        <v>510.33</v>
      </c>
      <c r="AD7" s="321">
        <f t="shared" si="0"/>
        <v>510.33</v>
      </c>
      <c r="AE7" s="321">
        <f t="shared" si="0"/>
        <v>510.33</v>
      </c>
    </row>
    <row r="8" spans="1:31" ht="26.4">
      <c r="B8" s="16" t="s">
        <v>851</v>
      </c>
      <c r="C8" s="12" t="s">
        <v>48</v>
      </c>
      <c r="D8" s="538" t="s">
        <v>1039</v>
      </c>
      <c r="E8" s="538"/>
      <c r="F8" s="321"/>
      <c r="G8" s="321"/>
      <c r="H8" s="321"/>
      <c r="I8" s="321"/>
      <c r="J8" s="321"/>
      <c r="K8" s="321"/>
      <c r="L8" s="321"/>
      <c r="M8" s="321"/>
      <c r="N8" s="321"/>
      <c r="O8" s="321"/>
      <c r="P8" s="321">
        <f>O7*0.99</f>
        <v>530.87410034999994</v>
      </c>
      <c r="Q8" s="321">
        <f>P8*0.99</f>
        <v>525.56535934649992</v>
      </c>
      <c r="R8" s="321">
        <f>Q8*0.99</f>
        <v>520.3097057530349</v>
      </c>
      <c r="S8" s="321">
        <f t="shared" ref="S8:AD8" si="1">R8*0.99</f>
        <v>515.10660869550452</v>
      </c>
      <c r="T8" s="321">
        <f t="shared" si="1"/>
        <v>509.95554260854948</v>
      </c>
      <c r="U8" s="321">
        <f t="shared" si="1"/>
        <v>504.85598718246399</v>
      </c>
      <c r="V8" s="321">
        <f t="shared" si="1"/>
        <v>499.80742731063935</v>
      </c>
      <c r="W8" s="321">
        <f t="shared" si="1"/>
        <v>494.80935303753296</v>
      </c>
      <c r="X8" s="321">
        <f t="shared" si="1"/>
        <v>489.86125950715763</v>
      </c>
      <c r="Y8" s="321">
        <f t="shared" si="1"/>
        <v>484.96264691208603</v>
      </c>
      <c r="Z8" s="321">
        <f t="shared" si="1"/>
        <v>480.11302044296514</v>
      </c>
      <c r="AA8" s="321">
        <f t="shared" si="1"/>
        <v>475.31189023853545</v>
      </c>
      <c r="AB8" s="321">
        <f t="shared" si="1"/>
        <v>470.55877133615007</v>
      </c>
      <c r="AC8" s="321">
        <f t="shared" si="1"/>
        <v>465.85318362278855</v>
      </c>
      <c r="AD8" s="321">
        <f t="shared" si="1"/>
        <v>461.19465178656066</v>
      </c>
      <c r="AE8" s="321">
        <f>AD8*0.99</f>
        <v>456.58270526869507</v>
      </c>
    </row>
    <row r="9" spans="1:31" ht="26.4">
      <c r="B9" s="322" t="s">
        <v>355</v>
      </c>
      <c r="C9" s="12" t="s">
        <v>48</v>
      </c>
      <c r="D9" s="538" t="s">
        <v>1040</v>
      </c>
      <c r="E9" s="538"/>
      <c r="F9" s="321"/>
      <c r="G9" s="321"/>
      <c r="H9" s="321"/>
      <c r="I9" s="321"/>
      <c r="J9" s="321"/>
      <c r="K9" s="321"/>
      <c r="L9" s="321"/>
      <c r="M9" s="321"/>
      <c r="N9" s="321"/>
      <c r="O9" s="321"/>
      <c r="P9" s="321">
        <f>O7*0.995</f>
        <v>533.55528267499994</v>
      </c>
      <c r="Q9" s="321">
        <f>P9*0.995</f>
        <v>530.88750626162494</v>
      </c>
      <c r="R9" s="321">
        <f>Q9*0.995</f>
        <v>528.23306873031686</v>
      </c>
      <c r="S9" s="321">
        <f t="shared" ref="S9:AE9" si="2">R9*0.995</f>
        <v>525.59190338666531</v>
      </c>
      <c r="T9" s="321">
        <f t="shared" si="2"/>
        <v>522.96394386973202</v>
      </c>
      <c r="U9" s="321">
        <f t="shared" si="2"/>
        <v>520.34912415038332</v>
      </c>
      <c r="V9" s="321">
        <f t="shared" si="2"/>
        <v>517.74737852963142</v>
      </c>
      <c r="W9" s="321">
        <f t="shared" si="2"/>
        <v>515.15864163698325</v>
      </c>
      <c r="X9" s="321">
        <f t="shared" si="2"/>
        <v>512.58284842879834</v>
      </c>
      <c r="Y9" s="321">
        <f t="shared" si="2"/>
        <v>510.01993418665433</v>
      </c>
      <c r="Z9" s="321">
        <f t="shared" si="2"/>
        <v>507.46983451572106</v>
      </c>
      <c r="AA9" s="321">
        <f t="shared" si="2"/>
        <v>504.93248534314245</v>
      </c>
      <c r="AB9" s="321">
        <f t="shared" si="2"/>
        <v>502.40782291642671</v>
      </c>
      <c r="AC9" s="321">
        <f t="shared" si="2"/>
        <v>499.89578380184457</v>
      </c>
      <c r="AD9" s="321">
        <f t="shared" si="2"/>
        <v>497.39630488283535</v>
      </c>
      <c r="AE9" s="321">
        <f t="shared" si="2"/>
        <v>494.90932335842115</v>
      </c>
    </row>
    <row r="10" spans="1:31">
      <c r="B10" s="322" t="s">
        <v>356</v>
      </c>
      <c r="C10" s="12" t="s">
        <v>48</v>
      </c>
      <c r="D10" s="538" t="s">
        <v>1041</v>
      </c>
      <c r="E10" s="538"/>
      <c r="F10" s="321"/>
      <c r="G10" s="321"/>
      <c r="H10" s="321"/>
      <c r="I10" s="321"/>
      <c r="J10" s="321"/>
      <c r="K10" s="321"/>
      <c r="L10" s="321"/>
      <c r="M10" s="321"/>
      <c r="N10" s="321"/>
      <c r="O10" s="321"/>
      <c r="P10" s="321">
        <f>O7</f>
        <v>536.23646499999995</v>
      </c>
      <c r="Q10" s="321">
        <f>P10</f>
        <v>536.23646499999995</v>
      </c>
      <c r="R10" s="321">
        <f>Q10</f>
        <v>536.23646499999995</v>
      </c>
      <c r="S10" s="321">
        <f>R10</f>
        <v>536.23646499999995</v>
      </c>
      <c r="T10" s="321">
        <f t="shared" ref="T10:AE10" si="3">S10</f>
        <v>536.23646499999995</v>
      </c>
      <c r="U10" s="321">
        <f t="shared" si="3"/>
        <v>536.23646499999995</v>
      </c>
      <c r="V10" s="321">
        <f t="shared" si="3"/>
        <v>536.23646499999995</v>
      </c>
      <c r="W10" s="321">
        <f t="shared" si="3"/>
        <v>536.23646499999995</v>
      </c>
      <c r="X10" s="321">
        <f t="shared" si="3"/>
        <v>536.23646499999995</v>
      </c>
      <c r="Y10" s="321">
        <f t="shared" si="3"/>
        <v>536.23646499999995</v>
      </c>
      <c r="Z10" s="321">
        <f t="shared" si="3"/>
        <v>536.23646499999995</v>
      </c>
      <c r="AA10" s="321">
        <f t="shared" si="3"/>
        <v>536.23646499999995</v>
      </c>
      <c r="AB10" s="321">
        <f t="shared" si="3"/>
        <v>536.23646499999995</v>
      </c>
      <c r="AC10" s="321">
        <f t="shared" si="3"/>
        <v>536.23646499999995</v>
      </c>
      <c r="AD10" s="321">
        <f t="shared" si="3"/>
        <v>536.23646499999995</v>
      </c>
      <c r="AE10" s="321">
        <f t="shared" si="3"/>
        <v>536.23646499999995</v>
      </c>
    </row>
    <row r="11" spans="1:31" s="462" customFormat="1" ht="26.4">
      <c r="A11" s="9"/>
      <c r="B11" s="16" t="s">
        <v>856</v>
      </c>
      <c r="C11" s="12" t="s">
        <v>48</v>
      </c>
      <c r="D11" s="538" t="s">
        <v>1042</v>
      </c>
      <c r="E11" s="538"/>
      <c r="F11" s="321"/>
      <c r="G11" s="321"/>
      <c r="H11" s="321"/>
      <c r="I11" s="321"/>
      <c r="J11" s="321"/>
      <c r="K11" s="321"/>
      <c r="L11" s="321"/>
      <c r="M11" s="321"/>
      <c r="N11" s="321"/>
      <c r="O11" s="321"/>
      <c r="P11" s="321">
        <f>O7*1.005</f>
        <v>538.91764732499985</v>
      </c>
      <c r="Q11" s="321">
        <f>P11*1.005</f>
        <v>541.61223556162474</v>
      </c>
      <c r="R11" s="321">
        <f>Q11*1.005</f>
        <v>544.32029673943282</v>
      </c>
      <c r="S11" s="321">
        <f t="shared" ref="S11:AE11" si="4">R11*1.005</f>
        <v>547.04189822312992</v>
      </c>
      <c r="T11" s="321">
        <f t="shared" si="4"/>
        <v>549.77710771424552</v>
      </c>
      <c r="U11" s="321">
        <f t="shared" si="4"/>
        <v>552.52599325281665</v>
      </c>
      <c r="V11" s="321">
        <f t="shared" si="4"/>
        <v>555.2886232190807</v>
      </c>
      <c r="W11" s="321">
        <f t="shared" si="4"/>
        <v>558.06506633517608</v>
      </c>
      <c r="X11" s="321">
        <f t="shared" si="4"/>
        <v>560.85539166685192</v>
      </c>
      <c r="Y11" s="321">
        <f t="shared" si="4"/>
        <v>563.6596686251861</v>
      </c>
      <c r="Z11" s="321">
        <f t="shared" si="4"/>
        <v>566.47796696831199</v>
      </c>
      <c r="AA11" s="321">
        <f t="shared" si="4"/>
        <v>569.31035680315347</v>
      </c>
      <c r="AB11" s="321">
        <f t="shared" si="4"/>
        <v>572.15690858716914</v>
      </c>
      <c r="AC11" s="321">
        <f t="shared" si="4"/>
        <v>575.01769313010493</v>
      </c>
      <c r="AD11" s="321">
        <f t="shared" si="4"/>
        <v>577.89278159575542</v>
      </c>
      <c r="AE11" s="321">
        <f t="shared" si="4"/>
        <v>580.78224550373409</v>
      </c>
    </row>
    <row r="12" spans="1:31" s="462" customFormat="1" ht="26.4">
      <c r="A12" s="9"/>
      <c r="B12" s="16" t="s">
        <v>857</v>
      </c>
      <c r="C12" s="12" t="s">
        <v>48</v>
      </c>
      <c r="D12" s="538" t="s">
        <v>1043</v>
      </c>
      <c r="E12" s="538"/>
      <c r="F12" s="321"/>
      <c r="G12" s="321"/>
      <c r="H12" s="321"/>
      <c r="I12" s="321"/>
      <c r="J12" s="321"/>
      <c r="K12" s="321"/>
      <c r="L12" s="321"/>
      <c r="M12" s="321"/>
      <c r="N12" s="321"/>
      <c r="O12" s="321"/>
      <c r="P12" s="321">
        <f>O7*1.01</f>
        <v>541.59882964999997</v>
      </c>
      <c r="Q12" s="321">
        <f>P12*1.01</f>
        <v>547.01481794649999</v>
      </c>
      <c r="R12" s="321">
        <f>Q12*1.01</f>
        <v>552.484966125965</v>
      </c>
      <c r="S12" s="321">
        <f t="shared" ref="S12:AE12" si="5">R12*1.01</f>
        <v>558.00981578722462</v>
      </c>
      <c r="T12" s="321">
        <f t="shared" si="5"/>
        <v>563.5899139450969</v>
      </c>
      <c r="U12" s="321">
        <f t="shared" si="5"/>
        <v>569.22581308454789</v>
      </c>
      <c r="V12" s="321">
        <f t="shared" si="5"/>
        <v>574.91807121539341</v>
      </c>
      <c r="W12" s="321">
        <f t="shared" si="5"/>
        <v>580.66725192754734</v>
      </c>
      <c r="X12" s="321">
        <f t="shared" si="5"/>
        <v>586.47392444682282</v>
      </c>
      <c r="Y12" s="321">
        <f t="shared" si="5"/>
        <v>592.338663691291</v>
      </c>
      <c r="Z12" s="321">
        <f t="shared" si="5"/>
        <v>598.26205032820394</v>
      </c>
      <c r="AA12" s="321">
        <f t="shared" si="5"/>
        <v>604.24467083148602</v>
      </c>
      <c r="AB12" s="321">
        <f t="shared" si="5"/>
        <v>610.28711753980087</v>
      </c>
      <c r="AC12" s="321">
        <f t="shared" si="5"/>
        <v>616.38998871519891</v>
      </c>
      <c r="AD12" s="321">
        <f t="shared" si="5"/>
        <v>622.55388860235087</v>
      </c>
      <c r="AE12" s="321">
        <f t="shared" si="5"/>
        <v>628.77942748837438</v>
      </c>
    </row>
    <row r="13" spans="1:31" s="462" customFormat="1" ht="26.4">
      <c r="A13" s="9"/>
      <c r="B13" s="16" t="s">
        <v>858</v>
      </c>
      <c r="C13" s="322" t="s">
        <v>300</v>
      </c>
      <c r="D13" s="16" t="s">
        <v>858</v>
      </c>
      <c r="E13" s="538" t="s">
        <v>811</v>
      </c>
      <c r="F13" s="321"/>
      <c r="G13" s="321"/>
      <c r="H13" s="321"/>
      <c r="I13" s="321"/>
      <c r="J13" s="321"/>
      <c r="K13" s="321"/>
      <c r="L13" s="321"/>
      <c r="M13" s="321"/>
      <c r="N13" s="321"/>
      <c r="O13" s="321"/>
      <c r="P13" s="321">
        <v>507.16</v>
      </c>
      <c r="Q13" s="321">
        <v>533.79999999999995</v>
      </c>
      <c r="R13" s="321">
        <v>532.08000000000004</v>
      </c>
      <c r="S13" s="321">
        <v>530.58000000000004</v>
      </c>
      <c r="T13" s="321">
        <v>529.65</v>
      </c>
      <c r="U13" s="321">
        <v>529.54999999999995</v>
      </c>
      <c r="V13" s="321">
        <f t="shared" ref="V13:AE13" si="6">U13</f>
        <v>529.54999999999995</v>
      </c>
      <c r="W13" s="321">
        <f t="shared" si="6"/>
        <v>529.54999999999995</v>
      </c>
      <c r="X13" s="321">
        <f t="shared" si="6"/>
        <v>529.54999999999995</v>
      </c>
      <c r="Y13" s="321">
        <f t="shared" si="6"/>
        <v>529.54999999999995</v>
      </c>
      <c r="Z13" s="321">
        <f t="shared" si="6"/>
        <v>529.54999999999995</v>
      </c>
      <c r="AA13" s="321">
        <f t="shared" si="6"/>
        <v>529.54999999999995</v>
      </c>
      <c r="AB13" s="321">
        <f t="shared" si="6"/>
        <v>529.54999999999995</v>
      </c>
      <c r="AC13" s="321">
        <f t="shared" si="6"/>
        <v>529.54999999999995</v>
      </c>
      <c r="AD13" s="321">
        <f t="shared" si="6"/>
        <v>529.54999999999995</v>
      </c>
      <c r="AE13" s="321">
        <f t="shared" si="6"/>
        <v>529.54999999999995</v>
      </c>
    </row>
    <row r="14" spans="1:31" s="462" customFormat="1" ht="26.4">
      <c r="A14" s="9"/>
      <c r="B14" s="16" t="s">
        <v>412</v>
      </c>
      <c r="C14" s="322" t="s">
        <v>300</v>
      </c>
      <c r="D14" s="16" t="s">
        <v>412</v>
      </c>
      <c r="E14" s="538" t="s">
        <v>812</v>
      </c>
      <c r="F14" s="321"/>
      <c r="G14" s="321"/>
      <c r="H14" s="321"/>
      <c r="I14" s="321"/>
      <c r="J14" s="321"/>
      <c r="K14" s="321"/>
      <c r="L14" s="321"/>
      <c r="M14" s="321"/>
      <c r="N14" s="321"/>
      <c r="O14" s="321"/>
      <c r="P14" s="321">
        <v>460.33</v>
      </c>
      <c r="Q14" s="321">
        <v>505.24</v>
      </c>
      <c r="R14" s="321">
        <v>500.08</v>
      </c>
      <c r="S14" s="321">
        <v>496.35</v>
      </c>
      <c r="T14" s="321">
        <v>492.11</v>
      </c>
      <c r="U14" s="321">
        <v>488.51</v>
      </c>
      <c r="V14" s="321">
        <f t="shared" ref="V14:AE14" si="7">U14</f>
        <v>488.51</v>
      </c>
      <c r="W14" s="321">
        <f t="shared" si="7"/>
        <v>488.51</v>
      </c>
      <c r="X14" s="321">
        <f t="shared" si="7"/>
        <v>488.51</v>
      </c>
      <c r="Y14" s="321">
        <f t="shared" si="7"/>
        <v>488.51</v>
      </c>
      <c r="Z14" s="321">
        <f t="shared" si="7"/>
        <v>488.51</v>
      </c>
      <c r="AA14" s="321">
        <f t="shared" si="7"/>
        <v>488.51</v>
      </c>
      <c r="AB14" s="321">
        <f t="shared" si="7"/>
        <v>488.51</v>
      </c>
      <c r="AC14" s="321">
        <f t="shared" si="7"/>
        <v>488.51</v>
      </c>
      <c r="AD14" s="321">
        <f t="shared" si="7"/>
        <v>488.51</v>
      </c>
      <c r="AE14" s="321">
        <f t="shared" si="7"/>
        <v>488.51</v>
      </c>
    </row>
    <row r="15" spans="1:31" s="462" customFormat="1">
      <c r="B15" s="162"/>
      <c r="C15" s="179"/>
      <c r="D15" s="537"/>
      <c r="E15" s="537"/>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s="462" customFormat="1">
      <c r="B16" s="1191"/>
      <c r="C16" s="179"/>
      <c r="D16" s="537"/>
      <c r="E16" s="537"/>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s="462" customFormat="1">
      <c r="B17" s="162"/>
      <c r="C17" s="179"/>
      <c r="D17" s="537"/>
      <c r="E17" s="537"/>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s="462" customFormat="1">
      <c r="B18" s="162"/>
      <c r="C18" s="179"/>
      <c r="D18" s="537"/>
      <c r="E18" s="537"/>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s="462" customFormat="1">
      <c r="B19" s="162"/>
      <c r="C19" s="179"/>
      <c r="D19" s="537"/>
      <c r="E19" s="537"/>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s="462" customFormat="1">
      <c r="B20" s="162"/>
      <c r="C20" s="179"/>
      <c r="D20" s="537"/>
      <c r="E20" s="537"/>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c r="B21" s="162"/>
      <c r="C21" s="16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s="462" customFormat="1">
      <c r="B22" s="162"/>
      <c r="C22" s="16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s="462" customFormat="1" ht="15" customHeight="1">
      <c r="B23" s="162"/>
      <c r="C23" s="162"/>
      <c r="D23" s="537"/>
      <c r="E23" s="537"/>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s="462" customFormat="1" ht="15" customHeight="1">
      <c r="B24" s="162"/>
      <c r="C24" s="179"/>
      <c r="D24" s="537"/>
      <c r="E24" s="537"/>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87"/>
      <c r="C25" s="181"/>
      <c r="D25" s="1018"/>
      <c r="E25" s="1018"/>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c r="L30" s="511"/>
      <c r="M30" s="511"/>
      <c r="N30" s="511"/>
      <c r="O30" s="511"/>
      <c r="P30" s="511"/>
      <c r="Q30" s="511"/>
      <c r="R30" s="511"/>
      <c r="S30" s="511"/>
      <c r="T30" s="511"/>
      <c r="U30" s="511"/>
      <c r="V30" s="511"/>
      <c r="W30" s="511"/>
      <c r="X30" s="511"/>
      <c r="Y30" s="511"/>
      <c r="Z30" s="511"/>
      <c r="AA30" s="511"/>
      <c r="AB30" s="511"/>
      <c r="AC30" s="511"/>
      <c r="AD30" s="511"/>
      <c r="AE30" s="511"/>
    </row>
    <row r="31" spans="2:31" ht="15" customHeight="1"/>
    <row r="32" spans="2:31" ht="15" customHeight="1"/>
    <row r="33" spans="11:31" ht="15" customHeight="1"/>
    <row r="34" spans="11:31" ht="15" customHeight="1"/>
    <row r="35" spans="11:31" ht="15" customHeight="1"/>
    <row r="36" spans="11:31" ht="15" customHeight="1"/>
    <row r="37" spans="11:31" ht="15" customHeight="1"/>
    <row r="38" spans="11:31" ht="15" customHeight="1"/>
    <row r="39" spans="11:31" ht="15" customHeight="1"/>
    <row r="40" spans="11:31" ht="15" customHeight="1"/>
    <row r="41" spans="11:31" ht="15" customHeight="1"/>
    <row r="42" spans="11:31" ht="15" customHeight="1">
      <c r="K42" s="646"/>
      <c r="L42" s="646"/>
      <c r="M42" s="646"/>
      <c r="N42" s="646"/>
      <c r="O42" s="646"/>
      <c r="P42" s="646"/>
      <c r="Q42" s="646"/>
      <c r="R42" s="646"/>
      <c r="S42" s="646"/>
      <c r="T42" s="646"/>
      <c r="U42" s="646"/>
      <c r="V42" s="646"/>
      <c r="W42" s="646"/>
      <c r="X42" s="646"/>
      <c r="Y42" s="646"/>
      <c r="Z42" s="646"/>
      <c r="AA42" s="646"/>
      <c r="AB42" s="646"/>
      <c r="AC42" s="646"/>
      <c r="AD42" s="646"/>
      <c r="AE42" s="646"/>
    </row>
    <row r="43" spans="11:31" ht="15" customHeight="1"/>
    <row r="44" spans="11:31" ht="15" customHeight="1"/>
    <row r="45" spans="11:31" ht="15" customHeight="1"/>
    <row r="46" spans="11:31" ht="15" customHeight="1"/>
    <row r="47" spans="11:31" ht="15" customHeight="1"/>
    <row r="48" spans="11:31"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7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11" operator="greaterThan" id="{00000000-0000-0000-0000-000000000000}">
            <xm:f>ControlPanel!$D$59-1</xm:f>
            <x14:dxf>
              <font>
                <color rgb="FF9C6500"/>
              </font>
              <fill>
                <patternFill>
                  <fgColor indexed="64"/>
                  <bgColor rgb="FFFFEB9C"/>
                </patternFill>
              </fill>
            </x14:dxf>
          </x14:cfRule>
          <x14:cfRule type="cellIs" priority="712" operator="lessThan" id="{00000000-0000-0000-0000-000000000000}">
            <xm:f>ControlPanel!$D$59</xm:f>
            <x14:dxf>
              <font>
                <color rgb="FF006100"/>
              </font>
              <fill>
                <patternFill>
                  <fgColor indexed="64"/>
                  <bgColor rgb="FFC6EFCE"/>
                </patternFill>
              </fill>
            </x14:dxf>
          </x14:cfRule>
          <xm:sqref>F4:AE4</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8">
    <tabColor theme="9" tint="0.39997558519241921"/>
    <pageSetUpPr fitToPage="1"/>
  </sheetPr>
  <dimension ref="A1:AE1359"/>
  <sheetViews>
    <sheetView zoomScaleNormal="100" workbookViewId="0">
      <selection activeCell="B9" sqref="B9"/>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715</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61</v>
      </c>
      <c r="G5" s="323" t="s">
        <v>61</v>
      </c>
      <c r="H5" s="323" t="s">
        <v>61</v>
      </c>
      <c r="I5" s="323" t="s">
        <v>61</v>
      </c>
      <c r="J5" s="323" t="s">
        <v>61</v>
      </c>
      <c r="K5" s="323" t="s">
        <v>61</v>
      </c>
      <c r="L5" s="323" t="s">
        <v>61</v>
      </c>
      <c r="M5" s="323" t="s">
        <v>61</v>
      </c>
      <c r="N5" s="323" t="s">
        <v>61</v>
      </c>
      <c r="O5" s="323" t="s">
        <v>61</v>
      </c>
      <c r="P5" s="323" t="s">
        <v>61</v>
      </c>
      <c r="Q5" s="323" t="s">
        <v>61</v>
      </c>
      <c r="R5" s="323" t="s">
        <v>61</v>
      </c>
      <c r="S5" s="323" t="s">
        <v>61</v>
      </c>
      <c r="T5" s="323" t="s">
        <v>61</v>
      </c>
      <c r="U5" s="323" t="s">
        <v>61</v>
      </c>
      <c r="V5" s="323" t="s">
        <v>61</v>
      </c>
      <c r="W5" s="323" t="s">
        <v>61</v>
      </c>
      <c r="X5" s="323" t="s">
        <v>61</v>
      </c>
      <c r="Y5" s="323" t="s">
        <v>61</v>
      </c>
      <c r="Z5" s="323" t="s">
        <v>61</v>
      </c>
      <c r="AA5" s="323" t="s">
        <v>61</v>
      </c>
      <c r="AB5" s="323" t="s">
        <v>61</v>
      </c>
      <c r="AC5" s="323" t="s">
        <v>61</v>
      </c>
      <c r="AD5" s="323" t="s">
        <v>61</v>
      </c>
      <c r="AE5" s="323" t="s">
        <v>61</v>
      </c>
    </row>
    <row r="6" spans="1:31" ht="31.5" customHeight="1" thickBot="1">
      <c r="B6" s="170" t="str">
        <f>ControlPanel!E19</f>
        <v>Référence</v>
      </c>
      <c r="C6" s="15" t="str">
        <f>VLOOKUP($B$6,$B$7:$AE$25,2,FALSE)</f>
        <v>fh</v>
      </c>
      <c r="D6" s="486" t="str">
        <f>VLOOKUP($B$6,$B$7:$AE$25,3,FALSE)</f>
        <v>MFP Référence</v>
      </c>
      <c r="E6" s="486" t="str">
        <f>VLOOKUP($B$6,$B$7:$AE$25,4,FALSE)</f>
        <v>D'ici 2025: tendance MFP. Puis constant</v>
      </c>
      <c r="F6" s="14">
        <f>IF(F$4&lt;ControlPanel!$D$59,VLOOKUP("Référence",$B$7:$AE$25,F$4-$F$4+5,FALSE),VLOOKUP($B$6,$B$7:$AE$25,F$4-$F$4+5,FALSE))</f>
        <v>67.885999999999996</v>
      </c>
      <c r="G6" s="14">
        <f>IF(G$4&lt;ControlPanel!$D$59,VLOOKUP("Référence",$B$7:$AE$25,G$4-$F$4+5,FALSE),VLOOKUP($B$6,$B$7:$AE$25,G$4-$F$4+5,FALSE))</f>
        <v>74.729966079999997</v>
      </c>
      <c r="H6" s="14">
        <f>IF(H$4&lt;ControlPanel!$D$59,VLOOKUP("Référence",$B$7:$AE$25,H$4-$F$4+5,FALSE),VLOOKUP($B$6,$B$7:$AE$25,H$4-$F$4+5,FALSE))</f>
        <v>84.727446</v>
      </c>
      <c r="I6" s="14">
        <f>IF(I$4&lt;ControlPanel!$D$59,VLOOKUP("Référence",$B$7:$AE$25,I$4-$F$4+5,FALSE),VLOOKUP($B$6,$B$7:$AE$25,I$4-$F$4+5,FALSE))</f>
        <v>96.225492000000003</v>
      </c>
      <c r="J6" s="14">
        <f>IF(J$4&lt;ControlPanel!$D$59,VLOOKUP("Référence",$B$7:$AE$25,J$4-$F$4+5,FALSE),VLOOKUP($B$6,$B$7:$AE$25,J$4-$F$4+5,FALSE))</f>
        <v>106.52299099999999</v>
      </c>
      <c r="K6" s="14">
        <f>IF(K$4&lt;ControlPanel!$D$59,VLOOKUP("Référence",$B$7:$AE$25,K$4-$F$4+5,FALSE),VLOOKUP($B$6,$B$7:$AE$25,K$4-$F$4+5,FALSE))</f>
        <v>110.247</v>
      </c>
      <c r="L6" s="14">
        <f>IF(L$4&lt;ControlPanel!$D$59,VLOOKUP("Référence",$B$7:$AE$25,L$4-$F$4+5,FALSE),VLOOKUP($B$6,$B$7:$AE$25,L$4-$F$4+5,FALSE))</f>
        <v>103.9</v>
      </c>
      <c r="M6" s="14">
        <f>IF(M$4&lt;ControlPanel!$D$59,VLOOKUP("Référence",$B$7:$AE$25,M$4-$F$4+5,FALSE),VLOOKUP($B$6,$B$7:$AE$25,M$4-$F$4+5,FALSE))</f>
        <v>114.145597</v>
      </c>
      <c r="N6" s="14">
        <f>IF(N$4&lt;ControlPanel!$D$59,VLOOKUP("Référence",$B$7:$AE$25,N$4-$F$4+5,FALSE),VLOOKUP($B$6,$B$7:$AE$25,N$4-$F$4+5,FALSE))</f>
        <v>114.690017</v>
      </c>
      <c r="O6" s="14">
        <f>IF(O$4&lt;ControlPanel!$D$59,VLOOKUP("Référence",$B$7:$AE$25,O$4-$F$4+5,FALSE),VLOOKUP($B$6,$B$7:$AE$25,O$4-$F$4+5,FALSE))</f>
        <v>113.926688</v>
      </c>
      <c r="P6" s="14">
        <f>IF(P$4&lt;ControlPanel!$D$59,VLOOKUP("Référence",$B$7:$AE$25,P$4-$F$4+5,FALSE),VLOOKUP($B$6,$B$7:$AE$25,P$4-$F$4+5,FALSE))</f>
        <v>116.17166499999999</v>
      </c>
      <c r="Q6" s="14">
        <f>IF(Q$4&lt;ControlPanel!$D$59,VLOOKUP("Référence",$B$7:$AE$25,Q$4-$F$4+5,FALSE),VLOOKUP($B$6,$B$7:$AE$25,Q$4-$F$4+5,FALSE))</f>
        <v>112.73</v>
      </c>
      <c r="R6" s="14">
        <f>IF(R$4&lt;ControlPanel!$D$59,VLOOKUP("Référence",$B$7:$AE$25,R$4-$F$4+5,FALSE),VLOOKUP($B$6,$B$7:$AE$25,R$4-$F$4+5,FALSE))</f>
        <v>111.65</v>
      </c>
      <c r="S6" s="14">
        <f>IF(S$4&lt;ControlPanel!$D$59,VLOOKUP("Référence",$B$7:$AE$25,S$4-$F$4+5,FALSE),VLOOKUP($B$6,$B$7:$AE$25,S$4-$F$4+5,FALSE))</f>
        <v>110.48</v>
      </c>
      <c r="T6" s="14">
        <f>IF(T$4&lt;ControlPanel!$D$59,VLOOKUP("Référence",$B$7:$AE$25,T$4-$F$4+5,FALSE),VLOOKUP($B$6,$B$7:$AE$25,T$4-$F$4+5,FALSE))</f>
        <v>109.19</v>
      </c>
      <c r="U6" s="14">
        <f>IF(U$4&lt;ControlPanel!$D$59,VLOOKUP("Référence",$B$7:$AE$25,U$4-$F$4+5,FALSE),VLOOKUP($B$6,$B$7:$AE$25,U$4-$F$4+5,FALSE))</f>
        <v>107.92</v>
      </c>
      <c r="V6" s="14">
        <f>IF(V$4&lt;ControlPanel!$D$59,VLOOKUP("Référence",$B$7:$AE$25,V$4-$F$4+5,FALSE),VLOOKUP($B$6,$B$7:$AE$25,V$4-$F$4+5,FALSE))</f>
        <v>107.92</v>
      </c>
      <c r="W6" s="14">
        <f>IF(W$4&lt;ControlPanel!$D$59,VLOOKUP("Référence",$B$7:$AE$25,W$4-$F$4+5,FALSE),VLOOKUP($B$6,$B$7:$AE$25,W$4-$F$4+5,FALSE))</f>
        <v>107.92</v>
      </c>
      <c r="X6" s="14">
        <f>IF(X$4&lt;ControlPanel!$D$59,VLOOKUP("Référence",$B$7:$AE$25,X$4-$F$4+5,FALSE),VLOOKUP($B$6,$B$7:$AE$25,X$4-$F$4+5,FALSE))</f>
        <v>107.92</v>
      </c>
      <c r="Y6" s="14">
        <f>IF(Y$4&lt;ControlPanel!$D$59,VLOOKUP("Référence",$B$7:$AE$25,Y$4-$F$4+5,FALSE),VLOOKUP($B$6,$B$7:$AE$25,Y$4-$F$4+5,FALSE))</f>
        <v>107.92</v>
      </c>
      <c r="Z6" s="14">
        <f>IF(Z$4&lt;ControlPanel!$D$59,VLOOKUP("Référence",$B$7:$AE$25,Z$4-$F$4+5,FALSE),VLOOKUP($B$6,$B$7:$AE$25,Z$4-$F$4+5,FALSE))</f>
        <v>107.92</v>
      </c>
      <c r="AA6" s="14">
        <f>IF(AA$4&lt;ControlPanel!$D$59,VLOOKUP("Référence",$B$7:$AE$25,AA$4-$F$4+5,FALSE),VLOOKUP($B$6,$B$7:$AE$25,AA$4-$F$4+5,FALSE))</f>
        <v>107.92</v>
      </c>
      <c r="AB6" s="14">
        <f>IF(AB$4&lt;ControlPanel!$D$59,VLOOKUP("Référence",$B$7:$AE$25,AB$4-$F$4+5,FALSE),VLOOKUP($B$6,$B$7:$AE$25,AB$4-$F$4+5,FALSE))</f>
        <v>107.92</v>
      </c>
      <c r="AC6" s="14">
        <f>IF(AC$4&lt;ControlPanel!$D$59,VLOOKUP("Référence",$B$7:$AE$25,AC$4-$F$4+5,FALSE),VLOOKUP($B$6,$B$7:$AE$25,AC$4-$F$4+5,FALSE))</f>
        <v>107.92</v>
      </c>
      <c r="AD6" s="14">
        <f>IF(AD$4&lt;ControlPanel!$D$59,VLOOKUP("Référence",$B$7:$AE$25,AD$4-$F$4+5,FALSE),VLOOKUP($B$6,$B$7:$AE$25,AD$4-$F$4+5,FALSE))</f>
        <v>107.92</v>
      </c>
      <c r="AE6" s="14">
        <f>IF(AE$4&lt;ControlPanel!$D$59,VLOOKUP("Référence",$B$7:$AE$25,AE$4-$F$4+5,FALSE),VLOOKUP($B$6,$B$7:$AE$25,AE$4-$F$4+5,FALSE))</f>
        <v>107.92</v>
      </c>
    </row>
    <row r="7" spans="1:31">
      <c r="B7" s="16" t="s">
        <v>409</v>
      </c>
      <c r="C7" s="12" t="s">
        <v>300</v>
      </c>
      <c r="D7" s="488" t="s">
        <v>532</v>
      </c>
      <c r="E7" s="488" t="s">
        <v>863</v>
      </c>
      <c r="F7" s="321">
        <v>67.885999999999996</v>
      </c>
      <c r="G7" s="321">
        <v>74.729966079999997</v>
      </c>
      <c r="H7" s="321">
        <v>84.727446</v>
      </c>
      <c r="I7" s="321">
        <v>96.225492000000003</v>
      </c>
      <c r="J7" s="52">
        <v>106.52299099999999</v>
      </c>
      <c r="K7" s="52">
        <v>110.247</v>
      </c>
      <c r="L7" s="52">
        <v>103.9</v>
      </c>
      <c r="M7" s="52">
        <v>114.145597</v>
      </c>
      <c r="N7" s="52">
        <v>114.690017</v>
      </c>
      <c r="O7" s="52">
        <v>113.926688</v>
      </c>
      <c r="P7" s="52">
        <v>116.17166499999999</v>
      </c>
      <c r="Q7" s="52">
        <v>112.73</v>
      </c>
      <c r="R7" s="52">
        <v>111.65</v>
      </c>
      <c r="S7" s="52">
        <v>110.48</v>
      </c>
      <c r="T7" s="52">
        <v>109.19</v>
      </c>
      <c r="U7" s="52">
        <v>107.92</v>
      </c>
      <c r="V7" s="52">
        <f t="shared" ref="V7:AE7" si="0">U7</f>
        <v>107.92</v>
      </c>
      <c r="W7" s="52">
        <f t="shared" si="0"/>
        <v>107.92</v>
      </c>
      <c r="X7" s="52">
        <f t="shared" si="0"/>
        <v>107.92</v>
      </c>
      <c r="Y7" s="52">
        <f t="shared" si="0"/>
        <v>107.92</v>
      </c>
      <c r="Z7" s="52">
        <f t="shared" si="0"/>
        <v>107.92</v>
      </c>
      <c r="AA7" s="52">
        <f t="shared" si="0"/>
        <v>107.92</v>
      </c>
      <c r="AB7" s="52">
        <f t="shared" si="0"/>
        <v>107.92</v>
      </c>
      <c r="AC7" s="52">
        <f t="shared" si="0"/>
        <v>107.92</v>
      </c>
      <c r="AD7" s="52">
        <f t="shared" si="0"/>
        <v>107.92</v>
      </c>
      <c r="AE7" s="52">
        <f t="shared" si="0"/>
        <v>107.92</v>
      </c>
    </row>
    <row r="8" spans="1:31" ht="15" customHeight="1">
      <c r="B8" s="16" t="s">
        <v>866</v>
      </c>
      <c r="C8" s="12" t="s">
        <v>106</v>
      </c>
      <c r="D8" s="168" t="s">
        <v>109</v>
      </c>
      <c r="E8" s="534"/>
      <c r="F8" s="321"/>
      <c r="G8" s="321"/>
      <c r="H8" s="321"/>
      <c r="I8" s="321"/>
      <c r="J8" s="52"/>
      <c r="K8" s="52"/>
      <c r="L8" s="52"/>
      <c r="M8" s="52"/>
      <c r="N8" s="52"/>
      <c r="O8" s="52"/>
      <c r="P8" s="52">
        <v>0</v>
      </c>
      <c r="Q8" s="52">
        <v>0</v>
      </c>
      <c r="R8" s="52">
        <v>0</v>
      </c>
      <c r="S8" s="52">
        <v>0</v>
      </c>
      <c r="T8" s="52">
        <v>0</v>
      </c>
      <c r="U8" s="52">
        <v>0</v>
      </c>
      <c r="V8" s="52">
        <v>0</v>
      </c>
      <c r="W8" s="52">
        <v>0</v>
      </c>
      <c r="X8" s="52">
        <v>0</v>
      </c>
      <c r="Y8" s="52">
        <v>0</v>
      </c>
      <c r="Z8" s="52">
        <v>0</v>
      </c>
      <c r="AA8" s="52">
        <v>0</v>
      </c>
      <c r="AB8" s="52">
        <v>0</v>
      </c>
      <c r="AC8" s="52">
        <v>0</v>
      </c>
      <c r="AD8" s="52">
        <v>0</v>
      </c>
      <c r="AE8" s="52">
        <v>0</v>
      </c>
    </row>
    <row r="9" spans="1:31" ht="15" customHeight="1">
      <c r="B9" s="16" t="s">
        <v>355</v>
      </c>
      <c r="C9" s="12" t="s">
        <v>106</v>
      </c>
      <c r="D9" s="168" t="s">
        <v>860</v>
      </c>
      <c r="E9" s="534" t="s">
        <v>864</v>
      </c>
      <c r="F9" s="321"/>
      <c r="G9" s="321"/>
      <c r="H9" s="321"/>
      <c r="I9" s="321"/>
      <c r="J9" s="52"/>
      <c r="K9" s="52"/>
      <c r="L9" s="52"/>
      <c r="M9" s="52"/>
      <c r="N9" s="52"/>
      <c r="O9" s="52"/>
      <c r="P9" s="52">
        <v>65</v>
      </c>
      <c r="Q9" s="52">
        <v>65</v>
      </c>
      <c r="R9" s="52">
        <v>65</v>
      </c>
      <c r="S9" s="52">
        <v>65</v>
      </c>
      <c r="T9" s="52">
        <v>65</v>
      </c>
      <c r="U9" s="52">
        <v>65</v>
      </c>
      <c r="V9" s="52">
        <v>65</v>
      </c>
      <c r="W9" s="52">
        <v>65</v>
      </c>
      <c r="X9" s="52">
        <v>65</v>
      </c>
      <c r="Y9" s="52">
        <v>65</v>
      </c>
      <c r="Z9" s="52">
        <v>65</v>
      </c>
      <c r="AA9" s="52">
        <v>65</v>
      </c>
      <c r="AB9" s="52">
        <v>65</v>
      </c>
      <c r="AC9" s="52">
        <v>65</v>
      </c>
      <c r="AD9" s="52">
        <v>65</v>
      </c>
      <c r="AE9" s="52">
        <v>65</v>
      </c>
    </row>
    <row r="10" spans="1:31" ht="15" customHeight="1">
      <c r="B10" s="16" t="s">
        <v>861</v>
      </c>
      <c r="C10" s="12" t="s">
        <v>106</v>
      </c>
      <c r="D10" s="168" t="s">
        <v>533</v>
      </c>
      <c r="E10" s="534"/>
      <c r="F10" s="321"/>
      <c r="G10" s="321"/>
      <c r="H10" s="321"/>
      <c r="I10" s="321"/>
      <c r="J10" s="321"/>
      <c r="K10" s="52"/>
      <c r="L10" s="52"/>
      <c r="M10" s="52"/>
      <c r="N10" s="52"/>
      <c r="O10" s="52"/>
      <c r="P10" s="52">
        <f t="shared" ref="P10:AE10" si="1">P7-20</f>
        <v>96.17166499999999</v>
      </c>
      <c r="Q10" s="52">
        <f t="shared" si="1"/>
        <v>92.73</v>
      </c>
      <c r="R10" s="52">
        <f t="shared" si="1"/>
        <v>91.65</v>
      </c>
      <c r="S10" s="52">
        <f t="shared" si="1"/>
        <v>90.48</v>
      </c>
      <c r="T10" s="52">
        <f t="shared" si="1"/>
        <v>89.19</v>
      </c>
      <c r="U10" s="52">
        <f t="shared" si="1"/>
        <v>87.92</v>
      </c>
      <c r="V10" s="52">
        <f t="shared" si="1"/>
        <v>87.92</v>
      </c>
      <c r="W10" s="52">
        <f t="shared" si="1"/>
        <v>87.92</v>
      </c>
      <c r="X10" s="52">
        <f t="shared" si="1"/>
        <v>87.92</v>
      </c>
      <c r="Y10" s="52">
        <f t="shared" si="1"/>
        <v>87.92</v>
      </c>
      <c r="Z10" s="52">
        <f t="shared" si="1"/>
        <v>87.92</v>
      </c>
      <c r="AA10" s="52">
        <f t="shared" si="1"/>
        <v>87.92</v>
      </c>
      <c r="AB10" s="52">
        <f t="shared" si="1"/>
        <v>87.92</v>
      </c>
      <c r="AC10" s="52">
        <f t="shared" si="1"/>
        <v>87.92</v>
      </c>
      <c r="AD10" s="52">
        <f t="shared" si="1"/>
        <v>87.92</v>
      </c>
      <c r="AE10" s="52">
        <f t="shared" si="1"/>
        <v>87.92</v>
      </c>
    </row>
    <row r="11" spans="1:31">
      <c r="B11" s="16" t="s">
        <v>856</v>
      </c>
      <c r="C11" s="12" t="s">
        <v>106</v>
      </c>
      <c r="D11" s="490" t="s">
        <v>862</v>
      </c>
      <c r="E11" s="538"/>
      <c r="F11" s="321"/>
      <c r="G11" s="321"/>
      <c r="H11" s="321"/>
      <c r="I11" s="321"/>
      <c r="J11" s="321"/>
      <c r="K11" s="52"/>
      <c r="L11" s="52"/>
      <c r="M11" s="52"/>
      <c r="N11" s="52"/>
      <c r="O11" s="52"/>
      <c r="P11" s="52">
        <f t="shared" ref="P11:AE11" si="2">P7</f>
        <v>116.17166499999999</v>
      </c>
      <c r="Q11" s="52">
        <f t="shared" si="2"/>
        <v>112.73</v>
      </c>
      <c r="R11" s="52">
        <f t="shared" si="2"/>
        <v>111.65</v>
      </c>
      <c r="S11" s="52">
        <f t="shared" si="2"/>
        <v>110.48</v>
      </c>
      <c r="T11" s="52">
        <f t="shared" si="2"/>
        <v>109.19</v>
      </c>
      <c r="U11" s="52">
        <f t="shared" si="2"/>
        <v>107.92</v>
      </c>
      <c r="V11" s="52">
        <f t="shared" si="2"/>
        <v>107.92</v>
      </c>
      <c r="W11" s="52">
        <f t="shared" si="2"/>
        <v>107.92</v>
      </c>
      <c r="X11" s="52">
        <f t="shared" si="2"/>
        <v>107.92</v>
      </c>
      <c r="Y11" s="52">
        <f t="shared" si="2"/>
        <v>107.92</v>
      </c>
      <c r="Z11" s="52">
        <f t="shared" si="2"/>
        <v>107.92</v>
      </c>
      <c r="AA11" s="52">
        <f t="shared" si="2"/>
        <v>107.92</v>
      </c>
      <c r="AB11" s="52">
        <f t="shared" si="2"/>
        <v>107.92</v>
      </c>
      <c r="AC11" s="52">
        <f t="shared" si="2"/>
        <v>107.92</v>
      </c>
      <c r="AD11" s="52">
        <f t="shared" si="2"/>
        <v>107.92</v>
      </c>
      <c r="AE11" s="52">
        <f t="shared" si="2"/>
        <v>107.92</v>
      </c>
    </row>
    <row r="12" spans="1:31" ht="15" customHeight="1">
      <c r="B12" s="16" t="s">
        <v>857</v>
      </c>
      <c r="C12" s="12" t="s">
        <v>106</v>
      </c>
      <c r="D12" s="168" t="s">
        <v>534</v>
      </c>
      <c r="E12" s="534"/>
      <c r="F12" s="321"/>
      <c r="G12" s="321"/>
      <c r="H12" s="321"/>
      <c r="I12" s="321"/>
      <c r="J12" s="321"/>
      <c r="K12" s="52"/>
      <c r="L12" s="52"/>
      <c r="M12" s="52"/>
      <c r="N12" s="52"/>
      <c r="O12" s="52"/>
      <c r="P12" s="52">
        <f t="shared" ref="P12:AE12" si="3">P7+20</f>
        <v>136.17166499999999</v>
      </c>
      <c r="Q12" s="52">
        <f t="shared" si="3"/>
        <v>132.73000000000002</v>
      </c>
      <c r="R12" s="52">
        <f t="shared" si="3"/>
        <v>131.65</v>
      </c>
      <c r="S12" s="52">
        <f t="shared" si="3"/>
        <v>130.48000000000002</v>
      </c>
      <c r="T12" s="52">
        <f t="shared" si="3"/>
        <v>129.19</v>
      </c>
      <c r="U12" s="52">
        <f t="shared" si="3"/>
        <v>127.92</v>
      </c>
      <c r="V12" s="52">
        <f t="shared" si="3"/>
        <v>127.92</v>
      </c>
      <c r="W12" s="52">
        <f t="shared" si="3"/>
        <v>127.92</v>
      </c>
      <c r="X12" s="52">
        <f t="shared" si="3"/>
        <v>127.92</v>
      </c>
      <c r="Y12" s="52">
        <f t="shared" si="3"/>
        <v>127.92</v>
      </c>
      <c r="Z12" s="52">
        <f t="shared" si="3"/>
        <v>127.92</v>
      </c>
      <c r="AA12" s="52">
        <f t="shared" si="3"/>
        <v>127.92</v>
      </c>
      <c r="AB12" s="52">
        <f t="shared" si="3"/>
        <v>127.92</v>
      </c>
      <c r="AC12" s="52">
        <f t="shared" si="3"/>
        <v>127.92</v>
      </c>
      <c r="AD12" s="52">
        <f t="shared" si="3"/>
        <v>127.92</v>
      </c>
      <c r="AE12" s="52">
        <f t="shared" si="3"/>
        <v>127.92</v>
      </c>
    </row>
    <row r="13" spans="1:31" ht="15" customHeight="1">
      <c r="B13" s="16" t="s">
        <v>858</v>
      </c>
      <c r="C13" s="322" t="s">
        <v>300</v>
      </c>
      <c r="D13" s="16" t="s">
        <v>858</v>
      </c>
      <c r="E13" s="215" t="s">
        <v>865</v>
      </c>
      <c r="F13" s="321"/>
      <c r="G13" s="321"/>
      <c r="H13" s="321"/>
      <c r="I13" s="321"/>
      <c r="J13" s="321"/>
      <c r="K13" s="321"/>
      <c r="L13" s="321"/>
      <c r="M13" s="321"/>
      <c r="N13" s="321"/>
      <c r="O13" s="321"/>
      <c r="P13" s="321">
        <v>110.95</v>
      </c>
      <c r="Q13" s="321">
        <v>117.12</v>
      </c>
      <c r="R13" s="321">
        <v>116.02</v>
      </c>
      <c r="S13" s="321">
        <v>114.89</v>
      </c>
      <c r="T13" s="321">
        <v>113.74</v>
      </c>
      <c r="U13" s="321">
        <v>112.61</v>
      </c>
      <c r="V13" s="321">
        <f t="shared" ref="V13:AE13" si="4">U13</f>
        <v>112.61</v>
      </c>
      <c r="W13" s="321">
        <f t="shared" si="4"/>
        <v>112.61</v>
      </c>
      <c r="X13" s="321">
        <f t="shared" si="4"/>
        <v>112.61</v>
      </c>
      <c r="Y13" s="321">
        <f t="shared" si="4"/>
        <v>112.61</v>
      </c>
      <c r="Z13" s="321">
        <f t="shared" si="4"/>
        <v>112.61</v>
      </c>
      <c r="AA13" s="321">
        <f t="shared" si="4"/>
        <v>112.61</v>
      </c>
      <c r="AB13" s="321">
        <f t="shared" si="4"/>
        <v>112.61</v>
      </c>
      <c r="AC13" s="321">
        <f t="shared" si="4"/>
        <v>112.61</v>
      </c>
      <c r="AD13" s="321">
        <f t="shared" si="4"/>
        <v>112.61</v>
      </c>
      <c r="AE13" s="321">
        <f t="shared" si="4"/>
        <v>112.61</v>
      </c>
    </row>
    <row r="14" spans="1:31">
      <c r="B14" s="16" t="s">
        <v>412</v>
      </c>
      <c r="C14" s="322" t="s">
        <v>300</v>
      </c>
      <c r="D14" s="16" t="s">
        <v>412</v>
      </c>
      <c r="E14" s="215" t="s">
        <v>865</v>
      </c>
      <c r="F14" s="321"/>
      <c r="G14" s="321"/>
      <c r="H14" s="321"/>
      <c r="I14" s="321"/>
      <c r="J14" s="321"/>
      <c r="K14" s="321"/>
      <c r="L14" s="321"/>
      <c r="M14" s="321"/>
      <c r="N14" s="321"/>
      <c r="O14" s="321"/>
      <c r="P14" s="321">
        <v>96.86</v>
      </c>
      <c r="Q14" s="321">
        <v>108.99</v>
      </c>
      <c r="R14" s="321">
        <v>107.65</v>
      </c>
      <c r="S14" s="321">
        <v>106.12</v>
      </c>
      <c r="T14" s="321">
        <v>104.47</v>
      </c>
      <c r="U14" s="321">
        <v>102.84</v>
      </c>
      <c r="V14" s="321">
        <f t="shared" ref="V14:AE14" si="5">U14</f>
        <v>102.84</v>
      </c>
      <c r="W14" s="321">
        <f t="shared" si="5"/>
        <v>102.84</v>
      </c>
      <c r="X14" s="321">
        <f t="shared" si="5"/>
        <v>102.84</v>
      </c>
      <c r="Y14" s="321">
        <f t="shared" si="5"/>
        <v>102.84</v>
      </c>
      <c r="Z14" s="321">
        <f t="shared" si="5"/>
        <v>102.84</v>
      </c>
      <c r="AA14" s="321">
        <f t="shared" si="5"/>
        <v>102.84</v>
      </c>
      <c r="AB14" s="321">
        <f t="shared" si="5"/>
        <v>102.84</v>
      </c>
      <c r="AC14" s="321">
        <f t="shared" si="5"/>
        <v>102.84</v>
      </c>
      <c r="AD14" s="321">
        <f t="shared" si="5"/>
        <v>102.84</v>
      </c>
      <c r="AE14" s="321">
        <f t="shared" si="5"/>
        <v>102.84</v>
      </c>
    </row>
    <row r="15" spans="1:31">
      <c r="B15" s="176"/>
      <c r="C15" s="179"/>
      <c r="D15" s="163"/>
      <c r="E15" s="532"/>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s="462" customFormat="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s="462" customFormat="1" ht="15" customHeight="1">
      <c r="B17" s="176"/>
      <c r="C17" s="179"/>
      <c r="D17" s="163"/>
      <c r="E17" s="532"/>
      <c r="F17" s="180"/>
      <c r="G17" s="180"/>
      <c r="H17" s="180"/>
      <c r="I17" s="180"/>
      <c r="J17" s="180"/>
      <c r="K17" s="161"/>
      <c r="L17" s="161"/>
      <c r="M17" s="161"/>
      <c r="N17" s="161"/>
      <c r="O17" s="161"/>
      <c r="P17" s="161"/>
      <c r="Q17" s="161"/>
      <c r="R17" s="161"/>
      <c r="S17" s="161"/>
      <c r="T17" s="161"/>
      <c r="U17" s="161"/>
      <c r="V17" s="161"/>
      <c r="W17" s="161"/>
      <c r="X17" s="161"/>
      <c r="Y17" s="161"/>
      <c r="Z17" s="161"/>
      <c r="AA17" s="161"/>
      <c r="AB17" s="161"/>
      <c r="AC17" s="161"/>
      <c r="AD17" s="161"/>
      <c r="AE17" s="161"/>
    </row>
    <row r="18" spans="2:31" s="462" customFormat="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s="462" customFormat="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s="462" customFormat="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s="462" customFormat="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800-000000000000}"/>
  </hyperlinks>
  <pageMargins left="0.78740157480314965" right="0.78740157480314965" top="0.98425196850393704" bottom="0.98425196850393704" header="0.59055118110236227" footer="0.59055118110236227"/>
  <pageSetup paperSize="9" scale="84"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13" operator="greaterThan" id="{00000000-0000-0000-0000-000000000000}">
            <xm:f>ControlPanel!$D$59-1</xm:f>
            <x14:dxf>
              <font>
                <color rgb="FF9C6500"/>
              </font>
              <fill>
                <patternFill>
                  <fgColor indexed="64"/>
                  <bgColor rgb="FFFFEB9C"/>
                </patternFill>
              </fill>
            </x14:dxf>
          </x14:cfRule>
          <x14:cfRule type="cellIs" priority="714" operator="lessThan" id="{00000000-0000-0000-0000-000000000000}">
            <xm:f>ControlPanel!$D$59</xm:f>
            <x14:dxf>
              <font>
                <color rgb="FF006100"/>
              </font>
              <fill>
                <patternFill>
                  <fgColor indexed="64"/>
                  <bgColor rgb="FFC6EFCE"/>
                </patternFill>
              </fill>
            </x14:dxf>
          </x14:cfRule>
          <xm:sqref>F4:AE4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32">
    <tabColor theme="9" tint="0.39997558519241921"/>
    <pageSetUpPr fitToPage="1"/>
  </sheetPr>
  <dimension ref="A1:AE1359"/>
  <sheetViews>
    <sheetView zoomScaleNormal="100" workbookViewId="0">
      <selection activeCell="E13" sqref="E13"/>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867</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108</v>
      </c>
      <c r="G5" s="323" t="s">
        <v>108</v>
      </c>
      <c r="H5" s="323" t="s">
        <v>108</v>
      </c>
      <c r="I5" s="323" t="s">
        <v>108</v>
      </c>
      <c r="J5" s="323" t="s">
        <v>108</v>
      </c>
      <c r="K5" s="323" t="s">
        <v>108</v>
      </c>
      <c r="L5" s="323" t="s">
        <v>108</v>
      </c>
      <c r="M5" s="323" t="s">
        <v>108</v>
      </c>
      <c r="N5" s="323" t="s">
        <v>108</v>
      </c>
      <c r="O5" s="323" t="s">
        <v>108</v>
      </c>
      <c r="P5" s="323" t="s">
        <v>108</v>
      </c>
      <c r="Q5" s="323" t="s">
        <v>108</v>
      </c>
      <c r="R5" s="323" t="s">
        <v>108</v>
      </c>
      <c r="S5" s="323" t="s">
        <v>108</v>
      </c>
      <c r="T5" s="323" t="s">
        <v>108</v>
      </c>
      <c r="U5" s="323" t="s">
        <v>108</v>
      </c>
      <c r="V5" s="323" t="s">
        <v>108</v>
      </c>
      <c r="W5" s="323" t="s">
        <v>108</v>
      </c>
      <c r="X5" s="323" t="s">
        <v>108</v>
      </c>
      <c r="Y5" s="323" t="s">
        <v>108</v>
      </c>
      <c r="Z5" s="323" t="s">
        <v>108</v>
      </c>
      <c r="AA5" s="323" t="s">
        <v>108</v>
      </c>
      <c r="AB5" s="323" t="s">
        <v>108</v>
      </c>
      <c r="AC5" s="323" t="s">
        <v>108</v>
      </c>
      <c r="AD5" s="323" t="s">
        <v>108</v>
      </c>
      <c r="AE5" s="323" t="s">
        <v>108</v>
      </c>
    </row>
    <row r="6" spans="1:31" ht="15" customHeight="1" thickBot="1">
      <c r="B6" s="171" t="str">
        <f>ControlPanel!E20</f>
        <v>Référence</v>
      </c>
      <c r="C6" s="15" t="str">
        <f>VLOOKUP($B$6,$B$7:$AE$25,2,FALSE)</f>
        <v>cl</v>
      </c>
      <c r="D6" s="485" t="str">
        <f>VLOOKUP($B$6,$B$7:$AE$25,3,FALSE)</f>
        <v>15% (gem. EEG 2014)</v>
      </c>
      <c r="E6" s="485">
        <f>VLOOKUP($B$6,$B$7:$AE$25,4,FALSE)</f>
        <v>0</v>
      </c>
      <c r="F6" s="332">
        <f>IF(F$4&lt;ControlPanel!$D$59,VLOOKUP("Référence",$B$7:$AE$25,F$4-$F$4+5,FALSE),VLOOKUP($B$6,$B$7:$AE$25,F$4-$F$4+5,FALSE))</f>
        <v>2.4421006724375267E-2</v>
      </c>
      <c r="G6" s="332">
        <f>IF(G$4&lt;ControlPanel!$D$59,VLOOKUP("Référence",$B$7:$AE$25,G$4-$F$4+5,FALSE),VLOOKUP($B$6,$B$7:$AE$25,G$4-$F$4+5,FALSE))</f>
        <v>1.416149742259081E-2</v>
      </c>
      <c r="H6" s="332">
        <f>IF(H$4&lt;ControlPanel!$D$59,VLOOKUP("Référence",$B$7:$AE$25,H$4-$F$4+5,FALSE),VLOOKUP($B$6,$B$7:$AE$25,H$4-$F$4+5,FALSE))</f>
        <v>1.3920264634567114E-2</v>
      </c>
      <c r="I6" s="332">
        <f>IF(I$4&lt;ControlPanel!$D$59,VLOOKUP("Référence",$B$7:$AE$25,I$4-$F$4+5,FALSE),VLOOKUP($B$6,$B$7:$AE$25,I$4-$F$4+5,FALSE))</f>
        <v>6.442107437727964E-3</v>
      </c>
      <c r="J6" s="332">
        <f>IF(J$4&lt;ControlPanel!$D$59,VLOOKUP("Référence",$B$7:$AE$25,J$4-$F$4+5,FALSE),VLOOKUP($B$6,$B$7:$AE$25,J$4-$F$4+5,FALSE))</f>
        <v>2.083534312096447E-2</v>
      </c>
      <c r="K6" s="332">
        <f>IF(K$4&lt;ControlPanel!$D$59,VLOOKUP("Référence",$B$7:$AE$25,K$4-$F$4+5,FALSE),VLOOKUP($B$6,$B$7:$AE$25,K$4-$F$4+5,FALSE))</f>
        <v>0.15</v>
      </c>
      <c r="L6" s="332">
        <f>IF(L$4&lt;ControlPanel!$D$59,VLOOKUP("Référence",$B$7:$AE$25,L$4-$F$4+5,FALSE),VLOOKUP($B$6,$B$7:$AE$25,L$4-$F$4+5,FALSE))</f>
        <v>0.15</v>
      </c>
      <c r="M6" s="332">
        <f>IF(M$4&lt;ControlPanel!$D$59,VLOOKUP("Référence",$B$7:$AE$25,M$4-$F$4+5,FALSE),VLOOKUP($B$6,$B$7:$AE$25,M$4-$F$4+5,FALSE))</f>
        <v>0.15</v>
      </c>
      <c r="N6" s="332">
        <f>IF(N$4&lt;ControlPanel!$D$59,VLOOKUP("Référence",$B$7:$AE$25,N$4-$F$4+5,FALSE),VLOOKUP($B$6,$B$7:$AE$25,N$4-$F$4+5,FALSE))</f>
        <v>0.15</v>
      </c>
      <c r="O6" s="332">
        <f>IF(O$4&lt;ControlPanel!$D$59,VLOOKUP("Référence",$B$7:$AE$25,O$4-$F$4+5,FALSE),VLOOKUP($B$6,$B$7:$AE$25,O$4-$F$4+5,FALSE))</f>
        <v>0.15</v>
      </c>
      <c r="P6" s="332">
        <f>IF(P$4&lt;ControlPanel!$D$59,VLOOKUP("Référence",$B$7:$AE$25,P$4-$F$4+5,FALSE),VLOOKUP($B$6,$B$7:$AE$25,P$4-$F$4+5,FALSE))</f>
        <v>0.15</v>
      </c>
      <c r="Q6" s="332">
        <f>IF(Q$4&lt;ControlPanel!$D$59,VLOOKUP("Référence",$B$7:$AE$25,Q$4-$F$4+5,FALSE),VLOOKUP($B$6,$B$7:$AE$25,Q$4-$F$4+5,FALSE))</f>
        <v>0.15</v>
      </c>
      <c r="R6" s="332">
        <f>IF(R$4&lt;ControlPanel!$D$59,VLOOKUP("Référence",$B$7:$AE$25,R$4-$F$4+5,FALSE),VLOOKUP($B$6,$B$7:$AE$25,R$4-$F$4+5,FALSE))</f>
        <v>0.15</v>
      </c>
      <c r="S6" s="332">
        <f>IF(S$4&lt;ControlPanel!$D$59,VLOOKUP("Référence",$B$7:$AE$25,S$4-$F$4+5,FALSE),VLOOKUP($B$6,$B$7:$AE$25,S$4-$F$4+5,FALSE))</f>
        <v>0.15</v>
      </c>
      <c r="T6" s="332">
        <f>IF(T$4&lt;ControlPanel!$D$59,VLOOKUP("Référence",$B$7:$AE$25,T$4-$F$4+5,FALSE),VLOOKUP($B$6,$B$7:$AE$25,T$4-$F$4+5,FALSE))</f>
        <v>0.15</v>
      </c>
      <c r="U6" s="332">
        <f>IF(U$4&lt;ControlPanel!$D$59,VLOOKUP("Référence",$B$7:$AE$25,U$4-$F$4+5,FALSE),VLOOKUP($B$6,$B$7:$AE$25,U$4-$F$4+5,FALSE))</f>
        <v>0.15</v>
      </c>
      <c r="V6" s="332">
        <f>IF(V$4&lt;ControlPanel!$D$59,VLOOKUP("Référence",$B$7:$AE$25,V$4-$F$4+5,FALSE),VLOOKUP($B$6,$B$7:$AE$25,V$4-$F$4+5,FALSE))</f>
        <v>0.15</v>
      </c>
      <c r="W6" s="332">
        <f>IF(W$4&lt;ControlPanel!$D$59,VLOOKUP("Référence",$B$7:$AE$25,W$4-$F$4+5,FALSE),VLOOKUP($B$6,$B$7:$AE$25,W$4-$F$4+5,FALSE))</f>
        <v>0.15</v>
      </c>
      <c r="X6" s="332">
        <f>IF(X$4&lt;ControlPanel!$D$59,VLOOKUP("Référence",$B$7:$AE$25,X$4-$F$4+5,FALSE),VLOOKUP($B$6,$B$7:$AE$25,X$4-$F$4+5,FALSE))</f>
        <v>0.15</v>
      </c>
      <c r="Y6" s="332">
        <f>IF(Y$4&lt;ControlPanel!$D$59,VLOOKUP("Référence",$B$7:$AE$25,Y$4-$F$4+5,FALSE),VLOOKUP($B$6,$B$7:$AE$25,Y$4-$F$4+5,FALSE))</f>
        <v>0.15</v>
      </c>
      <c r="Z6" s="332">
        <f>IF(Z$4&lt;ControlPanel!$D$59,VLOOKUP("Référence",$B$7:$AE$25,Z$4-$F$4+5,FALSE),VLOOKUP($B$6,$B$7:$AE$25,Z$4-$F$4+5,FALSE))</f>
        <v>0.15</v>
      </c>
      <c r="AA6" s="332">
        <f>IF(AA$4&lt;ControlPanel!$D$59,VLOOKUP("Référence",$B$7:$AE$25,AA$4-$F$4+5,FALSE),VLOOKUP($B$6,$B$7:$AE$25,AA$4-$F$4+5,FALSE))</f>
        <v>0.15</v>
      </c>
      <c r="AB6" s="332">
        <f>IF(AB$4&lt;ControlPanel!$D$59,VLOOKUP("Référence",$B$7:$AE$25,AB$4-$F$4+5,FALSE),VLOOKUP($B$6,$B$7:$AE$25,AB$4-$F$4+5,FALSE))</f>
        <v>0.15</v>
      </c>
      <c r="AC6" s="332">
        <f>IF(AC$4&lt;ControlPanel!$D$59,VLOOKUP("Référence",$B$7:$AE$25,AC$4-$F$4+5,FALSE),VLOOKUP($B$6,$B$7:$AE$25,AC$4-$F$4+5,FALSE))</f>
        <v>0.15</v>
      </c>
      <c r="AD6" s="332">
        <f>IF(AD$4&lt;ControlPanel!$D$59,VLOOKUP("Référence",$B$7:$AE$25,AD$4-$F$4+5,FALSE),VLOOKUP($B$6,$B$7:$AE$25,AD$4-$F$4+5,FALSE))</f>
        <v>0.15</v>
      </c>
      <c r="AE6" s="332">
        <f>IF(AE$4&lt;ControlPanel!$D$59,VLOOKUP("Référence",$B$7:$AE$25,AE$4-$F$4+5,FALSE),VLOOKUP($B$6,$B$7:$AE$25,AE$4-$F$4+5,FALSE))</f>
        <v>0.15</v>
      </c>
    </row>
    <row r="7" spans="1:31" ht="15" customHeight="1">
      <c r="B7" s="322" t="s">
        <v>409</v>
      </c>
      <c r="C7" s="12" t="s">
        <v>106</v>
      </c>
      <c r="D7" s="421" t="s">
        <v>140</v>
      </c>
      <c r="E7" s="543"/>
      <c r="F7" s="335">
        <v>2.4421006724375267E-2</v>
      </c>
      <c r="G7" s="335">
        <v>1.416149742259081E-2</v>
      </c>
      <c r="H7" s="335">
        <v>1.3920264634567114E-2</v>
      </c>
      <c r="I7" s="335">
        <v>6.442107437727964E-3</v>
      </c>
      <c r="J7" s="335">
        <v>2.083534312096447E-2</v>
      </c>
      <c r="K7" s="335">
        <v>0.15</v>
      </c>
      <c r="L7" s="335">
        <v>0.15</v>
      </c>
      <c r="M7" s="335">
        <v>0.15</v>
      </c>
      <c r="N7" s="335">
        <v>0.15</v>
      </c>
      <c r="O7" s="335">
        <v>0.15</v>
      </c>
      <c r="P7" s="335">
        <v>0.15</v>
      </c>
      <c r="Q7" s="335">
        <v>0.15</v>
      </c>
      <c r="R7" s="335">
        <v>0.15</v>
      </c>
      <c r="S7" s="335">
        <v>0.15</v>
      </c>
      <c r="T7" s="335">
        <v>0.15</v>
      </c>
      <c r="U7" s="335">
        <v>0.15</v>
      </c>
      <c r="V7" s="335">
        <v>0.15</v>
      </c>
      <c r="W7" s="335">
        <v>0.15</v>
      </c>
      <c r="X7" s="335">
        <v>0.15</v>
      </c>
      <c r="Y7" s="335">
        <v>0.15</v>
      </c>
      <c r="Z7" s="335">
        <v>0.15</v>
      </c>
      <c r="AA7" s="335">
        <v>0.15</v>
      </c>
      <c r="AB7" s="335">
        <v>0.15</v>
      </c>
      <c r="AC7" s="335">
        <v>0.15</v>
      </c>
      <c r="AD7" s="335">
        <v>0.15</v>
      </c>
      <c r="AE7" s="335">
        <v>0.15</v>
      </c>
    </row>
    <row r="8" spans="1:31" ht="15" customHeight="1">
      <c r="B8" s="16" t="s">
        <v>851</v>
      </c>
      <c r="C8" s="12" t="s">
        <v>106</v>
      </c>
      <c r="D8" s="421" t="s">
        <v>869</v>
      </c>
      <c r="E8" s="543"/>
      <c r="F8" s="335"/>
      <c r="G8" s="335"/>
      <c r="H8" s="335"/>
      <c r="I8" s="335"/>
      <c r="J8" s="335"/>
      <c r="K8" s="335"/>
      <c r="L8" s="335"/>
      <c r="M8" s="335"/>
      <c r="N8" s="335"/>
      <c r="O8" s="335"/>
      <c r="P8" s="335">
        <v>0</v>
      </c>
      <c r="Q8" s="335">
        <v>0</v>
      </c>
      <c r="R8" s="335">
        <v>0</v>
      </c>
      <c r="S8" s="335">
        <v>0</v>
      </c>
      <c r="T8" s="335">
        <v>0</v>
      </c>
      <c r="U8" s="335">
        <v>0</v>
      </c>
      <c r="V8" s="335">
        <v>0</v>
      </c>
      <c r="W8" s="335">
        <v>0</v>
      </c>
      <c r="X8" s="335">
        <v>0</v>
      </c>
      <c r="Y8" s="335">
        <v>0</v>
      </c>
      <c r="Z8" s="335">
        <v>0</v>
      </c>
      <c r="AA8" s="335">
        <v>0</v>
      </c>
      <c r="AB8" s="335">
        <v>0</v>
      </c>
      <c r="AC8" s="335">
        <v>0</v>
      </c>
      <c r="AD8" s="335">
        <v>0</v>
      </c>
      <c r="AE8" s="335">
        <v>0</v>
      </c>
    </row>
    <row r="9" spans="1:31" ht="15" customHeight="1">
      <c r="B9" s="16" t="s">
        <v>355</v>
      </c>
      <c r="C9" s="12" t="s">
        <v>106</v>
      </c>
      <c r="D9" s="421">
        <v>0.05</v>
      </c>
      <c r="E9" s="543"/>
      <c r="F9" s="335"/>
      <c r="G9" s="335"/>
      <c r="H9" s="335"/>
      <c r="I9" s="335"/>
      <c r="J9" s="335"/>
      <c r="K9" s="335"/>
      <c r="L9" s="335"/>
      <c r="M9" s="335"/>
      <c r="N9" s="335"/>
      <c r="O9" s="335"/>
      <c r="P9" s="335">
        <v>0.05</v>
      </c>
      <c r="Q9" s="335">
        <v>0.05</v>
      </c>
      <c r="R9" s="335">
        <v>0.05</v>
      </c>
      <c r="S9" s="335">
        <v>0.05</v>
      </c>
      <c r="T9" s="335">
        <v>0.05</v>
      </c>
      <c r="U9" s="335">
        <v>0.05</v>
      </c>
      <c r="V9" s="335">
        <v>0.05</v>
      </c>
      <c r="W9" s="335">
        <v>0.05</v>
      </c>
      <c r="X9" s="335">
        <v>0.05</v>
      </c>
      <c r="Y9" s="335">
        <v>0.05</v>
      </c>
      <c r="Z9" s="335">
        <v>0.05</v>
      </c>
      <c r="AA9" s="335">
        <v>0.05</v>
      </c>
      <c r="AB9" s="335">
        <v>0.05</v>
      </c>
      <c r="AC9" s="335">
        <v>0.05</v>
      </c>
      <c r="AD9" s="335">
        <v>0.05</v>
      </c>
      <c r="AE9" s="335">
        <v>0.05</v>
      </c>
    </row>
    <row r="10" spans="1:31" ht="15" customHeight="1">
      <c r="B10" s="16" t="s">
        <v>861</v>
      </c>
      <c r="C10" s="12" t="s">
        <v>106</v>
      </c>
      <c r="D10" s="421">
        <v>0.25</v>
      </c>
      <c r="E10" s="543"/>
      <c r="F10" s="335"/>
      <c r="G10" s="335"/>
      <c r="H10" s="335"/>
      <c r="I10" s="335"/>
      <c r="J10" s="335"/>
      <c r="K10" s="335"/>
      <c r="L10" s="335"/>
      <c r="M10" s="335"/>
      <c r="N10" s="335"/>
      <c r="O10" s="335"/>
      <c r="P10" s="335">
        <v>0.25</v>
      </c>
      <c r="Q10" s="335">
        <v>0.25</v>
      </c>
      <c r="R10" s="335">
        <v>0.25</v>
      </c>
      <c r="S10" s="335">
        <v>0.25</v>
      </c>
      <c r="T10" s="335">
        <v>0.25</v>
      </c>
      <c r="U10" s="335">
        <v>0.25</v>
      </c>
      <c r="V10" s="335">
        <v>0.25</v>
      </c>
      <c r="W10" s="335">
        <v>0.25</v>
      </c>
      <c r="X10" s="335">
        <v>0.25</v>
      </c>
      <c r="Y10" s="335">
        <v>0.25</v>
      </c>
      <c r="Z10" s="335">
        <v>0.25</v>
      </c>
      <c r="AA10" s="335">
        <v>0.25</v>
      </c>
      <c r="AB10" s="335">
        <v>0.25</v>
      </c>
      <c r="AC10" s="335">
        <v>0.25</v>
      </c>
      <c r="AD10" s="335">
        <v>0.25</v>
      </c>
      <c r="AE10" s="335">
        <v>0.25</v>
      </c>
    </row>
    <row r="11" spans="1:31" ht="15" customHeight="1">
      <c r="B11" s="16" t="s">
        <v>856</v>
      </c>
      <c r="C11" s="12" t="s">
        <v>106</v>
      </c>
      <c r="D11" s="421">
        <v>0.5</v>
      </c>
      <c r="E11" s="543"/>
      <c r="F11" s="335"/>
      <c r="G11" s="335"/>
      <c r="H11" s="335"/>
      <c r="I11" s="335"/>
      <c r="J11" s="335"/>
      <c r="K11" s="335"/>
      <c r="L11" s="335"/>
      <c r="M11" s="335"/>
      <c r="N11" s="335"/>
      <c r="O11" s="335"/>
      <c r="P11" s="335">
        <v>0.5</v>
      </c>
      <c r="Q11" s="335">
        <v>0.5</v>
      </c>
      <c r="R11" s="335">
        <v>0.5</v>
      </c>
      <c r="S11" s="335">
        <v>0.5</v>
      </c>
      <c r="T11" s="335">
        <v>0.5</v>
      </c>
      <c r="U11" s="335">
        <v>0.5</v>
      </c>
      <c r="V11" s="335">
        <v>0.5</v>
      </c>
      <c r="W11" s="335">
        <v>0.5</v>
      </c>
      <c r="X11" s="335">
        <v>0.5</v>
      </c>
      <c r="Y11" s="335">
        <v>0.5</v>
      </c>
      <c r="Z11" s="335">
        <v>0.5</v>
      </c>
      <c r="AA11" s="335">
        <v>0.5</v>
      </c>
      <c r="AB11" s="335">
        <v>0.5</v>
      </c>
      <c r="AC11" s="335">
        <v>0.5</v>
      </c>
      <c r="AD11" s="335">
        <v>0.5</v>
      </c>
      <c r="AE11" s="335">
        <v>0.5</v>
      </c>
    </row>
    <row r="12" spans="1:31" ht="15" customHeight="1">
      <c r="B12" s="16" t="s">
        <v>868</v>
      </c>
      <c r="C12" s="12" t="s">
        <v>106</v>
      </c>
      <c r="D12" s="421">
        <v>1</v>
      </c>
      <c r="E12" s="543"/>
      <c r="F12" s="335"/>
      <c r="G12" s="335"/>
      <c r="H12" s="335"/>
      <c r="I12" s="335"/>
      <c r="J12" s="335"/>
      <c r="K12" s="335"/>
      <c r="L12" s="335"/>
      <c r="M12" s="335"/>
      <c r="N12" s="335"/>
      <c r="O12" s="335"/>
      <c r="P12" s="335">
        <v>1</v>
      </c>
      <c r="Q12" s="335">
        <v>1</v>
      </c>
      <c r="R12" s="335">
        <v>1</v>
      </c>
      <c r="S12" s="335">
        <v>1</v>
      </c>
      <c r="T12" s="335">
        <v>1</v>
      </c>
      <c r="U12" s="335">
        <v>1</v>
      </c>
      <c r="V12" s="335">
        <v>1</v>
      </c>
      <c r="W12" s="335">
        <v>1</v>
      </c>
      <c r="X12" s="335">
        <v>1</v>
      </c>
      <c r="Y12" s="335">
        <v>1</v>
      </c>
      <c r="Z12" s="335">
        <v>1</v>
      </c>
      <c r="AA12" s="335">
        <v>1</v>
      </c>
      <c r="AB12" s="335">
        <v>1</v>
      </c>
      <c r="AC12" s="335">
        <v>1</v>
      </c>
      <c r="AD12" s="335">
        <v>1</v>
      </c>
      <c r="AE12" s="335">
        <v>1</v>
      </c>
    </row>
    <row r="13" spans="1:31" s="462" customFormat="1" ht="15" customHeight="1">
      <c r="B13" s="176"/>
      <c r="C13" s="179"/>
      <c r="D13" s="163"/>
      <c r="E13" s="532"/>
      <c r="F13" s="336"/>
      <c r="G13" s="336"/>
      <c r="H13" s="336"/>
      <c r="I13" s="336"/>
      <c r="J13" s="336"/>
      <c r="K13" s="336"/>
      <c r="L13" s="336"/>
      <c r="M13" s="336"/>
      <c r="N13" s="336"/>
      <c r="O13" s="336"/>
      <c r="P13" s="336"/>
      <c r="Q13" s="336"/>
      <c r="R13" s="336"/>
      <c r="S13" s="336"/>
      <c r="T13" s="336"/>
      <c r="U13" s="336"/>
      <c r="V13" s="336"/>
      <c r="W13" s="336"/>
      <c r="X13" s="336"/>
      <c r="Y13" s="336"/>
      <c r="Z13" s="336"/>
      <c r="AA13" s="336"/>
      <c r="AB13" s="336"/>
      <c r="AC13" s="336"/>
      <c r="AD13" s="336"/>
      <c r="AE13" s="336"/>
    </row>
    <row r="14" spans="1:31" ht="15" customHeight="1">
      <c r="B14" s="1192"/>
      <c r="C14" s="1118"/>
      <c r="D14" s="1193"/>
      <c r="E14" s="1194"/>
      <c r="F14" s="1195"/>
      <c r="G14" s="1195"/>
      <c r="H14" s="1195"/>
      <c r="I14" s="1195"/>
      <c r="J14" s="1195"/>
      <c r="K14" s="1195"/>
      <c r="L14" s="1195"/>
      <c r="M14" s="1195"/>
      <c r="N14" s="1195"/>
      <c r="O14" s="1195"/>
      <c r="P14" s="1195"/>
      <c r="Q14" s="1195"/>
      <c r="R14" s="1195"/>
      <c r="S14" s="1195"/>
      <c r="T14" s="1195"/>
      <c r="U14" s="1195"/>
      <c r="V14" s="1195"/>
      <c r="W14" s="1195"/>
      <c r="X14" s="1195"/>
      <c r="Y14" s="1195"/>
      <c r="Z14" s="1195"/>
      <c r="AA14" s="1195"/>
      <c r="AB14" s="1195"/>
      <c r="AC14" s="1195"/>
      <c r="AD14" s="1195"/>
      <c r="AE14" s="1195"/>
    </row>
    <row r="15" spans="1:31" ht="15" customHeight="1">
      <c r="B15" s="176"/>
      <c r="C15" s="179"/>
      <c r="D15" s="163"/>
      <c r="E15" s="532"/>
      <c r="F15" s="336"/>
      <c r="G15" s="336"/>
      <c r="H15" s="336"/>
      <c r="I15" s="336"/>
      <c r="J15" s="336"/>
      <c r="K15" s="336"/>
      <c r="L15" s="336"/>
      <c r="M15" s="336"/>
      <c r="N15" s="336"/>
      <c r="O15" s="336"/>
      <c r="P15" s="336"/>
      <c r="Q15" s="336"/>
      <c r="R15" s="336"/>
      <c r="S15" s="336"/>
      <c r="T15" s="336"/>
      <c r="U15" s="336"/>
      <c r="V15" s="336"/>
      <c r="W15" s="336"/>
      <c r="X15" s="336"/>
      <c r="Y15" s="336"/>
      <c r="Z15" s="336"/>
      <c r="AA15" s="336"/>
      <c r="AB15" s="336"/>
      <c r="AC15" s="336"/>
      <c r="AD15" s="336"/>
      <c r="AE15" s="336"/>
    </row>
    <row r="16" spans="1:31" s="462" customFormat="1" ht="15" customHeight="1">
      <c r="B16" s="176"/>
      <c r="C16" s="179"/>
      <c r="D16" s="163"/>
      <c r="E16" s="532"/>
      <c r="F16" s="336"/>
      <c r="G16" s="336"/>
      <c r="H16" s="336"/>
      <c r="I16" s="336"/>
      <c r="J16" s="336"/>
      <c r="K16" s="336"/>
      <c r="L16" s="336"/>
      <c r="M16" s="336"/>
      <c r="N16" s="336"/>
      <c r="O16" s="336"/>
      <c r="P16" s="336"/>
      <c r="Q16" s="336"/>
      <c r="R16" s="336"/>
      <c r="S16" s="336"/>
      <c r="T16" s="336"/>
      <c r="U16" s="336"/>
      <c r="V16" s="336"/>
      <c r="W16" s="336"/>
      <c r="X16" s="336"/>
      <c r="Y16" s="336"/>
      <c r="Z16" s="336"/>
      <c r="AA16" s="336"/>
      <c r="AB16" s="336"/>
      <c r="AC16" s="336"/>
      <c r="AD16" s="336"/>
      <c r="AE16" s="336"/>
    </row>
    <row r="17" spans="2:31" s="462" customFormat="1" ht="15" customHeight="1">
      <c r="B17" s="176"/>
      <c r="C17" s="179"/>
      <c r="D17" s="163"/>
      <c r="E17" s="532"/>
      <c r="F17" s="336"/>
      <c r="G17" s="336"/>
      <c r="H17" s="336"/>
      <c r="I17" s="336"/>
      <c r="J17" s="336"/>
      <c r="K17" s="336"/>
      <c r="L17" s="336"/>
      <c r="M17" s="336"/>
      <c r="N17" s="336"/>
      <c r="O17" s="336"/>
      <c r="P17" s="336"/>
      <c r="Q17" s="336"/>
      <c r="R17" s="336"/>
      <c r="S17" s="336"/>
      <c r="T17" s="336"/>
      <c r="U17" s="336"/>
      <c r="V17" s="336"/>
      <c r="W17" s="336"/>
      <c r="X17" s="336"/>
      <c r="Y17" s="336"/>
      <c r="Z17" s="336"/>
      <c r="AA17" s="336"/>
      <c r="AB17" s="336"/>
      <c r="AC17" s="336"/>
      <c r="AD17" s="336"/>
      <c r="AE17" s="336"/>
    </row>
    <row r="18" spans="2:31" s="462" customFormat="1" ht="15" customHeight="1">
      <c r="B18" s="176"/>
      <c r="C18" s="179"/>
      <c r="D18" s="163"/>
      <c r="E18" s="532"/>
      <c r="F18" s="336"/>
      <c r="G18" s="336"/>
      <c r="H18" s="336"/>
      <c r="I18" s="336"/>
      <c r="J18" s="336"/>
      <c r="K18" s="336"/>
      <c r="L18" s="336"/>
      <c r="M18" s="336"/>
      <c r="N18" s="336"/>
      <c r="O18" s="336"/>
      <c r="P18" s="336"/>
      <c r="Q18" s="336"/>
      <c r="R18" s="336"/>
      <c r="S18" s="336"/>
      <c r="T18" s="336"/>
      <c r="U18" s="336"/>
      <c r="V18" s="336"/>
      <c r="W18" s="336"/>
      <c r="X18" s="336"/>
      <c r="Y18" s="336"/>
      <c r="Z18" s="336"/>
      <c r="AA18" s="336"/>
      <c r="AB18" s="336"/>
      <c r="AC18" s="336"/>
      <c r="AD18" s="336"/>
      <c r="AE18" s="336"/>
    </row>
    <row r="19" spans="2:31" s="462" customFormat="1" ht="15" customHeight="1">
      <c r="B19" s="176"/>
      <c r="C19" s="179"/>
      <c r="D19" s="163"/>
      <c r="E19" s="532"/>
      <c r="F19" s="336"/>
      <c r="G19" s="336"/>
      <c r="H19" s="336"/>
      <c r="I19" s="336"/>
      <c r="J19" s="336"/>
      <c r="K19" s="336"/>
      <c r="L19" s="336"/>
      <c r="M19" s="336"/>
      <c r="N19" s="336"/>
      <c r="O19" s="336"/>
      <c r="P19" s="336"/>
      <c r="Q19" s="336"/>
      <c r="R19" s="336"/>
      <c r="S19" s="336"/>
      <c r="T19" s="336"/>
      <c r="U19" s="336"/>
      <c r="V19" s="336"/>
      <c r="W19" s="336"/>
      <c r="X19" s="336"/>
      <c r="Y19" s="336"/>
      <c r="Z19" s="336"/>
      <c r="AA19" s="336"/>
      <c r="AB19" s="336"/>
      <c r="AC19" s="336"/>
      <c r="AD19" s="336"/>
      <c r="AE19" s="336"/>
    </row>
    <row r="20" spans="2:31" s="462" customFormat="1" ht="15" customHeight="1">
      <c r="B20" s="176"/>
      <c r="C20" s="179"/>
      <c r="D20" s="163"/>
      <c r="E20" s="532"/>
      <c r="F20" s="336"/>
      <c r="G20" s="336"/>
      <c r="H20" s="336"/>
      <c r="I20" s="336"/>
      <c r="J20" s="336"/>
      <c r="K20" s="336"/>
      <c r="L20" s="336"/>
      <c r="M20" s="336"/>
      <c r="N20" s="336"/>
      <c r="O20" s="336"/>
      <c r="P20" s="336"/>
      <c r="Q20" s="336"/>
      <c r="R20" s="336"/>
      <c r="S20" s="336"/>
      <c r="T20" s="336"/>
      <c r="U20" s="336"/>
      <c r="V20" s="336"/>
      <c r="W20" s="336"/>
      <c r="X20" s="336"/>
      <c r="Y20" s="336"/>
      <c r="Z20" s="336"/>
      <c r="AA20" s="336"/>
      <c r="AB20" s="336"/>
      <c r="AC20" s="336"/>
      <c r="AD20" s="336"/>
      <c r="AE20" s="336"/>
    </row>
    <row r="21" spans="2:31" s="462" customFormat="1" ht="15" customHeight="1">
      <c r="B21" s="176"/>
      <c r="C21" s="179"/>
      <c r="D21" s="163"/>
      <c r="E21" s="532"/>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row>
    <row r="22" spans="2:31" s="462" customFormat="1" ht="15" customHeight="1">
      <c r="B22" s="176"/>
      <c r="C22" s="179"/>
      <c r="D22" s="163"/>
      <c r="E22" s="532"/>
      <c r="F22" s="336"/>
      <c r="G22" s="336"/>
      <c r="H22" s="336"/>
      <c r="I22" s="336"/>
      <c r="J22" s="336"/>
      <c r="K22" s="336"/>
      <c r="L22" s="336"/>
      <c r="M22" s="336"/>
      <c r="N22" s="336"/>
      <c r="O22" s="336"/>
      <c r="P22" s="336"/>
      <c r="Q22" s="336"/>
      <c r="R22" s="336"/>
      <c r="S22" s="336"/>
      <c r="T22" s="336"/>
      <c r="U22" s="336"/>
      <c r="V22" s="336"/>
      <c r="W22" s="336"/>
      <c r="X22" s="336"/>
      <c r="Y22" s="336"/>
      <c r="Z22" s="336"/>
      <c r="AA22" s="336"/>
      <c r="AB22" s="336"/>
      <c r="AC22" s="336"/>
      <c r="AD22" s="336"/>
      <c r="AE22" s="336"/>
    </row>
    <row r="23" spans="2:31" s="462" customFormat="1" ht="15" customHeight="1">
      <c r="B23" s="176"/>
      <c r="C23" s="179"/>
      <c r="D23" s="163"/>
      <c r="E23" s="532"/>
      <c r="F23" s="336"/>
      <c r="G23" s="336"/>
      <c r="H23" s="336"/>
      <c r="I23" s="336"/>
      <c r="J23" s="336"/>
      <c r="K23" s="336"/>
      <c r="L23" s="336"/>
      <c r="M23" s="336"/>
      <c r="N23" s="336"/>
      <c r="O23" s="336"/>
      <c r="P23" s="336"/>
      <c r="Q23" s="336"/>
      <c r="R23" s="336"/>
      <c r="S23" s="336"/>
      <c r="T23" s="336"/>
      <c r="U23" s="336"/>
      <c r="V23" s="336"/>
      <c r="W23" s="336"/>
      <c r="X23" s="336"/>
      <c r="Y23" s="336"/>
      <c r="Z23" s="336"/>
      <c r="AA23" s="336"/>
      <c r="AB23" s="336"/>
      <c r="AC23" s="336"/>
      <c r="AD23" s="336"/>
      <c r="AE23" s="336"/>
    </row>
    <row r="24" spans="2:31" s="462" customFormat="1" ht="15" customHeight="1">
      <c r="B24" s="176"/>
      <c r="C24" s="179"/>
      <c r="D24" s="163"/>
      <c r="E24" s="532"/>
      <c r="F24" s="336"/>
      <c r="G24" s="336"/>
      <c r="H24" s="336"/>
      <c r="I24" s="336"/>
      <c r="J24" s="336"/>
      <c r="K24" s="336"/>
      <c r="L24" s="336"/>
      <c r="M24" s="336"/>
      <c r="N24" s="336"/>
      <c r="O24" s="336"/>
      <c r="P24" s="336"/>
      <c r="Q24" s="336"/>
      <c r="R24" s="336"/>
      <c r="S24" s="336"/>
      <c r="T24" s="336"/>
      <c r="U24" s="336"/>
      <c r="V24" s="336"/>
      <c r="W24" s="336"/>
      <c r="X24" s="336"/>
      <c r="Y24" s="336"/>
      <c r="Z24" s="336"/>
      <c r="AA24" s="336"/>
      <c r="AB24" s="336"/>
      <c r="AC24" s="336"/>
      <c r="AD24" s="336"/>
      <c r="AE24" s="336"/>
    </row>
    <row r="25" spans="2:31" s="462" customFormat="1" ht="15" customHeight="1">
      <c r="B25" s="178"/>
      <c r="C25" s="181"/>
      <c r="D25" s="182"/>
      <c r="E25" s="533"/>
      <c r="F25" s="337"/>
      <c r="G25" s="337"/>
      <c r="H25" s="337"/>
      <c r="I25" s="337"/>
      <c r="J25" s="337"/>
      <c r="K25" s="337"/>
      <c r="L25" s="337"/>
      <c r="M25" s="337"/>
      <c r="N25" s="337"/>
      <c r="O25" s="337"/>
      <c r="P25" s="337"/>
      <c r="Q25" s="337"/>
      <c r="R25" s="337"/>
      <c r="S25" s="337"/>
      <c r="T25" s="337"/>
      <c r="U25" s="337"/>
      <c r="V25" s="337"/>
      <c r="W25" s="337"/>
      <c r="X25" s="337"/>
      <c r="Y25" s="337"/>
      <c r="Z25" s="337"/>
      <c r="AA25" s="337"/>
      <c r="AB25" s="337"/>
      <c r="AC25" s="337"/>
      <c r="AD25" s="337"/>
      <c r="AE25" s="337"/>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c r="G29" s="159"/>
      <c r="H29" s="159"/>
      <c r="I29" s="159"/>
      <c r="J29" s="159"/>
      <c r="K29" s="510"/>
      <c r="L29" s="510"/>
      <c r="M29" s="510"/>
      <c r="N29" s="510"/>
    </row>
    <row r="30" spans="2:31" ht="15" customHeight="1">
      <c r="G30" s="159"/>
      <c r="H30" s="159"/>
      <c r="I30" s="159"/>
      <c r="J30" s="159"/>
      <c r="K30" s="510"/>
      <c r="L30" s="510"/>
      <c r="M30" s="510"/>
      <c r="N30" s="510"/>
    </row>
    <row r="31" spans="2:31" ht="15" customHeight="1">
      <c r="G31" s="159"/>
      <c r="H31" s="159"/>
      <c r="I31" s="159"/>
      <c r="J31" s="159"/>
      <c r="K31" s="510"/>
      <c r="L31" s="510"/>
      <c r="M31" s="510"/>
      <c r="N31" s="510"/>
    </row>
    <row r="32" spans="2:31" ht="15" customHeight="1">
      <c r="G32" s="159"/>
      <c r="H32" s="159"/>
      <c r="I32" s="159"/>
      <c r="J32" s="159"/>
      <c r="K32" s="510"/>
      <c r="L32" s="510"/>
      <c r="M32" s="510"/>
      <c r="N32" s="510"/>
    </row>
    <row r="33" spans="7:14" ht="15" customHeight="1">
      <c r="G33" s="159"/>
      <c r="H33" s="159"/>
      <c r="I33" s="159"/>
      <c r="J33" s="159"/>
      <c r="K33" s="510"/>
      <c r="L33" s="510"/>
      <c r="M33" s="510"/>
      <c r="N33" s="510"/>
    </row>
    <row r="34" spans="7:14" ht="15" customHeight="1">
      <c r="G34" s="159"/>
      <c r="H34" s="159"/>
      <c r="I34" s="159"/>
      <c r="J34" s="159"/>
      <c r="K34" s="510"/>
      <c r="L34" s="510"/>
      <c r="M34" s="510"/>
      <c r="N34" s="510"/>
    </row>
    <row r="35" spans="7:14" ht="15" customHeight="1"/>
    <row r="36" spans="7:14" ht="15" customHeight="1">
      <c r="J36" s="377"/>
    </row>
    <row r="37" spans="7:14" ht="15" customHeight="1"/>
    <row r="38" spans="7:14" ht="15" customHeight="1"/>
    <row r="39" spans="7:14" ht="15" customHeight="1"/>
    <row r="40" spans="7:14" ht="15" customHeight="1"/>
    <row r="41" spans="7:14" ht="15" customHeight="1"/>
    <row r="42" spans="7:14" ht="15" customHeight="1"/>
    <row r="43" spans="7:14" ht="15" customHeight="1"/>
    <row r="44" spans="7:14" ht="15" customHeight="1"/>
    <row r="45" spans="7:14" ht="15" customHeight="1"/>
    <row r="46" spans="7:14" ht="15" customHeight="1"/>
    <row r="47" spans="7:14" ht="15" customHeight="1"/>
    <row r="48" spans="7:1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9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719" operator="greaterThan" id="{00000000-0000-0000-0000-000000000000}">
            <xm:f>ControlPanel!$D$59-1</xm:f>
            <x14:dxf>
              <font>
                <color rgb="FF9C6500"/>
              </font>
              <fill>
                <patternFill>
                  <fgColor indexed="64"/>
                  <bgColor rgb="FFFFEB9C"/>
                </patternFill>
              </fill>
            </x14:dxf>
          </x14:cfRule>
          <x14:cfRule type="cellIs" priority="720" operator="lessThan" id="{00000000-0000-0000-0000-000000000000}">
            <xm:f>ControlPanel!$D$59</xm:f>
            <x14:dxf>
              <font>
                <color rgb="FF006100"/>
              </font>
              <fill>
                <patternFill>
                  <fgColor indexed="64"/>
                  <bgColor rgb="FFC6EFCE"/>
                </patternFill>
              </fill>
            </x14:dxf>
          </x14:cfRule>
          <xm:sqref>F4:AE4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abelle49">
    <tabColor theme="9" tint="0.39997558519241921"/>
    <pageSetUpPr fitToPage="1"/>
  </sheetPr>
  <dimension ref="A1:AE1359"/>
  <sheetViews>
    <sheetView zoomScaleNormal="100" workbookViewId="0">
      <selection activeCell="D13" sqref="D13"/>
    </sheetView>
  </sheetViews>
  <sheetFormatPr defaultColWidth="11.5546875" defaultRowHeight="13.2" outlineLevelCol="2"/>
  <cols>
    <col min="1" max="1" width="3.6640625" style="9" customWidth="1"/>
    <col min="2" max="2" width="25.6640625" style="323" customWidth="1"/>
    <col min="3" max="3" width="20.6640625" style="10" customWidth="1" outlineLevel="2"/>
    <col min="4" max="4" width="76.109375" style="10" customWidth="1"/>
    <col min="5" max="5" width="20.88671875" style="10" customWidth="1"/>
    <col min="6" max="14" width="8.6640625" style="9" customWidth="1"/>
    <col min="15" max="31" width="8.6640625" style="9" customWidth="1" outlineLevel="1"/>
    <col min="32" max="16384" width="11.5546875" style="9"/>
  </cols>
  <sheetData>
    <row r="1" spans="1:31">
      <c r="A1" s="41" t="s">
        <v>74</v>
      </c>
      <c r="B1" s="20" t="s">
        <v>870</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44</v>
      </c>
      <c r="G5" s="323" t="s">
        <v>44</v>
      </c>
      <c r="H5" s="323" t="s">
        <v>44</v>
      </c>
      <c r="I5" s="323" t="s">
        <v>44</v>
      </c>
      <c r="J5" s="323" t="s">
        <v>44</v>
      </c>
      <c r="K5" s="323" t="s">
        <v>44</v>
      </c>
      <c r="L5" s="323" t="s">
        <v>44</v>
      </c>
      <c r="M5" s="323" t="s">
        <v>44</v>
      </c>
      <c r="N5" s="323" t="s">
        <v>44</v>
      </c>
      <c r="O5" s="323" t="s">
        <v>44</v>
      </c>
      <c r="P5" s="323" t="s">
        <v>44</v>
      </c>
      <c r="Q5" s="323" t="s">
        <v>44</v>
      </c>
      <c r="R5" s="323" t="s">
        <v>44</v>
      </c>
      <c r="S5" s="323" t="s">
        <v>44</v>
      </c>
      <c r="T5" s="323" t="s">
        <v>44</v>
      </c>
      <c r="U5" s="323" t="s">
        <v>44</v>
      </c>
      <c r="V5" s="323" t="s">
        <v>44</v>
      </c>
      <c r="W5" s="323" t="s">
        <v>44</v>
      </c>
      <c r="X5" s="323" t="s">
        <v>44</v>
      </c>
      <c r="Y5" s="323" t="s">
        <v>44</v>
      </c>
      <c r="Z5" s="323" t="s">
        <v>44</v>
      </c>
      <c r="AA5" s="323" t="s">
        <v>44</v>
      </c>
      <c r="AB5" s="323" t="s">
        <v>44</v>
      </c>
      <c r="AC5" s="323" t="s">
        <v>44</v>
      </c>
      <c r="AD5" s="323" t="s">
        <v>44</v>
      </c>
      <c r="AE5" s="323" t="s">
        <v>44</v>
      </c>
    </row>
    <row r="6" spans="1:31" ht="15" customHeight="1" thickBot="1">
      <c r="B6" s="170" t="str">
        <f>ControlPanel!E21</f>
        <v>Référence</v>
      </c>
      <c r="C6" s="15" t="str">
        <f>VLOOKUP($B$6,$B$7:$AE$25,2,FALSE)</f>
        <v>fh</v>
      </c>
      <c r="D6" s="15" t="str">
        <f>VLOOKUP($B$6,$B$7:$AE$25,3,FALSE)</f>
        <v>Jusqu'en 2021: calculs de la surtaxe GRT, par la suite constante (agit comme une exonération complète de 62% de la BT privée)</v>
      </c>
      <c r="E6" s="15">
        <f>VLOOKUP($B$6,$B$7:$AE$25,4,FALSE)</f>
        <v>0</v>
      </c>
      <c r="F6" s="512">
        <f>IF(F$4&lt;ControlPanel!$D$59,VLOOKUP("Référence",$B$7:$AE$25,F$4-$F$4+5,FALSE),VLOOKUP($B$6,$B$7:$AE$25,F$4-$F$4+5,FALSE))</f>
        <v>0</v>
      </c>
      <c r="G6" s="512">
        <f>IF(G$4&lt;ControlPanel!$D$59,VLOOKUP("Référence",$B$7:$AE$25,G$4-$F$4+5,FALSE),VLOOKUP($B$6,$B$7:$AE$25,G$4-$F$4+5,FALSE))</f>
        <v>0</v>
      </c>
      <c r="H6" s="512">
        <f>IF(H$4&lt;ControlPanel!$D$59,VLOOKUP("Référence",$B$7:$AE$25,H$4-$F$4+5,FALSE),VLOOKUP($B$6,$B$7:$AE$25,H$4-$F$4+5,FALSE))</f>
        <v>0</v>
      </c>
      <c r="I6" s="512">
        <f>IF(I$4&lt;ControlPanel!$D$59,VLOOKUP("Référence",$B$7:$AE$25,I$4-$F$4+5,FALSE),VLOOKUP($B$6,$B$7:$AE$25,I$4-$F$4+5,FALSE))</f>
        <v>0</v>
      </c>
      <c r="J6" s="512">
        <f>IF(J$4&lt;ControlPanel!$D$59,VLOOKUP("Référence",$B$7:$AE$25,J$4-$F$4+5,FALSE),VLOOKUP($B$6,$B$7:$AE$25,J$4-$F$4+5,FALSE))</f>
        <v>0</v>
      </c>
      <c r="K6" s="512">
        <f>IF(K$4&lt;ControlPanel!$D$59,VLOOKUP("Référence",$B$7:$AE$25,K$4-$F$4+5,FALSE),VLOOKUP($B$6,$B$7:$AE$25,K$4-$F$4+5,FALSE))</f>
        <v>0.53400000000000003</v>
      </c>
      <c r="L6" s="512">
        <f>IF(L$4&lt;ControlPanel!$D$59,VLOOKUP("Référence",$B$7:$AE$25,L$4-$F$4+5,FALSE),VLOOKUP($B$6,$B$7:$AE$25,L$4-$F$4+5,FALSE))</f>
        <v>0.502</v>
      </c>
      <c r="M6" s="512">
        <f>IF(M$4&lt;ControlPanel!$D$59,VLOOKUP("Référence",$B$7:$AE$25,M$4-$F$4+5,FALSE),VLOOKUP($B$6,$B$7:$AE$25,M$4-$F$4+5,FALSE))</f>
        <v>0.61956606648897039</v>
      </c>
      <c r="N6" s="512">
        <f>IF(N$4&lt;ControlPanel!$D$59,VLOOKUP("Référence",$B$7:$AE$25,N$4-$F$4+5,FALSE),VLOOKUP($B$6,$B$7:$AE$25,N$4-$F$4+5,FALSE))</f>
        <v>0.59982457576591419</v>
      </c>
      <c r="O6" s="512">
        <f>IF(O$4&lt;ControlPanel!$D$59,VLOOKUP("Référence",$B$7:$AE$25,O$4-$F$4+5,FALSE),VLOOKUP($B$6,$B$7:$AE$25,O$4-$F$4+5,FALSE))</f>
        <v>0.61796806733819043</v>
      </c>
      <c r="P6" s="512">
        <f>IF(P$4&lt;ControlPanel!$D$59,VLOOKUP("Référence",$B$7:$AE$25,P$4-$F$4+5,FALSE),VLOOKUP($B$6,$B$7:$AE$25,P$4-$F$4+5,FALSE))</f>
        <v>0.62235249305977924</v>
      </c>
      <c r="Q6" s="512">
        <f>IF(Q$4&lt;ControlPanel!$D$59,VLOOKUP("Référence",$B$7:$AE$25,Q$4-$F$4+5,FALSE),VLOOKUP($B$6,$B$7:$AE$25,Q$4-$F$4+5,FALSE))</f>
        <v>0.6181753273601267</v>
      </c>
      <c r="R6" s="512">
        <f>IF(R$4&lt;ControlPanel!$D$59,VLOOKUP("Référence",$B$7:$AE$25,R$4-$F$4+5,FALSE),VLOOKUP($B$6,$B$7:$AE$25,R$4-$F$4+5,FALSE))</f>
        <v>0.6181753273601267</v>
      </c>
      <c r="S6" s="512">
        <f>IF(S$4&lt;ControlPanel!$D$59,VLOOKUP("Référence",$B$7:$AE$25,S$4-$F$4+5,FALSE),VLOOKUP($B$6,$B$7:$AE$25,S$4-$F$4+5,FALSE))</f>
        <v>0.6181753273601267</v>
      </c>
      <c r="T6" s="512">
        <f>IF(T$4&lt;ControlPanel!$D$59,VLOOKUP("Référence",$B$7:$AE$25,T$4-$F$4+5,FALSE),VLOOKUP($B$6,$B$7:$AE$25,T$4-$F$4+5,FALSE))</f>
        <v>0.6181753273601267</v>
      </c>
      <c r="U6" s="512">
        <f>IF(U$4&lt;ControlPanel!$D$59,VLOOKUP("Référence",$B$7:$AE$25,U$4-$F$4+5,FALSE),VLOOKUP($B$6,$B$7:$AE$25,U$4-$F$4+5,FALSE))</f>
        <v>0.6181753273601267</v>
      </c>
      <c r="V6" s="512">
        <f>IF(V$4&lt;ControlPanel!$D$59,VLOOKUP("Référence",$B$7:$AE$25,V$4-$F$4+5,FALSE),VLOOKUP($B$6,$B$7:$AE$25,V$4-$F$4+5,FALSE))</f>
        <v>0.6181753273601267</v>
      </c>
      <c r="W6" s="512">
        <f>IF(W$4&lt;ControlPanel!$D$59,VLOOKUP("Référence",$B$7:$AE$25,W$4-$F$4+5,FALSE),VLOOKUP($B$6,$B$7:$AE$25,W$4-$F$4+5,FALSE))</f>
        <v>0.6181753273601267</v>
      </c>
      <c r="X6" s="512">
        <f>IF(X$4&lt;ControlPanel!$D$59,VLOOKUP("Référence",$B$7:$AE$25,X$4-$F$4+5,FALSE),VLOOKUP($B$6,$B$7:$AE$25,X$4-$F$4+5,FALSE))</f>
        <v>0.6181753273601267</v>
      </c>
      <c r="Y6" s="512">
        <f>IF(Y$4&lt;ControlPanel!$D$59,VLOOKUP("Référence",$B$7:$AE$25,Y$4-$F$4+5,FALSE),VLOOKUP($B$6,$B$7:$AE$25,Y$4-$F$4+5,FALSE))</f>
        <v>0.6181753273601267</v>
      </c>
      <c r="Z6" s="512">
        <f>IF(Z$4&lt;ControlPanel!$D$59,VLOOKUP("Référence",$B$7:$AE$25,Z$4-$F$4+5,FALSE),VLOOKUP($B$6,$B$7:$AE$25,Z$4-$F$4+5,FALSE))</f>
        <v>0.6181753273601267</v>
      </c>
      <c r="AA6" s="512">
        <f>IF(AA$4&lt;ControlPanel!$D$59,VLOOKUP("Référence",$B$7:$AE$25,AA$4-$F$4+5,FALSE),VLOOKUP($B$6,$B$7:$AE$25,AA$4-$F$4+5,FALSE))</f>
        <v>0.6181753273601267</v>
      </c>
      <c r="AB6" s="512">
        <f>IF(AB$4&lt;ControlPanel!$D$59,VLOOKUP("Référence",$B$7:$AE$25,AB$4-$F$4+5,FALSE),VLOOKUP($B$6,$B$7:$AE$25,AB$4-$F$4+5,FALSE))</f>
        <v>0.6181753273601267</v>
      </c>
      <c r="AC6" s="512">
        <f>IF(AC$4&lt;ControlPanel!$D$59,VLOOKUP("Référence",$B$7:$AE$25,AC$4-$F$4+5,FALSE),VLOOKUP($B$6,$B$7:$AE$25,AC$4-$F$4+5,FALSE))</f>
        <v>0.6181753273601267</v>
      </c>
      <c r="AD6" s="512">
        <f>IF(AD$4&lt;ControlPanel!$D$59,VLOOKUP("Référence",$B$7:$AE$25,AD$4-$F$4+5,FALSE),VLOOKUP($B$6,$B$7:$AE$25,AD$4-$F$4+5,FALSE))</f>
        <v>0.6181753273601267</v>
      </c>
      <c r="AE6" s="512">
        <f>IF(AE$4&lt;ControlPanel!$D$59,VLOOKUP("Référence",$B$7:$AE$25,AE$4-$F$4+5,FALSE),VLOOKUP($B$6,$B$7:$AE$25,AE$4-$F$4+5,FALSE))</f>
        <v>0.6181753273601267</v>
      </c>
    </row>
    <row r="7" spans="1:31" ht="15" customHeight="1">
      <c r="B7" s="16" t="s">
        <v>409</v>
      </c>
      <c r="C7" s="12" t="s">
        <v>300</v>
      </c>
      <c r="D7" s="11" t="s">
        <v>872</v>
      </c>
      <c r="E7" s="215"/>
      <c r="F7" s="52">
        <v>0</v>
      </c>
      <c r="G7" s="52">
        <v>0</v>
      </c>
      <c r="H7" s="52">
        <v>0</v>
      </c>
      <c r="I7" s="52">
        <v>0</v>
      </c>
      <c r="J7" s="52">
        <v>0</v>
      </c>
      <c r="K7" s="321">
        <v>0.53400000000000003</v>
      </c>
      <c r="L7" s="225">
        <v>0.502</v>
      </c>
      <c r="M7" s="225">
        <v>0.61956606648897039</v>
      </c>
      <c r="N7" s="225">
        <v>0.59982457576591419</v>
      </c>
      <c r="O7" s="225">
        <v>0.61796806733819043</v>
      </c>
      <c r="P7" s="225">
        <v>0.62235249305977924</v>
      </c>
      <c r="Q7" s="225">
        <v>0.6181753273601267</v>
      </c>
      <c r="R7" s="225">
        <f t="shared" ref="R7:AE7" si="0">Q7</f>
        <v>0.6181753273601267</v>
      </c>
      <c r="S7" s="225">
        <f t="shared" si="0"/>
        <v>0.6181753273601267</v>
      </c>
      <c r="T7" s="225">
        <f t="shared" si="0"/>
        <v>0.6181753273601267</v>
      </c>
      <c r="U7" s="225">
        <f t="shared" si="0"/>
        <v>0.6181753273601267</v>
      </c>
      <c r="V7" s="225">
        <f t="shared" si="0"/>
        <v>0.6181753273601267</v>
      </c>
      <c r="W7" s="225">
        <f t="shared" si="0"/>
        <v>0.6181753273601267</v>
      </c>
      <c r="X7" s="225">
        <f t="shared" si="0"/>
        <v>0.6181753273601267</v>
      </c>
      <c r="Y7" s="225">
        <f t="shared" si="0"/>
        <v>0.6181753273601267</v>
      </c>
      <c r="Z7" s="225">
        <f t="shared" si="0"/>
        <v>0.6181753273601267</v>
      </c>
      <c r="AA7" s="225">
        <f t="shared" si="0"/>
        <v>0.6181753273601267</v>
      </c>
      <c r="AB7" s="225">
        <f t="shared" si="0"/>
        <v>0.6181753273601267</v>
      </c>
      <c r="AC7" s="225">
        <f t="shared" si="0"/>
        <v>0.6181753273601267</v>
      </c>
      <c r="AD7" s="225">
        <f t="shared" si="0"/>
        <v>0.6181753273601267</v>
      </c>
      <c r="AE7" s="225">
        <f t="shared" si="0"/>
        <v>0.6181753273601267</v>
      </c>
    </row>
    <row r="8" spans="1:31" s="462" customFormat="1">
      <c r="A8" s="9"/>
      <c r="B8" s="11" t="s">
        <v>871</v>
      </c>
      <c r="C8" s="12" t="s">
        <v>106</v>
      </c>
      <c r="D8" s="11" t="s">
        <v>871</v>
      </c>
      <c r="E8" s="214"/>
      <c r="F8" s="321"/>
      <c r="G8" s="321"/>
      <c r="H8" s="321"/>
      <c r="I8" s="321"/>
      <c r="J8" s="321"/>
      <c r="K8" s="52"/>
      <c r="L8" s="52"/>
      <c r="M8" s="52"/>
      <c r="N8" s="52"/>
      <c r="O8" s="52"/>
      <c r="P8" s="52">
        <v>0</v>
      </c>
      <c r="Q8" s="52">
        <v>0</v>
      </c>
      <c r="R8" s="52">
        <v>0</v>
      </c>
      <c r="S8" s="52">
        <v>0</v>
      </c>
      <c r="T8" s="52">
        <v>0</v>
      </c>
      <c r="U8" s="52">
        <v>0</v>
      </c>
      <c r="V8" s="52">
        <v>0</v>
      </c>
      <c r="W8" s="52">
        <v>0</v>
      </c>
      <c r="X8" s="52">
        <v>0</v>
      </c>
      <c r="Y8" s="52">
        <v>0</v>
      </c>
      <c r="Z8" s="52">
        <v>0</v>
      </c>
      <c r="AA8" s="52">
        <v>0</v>
      </c>
      <c r="AB8" s="52">
        <v>0</v>
      </c>
      <c r="AC8" s="52">
        <v>0</v>
      </c>
      <c r="AD8" s="52">
        <v>0</v>
      </c>
      <c r="AE8" s="52">
        <v>0</v>
      </c>
    </row>
    <row r="9" spans="1:31" s="462" customFormat="1" ht="15" customHeight="1">
      <c r="A9" s="9"/>
      <c r="B9" s="16" t="s">
        <v>355</v>
      </c>
      <c r="C9" s="12" t="s">
        <v>106</v>
      </c>
      <c r="D9" s="11" t="s">
        <v>873</v>
      </c>
      <c r="E9" s="215"/>
      <c r="F9" s="321"/>
      <c r="G9" s="321"/>
      <c r="H9" s="321"/>
      <c r="I9" s="321"/>
      <c r="J9" s="321"/>
      <c r="K9" s="321"/>
      <c r="L9" s="321"/>
      <c r="M9" s="321"/>
      <c r="N9" s="321"/>
      <c r="O9" s="321"/>
      <c r="P9" s="321">
        <v>0.2</v>
      </c>
      <c r="Q9" s="321">
        <v>0.2</v>
      </c>
      <c r="R9" s="321">
        <v>0.2</v>
      </c>
      <c r="S9" s="321">
        <v>0.2</v>
      </c>
      <c r="T9" s="321">
        <v>0.2</v>
      </c>
      <c r="U9" s="321">
        <v>0.2</v>
      </c>
      <c r="V9" s="321">
        <v>0.2</v>
      </c>
      <c r="W9" s="321">
        <v>0.2</v>
      </c>
      <c r="X9" s="321">
        <v>0.2</v>
      </c>
      <c r="Y9" s="321">
        <v>0.2</v>
      </c>
      <c r="Z9" s="321">
        <v>0.2</v>
      </c>
      <c r="AA9" s="321">
        <v>0.2</v>
      </c>
      <c r="AB9" s="321">
        <v>0.2</v>
      </c>
      <c r="AC9" s="321">
        <v>0.2</v>
      </c>
      <c r="AD9" s="321">
        <v>0.2</v>
      </c>
      <c r="AE9" s="321">
        <v>0.2</v>
      </c>
    </row>
    <row r="10" spans="1:31" s="462" customFormat="1" ht="15" customHeight="1">
      <c r="A10" s="9"/>
      <c r="B10" s="16" t="s">
        <v>356</v>
      </c>
      <c r="C10" s="12" t="s">
        <v>106</v>
      </c>
      <c r="D10" s="11" t="s">
        <v>874</v>
      </c>
      <c r="E10" s="215"/>
      <c r="F10" s="321"/>
      <c r="G10" s="321"/>
      <c r="H10" s="321"/>
      <c r="I10" s="321"/>
      <c r="J10" s="321"/>
      <c r="K10" s="321"/>
      <c r="L10" s="321"/>
      <c r="M10" s="321"/>
      <c r="N10" s="321"/>
      <c r="O10" s="321"/>
      <c r="P10" s="321">
        <v>0.4</v>
      </c>
      <c r="Q10" s="321">
        <v>0.4</v>
      </c>
      <c r="R10" s="321">
        <v>0.4</v>
      </c>
      <c r="S10" s="321">
        <v>0.4</v>
      </c>
      <c r="T10" s="321">
        <v>0.4</v>
      </c>
      <c r="U10" s="321">
        <v>0.4</v>
      </c>
      <c r="V10" s="321">
        <v>0.4</v>
      </c>
      <c r="W10" s="321">
        <v>0.4</v>
      </c>
      <c r="X10" s="321">
        <v>0.4</v>
      </c>
      <c r="Y10" s="321">
        <v>0.4</v>
      </c>
      <c r="Z10" s="321">
        <v>0.4</v>
      </c>
      <c r="AA10" s="321">
        <v>0.4</v>
      </c>
      <c r="AB10" s="321">
        <v>0.4</v>
      </c>
      <c r="AC10" s="321">
        <v>0.4</v>
      </c>
      <c r="AD10" s="321">
        <v>0.4</v>
      </c>
      <c r="AE10" s="321">
        <v>0.4</v>
      </c>
    </row>
    <row r="11" spans="1:31" s="462" customFormat="1" ht="15" customHeight="1">
      <c r="A11" s="9"/>
      <c r="B11" s="16" t="s">
        <v>357</v>
      </c>
      <c r="C11" s="12" t="s">
        <v>106</v>
      </c>
      <c r="D11" s="11" t="s">
        <v>875</v>
      </c>
      <c r="E11" s="215"/>
      <c r="F11" s="321"/>
      <c r="G11" s="321"/>
      <c r="H11" s="321"/>
      <c r="I11" s="321"/>
      <c r="J11" s="321"/>
      <c r="K11" s="321"/>
      <c r="L11" s="321"/>
      <c r="M11" s="321"/>
      <c r="N11" s="321"/>
      <c r="O11" s="321"/>
      <c r="P11" s="321">
        <v>0.6</v>
      </c>
      <c r="Q11" s="321">
        <v>0.6</v>
      </c>
      <c r="R11" s="321">
        <v>0.6</v>
      </c>
      <c r="S11" s="321">
        <v>0.6</v>
      </c>
      <c r="T11" s="321">
        <v>0.6</v>
      </c>
      <c r="U11" s="321">
        <v>0.6</v>
      </c>
      <c r="V11" s="321">
        <v>0.6</v>
      </c>
      <c r="W11" s="321">
        <v>0.6</v>
      </c>
      <c r="X11" s="321">
        <v>0.6</v>
      </c>
      <c r="Y11" s="321">
        <v>0.6</v>
      </c>
      <c r="Z11" s="321">
        <v>0.6</v>
      </c>
      <c r="AA11" s="321">
        <v>0.6</v>
      </c>
      <c r="AB11" s="321">
        <v>0.6</v>
      </c>
      <c r="AC11" s="321">
        <v>0.6</v>
      </c>
      <c r="AD11" s="321">
        <v>0.6</v>
      </c>
      <c r="AE11" s="321">
        <v>0.6</v>
      </c>
    </row>
    <row r="12" spans="1:31" s="462" customFormat="1" ht="15" customHeight="1">
      <c r="A12" s="9"/>
      <c r="B12" s="16" t="s">
        <v>358</v>
      </c>
      <c r="C12" s="12" t="s">
        <v>106</v>
      </c>
      <c r="D12" s="11" t="s">
        <v>876</v>
      </c>
      <c r="E12" s="215"/>
      <c r="F12" s="321"/>
      <c r="G12" s="321"/>
      <c r="H12" s="321"/>
      <c r="I12" s="321"/>
      <c r="J12" s="321"/>
      <c r="K12" s="321"/>
      <c r="L12" s="321"/>
      <c r="M12" s="321"/>
      <c r="N12" s="321"/>
      <c r="O12" s="321"/>
      <c r="P12" s="321">
        <v>0.8</v>
      </c>
      <c r="Q12" s="321">
        <v>0.8</v>
      </c>
      <c r="R12" s="321">
        <v>0.8</v>
      </c>
      <c r="S12" s="321">
        <v>0.8</v>
      </c>
      <c r="T12" s="321">
        <v>0.8</v>
      </c>
      <c r="U12" s="321">
        <v>0.8</v>
      </c>
      <c r="V12" s="321">
        <v>0.8</v>
      </c>
      <c r="W12" s="321">
        <v>0.8</v>
      </c>
      <c r="X12" s="321">
        <v>0.8</v>
      </c>
      <c r="Y12" s="321">
        <v>0.8</v>
      </c>
      <c r="Z12" s="321">
        <v>0.8</v>
      </c>
      <c r="AA12" s="321">
        <v>0.8</v>
      </c>
      <c r="AB12" s="321">
        <v>0.8</v>
      </c>
      <c r="AC12" s="321">
        <v>0.8</v>
      </c>
      <c r="AD12" s="321">
        <v>0.8</v>
      </c>
      <c r="AE12" s="321">
        <v>0.8</v>
      </c>
    </row>
    <row r="13" spans="1:31" s="462" customFormat="1" ht="15" customHeight="1">
      <c r="B13" s="176"/>
      <c r="C13" s="179"/>
      <c r="D13" s="163"/>
      <c r="E13" s="532"/>
      <c r="F13" s="161"/>
      <c r="G13" s="161"/>
      <c r="H13" s="161"/>
      <c r="I13" s="161"/>
      <c r="J13" s="161"/>
      <c r="K13" s="180"/>
      <c r="L13" s="180"/>
      <c r="M13" s="180"/>
      <c r="N13" s="180"/>
      <c r="O13" s="180"/>
      <c r="P13" s="180"/>
      <c r="Q13" s="180"/>
      <c r="R13" s="180"/>
      <c r="S13" s="180"/>
      <c r="T13" s="180"/>
      <c r="U13" s="180"/>
      <c r="V13" s="180"/>
      <c r="W13" s="180"/>
      <c r="X13" s="180"/>
      <c r="Y13" s="180"/>
      <c r="Z13" s="180"/>
      <c r="AA13" s="180"/>
      <c r="AB13" s="180"/>
      <c r="AC13" s="180"/>
      <c r="AD13" s="180"/>
      <c r="AE13" s="180"/>
    </row>
    <row r="14" spans="1:31" s="462" customFormat="1" ht="15" customHeight="1">
      <c r="B14" s="176"/>
      <c r="C14" s="162"/>
      <c r="D14" s="163"/>
      <c r="E14" s="532"/>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row>
    <row r="15" spans="1:31" s="1072" customFormat="1" ht="15" customHeight="1">
      <c r="B15" s="1117"/>
      <c r="C15" s="1118"/>
      <c r="D15" s="1119"/>
      <c r="E15" s="1120"/>
      <c r="F15" s="1073"/>
      <c r="G15" s="1073"/>
      <c r="H15" s="1073"/>
      <c r="I15" s="1073"/>
      <c r="J15" s="1073"/>
      <c r="K15" s="1073"/>
      <c r="L15" s="1073"/>
      <c r="M15" s="1073"/>
      <c r="N15" s="1073"/>
      <c r="O15" s="1073"/>
      <c r="P15" s="1073"/>
      <c r="Q15" s="1073"/>
      <c r="R15" s="1073"/>
      <c r="S15" s="1073"/>
      <c r="T15" s="1073"/>
      <c r="U15" s="1073"/>
      <c r="V15" s="1073"/>
      <c r="W15" s="1073"/>
      <c r="X15" s="1073"/>
      <c r="Y15" s="1073"/>
      <c r="Z15" s="1073"/>
      <c r="AA15" s="1073"/>
      <c r="AB15" s="1073"/>
      <c r="AC15" s="1073"/>
      <c r="AD15" s="1073"/>
      <c r="AE15" s="1073"/>
    </row>
    <row r="16" spans="1:31" s="462" customFormat="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s="462" customFormat="1" ht="15" customHeight="1">
      <c r="B17" s="176"/>
      <c r="C17" s="179"/>
      <c r="D17" s="163"/>
      <c r="E17" s="53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s="462" customFormat="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s="462" customFormat="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s="462" customFormat="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s="462" customFormat="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c r="G28" s="159"/>
      <c r="H28" s="159"/>
      <c r="I28" s="159"/>
      <c r="J28" s="159"/>
      <c r="K28" s="511"/>
      <c r="L28" s="511"/>
      <c r="M28" s="511"/>
      <c r="N28" s="511"/>
    </row>
    <row r="29" spans="2:31" ht="15" customHeight="1">
      <c r="G29" s="159"/>
      <c r="H29" s="159"/>
      <c r="I29" s="159"/>
      <c r="J29" s="159"/>
      <c r="K29" s="511"/>
      <c r="L29" s="511"/>
      <c r="M29" s="511"/>
      <c r="N29" s="511"/>
    </row>
    <row r="30" spans="2:31" ht="15" customHeight="1">
      <c r="G30" s="159"/>
      <c r="H30" s="159"/>
      <c r="I30" s="159"/>
      <c r="J30" s="159"/>
      <c r="K30" s="511"/>
      <c r="L30" s="511"/>
      <c r="M30" s="511"/>
      <c r="N30" s="511"/>
    </row>
    <row r="31" spans="2:31" ht="15" customHeight="1">
      <c r="G31" s="159"/>
      <c r="H31" s="159"/>
      <c r="I31" s="159"/>
      <c r="J31" s="159"/>
      <c r="K31" s="511"/>
      <c r="L31" s="511"/>
      <c r="M31" s="511"/>
      <c r="N31" s="511"/>
    </row>
    <row r="32" spans="2:31" ht="15" customHeight="1">
      <c r="G32" s="159"/>
      <c r="H32" s="159"/>
      <c r="I32" s="159"/>
      <c r="J32" s="159"/>
      <c r="K32" s="511"/>
      <c r="L32" s="511"/>
      <c r="M32" s="511"/>
      <c r="N32" s="511"/>
    </row>
    <row r="33" spans="7:14" ht="15" customHeight="1">
      <c r="G33" s="159"/>
      <c r="H33" s="159"/>
      <c r="I33" s="159"/>
      <c r="J33" s="159"/>
      <c r="K33" s="511"/>
      <c r="L33" s="511"/>
      <c r="M33" s="511"/>
      <c r="N33" s="511"/>
    </row>
    <row r="34" spans="7:14" ht="15" customHeight="1"/>
    <row r="35" spans="7:14" ht="15" customHeight="1"/>
    <row r="36" spans="7:14" ht="15" customHeight="1"/>
    <row r="37" spans="7:14" ht="15" customHeight="1"/>
    <row r="38" spans="7:14" ht="15" customHeight="1"/>
    <row r="39" spans="7:14" ht="15" customHeight="1"/>
    <row r="40" spans="7:14" ht="15" customHeight="1"/>
    <row r="41" spans="7:14" ht="15" customHeight="1"/>
    <row r="42" spans="7:14" ht="15" customHeight="1"/>
    <row r="43" spans="7:14" ht="15" customHeight="1"/>
    <row r="44" spans="7:14" ht="15" customHeight="1"/>
    <row r="45" spans="7:14" ht="15" customHeight="1"/>
    <row r="46" spans="7:14" ht="15" customHeight="1"/>
    <row r="47" spans="7:14" ht="15" customHeight="1"/>
    <row r="48" spans="7:1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A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10FC8B98-CA66-4034-B654-4DE325045485}">
            <xm:f>ControlPanel!$D$59-1</xm:f>
            <x14:dxf>
              <font>
                <color rgb="FF9C6500"/>
              </font>
              <fill>
                <patternFill>
                  <fgColor indexed="64"/>
                  <bgColor rgb="FFFFEB9C"/>
                </patternFill>
              </fill>
            </x14:dxf>
          </x14:cfRule>
          <x14:cfRule type="cellIs" priority="2" operator="lessThan" id="{82AE3272-2CA1-4A49-B142-90AEED5683E3}">
            <xm:f>ControlPanel!$D$59</xm:f>
            <x14:dxf>
              <font>
                <color rgb="FF006100"/>
              </font>
              <fill>
                <patternFill>
                  <fgColor indexed="64"/>
                  <bgColor rgb="FFC6EFCE"/>
                </patternFill>
              </fill>
            </x14:dxf>
          </x14:cfRule>
          <xm:sqref>F4:AE4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abelle39">
    <tabColor theme="9" tint="0.39997558519241921"/>
    <pageSetUpPr fitToPage="1"/>
  </sheetPr>
  <dimension ref="A1:AE1359"/>
  <sheetViews>
    <sheetView zoomScaleNormal="100" workbookViewId="0">
      <selection activeCell="B15" sqref="B15"/>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877</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17</v>
      </c>
      <c r="G5" s="323" t="s">
        <v>17</v>
      </c>
      <c r="H5" s="323" t="s">
        <v>17</v>
      </c>
      <c r="I5" s="323" t="s">
        <v>17</v>
      </c>
      <c r="J5" s="323" t="s">
        <v>17</v>
      </c>
      <c r="K5" s="323" t="s">
        <v>17</v>
      </c>
      <c r="L5" s="323" t="s">
        <v>17</v>
      </c>
      <c r="M5" s="323" t="s">
        <v>17</v>
      </c>
      <c r="N5" s="323" t="s">
        <v>17</v>
      </c>
      <c r="O5" s="323" t="s">
        <v>17</v>
      </c>
      <c r="P5" s="323" t="s">
        <v>17</v>
      </c>
      <c r="Q5" s="323" t="s">
        <v>17</v>
      </c>
      <c r="R5" s="323" t="s">
        <v>17</v>
      </c>
      <c r="S5" s="323" t="s">
        <v>17</v>
      </c>
      <c r="T5" s="323" t="s">
        <v>17</v>
      </c>
      <c r="U5" s="323" t="s">
        <v>17</v>
      </c>
      <c r="V5" s="323" t="s">
        <v>17</v>
      </c>
      <c r="W5" s="323" t="s">
        <v>17</v>
      </c>
      <c r="X5" s="323" t="s">
        <v>17</v>
      </c>
      <c r="Y5" s="323" t="s">
        <v>17</v>
      </c>
      <c r="Z5" s="323" t="s">
        <v>17</v>
      </c>
      <c r="AA5" s="323" t="s">
        <v>17</v>
      </c>
      <c r="AB5" s="323" t="s">
        <v>17</v>
      </c>
      <c r="AC5" s="323" t="s">
        <v>17</v>
      </c>
      <c r="AD5" s="323" t="s">
        <v>17</v>
      </c>
      <c r="AE5" s="323" t="s">
        <v>17</v>
      </c>
    </row>
    <row r="6" spans="1:31" ht="15" customHeight="1" thickBot="1">
      <c r="B6" s="170" t="str">
        <f>ControlPanel!E29</f>
        <v>Référence</v>
      </c>
      <c r="C6" s="15" t="str">
        <f>VLOOKUP($B$6,$B$7:$AE$25,2,FALSE)</f>
        <v>cl</v>
      </c>
      <c r="D6" s="15" t="str">
        <f>VLOOKUP($B$6,$B$7:$AE$25,3,FALSE)</f>
        <v>complètement exempté (selon EEG 2014)</v>
      </c>
      <c r="E6" s="15">
        <f>VLOOKUP($B$6,$B$7:$AE$25,4,FALSE)</f>
        <v>0</v>
      </c>
      <c r="F6" s="14">
        <f>IF(F$4&lt;ControlPanel!$D$59,VLOOKUP("Référence",$B$7:$AE$25,F$4-$F$4+5,FALSE),VLOOKUP($B$6,$B$7:$AE$25,F$4-$F$4+5,FALSE))</f>
        <v>0</v>
      </c>
      <c r="G6" s="14">
        <f>IF(G$4&lt;ControlPanel!$D$59,VLOOKUP("Référence",$B$7:$AE$25,G$4-$F$4+5,FALSE),VLOOKUP($B$6,$B$7:$AE$25,G$4-$F$4+5,FALSE))</f>
        <v>0</v>
      </c>
      <c r="H6" s="14">
        <f>IF(H$4&lt;ControlPanel!$D$59,VLOOKUP("Référence",$B$7:$AE$25,H$4-$F$4+5,FALSE),VLOOKUP($B$6,$B$7:$AE$25,H$4-$F$4+5,FALSE))</f>
        <v>0</v>
      </c>
      <c r="I6" s="14">
        <f>IF(I$4&lt;ControlPanel!$D$59,VLOOKUP("Référence",$B$7:$AE$25,I$4-$F$4+5,FALSE),VLOOKUP($B$6,$B$7:$AE$25,I$4-$F$4+5,FALSE))</f>
        <v>0</v>
      </c>
      <c r="J6" s="14">
        <f>IF(J$4&lt;ControlPanel!$D$59,VLOOKUP("Référence",$B$7:$AE$25,J$4-$F$4+5,FALSE),VLOOKUP($B$6,$B$7:$AE$25,J$4-$F$4+5,FALSE))</f>
        <v>0</v>
      </c>
      <c r="K6" s="14">
        <f>IF(K$4&lt;ControlPanel!$D$59,VLOOKUP("Référence",$B$7:$AE$25,K$4-$F$4+5,FALSE),VLOOKUP($B$6,$B$7:$AE$25,K$4-$F$4+5,FALSE))</f>
        <v>0</v>
      </c>
      <c r="L6" s="14">
        <f>IF(L$4&lt;ControlPanel!$D$59,VLOOKUP("Référence",$B$7:$AE$25,L$4-$F$4+5,FALSE),VLOOKUP($B$6,$B$7:$AE$25,L$4-$F$4+5,FALSE))</f>
        <v>0</v>
      </c>
      <c r="M6" s="14">
        <f>IF(M$4&lt;ControlPanel!$D$59,VLOOKUP("Référence",$B$7:$AE$25,M$4-$F$4+5,FALSE),VLOOKUP($B$6,$B$7:$AE$25,M$4-$F$4+5,FALSE))</f>
        <v>0</v>
      </c>
      <c r="N6" s="14">
        <f>IF(N$4&lt;ControlPanel!$D$59,VLOOKUP("Référence",$B$7:$AE$25,N$4-$F$4+5,FALSE),VLOOKUP($B$6,$B$7:$AE$25,N$4-$F$4+5,FALSE))</f>
        <v>0</v>
      </c>
      <c r="O6" s="14">
        <f>IF(O$4&lt;ControlPanel!$D$59,VLOOKUP("Référence",$B$7:$AE$25,O$4-$F$4+5,FALSE),VLOOKUP($B$6,$B$7:$AE$25,O$4-$F$4+5,FALSE))</f>
        <v>0</v>
      </c>
      <c r="P6" s="14">
        <f>IF(P$4&lt;ControlPanel!$D$59,VLOOKUP("Référence",$B$7:$AE$25,P$4-$F$4+5,FALSE),VLOOKUP($B$6,$B$7:$AE$25,P$4-$F$4+5,FALSE))</f>
        <v>0</v>
      </c>
      <c r="Q6" s="14">
        <f>IF(Q$4&lt;ControlPanel!$D$59,VLOOKUP("Référence",$B$7:$AE$25,Q$4-$F$4+5,FALSE),VLOOKUP($B$6,$B$7:$AE$25,Q$4-$F$4+5,FALSE))</f>
        <v>0</v>
      </c>
      <c r="R6" s="14">
        <f>IF(R$4&lt;ControlPanel!$D$59,VLOOKUP("Référence",$B$7:$AE$25,R$4-$F$4+5,FALSE),VLOOKUP($B$6,$B$7:$AE$25,R$4-$F$4+5,FALSE))</f>
        <v>0</v>
      </c>
      <c r="S6" s="14">
        <f>IF(S$4&lt;ControlPanel!$D$59,VLOOKUP("Référence",$B$7:$AE$25,S$4-$F$4+5,FALSE),VLOOKUP($B$6,$B$7:$AE$25,S$4-$F$4+5,FALSE))</f>
        <v>0</v>
      </c>
      <c r="T6" s="14">
        <f>IF(T$4&lt;ControlPanel!$D$59,VLOOKUP("Référence",$B$7:$AE$25,T$4-$F$4+5,FALSE),VLOOKUP($B$6,$B$7:$AE$25,T$4-$F$4+5,FALSE))</f>
        <v>0</v>
      </c>
      <c r="U6" s="14">
        <f>IF(U$4&lt;ControlPanel!$D$59,VLOOKUP("Référence",$B$7:$AE$25,U$4-$F$4+5,FALSE),VLOOKUP($B$6,$B$7:$AE$25,U$4-$F$4+5,FALSE))</f>
        <v>0</v>
      </c>
      <c r="V6" s="14">
        <f>IF(V$4&lt;ControlPanel!$D$59,VLOOKUP("Référence",$B$7:$AE$25,V$4-$F$4+5,FALSE),VLOOKUP($B$6,$B$7:$AE$25,V$4-$F$4+5,FALSE))</f>
        <v>0</v>
      </c>
      <c r="W6" s="14">
        <f>IF(W$4&lt;ControlPanel!$D$59,VLOOKUP("Référence",$B$7:$AE$25,W$4-$F$4+5,FALSE),VLOOKUP($B$6,$B$7:$AE$25,W$4-$F$4+5,FALSE))</f>
        <v>0</v>
      </c>
      <c r="X6" s="14">
        <f>IF(X$4&lt;ControlPanel!$D$59,VLOOKUP("Référence",$B$7:$AE$25,X$4-$F$4+5,FALSE),VLOOKUP($B$6,$B$7:$AE$25,X$4-$F$4+5,FALSE))</f>
        <v>0</v>
      </c>
      <c r="Y6" s="14">
        <f>IF(Y$4&lt;ControlPanel!$D$59,VLOOKUP("Référence",$B$7:$AE$25,Y$4-$F$4+5,FALSE),VLOOKUP($B$6,$B$7:$AE$25,Y$4-$F$4+5,FALSE))</f>
        <v>0</v>
      </c>
      <c r="Z6" s="14">
        <f>IF(Z$4&lt;ControlPanel!$D$59,VLOOKUP("Référence",$B$7:$AE$25,Z$4-$F$4+5,FALSE),VLOOKUP($B$6,$B$7:$AE$25,Z$4-$F$4+5,FALSE))</f>
        <v>0</v>
      </c>
      <c r="AA6" s="14">
        <f>IF(AA$4&lt;ControlPanel!$D$59,VLOOKUP("Référence",$B$7:$AE$25,AA$4-$F$4+5,FALSE),VLOOKUP($B$6,$B$7:$AE$25,AA$4-$F$4+5,FALSE))</f>
        <v>0</v>
      </c>
      <c r="AB6" s="14">
        <f>IF(AB$4&lt;ControlPanel!$D$59,VLOOKUP("Référence",$B$7:$AE$25,AB$4-$F$4+5,FALSE),VLOOKUP($B$6,$B$7:$AE$25,AB$4-$F$4+5,FALSE))</f>
        <v>0</v>
      </c>
      <c r="AC6" s="14">
        <f>IF(AC$4&lt;ControlPanel!$D$59,VLOOKUP("Référence",$B$7:$AE$25,AC$4-$F$4+5,FALSE),VLOOKUP($B$6,$B$7:$AE$25,AC$4-$F$4+5,FALSE))</f>
        <v>0</v>
      </c>
      <c r="AD6" s="14">
        <f>IF(AD$4&lt;ControlPanel!$D$59,VLOOKUP("Référence",$B$7:$AE$25,AD$4-$F$4+5,FALSE),VLOOKUP($B$6,$B$7:$AE$25,AD$4-$F$4+5,FALSE))</f>
        <v>0</v>
      </c>
      <c r="AE6" s="14">
        <f>IF(AE$4&lt;ControlPanel!$D$59,VLOOKUP("Référence",$B$7:$AE$25,AE$4-$F$4+5,FALSE),VLOOKUP($B$6,$B$7:$AE$25,AE$4-$F$4+5,FALSE))</f>
        <v>0</v>
      </c>
    </row>
    <row r="7" spans="1:31" ht="15" customHeight="1">
      <c r="B7" s="174" t="s">
        <v>409</v>
      </c>
      <c r="C7" s="12" t="s">
        <v>106</v>
      </c>
      <c r="D7" s="322" t="s">
        <v>880</v>
      </c>
      <c r="E7" s="26"/>
      <c r="F7" s="321">
        <v>0</v>
      </c>
      <c r="G7" s="321">
        <v>0</v>
      </c>
      <c r="H7" s="321">
        <v>0</v>
      </c>
      <c r="I7" s="321">
        <v>0</v>
      </c>
      <c r="J7" s="321">
        <v>0</v>
      </c>
      <c r="K7" s="321">
        <v>0</v>
      </c>
      <c r="L7" s="321">
        <v>0</v>
      </c>
      <c r="M7" s="321">
        <v>0</v>
      </c>
      <c r="N7" s="321">
        <v>0</v>
      </c>
      <c r="O7" s="321">
        <v>0</v>
      </c>
      <c r="P7" s="321">
        <v>0</v>
      </c>
      <c r="Q7" s="321">
        <v>0</v>
      </c>
      <c r="R7" s="321">
        <v>0</v>
      </c>
      <c r="S7" s="321">
        <v>0</v>
      </c>
      <c r="T7" s="321">
        <v>0</v>
      </c>
      <c r="U7" s="321">
        <v>0</v>
      </c>
      <c r="V7" s="321">
        <v>0</v>
      </c>
      <c r="W7" s="321">
        <v>0</v>
      </c>
      <c r="X7" s="321">
        <v>0</v>
      </c>
      <c r="Y7" s="321">
        <v>0</v>
      </c>
      <c r="Z7" s="321">
        <v>0</v>
      </c>
      <c r="AA7" s="321">
        <v>0</v>
      </c>
      <c r="AB7" s="321">
        <v>0</v>
      </c>
      <c r="AC7" s="321">
        <v>0</v>
      </c>
      <c r="AD7" s="321">
        <v>0</v>
      </c>
      <c r="AE7" s="321">
        <v>0</v>
      </c>
    </row>
    <row r="8" spans="1:31" ht="15" customHeight="1">
      <c r="B8" s="16" t="s">
        <v>878</v>
      </c>
      <c r="C8" s="12" t="s">
        <v>107</v>
      </c>
      <c r="D8" s="322" t="s">
        <v>59</v>
      </c>
      <c r="E8" s="26"/>
      <c r="F8" s="321"/>
      <c r="G8" s="321"/>
      <c r="H8" s="321"/>
      <c r="I8" s="321"/>
      <c r="J8" s="321"/>
      <c r="K8" s="321"/>
      <c r="L8" s="321"/>
      <c r="M8" s="321"/>
      <c r="N8" s="321"/>
      <c r="O8" s="321"/>
      <c r="P8" s="321">
        <v>0</v>
      </c>
      <c r="Q8" s="321">
        <v>0</v>
      </c>
      <c r="R8" s="321">
        <v>0</v>
      </c>
      <c r="S8" s="321">
        <v>0</v>
      </c>
      <c r="T8" s="321">
        <v>0</v>
      </c>
      <c r="U8" s="321">
        <v>0</v>
      </c>
      <c r="V8" s="321">
        <v>0</v>
      </c>
      <c r="W8" s="321">
        <v>0</v>
      </c>
      <c r="X8" s="321">
        <v>0</v>
      </c>
      <c r="Y8" s="321">
        <v>0</v>
      </c>
      <c r="Z8" s="321">
        <v>0</v>
      </c>
      <c r="AA8" s="321">
        <v>0</v>
      </c>
      <c r="AB8" s="321">
        <v>0</v>
      </c>
      <c r="AC8" s="321">
        <v>0</v>
      </c>
      <c r="AD8" s="321">
        <v>0</v>
      </c>
      <c r="AE8" s="321">
        <v>0</v>
      </c>
    </row>
    <row r="9" spans="1:31" ht="15" customHeight="1">
      <c r="B9" s="16" t="s">
        <v>355</v>
      </c>
      <c r="C9" s="12" t="s">
        <v>107</v>
      </c>
      <c r="D9" s="322" t="s">
        <v>110</v>
      </c>
      <c r="E9" s="26"/>
      <c r="F9" s="321"/>
      <c r="G9" s="321"/>
      <c r="H9" s="321"/>
      <c r="I9" s="321"/>
      <c r="J9" s="321"/>
      <c r="K9" s="321"/>
      <c r="L9" s="321"/>
      <c r="M9" s="321"/>
      <c r="N9" s="321"/>
      <c r="O9" s="321"/>
      <c r="P9" s="321">
        <v>0.25</v>
      </c>
      <c r="Q9" s="321">
        <v>0.25</v>
      </c>
      <c r="R9" s="321">
        <v>0.25</v>
      </c>
      <c r="S9" s="321">
        <v>0.25</v>
      </c>
      <c r="T9" s="321">
        <v>0.25</v>
      </c>
      <c r="U9" s="321">
        <v>0.25</v>
      </c>
      <c r="V9" s="321">
        <v>0.25</v>
      </c>
      <c r="W9" s="321">
        <v>0.25</v>
      </c>
      <c r="X9" s="321">
        <v>0.25</v>
      </c>
      <c r="Y9" s="321">
        <v>0.25</v>
      </c>
      <c r="Z9" s="321">
        <v>0.25</v>
      </c>
      <c r="AA9" s="321">
        <v>0.25</v>
      </c>
      <c r="AB9" s="321">
        <v>0.25</v>
      </c>
      <c r="AC9" s="321">
        <v>0.25</v>
      </c>
      <c r="AD9" s="321">
        <v>0.25</v>
      </c>
      <c r="AE9" s="321">
        <v>0.25</v>
      </c>
    </row>
    <row r="10" spans="1:31" ht="15" customHeight="1">
      <c r="B10" s="16" t="s">
        <v>356</v>
      </c>
      <c r="C10" s="12" t="s">
        <v>107</v>
      </c>
      <c r="D10" s="322" t="s">
        <v>111</v>
      </c>
      <c r="E10" s="26"/>
      <c r="F10" s="321"/>
      <c r="G10" s="321"/>
      <c r="H10" s="321"/>
      <c r="I10" s="321"/>
      <c r="J10" s="321"/>
      <c r="K10" s="321"/>
      <c r="L10" s="321"/>
      <c r="M10" s="321"/>
      <c r="N10" s="321"/>
      <c r="O10" s="321"/>
      <c r="P10" s="321">
        <v>0.5</v>
      </c>
      <c r="Q10" s="321">
        <v>0.5</v>
      </c>
      <c r="R10" s="321">
        <v>0.5</v>
      </c>
      <c r="S10" s="321">
        <v>0.5</v>
      </c>
      <c r="T10" s="321">
        <v>0.5</v>
      </c>
      <c r="U10" s="321">
        <v>0.5</v>
      </c>
      <c r="V10" s="321">
        <v>0.5</v>
      </c>
      <c r="W10" s="321">
        <v>0.5</v>
      </c>
      <c r="X10" s="321">
        <v>0.5</v>
      </c>
      <c r="Y10" s="321">
        <v>0.5</v>
      </c>
      <c r="Z10" s="321">
        <v>0.5</v>
      </c>
      <c r="AA10" s="321">
        <v>0.5</v>
      </c>
      <c r="AB10" s="321">
        <v>0.5</v>
      </c>
      <c r="AC10" s="321">
        <v>0.5</v>
      </c>
      <c r="AD10" s="321">
        <v>0.5</v>
      </c>
      <c r="AE10" s="321">
        <v>0.5</v>
      </c>
    </row>
    <row r="11" spans="1:31" ht="15" customHeight="1">
      <c r="B11" s="16" t="s">
        <v>357</v>
      </c>
      <c r="C11" s="12" t="s">
        <v>107</v>
      </c>
      <c r="D11" s="322" t="s">
        <v>112</v>
      </c>
      <c r="E11" s="26"/>
      <c r="F11" s="321"/>
      <c r="G11" s="321"/>
      <c r="H11" s="321"/>
      <c r="I11" s="321"/>
      <c r="J11" s="321"/>
      <c r="K11" s="321"/>
      <c r="L11" s="321"/>
      <c r="M11" s="321"/>
      <c r="N11" s="321"/>
      <c r="O11" s="321"/>
      <c r="P11" s="321">
        <v>0.75</v>
      </c>
      <c r="Q11" s="321">
        <v>0.75</v>
      </c>
      <c r="R11" s="321">
        <v>0.75</v>
      </c>
      <c r="S11" s="321">
        <v>0.75</v>
      </c>
      <c r="T11" s="321">
        <v>0.75</v>
      </c>
      <c r="U11" s="321">
        <v>0.75</v>
      </c>
      <c r="V11" s="321">
        <v>0.75</v>
      </c>
      <c r="W11" s="321">
        <v>0.75</v>
      </c>
      <c r="X11" s="321">
        <v>0.75</v>
      </c>
      <c r="Y11" s="321">
        <v>0.75</v>
      </c>
      <c r="Z11" s="321">
        <v>0.75</v>
      </c>
      <c r="AA11" s="321">
        <v>0.75</v>
      </c>
      <c r="AB11" s="321">
        <v>0.75</v>
      </c>
      <c r="AC11" s="321">
        <v>0.75</v>
      </c>
      <c r="AD11" s="321">
        <v>0.75</v>
      </c>
      <c r="AE11" s="321">
        <v>0.75</v>
      </c>
    </row>
    <row r="12" spans="1:31" ht="15" customHeight="1">
      <c r="B12" s="16" t="s">
        <v>879</v>
      </c>
      <c r="C12" s="12" t="s">
        <v>107</v>
      </c>
      <c r="D12" s="322" t="s">
        <v>113</v>
      </c>
      <c r="E12" s="26"/>
      <c r="F12" s="321"/>
      <c r="G12" s="321"/>
      <c r="H12" s="321"/>
      <c r="I12" s="321"/>
      <c r="J12" s="321"/>
      <c r="K12" s="321"/>
      <c r="L12" s="321"/>
      <c r="M12" s="321"/>
      <c r="N12" s="321"/>
      <c r="O12" s="321"/>
      <c r="P12" s="321">
        <v>1</v>
      </c>
      <c r="Q12" s="321">
        <v>1</v>
      </c>
      <c r="R12" s="321">
        <v>1</v>
      </c>
      <c r="S12" s="321">
        <v>1</v>
      </c>
      <c r="T12" s="321">
        <v>1</v>
      </c>
      <c r="U12" s="321">
        <v>1</v>
      </c>
      <c r="V12" s="321">
        <v>1</v>
      </c>
      <c r="W12" s="321">
        <v>1</v>
      </c>
      <c r="X12" s="321">
        <v>1</v>
      </c>
      <c r="Y12" s="321">
        <v>1</v>
      </c>
      <c r="Z12" s="321">
        <v>1</v>
      </c>
      <c r="AA12" s="321">
        <v>1</v>
      </c>
      <c r="AB12" s="321">
        <v>1</v>
      </c>
      <c r="AC12" s="321">
        <v>1</v>
      </c>
      <c r="AD12" s="321">
        <v>1</v>
      </c>
      <c r="AE12" s="321">
        <v>1</v>
      </c>
    </row>
    <row r="13" spans="1:31" s="462" customFormat="1" ht="15" customHeight="1">
      <c r="B13" s="176"/>
      <c r="C13" s="179"/>
      <c r="D13" s="163"/>
      <c r="E13" s="532"/>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row>
    <row r="14" spans="1:31" s="549" customFormat="1" ht="15" customHeight="1">
      <c r="B14" s="176"/>
      <c r="C14" s="1118"/>
      <c r="D14" s="1121"/>
      <c r="E14" s="1196"/>
      <c r="F14" s="1073"/>
      <c r="G14" s="1073"/>
      <c r="H14" s="1073"/>
      <c r="I14" s="1073"/>
      <c r="J14" s="1073"/>
      <c r="K14" s="1073"/>
      <c r="L14" s="1073"/>
      <c r="M14" s="1073"/>
      <c r="N14" s="1073"/>
      <c r="O14" s="1073"/>
      <c r="P14" s="1073"/>
      <c r="Q14" s="1073"/>
      <c r="R14" s="1073"/>
      <c r="S14" s="1073"/>
      <c r="T14" s="1073"/>
      <c r="U14" s="1073"/>
      <c r="V14" s="1073"/>
      <c r="W14" s="1073"/>
      <c r="X14" s="1073"/>
      <c r="Y14" s="1073"/>
      <c r="Z14" s="1073"/>
      <c r="AA14" s="1073"/>
      <c r="AB14" s="1073"/>
      <c r="AC14" s="1073"/>
      <c r="AD14" s="1073"/>
      <c r="AE14" s="1073"/>
    </row>
    <row r="15" spans="1:31" s="462" customFormat="1">
      <c r="B15" s="176"/>
      <c r="C15" s="179"/>
      <c r="D15" s="517"/>
      <c r="E15" s="537"/>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s="462" customFormat="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s="462" customFormat="1" ht="15" customHeight="1">
      <c r="B17" s="176"/>
      <c r="C17" s="179"/>
      <c r="D17" s="163"/>
      <c r="E17" s="53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s="462" customFormat="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s="462" customFormat="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s="462" customFormat="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s="462" customFormat="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B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AA41431A-7DE4-4E11-A8B5-EF996C8A1A37}">
            <xm:f>ControlPanel!$D$59-1</xm:f>
            <x14:dxf>
              <font>
                <color rgb="FF9C6500"/>
              </font>
              <fill>
                <patternFill>
                  <fgColor indexed="64"/>
                  <bgColor rgb="FFFFEB9C"/>
                </patternFill>
              </fill>
            </x14:dxf>
          </x14:cfRule>
          <x14:cfRule type="cellIs" priority="2" operator="lessThan" id="{2DE937C7-0E09-44B1-A28C-8BABBC1E531A}">
            <xm:f>ControlPanel!$D$59</xm:f>
            <x14:dxf>
              <font>
                <color rgb="FF006100"/>
              </font>
              <fill>
                <patternFill>
                  <fgColor indexed="64"/>
                  <bgColor rgb="FFC6EFCE"/>
                </patternFill>
              </fill>
            </x14:dxf>
          </x14:cfRule>
          <xm:sqref>F4:AE4</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abelle55">
    <tabColor theme="9" tint="0.39997558519241921"/>
    <pageSetUpPr fitToPage="1"/>
  </sheetPr>
  <dimension ref="A1:AE1359"/>
  <sheetViews>
    <sheetView zoomScaleNormal="100" workbookViewId="0">
      <selection activeCell="B6" sqref="B6"/>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4" width="8.6640625" style="9" customWidth="1"/>
    <col min="15" max="31" width="8.6640625" style="9" customWidth="1" outlineLevel="1"/>
    <col min="32" max="16384" width="11.5546875" style="9"/>
  </cols>
  <sheetData>
    <row r="1" spans="1:31">
      <c r="A1" s="41" t="s">
        <v>74</v>
      </c>
      <c r="B1" s="20" t="s">
        <v>881</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61</v>
      </c>
      <c r="G5" s="323" t="s">
        <v>61</v>
      </c>
      <c r="H5" s="323" t="s">
        <v>61</v>
      </c>
      <c r="I5" s="323" t="s">
        <v>61</v>
      </c>
      <c r="J5" s="323" t="s">
        <v>61</v>
      </c>
      <c r="K5" s="323" t="s">
        <v>61</v>
      </c>
      <c r="L5" s="323" t="s">
        <v>61</v>
      </c>
      <c r="M5" s="323" t="s">
        <v>61</v>
      </c>
      <c r="N5" s="323" t="s">
        <v>61</v>
      </c>
      <c r="O5" s="323" t="s">
        <v>61</v>
      </c>
      <c r="P5" s="323" t="s">
        <v>61</v>
      </c>
      <c r="Q5" s="323" t="s">
        <v>61</v>
      </c>
      <c r="R5" s="323" t="s">
        <v>61</v>
      </c>
      <c r="S5" s="323" t="s">
        <v>61</v>
      </c>
      <c r="T5" s="323" t="s">
        <v>61</v>
      </c>
      <c r="U5" s="323" t="s">
        <v>61</v>
      </c>
      <c r="V5" s="323" t="s">
        <v>61</v>
      </c>
      <c r="W5" s="323" t="s">
        <v>61</v>
      </c>
      <c r="X5" s="323" t="s">
        <v>61</v>
      </c>
      <c r="Y5" s="323" t="s">
        <v>61</v>
      </c>
      <c r="Z5" s="323" t="s">
        <v>61</v>
      </c>
      <c r="AA5" s="323" t="s">
        <v>61</v>
      </c>
      <c r="AB5" s="323" t="s">
        <v>61</v>
      </c>
      <c r="AC5" s="323" t="s">
        <v>61</v>
      </c>
      <c r="AD5" s="323" t="s">
        <v>61</v>
      </c>
      <c r="AE5" s="323" t="s">
        <v>61</v>
      </c>
    </row>
    <row r="6" spans="1:31" ht="15" customHeight="1" thickBot="1">
      <c r="B6" s="170" t="str">
        <f>ControlPanel!E26</f>
        <v>Référence</v>
      </c>
      <c r="C6" s="15" t="str">
        <f>VLOOKUP($B$6,$B$7:$AE$25,2,FALSE)</f>
        <v>fh</v>
      </c>
      <c r="D6" s="15" t="str">
        <f>VLOOKUP($B$6,$B$7:$AE$25,3,FALSE)</f>
        <v>2021: calculs de la surtaxe GRT jusqu'en 2025, par la suite constante</v>
      </c>
      <c r="E6" s="15" t="str">
        <f>VLOOKUP($B$6,$B$7:$AE$25,4,FALSE)</f>
        <v>2021-2025 selon la prévision de consommation finale du GRT Scénario de référence (quantité d'électricité selon §61 (1) phrase 1 n ° 1). Quantité d'électricité constante à partir de 2026.</v>
      </c>
      <c r="F6" s="14">
        <f>IF(F$4&lt;ControlPanel!$D$59,VLOOKUP("Référence",$B$7:$AE$25,F$4-$F$4+5,FALSE),VLOOKUP($B$6,$B$7:$AE$25,F$4-$F$4+5,FALSE))</f>
        <v>0</v>
      </c>
      <c r="G6" s="14">
        <f>IF(G$4&lt;ControlPanel!$D$59,VLOOKUP("Référence",$B$7:$AE$25,G$4-$F$4+5,FALSE),VLOOKUP($B$6,$B$7:$AE$25,G$4-$F$4+5,FALSE))</f>
        <v>0</v>
      </c>
      <c r="H6" s="14">
        <f>IF(H$4&lt;ControlPanel!$D$59,VLOOKUP("Référence",$B$7:$AE$25,H$4-$F$4+5,FALSE),VLOOKUP($B$6,$B$7:$AE$25,H$4-$F$4+5,FALSE))</f>
        <v>0</v>
      </c>
      <c r="I6" s="14">
        <f>IF(I$4&lt;ControlPanel!$D$59,VLOOKUP("Référence",$B$7:$AE$25,I$4-$F$4+5,FALSE),VLOOKUP($B$6,$B$7:$AE$25,I$4-$F$4+5,FALSE))</f>
        <v>0</v>
      </c>
      <c r="J6" s="14">
        <f>IF(J$4&lt;ControlPanel!$D$59,VLOOKUP("Référence",$B$7:$AE$25,J$4-$F$4+5,FALSE),VLOOKUP($B$6,$B$7:$AE$25,J$4-$F$4+5,FALSE))</f>
        <v>0</v>
      </c>
      <c r="K6" s="14">
        <f>IF(K$4&lt;ControlPanel!$D$59,VLOOKUP("Référence",$B$7:$AE$25,K$4-$F$4+5,FALSE),VLOOKUP($B$6,$B$7:$AE$25,K$4-$F$4+5,FALSE))</f>
        <v>0.2</v>
      </c>
      <c r="L6" s="14">
        <f>IF(L$4&lt;ControlPanel!$D$59,VLOOKUP("Référence",$B$7:$AE$25,L$4-$F$4+5,FALSE),VLOOKUP($B$6,$B$7:$AE$25,L$4-$F$4+5,FALSE))</f>
        <v>0.52702499999999997</v>
      </c>
      <c r="M6" s="14">
        <f>IF(M$4&lt;ControlPanel!$D$59,VLOOKUP("Référence",$B$7:$AE$25,M$4-$F$4+5,FALSE),VLOOKUP($B$6,$B$7:$AE$25,M$4-$F$4+5,FALSE))</f>
        <v>0.79537799999999992</v>
      </c>
      <c r="N6" s="14">
        <f>IF(N$4&lt;ControlPanel!$D$59,VLOOKUP("Référence",$B$7:$AE$25,N$4-$F$4+5,FALSE),VLOOKUP($B$6,$B$7:$AE$25,N$4-$F$4+5,FALSE))</f>
        <v>1.2451939999999999</v>
      </c>
      <c r="O6" s="14">
        <f>IF(O$4&lt;ControlPanel!$D$59,VLOOKUP("Référence",$B$7:$AE$25,O$4-$F$4+5,FALSE),VLOOKUP($B$6,$B$7:$AE$25,O$4-$F$4+5,FALSE))</f>
        <v>2.9838139999999997</v>
      </c>
      <c r="P6" s="14">
        <f>IF(P$4&lt;ControlPanel!$D$59,VLOOKUP("Référence",$B$7:$AE$25,P$4-$F$4+5,FALSE),VLOOKUP($B$6,$B$7:$AE$25,P$4-$F$4+5,FALSE))</f>
        <v>3.2852449999999997</v>
      </c>
      <c r="Q6" s="14">
        <f>IF(Q$4&lt;ControlPanel!$D$59,VLOOKUP("Référence",$B$7:$AE$25,Q$4-$F$4+5,FALSE),VLOOKUP($B$6,$B$7:$AE$25,Q$4-$F$4+5,FALSE))</f>
        <v>5.1942199999999996</v>
      </c>
      <c r="R6" s="14">
        <f>IF(R$4&lt;ControlPanel!$D$59,VLOOKUP("Référence",$B$7:$AE$25,R$4-$F$4+5,FALSE),VLOOKUP($B$6,$B$7:$AE$25,R$4-$F$4+5,FALSE))</f>
        <v>5.45</v>
      </c>
      <c r="S6" s="14">
        <f>IF(S$4&lt;ControlPanel!$D$59,VLOOKUP("Référence",$B$7:$AE$25,S$4-$F$4+5,FALSE),VLOOKUP($B$6,$B$7:$AE$25,S$4-$F$4+5,FALSE))</f>
        <v>5.68</v>
      </c>
      <c r="T6" s="14">
        <f>IF(T$4&lt;ControlPanel!$D$59,VLOOKUP("Référence",$B$7:$AE$25,T$4-$F$4+5,FALSE),VLOOKUP($B$6,$B$7:$AE$25,T$4-$F$4+5,FALSE))</f>
        <v>5.9</v>
      </c>
      <c r="U6" s="14">
        <f>IF(U$4&lt;ControlPanel!$D$59,VLOOKUP("Référence",$B$7:$AE$25,U$4-$F$4+5,FALSE),VLOOKUP($B$6,$B$7:$AE$25,U$4-$F$4+5,FALSE))</f>
        <v>6.11</v>
      </c>
      <c r="V6" s="14">
        <f>IF(V$4&lt;ControlPanel!$D$59,VLOOKUP("Référence",$B$7:$AE$25,V$4-$F$4+5,FALSE),VLOOKUP($B$6,$B$7:$AE$25,V$4-$F$4+5,FALSE))</f>
        <v>6.11</v>
      </c>
      <c r="W6" s="14">
        <f>IF(W$4&lt;ControlPanel!$D$59,VLOOKUP("Référence",$B$7:$AE$25,W$4-$F$4+5,FALSE),VLOOKUP($B$6,$B$7:$AE$25,W$4-$F$4+5,FALSE))</f>
        <v>6.11</v>
      </c>
      <c r="X6" s="14">
        <f>IF(X$4&lt;ControlPanel!$D$59,VLOOKUP("Référence",$B$7:$AE$25,X$4-$F$4+5,FALSE),VLOOKUP($B$6,$B$7:$AE$25,X$4-$F$4+5,FALSE))</f>
        <v>6.11</v>
      </c>
      <c r="Y6" s="14">
        <f>IF(Y$4&lt;ControlPanel!$D$59,VLOOKUP("Référence",$B$7:$AE$25,Y$4-$F$4+5,FALSE),VLOOKUP($B$6,$B$7:$AE$25,Y$4-$F$4+5,FALSE))</f>
        <v>6.11</v>
      </c>
      <c r="Z6" s="14">
        <f>IF(Z$4&lt;ControlPanel!$D$59,VLOOKUP("Référence",$B$7:$AE$25,Z$4-$F$4+5,FALSE),VLOOKUP($B$6,$B$7:$AE$25,Z$4-$F$4+5,FALSE))</f>
        <v>6.11</v>
      </c>
      <c r="AA6" s="14">
        <f>IF(AA$4&lt;ControlPanel!$D$59,VLOOKUP("Référence",$B$7:$AE$25,AA$4-$F$4+5,FALSE),VLOOKUP($B$6,$B$7:$AE$25,AA$4-$F$4+5,FALSE))</f>
        <v>6.11</v>
      </c>
      <c r="AB6" s="14">
        <f>IF(AB$4&lt;ControlPanel!$D$59,VLOOKUP("Référence",$B$7:$AE$25,AB$4-$F$4+5,FALSE),VLOOKUP($B$6,$B$7:$AE$25,AB$4-$F$4+5,FALSE))</f>
        <v>6.11</v>
      </c>
      <c r="AC6" s="14">
        <f>IF(AC$4&lt;ControlPanel!$D$59,VLOOKUP("Référence",$B$7:$AE$25,AC$4-$F$4+5,FALSE),VLOOKUP($B$6,$B$7:$AE$25,AC$4-$F$4+5,FALSE))</f>
        <v>6.11</v>
      </c>
      <c r="AD6" s="14">
        <f>IF(AD$4&lt;ControlPanel!$D$59,VLOOKUP("Référence",$B$7:$AE$25,AD$4-$F$4+5,FALSE),VLOOKUP($B$6,$B$7:$AE$25,AD$4-$F$4+5,FALSE))</f>
        <v>6.11</v>
      </c>
      <c r="AE6" s="14">
        <f>IF(AE$4&lt;ControlPanel!$D$59,VLOOKUP("Référence",$B$7:$AE$25,AE$4-$F$4+5,FALSE),VLOOKUP($B$6,$B$7:$AE$25,AE$4-$F$4+5,FALSE))</f>
        <v>6.11</v>
      </c>
    </row>
    <row r="7" spans="1:31" ht="116.25" customHeight="1">
      <c r="B7" s="16" t="s">
        <v>409</v>
      </c>
      <c r="C7" s="12" t="s">
        <v>300</v>
      </c>
      <c r="D7" s="1017" t="s">
        <v>889</v>
      </c>
      <c r="E7" s="1015" t="s">
        <v>890</v>
      </c>
      <c r="F7" s="321">
        <v>0</v>
      </c>
      <c r="G7" s="321">
        <v>0</v>
      </c>
      <c r="H7" s="321">
        <v>0</v>
      </c>
      <c r="I7" s="321">
        <v>0</v>
      </c>
      <c r="J7" s="321">
        <v>0</v>
      </c>
      <c r="K7" s="52">
        <v>0.2</v>
      </c>
      <c r="L7" s="52">
        <v>0.52702499999999997</v>
      </c>
      <c r="M7" s="52">
        <v>0.79537799999999992</v>
      </c>
      <c r="N7" s="52">
        <v>1.2451939999999999</v>
      </c>
      <c r="O7" s="52">
        <v>2.9838139999999997</v>
      </c>
      <c r="P7" s="52">
        <v>3.2852449999999997</v>
      </c>
      <c r="Q7" s="52">
        <v>5.1942199999999996</v>
      </c>
      <c r="R7" s="52">
        <v>5.45</v>
      </c>
      <c r="S7" s="52">
        <v>5.68</v>
      </c>
      <c r="T7" s="52">
        <v>5.9</v>
      </c>
      <c r="U7" s="52">
        <v>6.11</v>
      </c>
      <c r="V7" s="52">
        <f t="shared" ref="V7:AE7" si="0">U7</f>
        <v>6.11</v>
      </c>
      <c r="W7" s="52">
        <f t="shared" si="0"/>
        <v>6.11</v>
      </c>
      <c r="X7" s="52">
        <f t="shared" si="0"/>
        <v>6.11</v>
      </c>
      <c r="Y7" s="52">
        <f t="shared" si="0"/>
        <v>6.11</v>
      </c>
      <c r="Z7" s="52">
        <f t="shared" si="0"/>
        <v>6.11</v>
      </c>
      <c r="AA7" s="52">
        <f t="shared" si="0"/>
        <v>6.11</v>
      </c>
      <c r="AB7" s="52">
        <f t="shared" si="0"/>
        <v>6.11</v>
      </c>
      <c r="AC7" s="52">
        <f t="shared" si="0"/>
        <v>6.11</v>
      </c>
      <c r="AD7" s="52">
        <f t="shared" si="0"/>
        <v>6.11</v>
      </c>
      <c r="AE7" s="52">
        <f t="shared" si="0"/>
        <v>6.11</v>
      </c>
    </row>
    <row r="8" spans="1:31" ht="15" customHeight="1">
      <c r="B8" s="16" t="s">
        <v>882</v>
      </c>
      <c r="C8" s="12" t="s">
        <v>48</v>
      </c>
      <c r="D8" s="1017" t="s">
        <v>884</v>
      </c>
      <c r="E8" s="1015"/>
      <c r="F8" s="321"/>
      <c r="G8" s="321"/>
      <c r="H8" s="321"/>
      <c r="I8" s="321"/>
      <c r="J8" s="321"/>
      <c r="K8" s="489"/>
      <c r="L8" s="489"/>
      <c r="M8" s="489"/>
      <c r="N8" s="489"/>
      <c r="O8" s="489"/>
      <c r="P8" s="489">
        <v>0</v>
      </c>
      <c r="Q8" s="489">
        <v>0</v>
      </c>
      <c r="R8" s="489">
        <v>0</v>
      </c>
      <c r="S8" s="489">
        <v>0</v>
      </c>
      <c r="T8" s="489">
        <v>0</v>
      </c>
      <c r="U8" s="489">
        <v>0</v>
      </c>
      <c r="V8" s="489">
        <v>0</v>
      </c>
      <c r="W8" s="489">
        <v>0</v>
      </c>
      <c r="X8" s="489">
        <v>0</v>
      </c>
      <c r="Y8" s="489">
        <v>0</v>
      </c>
      <c r="Z8" s="489">
        <v>0</v>
      </c>
      <c r="AA8" s="489">
        <v>0</v>
      </c>
      <c r="AB8" s="489">
        <v>0</v>
      </c>
      <c r="AC8" s="489">
        <v>0</v>
      </c>
      <c r="AD8" s="489">
        <v>0</v>
      </c>
      <c r="AE8" s="489">
        <v>0</v>
      </c>
    </row>
    <row r="9" spans="1:31" ht="34.5" customHeight="1">
      <c r="B9" s="16" t="s">
        <v>355</v>
      </c>
      <c r="C9" s="12" t="s">
        <v>300</v>
      </c>
      <c r="D9" s="1017" t="s">
        <v>885</v>
      </c>
      <c r="E9" s="1015" t="s">
        <v>891</v>
      </c>
      <c r="F9" s="321"/>
      <c r="G9" s="321"/>
      <c r="H9" s="321"/>
      <c r="I9" s="321"/>
      <c r="J9" s="321"/>
      <c r="K9" s="52"/>
      <c r="L9" s="52"/>
      <c r="M9" s="52"/>
      <c r="N9" s="52"/>
      <c r="O9" s="52"/>
      <c r="P9" s="52">
        <f>0.5*P10</f>
        <v>1.6426224999999999</v>
      </c>
      <c r="Q9" s="52">
        <f t="shared" ref="Q9:AE9" si="1">0.5*Q10</f>
        <v>2.5971099999999998</v>
      </c>
      <c r="R9" s="52">
        <f t="shared" si="1"/>
        <v>2.7250000000000001</v>
      </c>
      <c r="S9" s="52">
        <f t="shared" si="1"/>
        <v>2.84</v>
      </c>
      <c r="T9" s="52">
        <f t="shared" si="1"/>
        <v>2.95</v>
      </c>
      <c r="U9" s="52">
        <f t="shared" si="1"/>
        <v>3.0550000000000002</v>
      </c>
      <c r="V9" s="52">
        <f t="shared" si="1"/>
        <v>3.0550000000000002</v>
      </c>
      <c r="W9" s="52">
        <f t="shared" si="1"/>
        <v>3.0550000000000002</v>
      </c>
      <c r="X9" s="52">
        <f t="shared" si="1"/>
        <v>3.0550000000000002</v>
      </c>
      <c r="Y9" s="52">
        <f t="shared" si="1"/>
        <v>3.0550000000000002</v>
      </c>
      <c r="Z9" s="52">
        <f t="shared" si="1"/>
        <v>3.0550000000000002</v>
      </c>
      <c r="AA9" s="52">
        <f t="shared" si="1"/>
        <v>3.0550000000000002</v>
      </c>
      <c r="AB9" s="52">
        <f t="shared" si="1"/>
        <v>3.0550000000000002</v>
      </c>
      <c r="AC9" s="52">
        <f t="shared" si="1"/>
        <v>3.0550000000000002</v>
      </c>
      <c r="AD9" s="52">
        <f t="shared" si="1"/>
        <v>3.0550000000000002</v>
      </c>
      <c r="AE9" s="52">
        <f t="shared" si="1"/>
        <v>3.0550000000000002</v>
      </c>
    </row>
    <row r="10" spans="1:31" ht="62.25" customHeight="1">
      <c r="B10" s="16" t="s">
        <v>861</v>
      </c>
      <c r="C10" s="12" t="s">
        <v>300</v>
      </c>
      <c r="D10" s="1017" t="s">
        <v>886</v>
      </c>
      <c r="E10" s="1015" t="s">
        <v>892</v>
      </c>
      <c r="F10" s="321"/>
      <c r="G10" s="321"/>
      <c r="H10" s="321"/>
      <c r="I10" s="321"/>
      <c r="J10" s="321"/>
      <c r="K10" s="52"/>
      <c r="L10" s="52"/>
      <c r="M10" s="52"/>
      <c r="N10" s="52"/>
      <c r="O10" s="52"/>
      <c r="P10" s="52">
        <f>P7</f>
        <v>3.2852449999999997</v>
      </c>
      <c r="Q10" s="52">
        <f t="shared" ref="Q10:AE10" si="2">Q7</f>
        <v>5.1942199999999996</v>
      </c>
      <c r="R10" s="52">
        <f t="shared" si="2"/>
        <v>5.45</v>
      </c>
      <c r="S10" s="52">
        <f t="shared" si="2"/>
        <v>5.68</v>
      </c>
      <c r="T10" s="52">
        <f t="shared" si="2"/>
        <v>5.9</v>
      </c>
      <c r="U10" s="52">
        <f t="shared" si="2"/>
        <v>6.11</v>
      </c>
      <c r="V10" s="52">
        <f t="shared" si="2"/>
        <v>6.11</v>
      </c>
      <c r="W10" s="52">
        <f t="shared" si="2"/>
        <v>6.11</v>
      </c>
      <c r="X10" s="52">
        <f t="shared" si="2"/>
        <v>6.11</v>
      </c>
      <c r="Y10" s="52">
        <f t="shared" si="2"/>
        <v>6.11</v>
      </c>
      <c r="Z10" s="52">
        <f t="shared" si="2"/>
        <v>6.11</v>
      </c>
      <c r="AA10" s="52">
        <f t="shared" si="2"/>
        <v>6.11</v>
      </c>
      <c r="AB10" s="52">
        <f t="shared" si="2"/>
        <v>6.11</v>
      </c>
      <c r="AC10" s="52">
        <f t="shared" si="2"/>
        <v>6.11</v>
      </c>
      <c r="AD10" s="52">
        <f t="shared" si="2"/>
        <v>6.11</v>
      </c>
      <c r="AE10" s="52">
        <f t="shared" si="2"/>
        <v>6.11</v>
      </c>
    </row>
    <row r="11" spans="1:31" ht="42.75" customHeight="1">
      <c r="B11" s="16" t="s">
        <v>883</v>
      </c>
      <c r="C11" s="12" t="s">
        <v>300</v>
      </c>
      <c r="D11" s="1017" t="s">
        <v>887</v>
      </c>
      <c r="E11" s="1015" t="s">
        <v>893</v>
      </c>
      <c r="F11" s="321"/>
      <c r="G11" s="321"/>
      <c r="H11" s="321"/>
      <c r="I11" s="321"/>
      <c r="J11" s="321"/>
      <c r="K11" s="52"/>
      <c r="L11" s="52"/>
      <c r="M11" s="52"/>
      <c r="N11" s="52"/>
      <c r="O11" s="52"/>
      <c r="P11" s="52">
        <f>P10*1.5</f>
        <v>4.9278674999999996</v>
      </c>
      <c r="Q11" s="52">
        <f t="shared" ref="Q11:AE11" si="3">Q10*1.5</f>
        <v>7.7913299999999994</v>
      </c>
      <c r="R11" s="52">
        <f t="shared" si="3"/>
        <v>8.1750000000000007</v>
      </c>
      <c r="S11" s="52">
        <f t="shared" si="3"/>
        <v>8.52</v>
      </c>
      <c r="T11" s="52">
        <f t="shared" si="3"/>
        <v>8.8500000000000014</v>
      </c>
      <c r="U11" s="52">
        <f t="shared" si="3"/>
        <v>9.1650000000000009</v>
      </c>
      <c r="V11" s="52">
        <f t="shared" si="3"/>
        <v>9.1650000000000009</v>
      </c>
      <c r="W11" s="52">
        <f t="shared" si="3"/>
        <v>9.1650000000000009</v>
      </c>
      <c r="X11" s="52">
        <f t="shared" si="3"/>
        <v>9.1650000000000009</v>
      </c>
      <c r="Y11" s="52">
        <f t="shared" si="3"/>
        <v>9.1650000000000009</v>
      </c>
      <c r="Z11" s="52">
        <f t="shared" si="3"/>
        <v>9.1650000000000009</v>
      </c>
      <c r="AA11" s="52">
        <f t="shared" si="3"/>
        <v>9.1650000000000009</v>
      </c>
      <c r="AB11" s="52">
        <f t="shared" si="3"/>
        <v>9.1650000000000009</v>
      </c>
      <c r="AC11" s="52">
        <f t="shared" si="3"/>
        <v>9.1650000000000009</v>
      </c>
      <c r="AD11" s="52">
        <f t="shared" si="3"/>
        <v>9.1650000000000009</v>
      </c>
      <c r="AE11" s="52">
        <f t="shared" si="3"/>
        <v>9.1650000000000009</v>
      </c>
    </row>
    <row r="12" spans="1:31" ht="50.25" customHeight="1">
      <c r="B12" s="16" t="s">
        <v>857</v>
      </c>
      <c r="C12" s="12" t="s">
        <v>300</v>
      </c>
      <c r="D12" s="1017" t="s">
        <v>888</v>
      </c>
      <c r="E12" s="1015" t="s">
        <v>894</v>
      </c>
      <c r="F12" s="321"/>
      <c r="G12" s="321"/>
      <c r="H12" s="321"/>
      <c r="I12" s="321"/>
      <c r="J12" s="321"/>
      <c r="K12" s="52"/>
      <c r="L12" s="52"/>
      <c r="M12" s="52"/>
      <c r="N12" s="52"/>
      <c r="O12" s="52"/>
      <c r="P12" s="52">
        <f>P10*2</f>
        <v>6.5704899999999995</v>
      </c>
      <c r="Q12" s="52">
        <f t="shared" ref="Q12:AE12" si="4">Q10*2</f>
        <v>10.388439999999999</v>
      </c>
      <c r="R12" s="52">
        <f t="shared" si="4"/>
        <v>10.9</v>
      </c>
      <c r="S12" s="52">
        <f t="shared" si="4"/>
        <v>11.36</v>
      </c>
      <c r="T12" s="52">
        <f t="shared" si="4"/>
        <v>11.8</v>
      </c>
      <c r="U12" s="52">
        <f t="shared" si="4"/>
        <v>12.22</v>
      </c>
      <c r="V12" s="52">
        <f t="shared" si="4"/>
        <v>12.22</v>
      </c>
      <c r="W12" s="52">
        <f t="shared" si="4"/>
        <v>12.22</v>
      </c>
      <c r="X12" s="52">
        <f t="shared" si="4"/>
        <v>12.22</v>
      </c>
      <c r="Y12" s="52">
        <f t="shared" si="4"/>
        <v>12.22</v>
      </c>
      <c r="Z12" s="52">
        <f t="shared" si="4"/>
        <v>12.22</v>
      </c>
      <c r="AA12" s="52">
        <f t="shared" si="4"/>
        <v>12.22</v>
      </c>
      <c r="AB12" s="52">
        <f t="shared" si="4"/>
        <v>12.22</v>
      </c>
      <c r="AC12" s="52">
        <f t="shared" si="4"/>
        <v>12.22</v>
      </c>
      <c r="AD12" s="52">
        <f t="shared" si="4"/>
        <v>12.22</v>
      </c>
      <c r="AE12" s="52">
        <f t="shared" si="4"/>
        <v>12.22</v>
      </c>
    </row>
    <row r="13" spans="1:31" s="462" customFormat="1" ht="15" customHeight="1">
      <c r="B13" s="283"/>
      <c r="C13" s="284"/>
      <c r="D13" s="285"/>
      <c r="E13" s="1016"/>
      <c r="F13" s="286"/>
      <c r="G13" s="286"/>
      <c r="H13" s="286"/>
      <c r="I13" s="286"/>
      <c r="J13" s="286"/>
      <c r="K13" s="286"/>
      <c r="L13" s="286"/>
      <c r="M13" s="286"/>
      <c r="N13" s="286"/>
      <c r="O13" s="286"/>
      <c r="P13" s="286"/>
      <c r="Q13" s="286"/>
      <c r="R13" s="286"/>
      <c r="S13" s="286"/>
      <c r="T13" s="286"/>
      <c r="U13" s="286"/>
      <c r="V13" s="286"/>
      <c r="W13" s="286"/>
      <c r="X13" s="286"/>
      <c r="Y13" s="286"/>
      <c r="Z13" s="286"/>
      <c r="AA13" s="286"/>
      <c r="AB13" s="286"/>
      <c r="AC13" s="286"/>
      <c r="AD13" s="286"/>
      <c r="AE13" s="286"/>
    </row>
    <row r="14" spans="1:31" s="1072" customFormat="1" ht="15" customHeight="1">
      <c r="B14" s="1117"/>
      <c r="C14" s="1121"/>
      <c r="D14" s="1122"/>
      <c r="E14" s="1123"/>
      <c r="F14" s="1073"/>
      <c r="G14" s="1073"/>
      <c r="H14" s="1073"/>
      <c r="I14" s="1073"/>
      <c r="J14" s="1073"/>
      <c r="K14" s="1073"/>
      <c r="L14" s="1073"/>
      <c r="M14" s="1073"/>
      <c r="N14" s="1073"/>
      <c r="O14" s="1073"/>
      <c r="P14" s="1073"/>
      <c r="Q14" s="1073"/>
      <c r="R14" s="1073"/>
      <c r="S14" s="1073"/>
      <c r="T14" s="1073"/>
      <c r="U14" s="1073"/>
      <c r="V14" s="1073"/>
      <c r="W14" s="1073"/>
      <c r="X14" s="1073"/>
      <c r="Y14" s="1073"/>
      <c r="Z14" s="1073"/>
      <c r="AA14" s="1073"/>
      <c r="AB14" s="1073"/>
      <c r="AC14" s="1073"/>
      <c r="AD14" s="1073"/>
      <c r="AE14" s="1073"/>
    </row>
    <row r="15" spans="1:31" s="462" customFormat="1" ht="15" customHeight="1">
      <c r="B15" s="283"/>
      <c r="C15" s="284"/>
      <c r="D15" s="285"/>
      <c r="E15" s="544"/>
      <c r="F15" s="286"/>
      <c r="G15" s="286"/>
      <c r="H15" s="286"/>
      <c r="I15" s="286"/>
      <c r="J15" s="286"/>
      <c r="K15" s="286"/>
      <c r="L15" s="286"/>
      <c r="M15" s="286"/>
      <c r="N15" s="286"/>
      <c r="O15" s="286"/>
      <c r="P15" s="286"/>
      <c r="Q15" s="286"/>
      <c r="R15" s="286"/>
      <c r="S15" s="286"/>
      <c r="T15" s="286"/>
      <c r="U15" s="286"/>
      <c r="V15" s="286"/>
      <c r="W15" s="286"/>
      <c r="X15" s="286"/>
      <c r="Y15" s="286"/>
      <c r="Z15" s="286"/>
      <c r="AA15" s="286"/>
      <c r="AB15" s="286"/>
      <c r="AC15" s="286"/>
      <c r="AD15" s="286"/>
      <c r="AE15" s="286"/>
    </row>
    <row r="16" spans="1:31" s="462" customFormat="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s="462" customFormat="1" ht="15" customHeight="1">
      <c r="B17" s="176"/>
      <c r="C17" s="179"/>
      <c r="D17" s="163"/>
      <c r="E17" s="53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s="462" customFormat="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s="462" customFormat="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s="462" customFormat="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s="462" customFormat="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c r="K29" s="45"/>
      <c r="L29" s="45"/>
      <c r="M29" s="45"/>
      <c r="N29" s="45"/>
    </row>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C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86B2C012-5C1D-4C24-B2CE-510B7287A3E8}">
            <xm:f>ControlPanel!$D$59-1</xm:f>
            <x14:dxf>
              <font>
                <color rgb="FF9C6500"/>
              </font>
              <fill>
                <patternFill>
                  <fgColor indexed="64"/>
                  <bgColor rgb="FFFFEB9C"/>
                </patternFill>
              </fill>
            </x14:dxf>
          </x14:cfRule>
          <x14:cfRule type="cellIs" priority="2" operator="lessThan" id="{EE9CC87D-FB07-4F4F-A15A-C512E06A812C}">
            <xm:f>ControlPanel!$D$59</xm:f>
            <x14:dxf>
              <font>
                <color rgb="FF006100"/>
              </font>
              <fill>
                <patternFill>
                  <fgColor indexed="64"/>
                  <bgColor rgb="FFC6EFCE"/>
                </patternFill>
              </fill>
            </x14:dxf>
          </x14:cfRule>
          <xm:sqref>F4:AE4</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abelle58">
    <tabColor theme="9" tint="0.39997558519241921"/>
    <pageSetUpPr fitToPage="1"/>
  </sheetPr>
  <dimension ref="A1:AE1359"/>
  <sheetViews>
    <sheetView zoomScaleNormal="100" workbookViewId="0">
      <selection activeCell="C13" sqref="C13"/>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726</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20</v>
      </c>
      <c r="G5" s="323" t="s">
        <v>20</v>
      </c>
      <c r="H5" s="323" t="s">
        <v>20</v>
      </c>
      <c r="I5" s="323" t="s">
        <v>20</v>
      </c>
      <c r="J5" s="323" t="s">
        <v>20</v>
      </c>
      <c r="K5" s="323" t="s">
        <v>20</v>
      </c>
      <c r="L5" s="323" t="s">
        <v>20</v>
      </c>
      <c r="M5" s="323" t="s">
        <v>20</v>
      </c>
      <c r="N5" s="323" t="s">
        <v>20</v>
      </c>
      <c r="O5" s="323" t="s">
        <v>20</v>
      </c>
      <c r="P5" s="323" t="s">
        <v>20</v>
      </c>
      <c r="Q5" s="323" t="s">
        <v>20</v>
      </c>
      <c r="R5" s="323" t="s">
        <v>20</v>
      </c>
      <c r="S5" s="323" t="s">
        <v>20</v>
      </c>
      <c r="T5" s="323" t="s">
        <v>20</v>
      </c>
      <c r="U5" s="323" t="s">
        <v>20</v>
      </c>
      <c r="V5" s="323" t="s">
        <v>20</v>
      </c>
      <c r="W5" s="323" t="s">
        <v>20</v>
      </c>
      <c r="X5" s="323" t="s">
        <v>20</v>
      </c>
      <c r="Y5" s="323" t="s">
        <v>20</v>
      </c>
      <c r="Z5" s="323" t="s">
        <v>20</v>
      </c>
      <c r="AA5" s="323" t="s">
        <v>20</v>
      </c>
      <c r="AB5" s="323" t="s">
        <v>20</v>
      </c>
      <c r="AC5" s="323" t="s">
        <v>20</v>
      </c>
      <c r="AD5" s="323" t="s">
        <v>20</v>
      </c>
      <c r="AE5" s="323" t="s">
        <v>20</v>
      </c>
    </row>
    <row r="6" spans="1:31" ht="15" customHeight="1" thickBot="1">
      <c r="B6" s="170" t="str">
        <f>ControlPanel!E28</f>
        <v>Référence</v>
      </c>
      <c r="C6" s="15" t="str">
        <f>VLOOKUP($B$6,$B$7:$AE$25,2,FALSE)</f>
        <v>mh</v>
      </c>
      <c r="D6" s="15" t="str">
        <f>VLOOKUP($B$6,$B$7:$AE$25,3,FALSE)</f>
        <v>selon EEG 2017, à partir de 2020 constant 38%</v>
      </c>
      <c r="E6" s="15">
        <f>VLOOKUP($B$6,$B$7:$AE$25,4,FALSE)</f>
        <v>0</v>
      </c>
      <c r="F6" s="14">
        <f>IF(F$4&lt;ControlPanel!$D$59,VLOOKUP("Référence",$B$7:$AE$25,F$4-$F$4+5,FALSE),VLOOKUP($B$6,$B$7:$AE$25,F$4-$F$4+5,FALSE))</f>
        <v>0</v>
      </c>
      <c r="G6" s="14">
        <f>IF(G$4&lt;ControlPanel!$D$59,VLOOKUP("Référence",$B$7:$AE$25,G$4-$F$4+5,FALSE),VLOOKUP($B$6,$B$7:$AE$25,G$4-$F$4+5,FALSE))</f>
        <v>0</v>
      </c>
      <c r="H6" s="14">
        <f>IF(H$4&lt;ControlPanel!$D$59,VLOOKUP("Référence",$B$7:$AE$25,H$4-$F$4+5,FALSE),VLOOKUP($B$6,$B$7:$AE$25,H$4-$F$4+5,FALSE))</f>
        <v>0</v>
      </c>
      <c r="I6" s="14">
        <f>IF(I$4&lt;ControlPanel!$D$59,VLOOKUP("Référence",$B$7:$AE$25,I$4-$F$4+5,FALSE),VLOOKUP($B$6,$B$7:$AE$25,I$4-$F$4+5,FALSE))</f>
        <v>0</v>
      </c>
      <c r="J6" s="14">
        <f>IF(J$4&lt;ControlPanel!$D$59,VLOOKUP("Référence",$B$7:$AE$25,J$4-$F$4+5,FALSE),VLOOKUP($B$6,$B$7:$AE$25,J$4-$F$4+5,FALSE))</f>
        <v>0</v>
      </c>
      <c r="K6" s="14">
        <f>IF(K$4&lt;ControlPanel!$D$59,VLOOKUP("Référence",$B$7:$AE$25,K$4-$F$4+5,FALSE),VLOOKUP($B$6,$B$7:$AE$25,K$4-$F$4+5,FALSE))</f>
        <v>0.3</v>
      </c>
      <c r="L6" s="14">
        <f>IF(L$4&lt;ControlPanel!$D$59,VLOOKUP("Référence",$B$7:$AE$25,L$4-$F$4+5,FALSE),VLOOKUP($B$6,$B$7:$AE$25,L$4-$F$4+5,FALSE))</f>
        <v>0.35</v>
      </c>
      <c r="M6" s="14">
        <f>IF(M$4&lt;ControlPanel!$D$59,VLOOKUP("Référence",$B$7:$AE$25,M$4-$F$4+5,FALSE),VLOOKUP($B$6,$B$7:$AE$25,M$4-$F$4+5,FALSE))</f>
        <v>0.40000062775558548</v>
      </c>
      <c r="N6" s="14">
        <f>IF(N$4&lt;ControlPanel!$D$59,VLOOKUP("Référence",$B$7:$AE$25,N$4-$F$4+5,FALSE),VLOOKUP($B$6,$B$7:$AE$25,N$4-$F$4+5,FALSE))</f>
        <v>0.33640703685486462</v>
      </c>
      <c r="O6" s="14">
        <f>IF(O$4&lt;ControlPanel!$D$59,VLOOKUP("Référence",$B$7:$AE$25,O$4-$F$4+5,FALSE),VLOOKUP($B$6,$B$7:$AE$25,O$4-$F$4+5,FALSE))</f>
        <v>0.36296708149217022</v>
      </c>
      <c r="P6" s="14">
        <f>IF(P$4&lt;ControlPanel!$D$59,VLOOKUP("Référence",$B$7:$AE$25,P$4-$F$4+5,FALSE),VLOOKUP($B$6,$B$7:$AE$25,P$4-$F$4+5,FALSE))</f>
        <v>0.37707011244336597</v>
      </c>
      <c r="Q6" s="14">
        <f>IF(Q$4&lt;ControlPanel!$D$59,VLOOKUP("Référence",$B$7:$AE$25,Q$4-$F$4+5,FALSE),VLOOKUP($B$6,$B$7:$AE$25,Q$4-$F$4+5,FALSE))</f>
        <v>0.37707011244336597</v>
      </c>
      <c r="R6" s="14">
        <f>IF(R$4&lt;ControlPanel!$D$59,VLOOKUP("Référence",$B$7:$AE$25,R$4-$F$4+5,FALSE),VLOOKUP($B$6,$B$7:$AE$25,R$4-$F$4+5,FALSE))</f>
        <v>0.37707011244336597</v>
      </c>
      <c r="S6" s="14">
        <f>IF(S$4&lt;ControlPanel!$D$59,VLOOKUP("Référence",$B$7:$AE$25,S$4-$F$4+5,FALSE),VLOOKUP($B$6,$B$7:$AE$25,S$4-$F$4+5,FALSE))</f>
        <v>0.37707011244336597</v>
      </c>
      <c r="T6" s="14">
        <f>IF(T$4&lt;ControlPanel!$D$59,VLOOKUP("Référence",$B$7:$AE$25,T$4-$F$4+5,FALSE),VLOOKUP($B$6,$B$7:$AE$25,T$4-$F$4+5,FALSE))</f>
        <v>0.37707011244336597</v>
      </c>
      <c r="U6" s="14">
        <f>IF(U$4&lt;ControlPanel!$D$59,VLOOKUP("Référence",$B$7:$AE$25,U$4-$F$4+5,FALSE),VLOOKUP($B$6,$B$7:$AE$25,U$4-$F$4+5,FALSE))</f>
        <v>0.37707011244336597</v>
      </c>
      <c r="V6" s="14">
        <f>IF(V$4&lt;ControlPanel!$D$59,VLOOKUP("Référence",$B$7:$AE$25,V$4-$F$4+5,FALSE),VLOOKUP($B$6,$B$7:$AE$25,V$4-$F$4+5,FALSE))</f>
        <v>0.37707011244336597</v>
      </c>
      <c r="W6" s="14">
        <f>IF(W$4&lt;ControlPanel!$D$59,VLOOKUP("Référence",$B$7:$AE$25,W$4-$F$4+5,FALSE),VLOOKUP($B$6,$B$7:$AE$25,W$4-$F$4+5,FALSE))</f>
        <v>0.37707011244336597</v>
      </c>
      <c r="X6" s="14">
        <f>IF(X$4&lt;ControlPanel!$D$59,VLOOKUP("Référence",$B$7:$AE$25,X$4-$F$4+5,FALSE),VLOOKUP($B$6,$B$7:$AE$25,X$4-$F$4+5,FALSE))</f>
        <v>0.37707011244336597</v>
      </c>
      <c r="Y6" s="14">
        <f>IF(Y$4&lt;ControlPanel!$D$59,VLOOKUP("Référence",$B$7:$AE$25,Y$4-$F$4+5,FALSE),VLOOKUP($B$6,$B$7:$AE$25,Y$4-$F$4+5,FALSE))</f>
        <v>0.37707011244336597</v>
      </c>
      <c r="Z6" s="14">
        <f>IF(Z$4&lt;ControlPanel!$D$59,VLOOKUP("Référence",$B$7:$AE$25,Z$4-$F$4+5,FALSE),VLOOKUP($B$6,$B$7:$AE$25,Z$4-$F$4+5,FALSE))</f>
        <v>0.37707011244336597</v>
      </c>
      <c r="AA6" s="14">
        <f>IF(AA$4&lt;ControlPanel!$D$59,VLOOKUP("Référence",$B$7:$AE$25,AA$4-$F$4+5,FALSE),VLOOKUP($B$6,$B$7:$AE$25,AA$4-$F$4+5,FALSE))</f>
        <v>0.37707011244336597</v>
      </c>
      <c r="AB6" s="14">
        <f>IF(AB$4&lt;ControlPanel!$D$59,VLOOKUP("Référence",$B$7:$AE$25,AB$4-$F$4+5,FALSE),VLOOKUP($B$6,$B$7:$AE$25,AB$4-$F$4+5,FALSE))</f>
        <v>0.37707011244336597</v>
      </c>
      <c r="AC6" s="14">
        <f>IF(AC$4&lt;ControlPanel!$D$59,VLOOKUP("Référence",$B$7:$AE$25,AC$4-$F$4+5,FALSE),VLOOKUP($B$6,$B$7:$AE$25,AC$4-$F$4+5,FALSE))</f>
        <v>0.37707011244336597</v>
      </c>
      <c r="AD6" s="14">
        <f>IF(AD$4&lt;ControlPanel!$D$59,VLOOKUP("Référence",$B$7:$AE$25,AD$4-$F$4+5,FALSE),VLOOKUP($B$6,$B$7:$AE$25,AD$4-$F$4+5,FALSE))</f>
        <v>0.37707011244336597</v>
      </c>
      <c r="AE6" s="14">
        <f>IF(AE$4&lt;ControlPanel!$D$59,VLOOKUP("Référence",$B$7:$AE$25,AE$4-$F$4+5,FALSE),VLOOKUP($B$6,$B$7:$AE$25,AE$4-$F$4+5,FALSE))</f>
        <v>0.37707011244336597</v>
      </c>
    </row>
    <row r="7" spans="1:31" ht="15" customHeight="1">
      <c r="B7" s="174" t="s">
        <v>409</v>
      </c>
      <c r="C7" s="12" t="s">
        <v>48</v>
      </c>
      <c r="D7" s="11" t="s">
        <v>896</v>
      </c>
      <c r="E7" s="215"/>
      <c r="F7" s="321">
        <v>0</v>
      </c>
      <c r="G7" s="321">
        <v>0</v>
      </c>
      <c r="H7" s="321">
        <v>0</v>
      </c>
      <c r="I7" s="321">
        <v>0</v>
      </c>
      <c r="J7" s="321">
        <v>0</v>
      </c>
      <c r="K7" s="321">
        <v>0.3</v>
      </c>
      <c r="L7" s="321">
        <v>0.35</v>
      </c>
      <c r="M7" s="321">
        <v>0.40000062775558548</v>
      </c>
      <c r="N7" s="321">
        <v>0.33640703685486462</v>
      </c>
      <c r="O7" s="321">
        <v>0.36296708149217022</v>
      </c>
      <c r="P7" s="321">
        <v>0.37707011244336597</v>
      </c>
      <c r="Q7" s="321">
        <f t="shared" ref="Q7:AE7" si="0">P7</f>
        <v>0.37707011244336597</v>
      </c>
      <c r="R7" s="321">
        <f t="shared" si="0"/>
        <v>0.37707011244336597</v>
      </c>
      <c r="S7" s="321">
        <f t="shared" si="0"/>
        <v>0.37707011244336597</v>
      </c>
      <c r="T7" s="321">
        <f t="shared" si="0"/>
        <v>0.37707011244336597</v>
      </c>
      <c r="U7" s="321">
        <f t="shared" si="0"/>
        <v>0.37707011244336597</v>
      </c>
      <c r="V7" s="321">
        <f t="shared" si="0"/>
        <v>0.37707011244336597</v>
      </c>
      <c r="W7" s="321">
        <f t="shared" si="0"/>
        <v>0.37707011244336597</v>
      </c>
      <c r="X7" s="321">
        <f t="shared" si="0"/>
        <v>0.37707011244336597</v>
      </c>
      <c r="Y7" s="321">
        <f t="shared" si="0"/>
        <v>0.37707011244336597</v>
      </c>
      <c r="Z7" s="321">
        <f t="shared" si="0"/>
        <v>0.37707011244336597</v>
      </c>
      <c r="AA7" s="321">
        <f t="shared" si="0"/>
        <v>0.37707011244336597</v>
      </c>
      <c r="AB7" s="321">
        <f t="shared" si="0"/>
        <v>0.37707011244336597</v>
      </c>
      <c r="AC7" s="321">
        <f t="shared" si="0"/>
        <v>0.37707011244336597</v>
      </c>
      <c r="AD7" s="321">
        <f t="shared" si="0"/>
        <v>0.37707011244336597</v>
      </c>
      <c r="AE7" s="321">
        <f t="shared" si="0"/>
        <v>0.37707011244336597</v>
      </c>
    </row>
    <row r="8" spans="1:31" ht="15" customHeight="1">
      <c r="B8" s="16" t="s">
        <v>878</v>
      </c>
      <c r="C8" s="12" t="s">
        <v>48</v>
      </c>
      <c r="D8" s="334" t="s">
        <v>59</v>
      </c>
      <c r="E8" s="545"/>
      <c r="F8" s="321"/>
      <c r="G8" s="321"/>
      <c r="H8" s="321"/>
      <c r="I8" s="321"/>
      <c r="J8" s="321"/>
      <c r="K8" s="321"/>
      <c r="L8" s="321"/>
      <c r="M8" s="321"/>
      <c r="N8" s="321"/>
      <c r="O8" s="321"/>
      <c r="P8" s="321">
        <v>0</v>
      </c>
      <c r="Q8" s="321">
        <v>0</v>
      </c>
      <c r="R8" s="321">
        <v>0</v>
      </c>
      <c r="S8" s="321">
        <v>0</v>
      </c>
      <c r="T8" s="321">
        <v>0</v>
      </c>
      <c r="U8" s="321">
        <v>0</v>
      </c>
      <c r="V8" s="321">
        <v>0</v>
      </c>
      <c r="W8" s="321">
        <v>0</v>
      </c>
      <c r="X8" s="321">
        <v>0</v>
      </c>
      <c r="Y8" s="321">
        <v>0</v>
      </c>
      <c r="Z8" s="321">
        <v>0</v>
      </c>
      <c r="AA8" s="321">
        <v>0</v>
      </c>
      <c r="AB8" s="321">
        <v>0</v>
      </c>
      <c r="AC8" s="321">
        <v>0</v>
      </c>
      <c r="AD8" s="321">
        <v>0</v>
      </c>
      <c r="AE8" s="321">
        <v>0</v>
      </c>
    </row>
    <row r="9" spans="1:31" ht="15" customHeight="1">
      <c r="B9" s="16" t="s">
        <v>355</v>
      </c>
      <c r="C9" s="12" t="s">
        <v>48</v>
      </c>
      <c r="D9" s="334" t="s">
        <v>110</v>
      </c>
      <c r="E9" s="545"/>
      <c r="F9" s="321"/>
      <c r="G9" s="321"/>
      <c r="H9" s="321"/>
      <c r="I9" s="321"/>
      <c r="J9" s="321"/>
      <c r="K9" s="321"/>
      <c r="L9" s="321"/>
      <c r="M9" s="321"/>
      <c r="N9" s="321"/>
      <c r="O9" s="321"/>
      <c r="P9" s="321">
        <v>0.25</v>
      </c>
      <c r="Q9" s="321">
        <v>0.25</v>
      </c>
      <c r="R9" s="321">
        <v>0.25</v>
      </c>
      <c r="S9" s="321">
        <v>0.25</v>
      </c>
      <c r="T9" s="321">
        <v>0.25</v>
      </c>
      <c r="U9" s="321">
        <v>0.25</v>
      </c>
      <c r="V9" s="321">
        <v>0.25</v>
      </c>
      <c r="W9" s="321">
        <v>0.25</v>
      </c>
      <c r="X9" s="321">
        <v>0.25</v>
      </c>
      <c r="Y9" s="321">
        <v>0.25</v>
      </c>
      <c r="Z9" s="321">
        <v>0.25</v>
      </c>
      <c r="AA9" s="321">
        <v>0.25</v>
      </c>
      <c r="AB9" s="321">
        <v>0.25</v>
      </c>
      <c r="AC9" s="321">
        <v>0.25</v>
      </c>
      <c r="AD9" s="321">
        <v>0.25</v>
      </c>
      <c r="AE9" s="321">
        <v>0.25</v>
      </c>
    </row>
    <row r="10" spans="1:31" ht="15" customHeight="1">
      <c r="B10" s="16" t="s">
        <v>861</v>
      </c>
      <c r="C10" s="12" t="s">
        <v>48</v>
      </c>
      <c r="D10" s="334" t="s">
        <v>111</v>
      </c>
      <c r="E10" s="545"/>
      <c r="F10" s="321"/>
      <c r="G10" s="321"/>
      <c r="H10" s="321"/>
      <c r="I10" s="321"/>
      <c r="J10" s="321"/>
      <c r="K10" s="321"/>
      <c r="L10" s="321"/>
      <c r="M10" s="321"/>
      <c r="N10" s="321"/>
      <c r="O10" s="321"/>
      <c r="P10" s="321">
        <v>0.5</v>
      </c>
      <c r="Q10" s="321">
        <v>0.5</v>
      </c>
      <c r="R10" s="321">
        <v>0.5</v>
      </c>
      <c r="S10" s="321">
        <v>0.5</v>
      </c>
      <c r="T10" s="321">
        <v>0.5</v>
      </c>
      <c r="U10" s="321">
        <v>0.5</v>
      </c>
      <c r="V10" s="321">
        <v>0.5</v>
      </c>
      <c r="W10" s="321">
        <v>0.5</v>
      </c>
      <c r="X10" s="321">
        <v>0.5</v>
      </c>
      <c r="Y10" s="321">
        <v>0.5</v>
      </c>
      <c r="Z10" s="321">
        <v>0.5</v>
      </c>
      <c r="AA10" s="321">
        <v>0.5</v>
      </c>
      <c r="AB10" s="321">
        <v>0.5</v>
      </c>
      <c r="AC10" s="321">
        <v>0.5</v>
      </c>
      <c r="AD10" s="321">
        <v>0.5</v>
      </c>
      <c r="AE10" s="321">
        <v>0.5</v>
      </c>
    </row>
    <row r="11" spans="1:31" ht="15" customHeight="1">
      <c r="B11" s="16" t="s">
        <v>856</v>
      </c>
      <c r="C11" s="12" t="s">
        <v>48</v>
      </c>
      <c r="D11" s="334" t="s">
        <v>112</v>
      </c>
      <c r="E11" s="545"/>
      <c r="F11" s="321"/>
      <c r="G11" s="321"/>
      <c r="H11" s="321"/>
      <c r="I11" s="321"/>
      <c r="J11" s="321"/>
      <c r="K11" s="321"/>
      <c r="L11" s="321"/>
      <c r="M11" s="321"/>
      <c r="N11" s="321"/>
      <c r="O11" s="321"/>
      <c r="P11" s="321">
        <v>0.75</v>
      </c>
      <c r="Q11" s="321">
        <v>0.75</v>
      </c>
      <c r="R11" s="321">
        <v>0.75</v>
      </c>
      <c r="S11" s="321">
        <v>0.75</v>
      </c>
      <c r="T11" s="321">
        <v>0.75</v>
      </c>
      <c r="U11" s="321">
        <v>0.75</v>
      </c>
      <c r="V11" s="321">
        <v>0.75</v>
      </c>
      <c r="W11" s="321">
        <v>0.75</v>
      </c>
      <c r="X11" s="321">
        <v>0.75</v>
      </c>
      <c r="Y11" s="321">
        <v>0.75</v>
      </c>
      <c r="Z11" s="321">
        <v>0.75</v>
      </c>
      <c r="AA11" s="321">
        <v>0.75</v>
      </c>
      <c r="AB11" s="321">
        <v>0.75</v>
      </c>
      <c r="AC11" s="321">
        <v>0.75</v>
      </c>
      <c r="AD11" s="321">
        <v>0.75</v>
      </c>
      <c r="AE11" s="321">
        <v>0.75</v>
      </c>
    </row>
    <row r="12" spans="1:31" ht="15" customHeight="1">
      <c r="B12" s="16" t="s">
        <v>895</v>
      </c>
      <c r="C12" s="12" t="s">
        <v>48</v>
      </c>
      <c r="D12" s="334" t="s">
        <v>113</v>
      </c>
      <c r="E12" s="545"/>
      <c r="F12" s="321"/>
      <c r="G12" s="321"/>
      <c r="H12" s="321"/>
      <c r="I12" s="321"/>
      <c r="J12" s="321"/>
      <c r="K12" s="321"/>
      <c r="L12" s="321"/>
      <c r="M12" s="321"/>
      <c r="N12" s="321"/>
      <c r="O12" s="321"/>
      <c r="P12" s="321">
        <v>1</v>
      </c>
      <c r="Q12" s="321">
        <v>1</v>
      </c>
      <c r="R12" s="321">
        <v>1</v>
      </c>
      <c r="S12" s="321">
        <v>1</v>
      </c>
      <c r="T12" s="321">
        <v>1</v>
      </c>
      <c r="U12" s="321">
        <v>1</v>
      </c>
      <c r="V12" s="321">
        <v>1</v>
      </c>
      <c r="W12" s="321">
        <v>1</v>
      </c>
      <c r="X12" s="321">
        <v>1</v>
      </c>
      <c r="Y12" s="321">
        <v>1</v>
      </c>
      <c r="Z12" s="321">
        <v>1</v>
      </c>
      <c r="AA12" s="321">
        <v>1</v>
      </c>
      <c r="AB12" s="321">
        <v>1</v>
      </c>
      <c r="AC12" s="321">
        <v>1</v>
      </c>
      <c r="AD12" s="321">
        <v>1</v>
      </c>
      <c r="AE12" s="321">
        <v>1</v>
      </c>
    </row>
    <row r="13" spans="1:31" s="462" customFormat="1" ht="15" customHeight="1">
      <c r="B13" s="176"/>
      <c r="C13" s="179"/>
      <c r="D13" s="163"/>
      <c r="E13" s="532"/>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row>
    <row r="14" spans="1:31" s="1072" customFormat="1" ht="15" customHeight="1">
      <c r="B14" s="1117"/>
      <c r="C14" s="1118"/>
      <c r="D14" s="1119"/>
      <c r="E14" s="1120"/>
      <c r="F14" s="1073"/>
      <c r="G14" s="1073"/>
      <c r="H14" s="1073"/>
      <c r="I14" s="1073"/>
      <c r="J14" s="1073"/>
      <c r="K14" s="1073"/>
      <c r="L14" s="1073"/>
      <c r="M14" s="1073"/>
      <c r="N14" s="1073"/>
      <c r="O14" s="1073"/>
      <c r="P14" s="1073"/>
      <c r="Q14" s="1073"/>
      <c r="R14" s="1073"/>
      <c r="S14" s="1073"/>
      <c r="T14" s="1073"/>
      <c r="U14" s="1073"/>
      <c r="V14" s="1073"/>
      <c r="W14" s="1073"/>
      <c r="X14" s="1073"/>
      <c r="Y14" s="1073"/>
      <c r="Z14" s="1073"/>
      <c r="AA14" s="1073"/>
      <c r="AB14" s="1073"/>
      <c r="AC14" s="1073"/>
      <c r="AD14" s="1073"/>
      <c r="AE14" s="1073"/>
    </row>
    <row r="15" spans="1:31" s="462" customFormat="1" ht="15" customHeight="1">
      <c r="B15" s="176"/>
      <c r="C15" s="179"/>
      <c r="D15" s="163"/>
      <c r="E15" s="532"/>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s="462" customFormat="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s="462" customFormat="1" ht="15" customHeight="1">
      <c r="B17" s="176"/>
      <c r="C17" s="179"/>
      <c r="D17" s="163"/>
      <c r="E17" s="53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s="462" customFormat="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s="462" customFormat="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s="462" customFormat="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s="462" customFormat="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D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6DB894A6-FA27-4B5E-A1BD-2B8B9AE39F59}">
            <xm:f>ControlPanel!$D$59-1</xm:f>
            <x14:dxf>
              <font>
                <color rgb="FF9C6500"/>
              </font>
              <fill>
                <patternFill>
                  <fgColor indexed="64"/>
                  <bgColor rgb="FFFFEB9C"/>
                </patternFill>
              </fill>
            </x14:dxf>
          </x14:cfRule>
          <x14:cfRule type="cellIs" priority="2" operator="lessThan" id="{A14F682E-C598-4306-AAAC-517131DCA0AD}">
            <xm:f>ControlPanel!$D$59</xm:f>
            <x14:dxf>
              <font>
                <color rgb="FF006100"/>
              </font>
              <fill>
                <patternFill>
                  <fgColor indexed="64"/>
                  <bgColor rgb="FFC6EFCE"/>
                </patternFill>
              </fill>
            </x14:dxf>
          </x14:cfRule>
          <xm:sqref>F4:AE4</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Tabelle45">
    <tabColor theme="9" tint="0.39997558519241921"/>
    <pageSetUpPr fitToPage="1"/>
  </sheetPr>
  <dimension ref="A1:AE1365"/>
  <sheetViews>
    <sheetView zoomScaleNormal="100" workbookViewId="0">
      <selection activeCell="E33" sqref="E33"/>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897</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17</v>
      </c>
      <c r="G5" s="323" t="s">
        <v>17</v>
      </c>
      <c r="H5" s="323" t="s">
        <v>17</v>
      </c>
      <c r="I5" s="323" t="s">
        <v>17</v>
      </c>
      <c r="J5" s="323" t="s">
        <v>17</v>
      </c>
      <c r="K5" s="323" t="s">
        <v>17</v>
      </c>
      <c r="L5" s="323" t="s">
        <v>17</v>
      </c>
      <c r="M5" s="323" t="s">
        <v>17</v>
      </c>
      <c r="N5" s="323" t="s">
        <v>17</v>
      </c>
      <c r="O5" s="323" t="s">
        <v>17</v>
      </c>
      <c r="P5" s="323" t="s">
        <v>17</v>
      </c>
      <c r="Q5" s="323" t="s">
        <v>17</v>
      </c>
      <c r="R5" s="323" t="s">
        <v>17</v>
      </c>
      <c r="S5" s="323" t="s">
        <v>17</v>
      </c>
      <c r="T5" s="323" t="s">
        <v>17</v>
      </c>
      <c r="U5" s="323" t="s">
        <v>17</v>
      </c>
      <c r="V5" s="323" t="s">
        <v>17</v>
      </c>
      <c r="W5" s="323" t="s">
        <v>17</v>
      </c>
      <c r="X5" s="323" t="s">
        <v>17</v>
      </c>
      <c r="Y5" s="323" t="s">
        <v>17</v>
      </c>
      <c r="Z5" s="323" t="s">
        <v>17</v>
      </c>
      <c r="AA5" s="323" t="s">
        <v>17</v>
      </c>
      <c r="AB5" s="323" t="s">
        <v>17</v>
      </c>
      <c r="AC5" s="323" t="s">
        <v>17</v>
      </c>
      <c r="AD5" s="323" t="s">
        <v>17</v>
      </c>
      <c r="AE5" s="323" t="s">
        <v>17</v>
      </c>
    </row>
    <row r="6" spans="1:31" ht="40.200000000000003" thickBot="1">
      <c r="B6" s="170" t="str">
        <f>ControlPanel!L28</f>
        <v>Référence</v>
      </c>
      <c r="C6" s="15" t="str">
        <f>VLOOKUP($B$6,$B$7:$AE$25,2,FALSE)</f>
        <v>fh</v>
      </c>
      <c r="D6" s="486" t="str">
        <f>VLOOKUP($B$6,$B$7:$AE$25,3,FALSE)</f>
        <v>7.17€/MWh</v>
      </c>
      <c r="E6" s="486" t="str">
        <f>VLOOKUP($B$6,$B$7:$AE$25,4,FALSE)</f>
        <v>Inclinaison en 2021 selon les prévisions du GRT, ensuite constante (voir §120 paragraphe 4, phrase 1 EnWG)</v>
      </c>
      <c r="F6" s="14">
        <f>IF(F$4&lt;ControlPanel!$D$59,VLOOKUP("Référence",$B$7:$AE$25,F$4-$F$4+5,FALSE),VLOOKUP($B$6,$B$7:$AE$25,F$4-$F$4+5,FALSE))</f>
        <v>3.6986274118651017</v>
      </c>
      <c r="G6" s="14">
        <f>IF(G$4&lt;ControlPanel!$D$59,VLOOKUP("Référence",$B$7:$AE$25,G$4-$F$4+5,FALSE),VLOOKUP($B$6,$B$7:$AE$25,G$4-$F$4+5,FALSE))</f>
        <v>3.67623039746714</v>
      </c>
      <c r="H6" s="14">
        <f>IF(H$4&lt;ControlPanel!$D$59,VLOOKUP("Référence",$B$7:$AE$25,H$4-$F$4+5,FALSE),VLOOKUP($B$6,$B$7:$AE$25,H$4-$F$4+5,FALSE))</f>
        <v>3.8466309856018386</v>
      </c>
      <c r="I6" s="14">
        <f>IF(I$4&lt;ControlPanel!$D$59,VLOOKUP("Référence",$B$7:$AE$25,I$4-$F$4+5,FALSE),VLOOKUP($B$6,$B$7:$AE$25,I$4-$F$4+5,FALSE))</f>
        <v>3.7273122127772123</v>
      </c>
      <c r="J6" s="14">
        <f>IF(J$4&lt;ControlPanel!$D$59,VLOOKUP("Référence",$B$7:$AE$25,J$4-$F$4+5,FALSE),VLOOKUP($B$6,$B$7:$AE$25,J$4-$F$4+5,FALSE))</f>
        <v>4.6460245701332967</v>
      </c>
      <c r="K6" s="14">
        <f>IF(K$4&lt;ControlPanel!$D$59,VLOOKUP("Référence",$B$7:$AE$25,K$4-$F$4+5,FALSE),VLOOKUP($B$6,$B$7:$AE$25,K$4-$F$4+5,FALSE))</f>
        <v>4.6631872317218352</v>
      </c>
      <c r="L6" s="14">
        <f>IF(L$4&lt;ControlPanel!$D$59,VLOOKUP("Référence",$B$7:$AE$25,L$4-$F$4+5,FALSE),VLOOKUP($B$6,$B$7:$AE$25,L$4-$F$4+5,FALSE))</f>
        <v>4.8191604494594991</v>
      </c>
      <c r="M6" s="14">
        <f>IF(M$4&lt;ControlPanel!$D$59,VLOOKUP("Référence",$B$7:$AE$25,M$4-$F$4+5,FALSE),VLOOKUP($B$6,$B$7:$AE$25,M$4-$F$4+5,FALSE))</f>
        <v>7.7231242789896131</v>
      </c>
      <c r="N6" s="14">
        <f>IF(N$4&lt;ControlPanel!$D$59,VLOOKUP("Référence",$B$7:$AE$25,N$4-$F$4+5,FALSE),VLOOKUP($B$6,$B$7:$AE$25,N$4-$F$4+5,FALSE))</f>
        <v>6.3391841590858826</v>
      </c>
      <c r="O6" s="14">
        <f>IF(O$4&lt;ControlPanel!$D$59,VLOOKUP("Référence",$B$7:$AE$25,O$4-$F$4+5,FALSE),VLOOKUP($B$6,$B$7:$AE$25,O$4-$F$4+5,FALSE))</f>
        <v>7.3821193026159877</v>
      </c>
      <c r="P6" s="14">
        <f>IF(P$4&lt;ControlPanel!$D$59,VLOOKUP("Référence",$B$7:$AE$25,P$4-$F$4+5,FALSE),VLOOKUP($B$6,$B$7:$AE$25,P$4-$F$4+5,FALSE))</f>
        <v>7.0575324728422038</v>
      </c>
      <c r="Q6" s="14">
        <f>IF(Q$4&lt;ControlPanel!$D$59,VLOOKUP("Référence",$B$7:$AE$25,Q$4-$F$4+5,FALSE),VLOOKUP($B$6,$B$7:$AE$25,Q$4-$F$4+5,FALSE))</f>
        <v>7.1727090185728217</v>
      </c>
      <c r="R6" s="14">
        <f>IF(R$4&lt;ControlPanel!$D$59,VLOOKUP("Référence",$B$7:$AE$25,R$4-$F$4+5,FALSE),VLOOKUP($B$6,$B$7:$AE$25,R$4-$F$4+5,FALSE))</f>
        <v>7.1727090185728217</v>
      </c>
      <c r="S6" s="14">
        <f>IF(S$4&lt;ControlPanel!$D$59,VLOOKUP("Référence",$B$7:$AE$25,S$4-$F$4+5,FALSE),VLOOKUP($B$6,$B$7:$AE$25,S$4-$F$4+5,FALSE))</f>
        <v>7.1727090185728217</v>
      </c>
      <c r="T6" s="14">
        <f>IF(T$4&lt;ControlPanel!$D$59,VLOOKUP("Référence",$B$7:$AE$25,T$4-$F$4+5,FALSE),VLOOKUP($B$6,$B$7:$AE$25,T$4-$F$4+5,FALSE))</f>
        <v>7.1727090185728217</v>
      </c>
      <c r="U6" s="14">
        <f>IF(U$4&lt;ControlPanel!$D$59,VLOOKUP("Référence",$B$7:$AE$25,U$4-$F$4+5,FALSE),VLOOKUP($B$6,$B$7:$AE$25,U$4-$F$4+5,FALSE))</f>
        <v>7.1727090185728217</v>
      </c>
      <c r="V6" s="14">
        <f>IF(V$4&lt;ControlPanel!$D$59,VLOOKUP("Référence",$B$7:$AE$25,V$4-$F$4+5,FALSE),VLOOKUP($B$6,$B$7:$AE$25,V$4-$F$4+5,FALSE))</f>
        <v>7.1727090185728217</v>
      </c>
      <c r="W6" s="14">
        <f>IF(W$4&lt;ControlPanel!$D$59,VLOOKUP("Référence",$B$7:$AE$25,W$4-$F$4+5,FALSE),VLOOKUP($B$6,$B$7:$AE$25,W$4-$F$4+5,FALSE))</f>
        <v>7.1727090185728217</v>
      </c>
      <c r="X6" s="14">
        <f>IF(X$4&lt;ControlPanel!$D$59,VLOOKUP("Référence",$B$7:$AE$25,X$4-$F$4+5,FALSE),VLOOKUP($B$6,$B$7:$AE$25,X$4-$F$4+5,FALSE))</f>
        <v>7.1727090185728217</v>
      </c>
      <c r="Y6" s="14">
        <f>IF(Y$4&lt;ControlPanel!$D$59,VLOOKUP("Référence",$B$7:$AE$25,Y$4-$F$4+5,FALSE),VLOOKUP($B$6,$B$7:$AE$25,Y$4-$F$4+5,FALSE))</f>
        <v>7.1727090185728217</v>
      </c>
      <c r="Z6" s="14">
        <f>IF(Z$4&lt;ControlPanel!$D$59,VLOOKUP("Référence",$B$7:$AE$25,Z$4-$F$4+5,FALSE),VLOOKUP($B$6,$B$7:$AE$25,Z$4-$F$4+5,FALSE))</f>
        <v>7.1727090185728217</v>
      </c>
      <c r="AA6" s="14">
        <f>IF(AA$4&lt;ControlPanel!$D$59,VLOOKUP("Référence",$B$7:$AE$25,AA$4-$F$4+5,FALSE),VLOOKUP($B$6,$B$7:$AE$25,AA$4-$F$4+5,FALSE))</f>
        <v>7.1727090185728217</v>
      </c>
      <c r="AB6" s="14">
        <f>IF(AB$4&lt;ControlPanel!$D$59,VLOOKUP("Référence",$B$7:$AE$25,AB$4-$F$4+5,FALSE),VLOOKUP($B$6,$B$7:$AE$25,AB$4-$F$4+5,FALSE))</f>
        <v>7.1727090185728217</v>
      </c>
      <c r="AC6" s="14">
        <f>IF(AC$4&lt;ControlPanel!$D$59,VLOOKUP("Référence",$B$7:$AE$25,AC$4-$F$4+5,FALSE),VLOOKUP($B$6,$B$7:$AE$25,AC$4-$F$4+5,FALSE))</f>
        <v>7.1727090185728217</v>
      </c>
      <c r="AD6" s="14">
        <f>IF(AD$4&lt;ControlPanel!$D$59,VLOOKUP("Référence",$B$7:$AE$25,AD$4-$F$4+5,FALSE),VLOOKUP($B$6,$B$7:$AE$25,AD$4-$F$4+5,FALSE))</f>
        <v>7.1727090185728217</v>
      </c>
      <c r="AE6" s="14">
        <f>IF(AE$4&lt;ControlPanel!$D$59,VLOOKUP("Référence",$B$7:$AE$25,AE$4-$F$4+5,FALSE),VLOOKUP($B$6,$B$7:$AE$25,AE$4-$F$4+5,FALSE))</f>
        <v>7.1727090185728217</v>
      </c>
    </row>
    <row r="7" spans="1:31" ht="39.6">
      <c r="B7" s="16" t="s">
        <v>409</v>
      </c>
      <c r="C7" s="12" t="s">
        <v>300</v>
      </c>
      <c r="D7" s="539" t="s">
        <v>312</v>
      </c>
      <c r="E7" s="581" t="s">
        <v>898</v>
      </c>
      <c r="F7" s="321">
        <v>3.6986274118651017</v>
      </c>
      <c r="G7" s="321">
        <v>3.67623039746714</v>
      </c>
      <c r="H7" s="321">
        <v>3.8466309856018386</v>
      </c>
      <c r="I7" s="321">
        <v>3.7273122127772123</v>
      </c>
      <c r="J7" s="321">
        <v>4.6460245701332967</v>
      </c>
      <c r="K7" s="321">
        <v>4.6631872317218352</v>
      </c>
      <c r="L7" s="321">
        <v>4.8191604494594991</v>
      </c>
      <c r="M7" s="321">
        <v>7.7231242789896131</v>
      </c>
      <c r="N7" s="321">
        <v>6.3391841590858826</v>
      </c>
      <c r="O7" s="321">
        <v>7.3821193026159877</v>
      </c>
      <c r="P7" s="321">
        <v>7.0575324728422038</v>
      </c>
      <c r="Q7" s="321">
        <v>7.1727090185728217</v>
      </c>
      <c r="R7" s="321">
        <f t="shared" ref="R7:AE7" si="0">Q7</f>
        <v>7.1727090185728217</v>
      </c>
      <c r="S7" s="321">
        <f t="shared" si="0"/>
        <v>7.1727090185728217</v>
      </c>
      <c r="T7" s="321">
        <f t="shared" si="0"/>
        <v>7.1727090185728217</v>
      </c>
      <c r="U7" s="321">
        <f t="shared" si="0"/>
        <v>7.1727090185728217</v>
      </c>
      <c r="V7" s="321">
        <f t="shared" si="0"/>
        <v>7.1727090185728217</v>
      </c>
      <c r="W7" s="321">
        <f t="shared" si="0"/>
        <v>7.1727090185728217</v>
      </c>
      <c r="X7" s="321">
        <f t="shared" si="0"/>
        <v>7.1727090185728217</v>
      </c>
      <c r="Y7" s="321">
        <f t="shared" si="0"/>
        <v>7.1727090185728217</v>
      </c>
      <c r="Z7" s="321">
        <f t="shared" si="0"/>
        <v>7.1727090185728217</v>
      </c>
      <c r="AA7" s="321">
        <f t="shared" si="0"/>
        <v>7.1727090185728217</v>
      </c>
      <c r="AB7" s="321">
        <f t="shared" si="0"/>
        <v>7.1727090185728217</v>
      </c>
      <c r="AC7" s="321">
        <f t="shared" si="0"/>
        <v>7.1727090185728217</v>
      </c>
      <c r="AD7" s="321">
        <f t="shared" si="0"/>
        <v>7.1727090185728217</v>
      </c>
      <c r="AE7" s="321">
        <f t="shared" si="0"/>
        <v>7.1727090185728217</v>
      </c>
    </row>
    <row r="8" spans="1:31" ht="15" customHeight="1">
      <c r="A8" s="462"/>
      <c r="B8" s="176"/>
      <c r="C8" s="1154"/>
      <c r="D8" s="163"/>
      <c r="E8" s="532"/>
      <c r="F8" s="180"/>
      <c r="G8" s="180"/>
      <c r="H8" s="180"/>
      <c r="I8" s="180"/>
      <c r="J8" s="180"/>
      <c r="K8" s="180"/>
      <c r="L8" s="180"/>
      <c r="M8" s="180"/>
      <c r="N8" s="180"/>
      <c r="O8" s="180"/>
      <c r="P8" s="180"/>
      <c r="Q8" s="180"/>
      <c r="R8" s="180"/>
      <c r="S8" s="180"/>
      <c r="T8" s="180"/>
      <c r="U8" s="180"/>
      <c r="V8" s="180"/>
      <c r="W8" s="180"/>
      <c r="X8" s="180"/>
      <c r="Y8" s="180"/>
      <c r="Z8" s="180"/>
      <c r="AA8" s="180"/>
      <c r="AB8" s="180"/>
      <c r="AC8" s="180"/>
      <c r="AD8" s="180"/>
      <c r="AE8" s="180"/>
    </row>
    <row r="9" spans="1:31" s="462" customFormat="1" ht="15" customHeight="1">
      <c r="B9" s="176"/>
      <c r="C9" s="179"/>
      <c r="D9" s="163"/>
      <c r="E9" s="532"/>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row>
    <row r="10" spans="1:31" s="462" customFormat="1" ht="15" customHeight="1">
      <c r="B10" s="176"/>
      <c r="C10" s="162"/>
      <c r="D10" s="163"/>
      <c r="E10" s="532"/>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c r="AE10" s="180"/>
    </row>
    <row r="11" spans="1:31" s="462" customFormat="1" ht="15" customHeight="1">
      <c r="B11" s="176"/>
      <c r="C11" s="162"/>
      <c r="D11" s="163"/>
      <c r="E11" s="532"/>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row>
    <row r="12" spans="1:31" s="462" customFormat="1" ht="15" customHeight="1">
      <c r="B12" s="176"/>
      <c r="C12" s="162"/>
      <c r="D12" s="163"/>
      <c r="E12" s="532"/>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row>
    <row r="13" spans="1:31" s="462" customFormat="1" ht="15" customHeight="1">
      <c r="B13" s="176"/>
      <c r="C13" s="162"/>
      <c r="D13" s="163"/>
      <c r="E13" s="532"/>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row>
    <row r="14" spans="1:31" s="462" customFormat="1" ht="15" customHeight="1">
      <c r="B14" s="176"/>
      <c r="C14" s="162"/>
      <c r="D14" s="163"/>
      <c r="E14" s="532"/>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row>
    <row r="15" spans="1:31" s="462" customFormat="1" ht="15" customHeight="1">
      <c r="B15" s="176"/>
      <c r="C15" s="179"/>
      <c r="D15" s="163"/>
      <c r="E15" s="532"/>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s="462" customFormat="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1:31" s="462" customFormat="1" ht="15" customHeight="1">
      <c r="B17" s="176"/>
      <c r="C17" s="179"/>
      <c r="D17" s="163"/>
      <c r="E17" s="53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1:31" s="462" customFormat="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1:31" s="462" customFormat="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1: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1:31" s="462" customFormat="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1:31" s="462" customFormat="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1:31" s="462" customFormat="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1: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1: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1: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1:31">
      <c r="A27" s="41"/>
      <c r="B27" s="20" t="s">
        <v>899</v>
      </c>
      <c r="C27" s="19"/>
      <c r="D27" s="19"/>
      <c r="E27" s="19"/>
    </row>
    <row r="29" spans="1:31" ht="15" customHeight="1">
      <c r="B29" s="62" t="s">
        <v>787</v>
      </c>
      <c r="C29" s="18" t="s">
        <v>788</v>
      </c>
      <c r="D29" s="314" t="s">
        <v>827</v>
      </c>
      <c r="E29" s="18" t="s">
        <v>574</v>
      </c>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row>
    <row r="30" spans="1:31" ht="15" customHeight="1">
      <c r="B30" s="65"/>
      <c r="D30" s="16"/>
      <c r="F30" s="60">
        <v>2010</v>
      </c>
      <c r="G30" s="60">
        <v>2011</v>
      </c>
      <c r="H30" s="60">
        <v>2012</v>
      </c>
      <c r="I30" s="60">
        <v>2013</v>
      </c>
      <c r="J30" s="60">
        <v>2014</v>
      </c>
      <c r="K30" s="60">
        <v>2015</v>
      </c>
      <c r="L30" s="60">
        <v>2016</v>
      </c>
      <c r="M30" s="60">
        <v>2017</v>
      </c>
      <c r="N30" s="60">
        <v>2018</v>
      </c>
      <c r="O30" s="60">
        <v>2019</v>
      </c>
      <c r="P30" s="60">
        <v>2020</v>
      </c>
      <c r="Q30" s="60">
        <v>2021</v>
      </c>
      <c r="R30" s="60">
        <v>2022</v>
      </c>
      <c r="S30" s="60">
        <v>2023</v>
      </c>
      <c r="T30" s="60">
        <v>2024</v>
      </c>
      <c r="U30" s="60">
        <v>2025</v>
      </c>
      <c r="V30" s="60">
        <v>2026</v>
      </c>
      <c r="W30" s="60">
        <v>2027</v>
      </c>
      <c r="X30" s="60">
        <v>2028</v>
      </c>
      <c r="Y30" s="60">
        <v>2029</v>
      </c>
      <c r="Z30" s="60">
        <v>2030</v>
      </c>
      <c r="AA30" s="60">
        <v>2031</v>
      </c>
      <c r="AB30" s="60">
        <v>2032</v>
      </c>
      <c r="AC30" s="60">
        <v>2033</v>
      </c>
      <c r="AD30" s="60">
        <v>2034</v>
      </c>
      <c r="AE30" s="60">
        <v>2035</v>
      </c>
    </row>
    <row r="31" spans="1:31" ht="15" customHeight="1" thickBot="1">
      <c r="B31" s="65"/>
      <c r="D31" s="16"/>
      <c r="F31" s="323" t="s">
        <v>49</v>
      </c>
      <c r="G31" s="323" t="s">
        <v>49</v>
      </c>
      <c r="H31" s="323" t="s">
        <v>49</v>
      </c>
      <c r="I31" s="323" t="s">
        <v>49</v>
      </c>
      <c r="J31" s="323" t="s">
        <v>49</v>
      </c>
      <c r="K31" s="323" t="s">
        <v>49</v>
      </c>
      <c r="L31" s="323" t="s">
        <v>49</v>
      </c>
      <c r="M31" s="323" t="s">
        <v>49</v>
      </c>
      <c r="N31" s="323" t="s">
        <v>49</v>
      </c>
      <c r="O31" s="323" t="s">
        <v>49</v>
      </c>
      <c r="P31" s="323" t="s">
        <v>49</v>
      </c>
      <c r="Q31" s="323" t="s">
        <v>49</v>
      </c>
      <c r="R31" s="323" t="s">
        <v>49</v>
      </c>
      <c r="S31" s="323" t="s">
        <v>49</v>
      </c>
      <c r="T31" s="323" t="s">
        <v>49</v>
      </c>
      <c r="U31" s="323" t="s">
        <v>49</v>
      </c>
      <c r="V31" s="323" t="s">
        <v>49</v>
      </c>
      <c r="W31" s="323" t="s">
        <v>49</v>
      </c>
      <c r="X31" s="323" t="s">
        <v>49</v>
      </c>
      <c r="Y31" s="323" t="s">
        <v>49</v>
      </c>
      <c r="Z31" s="323" t="s">
        <v>49</v>
      </c>
      <c r="AA31" s="323" t="s">
        <v>49</v>
      </c>
      <c r="AB31" s="323" t="s">
        <v>49</v>
      </c>
      <c r="AC31" s="323" t="s">
        <v>49</v>
      </c>
      <c r="AD31" s="323" t="s">
        <v>49</v>
      </c>
      <c r="AE31" s="323" t="s">
        <v>49</v>
      </c>
    </row>
    <row r="32" spans="1:31" ht="40.200000000000003" thickBot="1">
      <c r="B32" s="170" t="s">
        <v>409</v>
      </c>
      <c r="C32" s="15" t="s">
        <v>269</v>
      </c>
      <c r="D32" s="486" t="s">
        <v>900</v>
      </c>
      <c r="E32" s="486" t="s">
        <v>901</v>
      </c>
      <c r="F32" s="1085">
        <v>1</v>
      </c>
      <c r="G32" s="1085">
        <v>1</v>
      </c>
      <c r="H32" s="1085">
        <v>1</v>
      </c>
      <c r="I32" s="1085">
        <v>1</v>
      </c>
      <c r="J32" s="1085">
        <v>1</v>
      </c>
      <c r="K32" s="1085">
        <v>1</v>
      </c>
      <c r="L32" s="1085">
        <v>1</v>
      </c>
      <c r="M32" s="1085">
        <v>0.54572012421639449</v>
      </c>
      <c r="N32" s="1085">
        <v>0.43362051792281486</v>
      </c>
      <c r="O32" s="1085">
        <v>0.17143660748488035</v>
      </c>
      <c r="P32" s="1085">
        <v>0</v>
      </c>
      <c r="Q32" s="1085">
        <v>0</v>
      </c>
      <c r="R32" s="1085">
        <v>0</v>
      </c>
      <c r="S32" s="1085">
        <v>0</v>
      </c>
      <c r="T32" s="1085">
        <v>0</v>
      </c>
      <c r="U32" s="1085">
        <v>0</v>
      </c>
      <c r="V32" s="1085">
        <v>0</v>
      </c>
      <c r="W32" s="1085">
        <v>0</v>
      </c>
      <c r="X32" s="1085">
        <v>0</v>
      </c>
      <c r="Y32" s="1085">
        <v>0</v>
      </c>
      <c r="Z32" s="1085">
        <v>0</v>
      </c>
      <c r="AA32" s="1085">
        <v>0</v>
      </c>
      <c r="AB32" s="1085">
        <v>0</v>
      </c>
      <c r="AC32" s="1085">
        <v>0</v>
      </c>
      <c r="AD32" s="1085">
        <v>0</v>
      </c>
      <c r="AE32" s="1085">
        <v>0</v>
      </c>
    </row>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sheetData>
  <hyperlinks>
    <hyperlink ref="A1" location="'Start-Experte'!A1" display="zurück" xr:uid="{00000000-0004-0000-1E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27" operator="greaterThan" id="{00000000-0000-0000-0000-000000000000}">
            <xm:f>ControlPanel!$D$59-1</xm:f>
            <x14:dxf>
              <font>
                <color rgb="FF9C6500"/>
              </font>
              <fill>
                <patternFill>
                  <fgColor indexed="64"/>
                  <bgColor rgb="FFFFEB9C"/>
                </patternFill>
              </fill>
            </x14:dxf>
          </x14:cfRule>
          <x14:cfRule type="cellIs" priority="728" operator="lessThan" id="{00000000-0000-0000-0000-000000000000}">
            <xm:f>ControlPanel!$D$59</xm:f>
            <x14:dxf>
              <font>
                <color rgb="FF006100"/>
              </font>
              <fill>
                <patternFill>
                  <fgColor indexed="64"/>
                  <bgColor rgb="FFC6EFCE"/>
                </patternFill>
              </fill>
            </x14:dxf>
          </x14:cfRule>
          <xm:sqref>F4:AE4</xm:sqref>
        </x14:conditionalFormatting>
        <x14:conditionalFormatting xmlns:xm="http://schemas.microsoft.com/office/excel/2006/main">
          <x14:cfRule type="cellIs" priority="1" operator="greaterThan" id="{311B779E-0E09-46D2-80AA-E0763EFDA3D6}">
            <xm:f>ControlPanel!$D$59-1</xm:f>
            <x14:dxf>
              <font>
                <color rgb="FF9C6500"/>
              </font>
              <fill>
                <patternFill>
                  <fgColor indexed="64"/>
                  <bgColor rgb="FFFFEB9C"/>
                </patternFill>
              </fill>
            </x14:dxf>
          </x14:cfRule>
          <x14:cfRule type="cellIs" priority="2" operator="lessThan" id="{1F8AE8B1-EAC2-438A-A8A4-B7170F649143}">
            <xm:f>ControlPanel!$D$59</xm:f>
            <x14:dxf>
              <font>
                <color rgb="FF006100"/>
              </font>
              <fill>
                <patternFill>
                  <fgColor indexed="64"/>
                  <bgColor rgb="FFC6EFCE"/>
                </patternFill>
              </fill>
            </x14:dxf>
          </x14:cfRule>
          <xm:sqref>F30:AE30</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Tabelle47">
    <tabColor theme="9" tint="0.39997558519241921"/>
    <pageSetUpPr fitToPage="1"/>
  </sheetPr>
  <dimension ref="A1:AE1359"/>
  <sheetViews>
    <sheetView zoomScaleNormal="100" workbookViewId="0"/>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658</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44</v>
      </c>
      <c r="G5" s="323" t="s">
        <v>44</v>
      </c>
      <c r="H5" s="323" t="s">
        <v>44</v>
      </c>
      <c r="I5" s="323" t="s">
        <v>44</v>
      </c>
      <c r="J5" s="323" t="s">
        <v>44</v>
      </c>
      <c r="K5" s="323" t="s">
        <v>44</v>
      </c>
      <c r="L5" s="323" t="s">
        <v>44</v>
      </c>
      <c r="M5" s="323" t="s">
        <v>44</v>
      </c>
      <c r="N5" s="323" t="s">
        <v>44</v>
      </c>
      <c r="O5" s="323" t="s">
        <v>44</v>
      </c>
      <c r="P5" s="323" t="s">
        <v>44</v>
      </c>
      <c r="Q5" s="323" t="s">
        <v>44</v>
      </c>
      <c r="R5" s="323" t="s">
        <v>44</v>
      </c>
      <c r="S5" s="323" t="s">
        <v>44</v>
      </c>
      <c r="T5" s="323" t="s">
        <v>44</v>
      </c>
      <c r="U5" s="323" t="s">
        <v>44</v>
      </c>
      <c r="V5" s="323" t="s">
        <v>44</v>
      </c>
      <c r="W5" s="323" t="s">
        <v>44</v>
      </c>
      <c r="X5" s="323" t="s">
        <v>44</v>
      </c>
      <c r="Y5" s="323" t="s">
        <v>44</v>
      </c>
      <c r="Z5" s="323" t="s">
        <v>44</v>
      </c>
      <c r="AA5" s="323" t="s">
        <v>44</v>
      </c>
      <c r="AB5" s="323" t="s">
        <v>44</v>
      </c>
      <c r="AC5" s="323" t="s">
        <v>44</v>
      </c>
      <c r="AD5" s="323" t="s">
        <v>44</v>
      </c>
      <c r="AE5" s="323" t="s">
        <v>44</v>
      </c>
    </row>
    <row r="6" spans="1:31" ht="27" thickBot="1">
      <c r="B6" s="170" t="str">
        <f>ControlPanel!L29</f>
        <v>Référence</v>
      </c>
      <c r="C6" s="15" t="str">
        <f>VLOOKUP($B$6,$B$7:$AE$25,2,FALSE)</f>
        <v>fh</v>
      </c>
      <c r="D6" s="486" t="str">
        <f>VLOOKUP($B$6,$B$7:$AE$25,3,FALSE)</f>
        <v>0,06Mrd. €</v>
      </c>
      <c r="E6" s="486" t="str">
        <f>VLOOKUP($B$6,$B$7:$AE$25,4,FALSE)</f>
        <v>0,060 milliard d'euros (valeur dérivée des prévisions annuelles du GRT pour 2021)</v>
      </c>
      <c r="F6" s="14">
        <f>IF(F$4&lt;ControlPanel!$D$59,VLOOKUP("Référence",$B$7:$AE$25,F$4-$F$4+5,FALSE),VLOOKUP($B$6,$B$7:$AE$25,F$4-$F$4+5,FALSE))</f>
        <v>0.38450000000000001</v>
      </c>
      <c r="G6" s="14">
        <f>IF(G$4&lt;ControlPanel!$D$59,VLOOKUP("Référence",$B$7:$AE$25,G$4-$F$4+5,FALSE),VLOOKUP($B$6,$B$7:$AE$25,G$4-$F$4+5,FALSE))</f>
        <v>0.42218865985000004</v>
      </c>
      <c r="H6" s="14">
        <f>IF(H$4&lt;ControlPanel!$D$59,VLOOKUP("Référence",$B$7:$AE$25,H$4-$F$4+5,FALSE),VLOOKUP($B$6,$B$7:$AE$25,H$4-$F$4+5,FALSE))</f>
        <v>0.23028867101000003</v>
      </c>
      <c r="I6" s="14">
        <f>IF(I$4&lt;ControlPanel!$D$59,VLOOKUP("Référence",$B$7:$AE$25,I$4-$F$4+5,FALSE),VLOOKUP($B$6,$B$7:$AE$25,I$4-$F$4+5,FALSE))</f>
        <v>0.15466122681000002</v>
      </c>
      <c r="J6" s="14">
        <f>IF(J$4&lt;ControlPanel!$D$59,VLOOKUP("Référence",$B$7:$AE$25,J$4-$F$4+5,FALSE),VLOOKUP($B$6,$B$7:$AE$25,J$4-$F$4+5,FALSE))</f>
        <v>0.29887697133000007</v>
      </c>
      <c r="K6" s="14">
        <f>IF(K$4&lt;ControlPanel!$D$59,VLOOKUP("Référence",$B$7:$AE$25,K$4-$F$4+5,FALSE),VLOOKUP($B$6,$B$7:$AE$25,K$4-$F$4+5,FALSE))</f>
        <v>0.19595140036000003</v>
      </c>
      <c r="L6" s="14">
        <f>IF(L$4&lt;ControlPanel!$D$59,VLOOKUP("Référence",$B$7:$AE$25,L$4-$F$4+5,FALSE),VLOOKUP($B$6,$B$7:$AE$25,L$4-$F$4+5,FALSE))</f>
        <v>0.13908307713999998</v>
      </c>
      <c r="M6" s="14">
        <f>IF(M$4&lt;ControlPanel!$D$59,VLOOKUP("Référence",$B$7:$AE$25,M$4-$F$4+5,FALSE),VLOOKUP($B$6,$B$7:$AE$25,M$4-$F$4+5,FALSE))</f>
        <v>0.14340741743000002</v>
      </c>
      <c r="N6" s="14">
        <f>IF(N$4&lt;ControlPanel!$D$59,VLOOKUP("Référence",$B$7:$AE$25,N$4-$F$4+5,FALSE),VLOOKUP($B$6,$B$7:$AE$25,N$4-$F$4+5,FALSE))</f>
        <v>6.8122188890000004E-2</v>
      </c>
      <c r="O6" s="14">
        <f>IF(O$4&lt;ControlPanel!$D$59,VLOOKUP("Référence",$B$7:$AE$25,O$4-$F$4+5,FALSE),VLOOKUP($B$6,$B$7:$AE$25,O$4-$F$4+5,FALSE))</f>
        <v>7.0404653730000002E-2</v>
      </c>
      <c r="P6" s="14">
        <f>IF(P$4&lt;ControlPanel!$D$59,VLOOKUP("Référence",$B$7:$AE$25,P$4-$F$4+5,FALSE),VLOOKUP($B$6,$B$7:$AE$25,P$4-$F$4+5,FALSE))</f>
        <v>6.4167895450000012E-2</v>
      </c>
      <c r="Q6" s="14">
        <f>IF(Q$4&lt;ControlPanel!$D$59,VLOOKUP("Référence",$B$7:$AE$25,Q$4-$F$4+5,FALSE),VLOOKUP($B$6,$B$7:$AE$25,Q$4-$F$4+5,FALSE))</f>
        <v>5.9920528000000001E-2</v>
      </c>
      <c r="R6" s="14">
        <f>IF(R$4&lt;ControlPanel!$D$59,VLOOKUP("Référence",$B$7:$AE$25,R$4-$F$4+5,FALSE),VLOOKUP($B$6,$B$7:$AE$25,R$4-$F$4+5,FALSE))</f>
        <v>5.9920528000000001E-2</v>
      </c>
      <c r="S6" s="14">
        <f>IF(S$4&lt;ControlPanel!$D$59,VLOOKUP("Référence",$B$7:$AE$25,S$4-$F$4+5,FALSE),VLOOKUP($B$6,$B$7:$AE$25,S$4-$F$4+5,FALSE))</f>
        <v>5.9920528000000001E-2</v>
      </c>
      <c r="T6" s="14">
        <f>IF(T$4&lt;ControlPanel!$D$59,VLOOKUP("Référence",$B$7:$AE$25,T$4-$F$4+5,FALSE),VLOOKUP($B$6,$B$7:$AE$25,T$4-$F$4+5,FALSE))</f>
        <v>5.9920528000000001E-2</v>
      </c>
      <c r="U6" s="14">
        <f>IF(U$4&lt;ControlPanel!$D$59,VLOOKUP("Référence",$B$7:$AE$25,U$4-$F$4+5,FALSE),VLOOKUP($B$6,$B$7:$AE$25,U$4-$F$4+5,FALSE))</f>
        <v>5.9920528000000001E-2</v>
      </c>
      <c r="V6" s="14">
        <f>IF(V$4&lt;ControlPanel!$D$59,VLOOKUP("Référence",$B$7:$AE$25,V$4-$F$4+5,FALSE),VLOOKUP($B$6,$B$7:$AE$25,V$4-$F$4+5,FALSE))</f>
        <v>5.9920528000000001E-2</v>
      </c>
      <c r="W6" s="14">
        <f>IF(W$4&lt;ControlPanel!$D$59,VLOOKUP("Référence",$B$7:$AE$25,W$4-$F$4+5,FALSE),VLOOKUP($B$6,$B$7:$AE$25,W$4-$F$4+5,FALSE))</f>
        <v>5.9920528000000001E-2</v>
      </c>
      <c r="X6" s="14">
        <f>IF(X$4&lt;ControlPanel!$D$59,VLOOKUP("Référence",$B$7:$AE$25,X$4-$F$4+5,FALSE),VLOOKUP($B$6,$B$7:$AE$25,X$4-$F$4+5,FALSE))</f>
        <v>5.9920528000000001E-2</v>
      </c>
      <c r="Y6" s="14">
        <f>IF(Y$4&lt;ControlPanel!$D$59,VLOOKUP("Référence",$B$7:$AE$25,Y$4-$F$4+5,FALSE),VLOOKUP($B$6,$B$7:$AE$25,Y$4-$F$4+5,FALSE))</f>
        <v>5.9920528000000001E-2</v>
      </c>
      <c r="Z6" s="14">
        <f>IF(Z$4&lt;ControlPanel!$D$59,VLOOKUP("Référence",$B$7:$AE$25,Z$4-$F$4+5,FALSE),VLOOKUP($B$6,$B$7:$AE$25,Z$4-$F$4+5,FALSE))</f>
        <v>5.9920528000000001E-2</v>
      </c>
      <c r="AA6" s="14">
        <f>IF(AA$4&lt;ControlPanel!$D$59,VLOOKUP("Référence",$B$7:$AE$25,AA$4-$F$4+5,FALSE),VLOOKUP($B$6,$B$7:$AE$25,AA$4-$F$4+5,FALSE))</f>
        <v>5.9920528000000001E-2</v>
      </c>
      <c r="AB6" s="14">
        <f>IF(AB$4&lt;ControlPanel!$D$59,VLOOKUP("Référence",$B$7:$AE$25,AB$4-$F$4+5,FALSE),VLOOKUP($B$6,$B$7:$AE$25,AB$4-$F$4+5,FALSE))</f>
        <v>5.9920528000000001E-2</v>
      </c>
      <c r="AC6" s="14">
        <f>IF(AC$4&lt;ControlPanel!$D$59,VLOOKUP("Référence",$B$7:$AE$25,AC$4-$F$4+5,FALSE),VLOOKUP($B$6,$B$7:$AE$25,AC$4-$F$4+5,FALSE))</f>
        <v>5.9920528000000001E-2</v>
      </c>
      <c r="AD6" s="14">
        <f>IF(AD$4&lt;ControlPanel!$D$59,VLOOKUP("Référence",$B$7:$AE$25,AD$4-$F$4+5,FALSE),VLOOKUP($B$6,$B$7:$AE$25,AD$4-$F$4+5,FALSE))</f>
        <v>5.9920528000000001E-2</v>
      </c>
      <c r="AE6" s="14">
        <f>IF(AE$4&lt;ControlPanel!$D$59,VLOOKUP("Référence",$B$7:$AE$25,AE$4-$F$4+5,FALSE),VLOOKUP($B$6,$B$7:$AE$25,AE$4-$F$4+5,FALSE))</f>
        <v>5.9920528000000001E-2</v>
      </c>
    </row>
    <row r="7" spans="1:31" ht="26.4">
      <c r="B7" s="16" t="s">
        <v>409</v>
      </c>
      <c r="C7" s="12" t="s">
        <v>300</v>
      </c>
      <c r="D7" s="488" t="s">
        <v>302</v>
      </c>
      <c r="E7" s="539" t="s">
        <v>902</v>
      </c>
      <c r="F7" s="225">
        <v>0.38450000000000001</v>
      </c>
      <c r="G7" s="225">
        <v>0.42218865985000004</v>
      </c>
      <c r="H7" s="225">
        <v>0.23028867101000003</v>
      </c>
      <c r="I7" s="225">
        <v>0.15466122681000002</v>
      </c>
      <c r="J7" s="225">
        <v>0.29887697133000007</v>
      </c>
      <c r="K7" s="225">
        <v>0.19595140036000003</v>
      </c>
      <c r="L7" s="242">
        <v>0.13908307713999998</v>
      </c>
      <c r="M7" s="242">
        <v>0.14340741743000002</v>
      </c>
      <c r="N7" s="242">
        <v>6.8122188890000004E-2</v>
      </c>
      <c r="O7" s="242">
        <v>7.0404653730000002E-2</v>
      </c>
      <c r="P7" s="242">
        <v>6.4167895450000012E-2</v>
      </c>
      <c r="Q7" s="242">
        <v>5.9920528000000001E-2</v>
      </c>
      <c r="R7" s="242">
        <f t="shared" ref="R7:AE7" si="0">Q7</f>
        <v>5.9920528000000001E-2</v>
      </c>
      <c r="S7" s="242">
        <f t="shared" si="0"/>
        <v>5.9920528000000001E-2</v>
      </c>
      <c r="T7" s="242">
        <f t="shared" si="0"/>
        <v>5.9920528000000001E-2</v>
      </c>
      <c r="U7" s="242">
        <f t="shared" si="0"/>
        <v>5.9920528000000001E-2</v>
      </c>
      <c r="V7" s="242">
        <f t="shared" si="0"/>
        <v>5.9920528000000001E-2</v>
      </c>
      <c r="W7" s="242">
        <f t="shared" si="0"/>
        <v>5.9920528000000001E-2</v>
      </c>
      <c r="X7" s="242">
        <f t="shared" si="0"/>
        <v>5.9920528000000001E-2</v>
      </c>
      <c r="Y7" s="242">
        <f t="shared" si="0"/>
        <v>5.9920528000000001E-2</v>
      </c>
      <c r="Z7" s="242">
        <f t="shared" si="0"/>
        <v>5.9920528000000001E-2</v>
      </c>
      <c r="AA7" s="242">
        <f t="shared" si="0"/>
        <v>5.9920528000000001E-2</v>
      </c>
      <c r="AB7" s="242">
        <f t="shared" si="0"/>
        <v>5.9920528000000001E-2</v>
      </c>
      <c r="AC7" s="242">
        <f t="shared" si="0"/>
        <v>5.9920528000000001E-2</v>
      </c>
      <c r="AD7" s="242">
        <f t="shared" si="0"/>
        <v>5.9920528000000001E-2</v>
      </c>
      <c r="AE7" s="242">
        <f t="shared" si="0"/>
        <v>5.9920528000000001E-2</v>
      </c>
    </row>
    <row r="8" spans="1:31" s="462" customFormat="1" ht="15" customHeight="1">
      <c r="B8" s="176"/>
      <c r="C8" s="179"/>
      <c r="D8" s="163"/>
      <c r="E8" s="532"/>
      <c r="F8" s="180"/>
      <c r="G8" s="180"/>
      <c r="H8" s="180"/>
      <c r="I8" s="180"/>
      <c r="J8" s="180"/>
      <c r="K8" s="180"/>
      <c r="L8" s="180"/>
      <c r="M8" s="180"/>
      <c r="N8" s="180"/>
      <c r="O8" s="180"/>
      <c r="P8" s="180"/>
      <c r="Q8" s="180"/>
      <c r="R8" s="180"/>
      <c r="S8" s="180"/>
      <c r="T8" s="180"/>
      <c r="U8" s="180"/>
      <c r="V8" s="180"/>
      <c r="W8" s="180"/>
      <c r="X8" s="180"/>
      <c r="Y8" s="180"/>
      <c r="Z8" s="180"/>
      <c r="AA8" s="180"/>
      <c r="AB8" s="180"/>
      <c r="AC8" s="180"/>
      <c r="AD8" s="180"/>
      <c r="AE8" s="180"/>
    </row>
    <row r="9" spans="1:31" s="462" customFormat="1" ht="15" customHeight="1">
      <c r="B9" s="176"/>
      <c r="C9" s="179"/>
      <c r="D9" s="163"/>
      <c r="E9" s="532"/>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row>
    <row r="10" spans="1:31" s="462" customFormat="1" ht="15" customHeight="1">
      <c r="B10" s="176"/>
      <c r="C10" s="162"/>
      <c r="D10" s="163"/>
      <c r="E10" s="532"/>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c r="AE10" s="180"/>
    </row>
    <row r="11" spans="1:31" s="462" customFormat="1" ht="15" customHeight="1">
      <c r="B11" s="176"/>
      <c r="C11" s="162"/>
      <c r="D11" s="163"/>
      <c r="E11" s="532"/>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row>
    <row r="12" spans="1:31" s="462" customFormat="1" ht="15" customHeight="1">
      <c r="B12" s="176"/>
      <c r="C12" s="162"/>
      <c r="D12" s="163"/>
      <c r="E12" s="532"/>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row>
    <row r="13" spans="1:31" s="462" customFormat="1" ht="15" customHeight="1">
      <c r="B13" s="176"/>
      <c r="C13" s="162"/>
      <c r="D13" s="163"/>
      <c r="E13" s="532"/>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row>
    <row r="14" spans="1:31" s="462" customFormat="1" ht="15" customHeight="1">
      <c r="B14" s="176"/>
      <c r="C14" s="162"/>
      <c r="D14" s="163"/>
      <c r="E14" s="532"/>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row>
    <row r="15" spans="1:31" s="462" customFormat="1" ht="15" customHeight="1">
      <c r="B15" s="176"/>
      <c r="C15" s="179"/>
      <c r="D15" s="163"/>
      <c r="E15" s="532"/>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s="462" customFormat="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s="462" customFormat="1" ht="15" customHeight="1">
      <c r="B17" s="176"/>
      <c r="C17" s="179"/>
      <c r="D17" s="163"/>
      <c r="E17" s="53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s="462" customFormat="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s="462" customFormat="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s="462" customFormat="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s="462" customFormat="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1F00-000000000000}"/>
  </hyperlinks>
  <pageMargins left="0.78740157480314965" right="0.78740157480314965" top="0.98425196850393704" bottom="0.98425196850393704" header="0.59055118110236227" footer="0.59055118110236227"/>
  <pageSetup paperSize="9" scale="83" orientation="landscape" horizontalDpi="4294967293" verticalDpi="1200" r:id="rId1"/>
  <headerFooter scaleWithDoc="0">
    <oddHeader>&amp;C&amp;"Arial,Fett"&amp;18EEG Calculator</oddHeader>
    <oddFooter>&amp;LDatendokumentation&amp;C&amp;F  &amp;A  Seite &amp;P/&amp;N&amp;R&amp;D  &amp;T</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727" operator="greaterThan" id="{00000000-0000-0000-0000-000000000000}">
            <xm:f>ControlPanel!$D$59-1</xm:f>
            <x14:dxf>
              <font>
                <color rgb="FF9C6500"/>
              </font>
              <fill>
                <patternFill>
                  <fgColor indexed="64"/>
                  <bgColor rgb="FFFFEB9C"/>
                </patternFill>
              </fill>
            </x14:dxf>
          </x14:cfRule>
          <x14:cfRule type="cellIs" priority="728" operator="lessThan" id="{00000000-0000-0000-0000-000000000000}">
            <xm:f>ControlPanel!$D$59</xm:f>
            <x14:dxf>
              <font>
                <color rgb="FF006100"/>
              </font>
              <fill>
                <patternFill>
                  <fgColor indexed="64"/>
                  <bgColor rgb="FFC6EFCE"/>
                </patternFill>
              </fill>
            </x14:dxf>
          </x14:cfRule>
          <xm:sqref>F4:AE4</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Tabelle66">
    <tabColor theme="9" tint="0.39997558519241921"/>
    <pageSetUpPr fitToPage="1"/>
  </sheetPr>
  <dimension ref="A1:AE1359"/>
  <sheetViews>
    <sheetView zoomScaleNormal="100" workbookViewId="0">
      <selection activeCell="E8" sqref="E8"/>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903</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243</v>
      </c>
      <c r="G5" s="323" t="s">
        <v>243</v>
      </c>
      <c r="H5" s="323" t="s">
        <v>243</v>
      </c>
      <c r="I5" s="323" t="s">
        <v>243</v>
      </c>
      <c r="J5" s="323" t="s">
        <v>243</v>
      </c>
      <c r="K5" s="323" t="s">
        <v>243</v>
      </c>
      <c r="L5" s="323" t="s">
        <v>243</v>
      </c>
      <c r="M5" s="323" t="s">
        <v>243</v>
      </c>
      <c r="N5" s="323" t="s">
        <v>243</v>
      </c>
      <c r="O5" s="323" t="s">
        <v>243</v>
      </c>
      <c r="P5" s="323" t="s">
        <v>243</v>
      </c>
      <c r="Q5" s="323" t="s">
        <v>243</v>
      </c>
      <c r="R5" s="323" t="s">
        <v>243</v>
      </c>
      <c r="S5" s="323" t="s">
        <v>243</v>
      </c>
      <c r="T5" s="323" t="s">
        <v>243</v>
      </c>
      <c r="U5" s="323" t="s">
        <v>243</v>
      </c>
      <c r="V5" s="323" t="s">
        <v>243</v>
      </c>
      <c r="W5" s="323" t="s">
        <v>243</v>
      </c>
      <c r="X5" s="323" t="s">
        <v>243</v>
      </c>
      <c r="Y5" s="323" t="s">
        <v>243</v>
      </c>
      <c r="Z5" s="323" t="s">
        <v>243</v>
      </c>
      <c r="AA5" s="323" t="s">
        <v>243</v>
      </c>
      <c r="AB5" s="323" t="s">
        <v>243</v>
      </c>
      <c r="AC5" s="323" t="s">
        <v>243</v>
      </c>
      <c r="AD5" s="323" t="s">
        <v>243</v>
      </c>
      <c r="AE5" s="323" t="s">
        <v>243</v>
      </c>
    </row>
    <row r="6" spans="1:31" ht="53.4" thickBot="1">
      <c r="B6" s="170" t="str">
        <f>ControlPanel!L30</f>
        <v>Référence</v>
      </c>
      <c r="C6" s="15" t="str">
        <f>VLOOKUP($B$6,$B$7:$AE$25,2,FALSE)</f>
        <v>mh</v>
      </c>
      <c r="D6" s="486" t="str">
        <f>VLOOKUP($B$6,$B$7:$AE$25,3,FALSE)</f>
        <v>1,5% par année</v>
      </c>
      <c r="E6" s="486" t="str">
        <f>VLOOKUP($B$6,$B$7:$AE$25,4,FALSE)</f>
        <v>Croissance annuelle des indices des prix à la consommation de l'Office fédéral de la statistique jusqu'en 2015. À partir de 2016: 1,5% par an .</v>
      </c>
      <c r="F6" s="38">
        <f>IF(F$4&lt;ControlPanel!$D$59,VLOOKUP("Référence",$B$7:$AE$25,F$4-$F$4+5,FALSE),VLOOKUP($B$6,$B$7:$AE$25,F$4-$F$4+5,FALSE))</f>
        <v>1.1000000000000001E-2</v>
      </c>
      <c r="G6" s="38">
        <f>IF(G$4&lt;ControlPanel!$D$59,VLOOKUP("Référence",$B$7:$AE$25,G$4-$F$4+5,FALSE),VLOOKUP($B$6,$B$7:$AE$25,G$4-$F$4+5,FALSE))</f>
        <v>2.1000000000000001E-2</v>
      </c>
      <c r="H6" s="38">
        <f>IF(H$4&lt;ControlPanel!$D$59,VLOOKUP("Référence",$B$7:$AE$25,H$4-$F$4+5,FALSE),VLOOKUP($B$6,$B$7:$AE$25,H$4-$F$4+5,FALSE))</f>
        <v>0.02</v>
      </c>
      <c r="I6" s="38">
        <f>IF(I$4&lt;ControlPanel!$D$59,VLOOKUP("Référence",$B$7:$AE$25,I$4-$F$4+5,FALSE),VLOOKUP($B$6,$B$7:$AE$25,I$4-$F$4+5,FALSE))</f>
        <v>1.4999999999999999E-2</v>
      </c>
      <c r="J6" s="38">
        <f>IF(J$4&lt;ControlPanel!$D$59,VLOOKUP("Référence",$B$7:$AE$25,J$4-$F$4+5,FALSE),VLOOKUP($B$6,$B$7:$AE$25,J$4-$F$4+5,FALSE))</f>
        <v>9.0000000000000011E-3</v>
      </c>
      <c r="K6" s="38">
        <f>IF(K$4&lt;ControlPanel!$D$59,VLOOKUP("Référence",$B$7:$AE$25,K$4-$F$4+5,FALSE),VLOOKUP($B$6,$B$7:$AE$25,K$4-$F$4+5,FALSE))</f>
        <v>3.0000000000000001E-3</v>
      </c>
      <c r="L6" s="38">
        <f>IF(L$4&lt;ControlPanel!$D$59,VLOOKUP("Référence",$B$7:$AE$25,L$4-$F$4+5,FALSE),VLOOKUP($B$6,$B$7:$AE$25,L$4-$F$4+5,FALSE))</f>
        <v>1.4999999999999999E-2</v>
      </c>
      <c r="M6" s="38">
        <f>IF(M$4&lt;ControlPanel!$D$59,VLOOKUP("Référence",$B$7:$AE$25,M$4-$F$4+5,FALSE),VLOOKUP($B$6,$B$7:$AE$25,M$4-$F$4+5,FALSE))</f>
        <v>1.4999999999999999E-2</v>
      </c>
      <c r="N6" s="38">
        <f>IF(N$4&lt;ControlPanel!$D$59,VLOOKUP("Référence",$B$7:$AE$25,N$4-$F$4+5,FALSE),VLOOKUP($B$6,$B$7:$AE$25,N$4-$F$4+5,FALSE))</f>
        <v>1.4999999999999999E-2</v>
      </c>
      <c r="O6" s="38">
        <f>IF(O$4&lt;ControlPanel!$D$59,VLOOKUP("Référence",$B$7:$AE$25,O$4-$F$4+5,FALSE),VLOOKUP($B$6,$B$7:$AE$25,O$4-$F$4+5,FALSE))</f>
        <v>1.4999999999999999E-2</v>
      </c>
      <c r="P6" s="38">
        <f>IF(P$4&lt;ControlPanel!$D$59,VLOOKUP("Référence",$B$7:$AE$25,P$4-$F$4+5,FALSE),VLOOKUP($B$6,$B$7:$AE$25,P$4-$F$4+5,FALSE))</f>
        <v>1.4999999999999999E-2</v>
      </c>
      <c r="Q6" s="38">
        <f>IF(Q$4&lt;ControlPanel!$D$59,VLOOKUP("Référence",$B$7:$AE$25,Q$4-$F$4+5,FALSE),VLOOKUP($B$6,$B$7:$AE$25,Q$4-$F$4+5,FALSE))</f>
        <v>1.4999999999999999E-2</v>
      </c>
      <c r="R6" s="38">
        <f>IF(R$4&lt;ControlPanel!$D$59,VLOOKUP("Référence",$B$7:$AE$25,R$4-$F$4+5,FALSE),VLOOKUP($B$6,$B$7:$AE$25,R$4-$F$4+5,FALSE))</f>
        <v>1.4999999999999999E-2</v>
      </c>
      <c r="S6" s="38">
        <f>IF(S$4&lt;ControlPanel!$D$59,VLOOKUP("Référence",$B$7:$AE$25,S$4-$F$4+5,FALSE),VLOOKUP($B$6,$B$7:$AE$25,S$4-$F$4+5,FALSE))</f>
        <v>1.4999999999999999E-2</v>
      </c>
      <c r="T6" s="38">
        <f>IF(T$4&lt;ControlPanel!$D$59,VLOOKUP("Référence",$B$7:$AE$25,T$4-$F$4+5,FALSE),VLOOKUP($B$6,$B$7:$AE$25,T$4-$F$4+5,FALSE))</f>
        <v>1.4999999999999999E-2</v>
      </c>
      <c r="U6" s="38">
        <f>IF(U$4&lt;ControlPanel!$D$59,VLOOKUP("Référence",$B$7:$AE$25,U$4-$F$4+5,FALSE),VLOOKUP($B$6,$B$7:$AE$25,U$4-$F$4+5,FALSE))</f>
        <v>1.4999999999999999E-2</v>
      </c>
      <c r="V6" s="38">
        <f>IF(V$4&lt;ControlPanel!$D$59,VLOOKUP("Référence",$B$7:$AE$25,V$4-$F$4+5,FALSE),VLOOKUP($B$6,$B$7:$AE$25,V$4-$F$4+5,FALSE))</f>
        <v>1.4999999999999999E-2</v>
      </c>
      <c r="W6" s="38">
        <f>IF(W$4&lt;ControlPanel!$D$59,VLOOKUP("Référence",$B$7:$AE$25,W$4-$F$4+5,FALSE),VLOOKUP($B$6,$B$7:$AE$25,W$4-$F$4+5,FALSE))</f>
        <v>1.4999999999999999E-2</v>
      </c>
      <c r="X6" s="38">
        <f>IF(X$4&lt;ControlPanel!$D$59,VLOOKUP("Référence",$B$7:$AE$25,X$4-$F$4+5,FALSE),VLOOKUP($B$6,$B$7:$AE$25,X$4-$F$4+5,FALSE))</f>
        <v>1.4999999999999999E-2</v>
      </c>
      <c r="Y6" s="38">
        <f>IF(Y$4&lt;ControlPanel!$D$59,VLOOKUP("Référence",$B$7:$AE$25,Y$4-$F$4+5,FALSE),VLOOKUP($B$6,$B$7:$AE$25,Y$4-$F$4+5,FALSE))</f>
        <v>1.4999999999999999E-2</v>
      </c>
      <c r="Z6" s="38">
        <f>IF(Z$4&lt;ControlPanel!$D$59,VLOOKUP("Référence",$B$7:$AE$25,Z$4-$F$4+5,FALSE),VLOOKUP($B$6,$B$7:$AE$25,Z$4-$F$4+5,FALSE))</f>
        <v>1.4999999999999999E-2</v>
      </c>
      <c r="AA6" s="38">
        <f>IF(AA$4&lt;ControlPanel!$D$59,VLOOKUP("Référence",$B$7:$AE$25,AA$4-$F$4+5,FALSE),VLOOKUP($B$6,$B$7:$AE$25,AA$4-$F$4+5,FALSE))</f>
        <v>1.4999999999999999E-2</v>
      </c>
      <c r="AB6" s="38">
        <f>IF(AB$4&lt;ControlPanel!$D$59,VLOOKUP("Référence",$B$7:$AE$25,AB$4-$F$4+5,FALSE),VLOOKUP($B$6,$B$7:$AE$25,AB$4-$F$4+5,FALSE))</f>
        <v>1.4999999999999999E-2</v>
      </c>
      <c r="AC6" s="38">
        <f>IF(AC$4&lt;ControlPanel!$D$59,VLOOKUP("Référence",$B$7:$AE$25,AC$4-$F$4+5,FALSE),VLOOKUP($B$6,$B$7:$AE$25,AC$4-$F$4+5,FALSE))</f>
        <v>1.4999999999999999E-2</v>
      </c>
      <c r="AD6" s="38">
        <f>IF(AD$4&lt;ControlPanel!$D$59,VLOOKUP("Référence",$B$7:$AE$25,AD$4-$F$4+5,FALSE),VLOOKUP($B$6,$B$7:$AE$25,AD$4-$F$4+5,FALSE))</f>
        <v>1.4999999999999999E-2</v>
      </c>
      <c r="AE6" s="38">
        <f>IF(AE$4&lt;ControlPanel!$D$59,VLOOKUP("Référence",$B$7:$AE$25,AE$4-$F$4+5,FALSE),VLOOKUP($B$6,$B$7:$AE$25,AE$4-$F$4+5,FALSE))</f>
        <v>1.4999999999999999E-2</v>
      </c>
    </row>
    <row r="7" spans="1:31" ht="52.8">
      <c r="B7" s="16" t="s">
        <v>409</v>
      </c>
      <c r="C7" s="12" t="s">
        <v>48</v>
      </c>
      <c r="D7" s="488" t="s">
        <v>904</v>
      </c>
      <c r="E7" s="539" t="s">
        <v>907</v>
      </c>
      <c r="F7" s="225">
        <v>1.1000000000000001E-2</v>
      </c>
      <c r="G7" s="225">
        <v>2.1000000000000001E-2</v>
      </c>
      <c r="H7" s="225">
        <v>0.02</v>
      </c>
      <c r="I7" s="225">
        <v>1.4999999999999999E-2</v>
      </c>
      <c r="J7" s="225">
        <v>9.0000000000000011E-3</v>
      </c>
      <c r="K7" s="225">
        <v>3.0000000000000001E-3</v>
      </c>
      <c r="L7" s="225">
        <v>1.4999999999999999E-2</v>
      </c>
      <c r="M7" s="225">
        <v>1.4999999999999999E-2</v>
      </c>
      <c r="N7" s="225">
        <v>1.4999999999999999E-2</v>
      </c>
      <c r="O7" s="225">
        <v>1.4999999999999999E-2</v>
      </c>
      <c r="P7" s="225">
        <v>1.4999999999999999E-2</v>
      </c>
      <c r="Q7" s="225">
        <v>1.4999999999999999E-2</v>
      </c>
      <c r="R7" s="225">
        <v>1.4999999999999999E-2</v>
      </c>
      <c r="S7" s="225">
        <v>1.4999999999999999E-2</v>
      </c>
      <c r="T7" s="225">
        <v>1.4999999999999999E-2</v>
      </c>
      <c r="U7" s="225">
        <v>1.4999999999999999E-2</v>
      </c>
      <c r="V7" s="225">
        <v>1.4999999999999999E-2</v>
      </c>
      <c r="W7" s="225">
        <v>1.4999999999999999E-2</v>
      </c>
      <c r="X7" s="225">
        <v>1.4999999999999999E-2</v>
      </c>
      <c r="Y7" s="225">
        <v>1.4999999999999999E-2</v>
      </c>
      <c r="Z7" s="225">
        <v>1.4999999999999999E-2</v>
      </c>
      <c r="AA7" s="225">
        <v>1.4999999999999999E-2</v>
      </c>
      <c r="AB7" s="225">
        <v>1.4999999999999999E-2</v>
      </c>
      <c r="AC7" s="225">
        <v>1.4999999999999999E-2</v>
      </c>
      <c r="AD7" s="225">
        <v>1.4999999999999999E-2</v>
      </c>
      <c r="AE7" s="225">
        <v>1.4999999999999999E-2</v>
      </c>
    </row>
    <row r="8" spans="1:31" s="462" customFormat="1" ht="15" customHeight="1">
      <c r="A8" s="9"/>
      <c r="B8" s="168" t="s">
        <v>168</v>
      </c>
      <c r="C8" s="12" t="s">
        <v>48</v>
      </c>
      <c r="D8" s="11" t="s">
        <v>905</v>
      </c>
      <c r="E8" s="215"/>
      <c r="F8" s="225"/>
      <c r="G8" s="225"/>
      <c r="H8" s="225"/>
      <c r="I8" s="225"/>
      <c r="J8" s="225"/>
      <c r="K8" s="225"/>
      <c r="L8" s="225"/>
      <c r="M8" s="225"/>
      <c r="N8" s="225"/>
      <c r="O8" s="225"/>
      <c r="P8" s="225">
        <v>0.02</v>
      </c>
      <c r="Q8" s="225">
        <v>0.02</v>
      </c>
      <c r="R8" s="225">
        <v>0.02</v>
      </c>
      <c r="S8" s="225">
        <v>0.02</v>
      </c>
      <c r="T8" s="225">
        <v>0.02</v>
      </c>
      <c r="U8" s="225">
        <v>0.02</v>
      </c>
      <c r="V8" s="225">
        <v>0.02</v>
      </c>
      <c r="W8" s="225">
        <v>0.02</v>
      </c>
      <c r="X8" s="225">
        <v>0.02</v>
      </c>
      <c r="Y8" s="225">
        <v>0.02</v>
      </c>
      <c r="Z8" s="225">
        <v>0.02</v>
      </c>
      <c r="AA8" s="225">
        <v>0.02</v>
      </c>
      <c r="AB8" s="225">
        <v>0.02</v>
      </c>
      <c r="AC8" s="225">
        <v>0.02</v>
      </c>
      <c r="AD8" s="225">
        <v>0.02</v>
      </c>
      <c r="AE8" s="225">
        <v>0.02</v>
      </c>
    </row>
    <row r="9" spans="1:31" s="462" customFormat="1" ht="15" customHeight="1">
      <c r="A9" s="9"/>
      <c r="B9" s="168" t="s">
        <v>166</v>
      </c>
      <c r="C9" s="12" t="s">
        <v>48</v>
      </c>
      <c r="D9" s="11" t="s">
        <v>904</v>
      </c>
      <c r="E9" s="215"/>
      <c r="F9" s="321"/>
      <c r="G9" s="321"/>
      <c r="H9" s="321"/>
      <c r="I9" s="321"/>
      <c r="J9" s="321"/>
      <c r="K9" s="225"/>
      <c r="L9" s="225"/>
      <c r="M9" s="225"/>
      <c r="N9" s="225"/>
      <c r="O9" s="225"/>
      <c r="P9" s="225">
        <v>1.4999999999999999E-2</v>
      </c>
      <c r="Q9" s="225">
        <v>1.4999999999999999E-2</v>
      </c>
      <c r="R9" s="225">
        <v>1.4999999999999999E-2</v>
      </c>
      <c r="S9" s="225">
        <v>1.4999999999999999E-2</v>
      </c>
      <c r="T9" s="225">
        <v>1.4999999999999999E-2</v>
      </c>
      <c r="U9" s="225">
        <v>1.4999999999999999E-2</v>
      </c>
      <c r="V9" s="225">
        <v>1.4999999999999999E-2</v>
      </c>
      <c r="W9" s="225">
        <v>1.4999999999999999E-2</v>
      </c>
      <c r="X9" s="225">
        <v>1.4999999999999999E-2</v>
      </c>
      <c r="Y9" s="225">
        <v>1.4999999999999999E-2</v>
      </c>
      <c r="Z9" s="225">
        <v>1.4999999999999999E-2</v>
      </c>
      <c r="AA9" s="225">
        <v>1.4999999999999999E-2</v>
      </c>
      <c r="AB9" s="225">
        <v>1.4999999999999999E-2</v>
      </c>
      <c r="AC9" s="225">
        <v>1.4999999999999999E-2</v>
      </c>
      <c r="AD9" s="225">
        <v>1.4999999999999999E-2</v>
      </c>
      <c r="AE9" s="225">
        <v>1.4999999999999999E-2</v>
      </c>
    </row>
    <row r="10" spans="1:31" s="462" customFormat="1" ht="15" customHeight="1">
      <c r="A10" s="9"/>
      <c r="B10" s="168" t="s">
        <v>167</v>
      </c>
      <c r="C10" s="12" t="s">
        <v>48</v>
      </c>
      <c r="D10" s="11" t="s">
        <v>906</v>
      </c>
      <c r="E10" s="215"/>
      <c r="F10" s="321"/>
      <c r="G10" s="321"/>
      <c r="H10" s="321"/>
      <c r="I10" s="321"/>
      <c r="J10" s="321"/>
      <c r="K10" s="225"/>
      <c r="L10" s="225"/>
      <c r="M10" s="225"/>
      <c r="N10" s="225"/>
      <c r="O10" s="225"/>
      <c r="P10" s="225">
        <v>0.01</v>
      </c>
      <c r="Q10" s="225">
        <v>0.01</v>
      </c>
      <c r="R10" s="225">
        <v>0.01</v>
      </c>
      <c r="S10" s="225">
        <v>0.01</v>
      </c>
      <c r="T10" s="225">
        <v>0.01</v>
      </c>
      <c r="U10" s="225">
        <v>0.01</v>
      </c>
      <c r="V10" s="225">
        <v>0.01</v>
      </c>
      <c r="W10" s="225">
        <v>0.01</v>
      </c>
      <c r="X10" s="225">
        <v>0.01</v>
      </c>
      <c r="Y10" s="225">
        <v>0.01</v>
      </c>
      <c r="Z10" s="225">
        <v>0.01</v>
      </c>
      <c r="AA10" s="225">
        <v>0.01</v>
      </c>
      <c r="AB10" s="225">
        <v>0.01</v>
      </c>
      <c r="AC10" s="225">
        <v>0.01</v>
      </c>
      <c r="AD10" s="225">
        <v>0.01</v>
      </c>
      <c r="AE10" s="225">
        <v>0.01</v>
      </c>
    </row>
    <row r="11" spans="1:31" s="462" customFormat="1" ht="15" customHeight="1">
      <c r="B11" s="176"/>
      <c r="C11" s="162"/>
      <c r="D11" s="163"/>
      <c r="E11" s="532"/>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row>
    <row r="12" spans="1:31" s="462" customFormat="1" ht="15" customHeight="1">
      <c r="B12" s="176"/>
      <c r="C12" s="162"/>
      <c r="D12" s="163"/>
      <c r="E12" s="532"/>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row>
    <row r="13" spans="1:31" s="462" customFormat="1" ht="15" customHeight="1">
      <c r="B13" s="176"/>
      <c r="C13" s="162"/>
      <c r="D13" s="163"/>
      <c r="E13" s="532"/>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row>
    <row r="14" spans="1:31" s="462" customFormat="1" ht="15" customHeight="1">
      <c r="B14" s="176"/>
      <c r="C14" s="162"/>
      <c r="D14" s="163"/>
      <c r="E14" s="532"/>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row>
    <row r="15" spans="1:31" s="462" customFormat="1" ht="15" customHeight="1">
      <c r="B15" s="176"/>
      <c r="C15" s="179"/>
      <c r="D15" s="163"/>
      <c r="E15" s="532"/>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s="462" customFormat="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s="462" customFormat="1" ht="15" customHeight="1">
      <c r="B17" s="176"/>
      <c r="C17" s="179"/>
      <c r="D17" s="163"/>
      <c r="E17" s="53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s="462" customFormat="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s="462" customFormat="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s="462" customFormat="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s="462" customFormat="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2000-000000000000}"/>
  </hyperlinks>
  <pageMargins left="0.78740157480314965" right="0.78740157480314965" top="0.98425196850393704" bottom="0.98425196850393704" header="0.59055118110236227" footer="0.59055118110236227"/>
  <pageSetup paperSize="9" scale="83"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D9D24C53-AF9F-4FFB-B88F-C9F5BD40DB95}">
            <xm:f>ControlPanel!$D$59-1</xm:f>
            <x14:dxf>
              <font>
                <color rgb="FF9C6500"/>
              </font>
              <fill>
                <patternFill>
                  <fgColor indexed="64"/>
                  <bgColor rgb="FFFFEB9C"/>
                </patternFill>
              </fill>
            </x14:dxf>
          </x14:cfRule>
          <x14:cfRule type="cellIs" priority="2" operator="lessThan" id="{AAD7FE45-FADD-4A9B-AA18-ECADB3B7AAB3}">
            <xm:f>ControlPanel!$D$59</xm:f>
            <x14:dxf>
              <font>
                <color rgb="FF006100"/>
              </font>
              <fill>
                <patternFill>
                  <fgColor indexed="64"/>
                  <bgColor rgb="FFC6EFCE"/>
                </patternFill>
              </fill>
            </x14:dxf>
          </x14:cfRule>
          <xm:sqref>F4:AE4</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Tabelle53">
    <tabColor theme="9" tint="0.39997558519241921"/>
    <pageSetUpPr fitToPage="1"/>
  </sheetPr>
  <dimension ref="A1:F1359"/>
  <sheetViews>
    <sheetView zoomScaleNormal="100" workbookViewId="0">
      <selection activeCell="F4" sqref="F4"/>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6" width="30.5546875" style="9" customWidth="1"/>
    <col min="7" max="16384" width="11.5546875" style="9"/>
  </cols>
  <sheetData>
    <row r="1" spans="1:6">
      <c r="A1" s="41" t="s">
        <v>74</v>
      </c>
      <c r="B1" s="20" t="s">
        <v>908</v>
      </c>
      <c r="C1" s="19"/>
      <c r="D1" s="19"/>
      <c r="E1" s="19"/>
    </row>
    <row r="3" spans="1:6" ht="15" customHeight="1">
      <c r="B3" s="62" t="s">
        <v>787</v>
      </c>
      <c r="C3" s="18" t="s">
        <v>788</v>
      </c>
      <c r="D3" s="314" t="s">
        <v>827</v>
      </c>
      <c r="E3" s="18" t="s">
        <v>574</v>
      </c>
      <c r="F3" s="314" t="s">
        <v>910</v>
      </c>
    </row>
    <row r="4" spans="1:6" ht="15" customHeight="1">
      <c r="B4" s="65"/>
      <c r="D4" s="16"/>
      <c r="E4" s="16"/>
      <c r="F4" s="16"/>
    </row>
    <row r="5" spans="1:6" ht="15" customHeight="1" thickBot="1">
      <c r="B5" s="65"/>
      <c r="D5" s="16"/>
      <c r="E5" s="16"/>
      <c r="F5" s="65" t="s">
        <v>44</v>
      </c>
    </row>
    <row r="6" spans="1:6" ht="15" customHeight="1" thickBot="1">
      <c r="B6" s="170" t="str">
        <f>ControlPanel!L22</f>
        <v>pas de déviation</v>
      </c>
      <c r="C6" s="15" t="str">
        <f>VLOOKUP($B$6,$B$7:$F$25,2,FALSE)</f>
        <v>mh</v>
      </c>
      <c r="D6" s="15" t="str">
        <f>VLOOKUP($B$6,$B$7:$F$25,3,FALSE)</f>
        <v>pas de déviation</v>
      </c>
      <c r="E6" s="15">
        <f>VLOOKUP($B$6,$B$7:$F$25,4,FALSE)</f>
        <v>0</v>
      </c>
      <c r="F6" s="249">
        <f>VLOOKUP($B$6,$B$7:$F$25,5,FALSE)</f>
        <v>0</v>
      </c>
    </row>
    <row r="7" spans="1:6" ht="15" customHeight="1">
      <c r="B7" s="331" t="s">
        <v>102</v>
      </c>
      <c r="C7" s="12" t="s">
        <v>48</v>
      </c>
      <c r="D7" s="331" t="s">
        <v>102</v>
      </c>
      <c r="E7" s="331"/>
      <c r="F7" s="467">
        <v>-2</v>
      </c>
    </row>
    <row r="8" spans="1:6" ht="15" customHeight="1">
      <c r="B8" s="331" t="s">
        <v>103</v>
      </c>
      <c r="C8" s="12" t="s">
        <v>48</v>
      </c>
      <c r="D8" s="331" t="s">
        <v>103</v>
      </c>
      <c r="E8" s="331"/>
      <c r="F8" s="467">
        <v>-1</v>
      </c>
    </row>
    <row r="9" spans="1:6" ht="15" customHeight="1">
      <c r="B9" s="331" t="s">
        <v>909</v>
      </c>
      <c r="C9" s="12" t="s">
        <v>48</v>
      </c>
      <c r="D9" s="331" t="s">
        <v>909</v>
      </c>
      <c r="E9" s="331"/>
      <c r="F9" s="467">
        <v>0</v>
      </c>
    </row>
    <row r="10" spans="1:6" ht="15" customHeight="1">
      <c r="B10" s="331" t="s">
        <v>104</v>
      </c>
      <c r="C10" s="12" t="s">
        <v>48</v>
      </c>
      <c r="D10" s="331" t="s">
        <v>104</v>
      </c>
      <c r="E10" s="331"/>
      <c r="F10" s="467">
        <v>1</v>
      </c>
    </row>
    <row r="11" spans="1:6" ht="15" customHeight="1">
      <c r="B11" s="331" t="s">
        <v>105</v>
      </c>
      <c r="C11" s="12" t="s">
        <v>48</v>
      </c>
      <c r="D11" s="331" t="s">
        <v>105</v>
      </c>
      <c r="E11" s="331"/>
      <c r="F11" s="467">
        <v>2</v>
      </c>
    </row>
    <row r="12" spans="1:6" ht="15" customHeight="1">
      <c r="B12" s="186"/>
      <c r="C12" s="179"/>
      <c r="D12" s="186"/>
      <c r="E12" s="186"/>
      <c r="F12" s="247"/>
    </row>
    <row r="13" spans="1:6" ht="15" customHeight="1">
      <c r="B13" s="176"/>
      <c r="C13" s="162"/>
      <c r="D13" s="163"/>
      <c r="E13" s="163"/>
      <c r="F13" s="247"/>
    </row>
    <row r="14" spans="1:6" ht="15" customHeight="1">
      <c r="B14" s="176"/>
      <c r="C14" s="162"/>
      <c r="D14" s="163"/>
      <c r="E14" s="163"/>
      <c r="F14" s="247"/>
    </row>
    <row r="15" spans="1:6" ht="15" customHeight="1">
      <c r="B15" s="176"/>
      <c r="C15" s="179"/>
      <c r="D15" s="163"/>
      <c r="E15" s="163"/>
      <c r="F15" s="247"/>
    </row>
    <row r="16" spans="1:6" ht="15" customHeight="1">
      <c r="B16" s="176"/>
      <c r="C16" s="179"/>
      <c r="D16" s="163"/>
      <c r="E16" s="163"/>
      <c r="F16" s="247"/>
    </row>
    <row r="17" spans="2:6" ht="15" customHeight="1">
      <c r="B17" s="176"/>
      <c r="C17" s="179"/>
      <c r="D17" s="163"/>
      <c r="E17" s="163"/>
      <c r="F17" s="247"/>
    </row>
    <row r="18" spans="2:6" ht="15" customHeight="1">
      <c r="B18" s="176"/>
      <c r="C18" s="179"/>
      <c r="D18" s="163"/>
      <c r="E18" s="163"/>
      <c r="F18" s="247"/>
    </row>
    <row r="19" spans="2:6" ht="15" customHeight="1">
      <c r="B19" s="176"/>
      <c r="C19" s="179"/>
      <c r="D19" s="163"/>
      <c r="E19" s="163"/>
      <c r="F19" s="247"/>
    </row>
    <row r="20" spans="2:6" ht="15" customHeight="1">
      <c r="B20" s="176"/>
      <c r="C20" s="179"/>
      <c r="D20" s="163"/>
      <c r="E20" s="163"/>
      <c r="F20" s="247"/>
    </row>
    <row r="21" spans="2:6" ht="15" customHeight="1">
      <c r="B21" s="176"/>
      <c r="C21" s="179"/>
      <c r="D21" s="163"/>
      <c r="E21" s="163"/>
      <c r="F21" s="247"/>
    </row>
    <row r="22" spans="2:6" ht="15" customHeight="1">
      <c r="B22" s="176"/>
      <c r="C22" s="179"/>
      <c r="D22" s="163"/>
      <c r="E22" s="163"/>
      <c r="F22" s="247"/>
    </row>
    <row r="23" spans="2:6" ht="15" customHeight="1">
      <c r="B23" s="176"/>
      <c r="C23" s="179"/>
      <c r="D23" s="163"/>
      <c r="E23" s="163"/>
      <c r="F23" s="247"/>
    </row>
    <row r="24" spans="2:6" ht="15" customHeight="1">
      <c r="B24" s="176"/>
      <c r="C24" s="179"/>
      <c r="D24" s="163"/>
      <c r="E24" s="163"/>
      <c r="F24" s="247"/>
    </row>
    <row r="25" spans="2:6" ht="15" customHeight="1">
      <c r="B25" s="178"/>
      <c r="C25" s="181"/>
      <c r="D25" s="182"/>
      <c r="E25" s="182"/>
      <c r="F25" s="248"/>
    </row>
    <row r="26" spans="2:6" ht="15" customHeight="1">
      <c r="B26" s="66"/>
      <c r="C26" s="18"/>
      <c r="D26" s="18"/>
      <c r="E26" s="18"/>
      <c r="F26" s="17"/>
    </row>
    <row r="27" spans="2:6" ht="15" customHeight="1"/>
    <row r="28" spans="2:6" ht="15" customHeight="1"/>
    <row r="29" spans="2:6" ht="15" customHeight="1"/>
    <row r="30" spans="2:6" ht="15" customHeight="1"/>
    <row r="31" spans="2:6" ht="15" customHeight="1"/>
    <row r="32" spans="2: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2100-000000000000}"/>
  </hyperlinks>
  <pageMargins left="0.78740157480314965" right="0.78740157480314965" top="0.98425196850393704" bottom="0.98425196850393704" header="0.59055118110236227" footer="0.59055118110236227"/>
  <pageSetup paperSize="9" orientation="landscape" horizontalDpi="4294967293" verticalDpi="1200" r:id="rId1"/>
  <headerFooter scaleWithDoc="0">
    <oddHeader>&amp;C&amp;"Arial,Fett"&amp;18EEG Calculator</oddHeader>
    <oddFooter>&amp;LDatendokumentation&amp;C&amp;F  &amp;A  Seite &amp;P/&amp;N&amp;R&amp;D  &amp;T</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Tabelle52">
    <tabColor theme="9" tint="0.39997558519241921"/>
    <pageSetUpPr fitToPage="1"/>
  </sheetPr>
  <dimension ref="A1:F1359"/>
  <sheetViews>
    <sheetView zoomScaleNormal="100" workbookViewId="0">
      <selection activeCell="B17" sqref="B17"/>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6" width="30.5546875" style="9" customWidth="1"/>
    <col min="7" max="16384" width="11.5546875" style="9"/>
  </cols>
  <sheetData>
    <row r="1" spans="1:6">
      <c r="A1" s="41" t="s">
        <v>74</v>
      </c>
      <c r="B1" s="20" t="s">
        <v>911</v>
      </c>
      <c r="C1" s="19"/>
      <c r="D1" s="19"/>
      <c r="E1" s="19"/>
    </row>
    <row r="3" spans="1:6" ht="15" customHeight="1">
      <c r="B3" s="62" t="s">
        <v>787</v>
      </c>
      <c r="C3" s="18" t="s">
        <v>788</v>
      </c>
      <c r="D3" s="314" t="s">
        <v>827</v>
      </c>
      <c r="E3" s="18" t="s">
        <v>574</v>
      </c>
      <c r="F3" s="314" t="s">
        <v>101</v>
      </c>
    </row>
    <row r="4" spans="1:6" ht="15" customHeight="1">
      <c r="B4" s="65"/>
      <c r="D4" s="16"/>
      <c r="E4" s="16"/>
      <c r="F4" s="16"/>
    </row>
    <row r="5" spans="1:6" ht="15" customHeight="1" thickBot="1">
      <c r="B5" s="65"/>
      <c r="D5" s="16"/>
      <c r="E5" s="16"/>
      <c r="F5" s="65" t="s">
        <v>44</v>
      </c>
    </row>
    <row r="6" spans="1:6" ht="15" customHeight="1" thickBot="1">
      <c r="B6" s="170" t="str">
        <f>ControlPanel!L21</f>
        <v>Endogène</v>
      </c>
      <c r="C6" s="15" t="str">
        <f>VLOOKUP($B$6,$B$7:$F$25,2,FALSE)</f>
        <v>mh</v>
      </c>
      <c r="D6" s="15" t="str">
        <f>VLOOKUP($B$6,$B$7:$F$25,3,FALSE)</f>
        <v xml:space="preserve">Est calculé de manière endogène </v>
      </c>
      <c r="E6" s="15">
        <f>VLOOKUP($B$6,$B$7:$F$25,4,FALSE)</f>
        <v>0</v>
      </c>
      <c r="F6" s="252">
        <f>VLOOKUP($B$6,$B$7:$F$25,5,FALSE)</f>
        <v>0</v>
      </c>
    </row>
    <row r="7" spans="1:6" ht="15" customHeight="1">
      <c r="B7" s="16" t="s">
        <v>1018</v>
      </c>
      <c r="C7" s="12" t="s">
        <v>48</v>
      </c>
      <c r="D7" s="11" t="s">
        <v>912</v>
      </c>
      <c r="E7" s="11"/>
      <c r="F7" s="253">
        <v>0</v>
      </c>
    </row>
    <row r="8" spans="1:6" ht="15" customHeight="1">
      <c r="B8" s="331" t="s">
        <v>102</v>
      </c>
      <c r="C8" s="12" t="s">
        <v>48</v>
      </c>
      <c r="D8" s="331" t="s">
        <v>102</v>
      </c>
      <c r="E8" s="331"/>
      <c r="F8" s="253">
        <v>-2</v>
      </c>
    </row>
    <row r="9" spans="1:6" ht="15" customHeight="1">
      <c r="B9" s="331" t="s">
        <v>169</v>
      </c>
      <c r="C9" s="12" t="s">
        <v>48</v>
      </c>
      <c r="D9" s="331" t="s">
        <v>169</v>
      </c>
      <c r="E9" s="331"/>
      <c r="F9" s="253">
        <v>0</v>
      </c>
    </row>
    <row r="10" spans="1:6" ht="15" customHeight="1">
      <c r="B10" s="331" t="s">
        <v>170</v>
      </c>
      <c r="C10" s="12" t="s">
        <v>48</v>
      </c>
      <c r="D10" s="331" t="s">
        <v>170</v>
      </c>
      <c r="E10" s="331"/>
      <c r="F10" s="253">
        <v>2</v>
      </c>
    </row>
    <row r="11" spans="1:6" ht="15" customHeight="1">
      <c r="B11" s="331" t="s">
        <v>171</v>
      </c>
      <c r="C11" s="12" t="s">
        <v>48</v>
      </c>
      <c r="D11" s="331" t="s">
        <v>171</v>
      </c>
      <c r="E11" s="331"/>
      <c r="F11" s="253">
        <v>4</v>
      </c>
    </row>
    <row r="12" spans="1:6" ht="15" customHeight="1">
      <c r="B12" s="331" t="s">
        <v>172</v>
      </c>
      <c r="C12" s="12" t="s">
        <v>48</v>
      </c>
      <c r="D12" s="331" t="s">
        <v>172</v>
      </c>
      <c r="E12" s="331"/>
      <c r="F12" s="253">
        <v>6</v>
      </c>
    </row>
    <row r="13" spans="1:6" ht="15" customHeight="1">
      <c r="B13" s="176"/>
      <c r="C13" s="162"/>
      <c r="D13" s="163"/>
      <c r="E13" s="163"/>
      <c r="F13" s="254"/>
    </row>
    <row r="14" spans="1:6" ht="15" customHeight="1">
      <c r="B14" s="176"/>
      <c r="C14" s="179"/>
      <c r="D14" s="176"/>
      <c r="E14" s="176"/>
      <c r="F14" s="254"/>
    </row>
    <row r="15" spans="1:6" ht="15" customHeight="1">
      <c r="B15" s="176"/>
      <c r="C15" s="179"/>
      <c r="D15" s="186"/>
      <c r="E15" s="186"/>
      <c r="F15" s="254"/>
    </row>
    <row r="16" spans="1:6" ht="15" customHeight="1">
      <c r="B16" s="176"/>
      <c r="C16" s="179"/>
      <c r="D16" s="186"/>
      <c r="E16" s="186"/>
      <c r="F16" s="254"/>
    </row>
    <row r="17" spans="2:6" ht="15" customHeight="1">
      <c r="B17" s="184"/>
      <c r="C17" s="179"/>
      <c r="D17" s="163"/>
      <c r="E17" s="163"/>
      <c r="F17" s="254"/>
    </row>
    <row r="18" spans="2:6" ht="15" customHeight="1">
      <c r="B18" s="176"/>
      <c r="C18" s="179"/>
      <c r="D18" s="163"/>
      <c r="E18" s="163"/>
      <c r="F18" s="254"/>
    </row>
    <row r="19" spans="2:6" ht="15" customHeight="1">
      <c r="B19" s="176"/>
      <c r="C19" s="179"/>
      <c r="D19" s="163"/>
      <c r="E19" s="163"/>
      <c r="F19" s="254"/>
    </row>
    <row r="20" spans="2:6" ht="15" customHeight="1">
      <c r="B20" s="176"/>
      <c r="C20" s="179"/>
      <c r="D20" s="163"/>
      <c r="E20" s="163"/>
      <c r="F20" s="254"/>
    </row>
    <row r="21" spans="2:6" ht="15" customHeight="1">
      <c r="B21" s="176"/>
      <c r="C21" s="179"/>
      <c r="D21" s="163"/>
      <c r="E21" s="163"/>
      <c r="F21" s="254"/>
    </row>
    <row r="22" spans="2:6" ht="15" customHeight="1">
      <c r="B22" s="176"/>
      <c r="C22" s="179"/>
      <c r="D22" s="163"/>
      <c r="E22" s="163"/>
      <c r="F22" s="254"/>
    </row>
    <row r="23" spans="2:6" ht="15" customHeight="1">
      <c r="B23" s="176"/>
      <c r="C23" s="179"/>
      <c r="D23" s="163"/>
      <c r="E23" s="163"/>
      <c r="F23" s="254"/>
    </row>
    <row r="24" spans="2:6" ht="15" customHeight="1">
      <c r="B24" s="176"/>
      <c r="C24" s="179"/>
      <c r="D24" s="163"/>
      <c r="E24" s="163"/>
      <c r="F24" s="254"/>
    </row>
    <row r="25" spans="2:6" ht="15" customHeight="1">
      <c r="B25" s="178"/>
      <c r="C25" s="181"/>
      <c r="D25" s="182"/>
      <c r="E25" s="182"/>
      <c r="F25" s="255"/>
    </row>
    <row r="26" spans="2:6" ht="15" customHeight="1">
      <c r="B26" s="66"/>
      <c r="C26" s="18"/>
      <c r="D26" s="18"/>
      <c r="E26" s="18"/>
      <c r="F26" s="17"/>
    </row>
    <row r="27" spans="2:6" ht="15" customHeight="1"/>
    <row r="28" spans="2:6" ht="15" customHeight="1"/>
    <row r="29" spans="2:6" ht="15" customHeight="1"/>
    <row r="30" spans="2:6" ht="15" customHeight="1"/>
    <row r="31" spans="2:6" ht="15" customHeight="1"/>
    <row r="32" spans="2: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2200-000000000000}"/>
  </hyperlinks>
  <pageMargins left="0.78740157480314965" right="0.78740157480314965" top="0.98425196850393704" bottom="0.98425196850393704" header="0.59055118110236227" footer="0.59055118110236227"/>
  <pageSetup paperSize="9" orientation="landscape" horizontalDpi="4294967293" verticalDpi="1200" r:id="rId1"/>
  <headerFooter scaleWithDoc="0">
    <oddHeader>&amp;C&amp;"Arial,Fett"&amp;18EEG Calculator</oddHeader>
    <oddFooter>&amp;LDatendokumentation&amp;C&amp;F  &amp;A  Seite &amp;P/&amp;N&amp;R&amp;D  &amp;T</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Tabelle44">
    <tabColor theme="9" tint="0.39997558519241921"/>
  </sheetPr>
  <dimension ref="A1:AF1191"/>
  <sheetViews>
    <sheetView zoomScaleNormal="100" workbookViewId="0">
      <selection activeCell="I15" sqref="I15"/>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5" width="8.6640625" style="9" customWidth="1"/>
    <col min="16" max="32" width="8.6640625" style="9" customWidth="1" outlineLevel="1"/>
    <col min="33" max="16384" width="11.5546875" style="9"/>
  </cols>
  <sheetData>
    <row r="1" spans="1:32">
      <c r="A1" s="41" t="s">
        <v>74</v>
      </c>
      <c r="B1" s="61" t="s">
        <v>913</v>
      </c>
      <c r="C1" s="61"/>
      <c r="D1" s="19"/>
      <c r="E1" s="19"/>
      <c r="F1" s="19"/>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20</v>
      </c>
      <c r="H5" s="323" t="s">
        <v>20</v>
      </c>
      <c r="I5" s="323" t="s">
        <v>20</v>
      </c>
      <c r="J5" s="323" t="s">
        <v>20</v>
      </c>
      <c r="K5" s="323" t="s">
        <v>20</v>
      </c>
      <c r="L5" s="323" t="s">
        <v>20</v>
      </c>
      <c r="M5" s="323" t="s">
        <v>20</v>
      </c>
      <c r="N5" s="323" t="s">
        <v>20</v>
      </c>
      <c r="O5" s="323" t="s">
        <v>20</v>
      </c>
      <c r="P5" s="323" t="s">
        <v>20</v>
      </c>
      <c r="Q5" s="323" t="s">
        <v>20</v>
      </c>
      <c r="R5" s="323" t="s">
        <v>20</v>
      </c>
      <c r="S5" s="323" t="s">
        <v>20</v>
      </c>
      <c r="T5" s="323" t="s">
        <v>20</v>
      </c>
      <c r="U5" s="323" t="s">
        <v>20</v>
      </c>
      <c r="V5" s="323" t="s">
        <v>20</v>
      </c>
      <c r="W5" s="323" t="s">
        <v>20</v>
      </c>
      <c r="X5" s="323" t="s">
        <v>20</v>
      </c>
      <c r="Y5" s="323" t="s">
        <v>20</v>
      </c>
      <c r="Z5" s="323" t="s">
        <v>20</v>
      </c>
      <c r="AA5" s="323" t="s">
        <v>20</v>
      </c>
      <c r="AB5" s="323" t="s">
        <v>20</v>
      </c>
      <c r="AC5" s="323" t="s">
        <v>20</v>
      </c>
      <c r="AD5" s="323" t="s">
        <v>20</v>
      </c>
      <c r="AE5" s="323" t="s">
        <v>20</v>
      </c>
      <c r="AF5" s="323" t="s">
        <v>20</v>
      </c>
    </row>
    <row r="6" spans="1:32" s="388" customFormat="1" ht="15" customHeight="1" thickBot="1">
      <c r="B6" s="389" t="s">
        <v>529</v>
      </c>
      <c r="C6" s="390" t="s">
        <v>409</v>
      </c>
      <c r="D6" s="391" t="s">
        <v>106</v>
      </c>
      <c r="E6" s="391">
        <v>0</v>
      </c>
      <c r="F6" s="1019">
        <v>0</v>
      </c>
      <c r="G6" s="392">
        <v>0</v>
      </c>
      <c r="H6" s="392">
        <v>0</v>
      </c>
      <c r="I6" s="392">
        <v>0</v>
      </c>
      <c r="J6" s="392">
        <v>0</v>
      </c>
      <c r="K6" s="392">
        <v>0</v>
      </c>
      <c r="L6" s="392">
        <v>0</v>
      </c>
      <c r="M6" s="392">
        <v>0</v>
      </c>
      <c r="N6" s="392">
        <v>0</v>
      </c>
      <c r="O6" s="392">
        <v>0</v>
      </c>
      <c r="P6" s="392">
        <v>0</v>
      </c>
      <c r="Q6" s="392">
        <v>0</v>
      </c>
      <c r="R6" s="392">
        <v>0</v>
      </c>
      <c r="S6" s="392">
        <v>0</v>
      </c>
      <c r="T6" s="392">
        <v>0</v>
      </c>
      <c r="U6" s="392">
        <v>0</v>
      </c>
      <c r="V6" s="392">
        <v>0</v>
      </c>
      <c r="W6" s="392">
        <v>0</v>
      </c>
      <c r="X6" s="392">
        <v>0</v>
      </c>
      <c r="Y6" s="392">
        <v>0</v>
      </c>
      <c r="Z6" s="392">
        <v>0</v>
      </c>
      <c r="AA6" s="392">
        <v>0</v>
      </c>
      <c r="AB6" s="392">
        <v>0</v>
      </c>
      <c r="AC6" s="392">
        <v>0</v>
      </c>
      <c r="AD6" s="392">
        <v>0</v>
      </c>
      <c r="AE6" s="392">
        <v>0</v>
      </c>
      <c r="AF6" s="392">
        <v>0</v>
      </c>
    </row>
    <row r="7" spans="1:32" s="388" customFormat="1" ht="15" customHeight="1" thickBot="1">
      <c r="B7" s="393" t="s">
        <v>349</v>
      </c>
      <c r="C7" s="390" t="s">
        <v>409</v>
      </c>
      <c r="D7" s="391" t="s">
        <v>106</v>
      </c>
      <c r="E7" s="391">
        <v>0</v>
      </c>
      <c r="F7" s="1019">
        <v>0</v>
      </c>
      <c r="G7" s="392">
        <v>0</v>
      </c>
      <c r="H7" s="392">
        <v>0</v>
      </c>
      <c r="I7" s="392">
        <v>0</v>
      </c>
      <c r="J7" s="392">
        <v>0</v>
      </c>
      <c r="K7" s="392">
        <v>0</v>
      </c>
      <c r="L7" s="392">
        <v>0</v>
      </c>
      <c r="M7" s="392">
        <v>0</v>
      </c>
      <c r="N7" s="392">
        <v>0</v>
      </c>
      <c r="O7" s="392">
        <v>0</v>
      </c>
      <c r="P7" s="392">
        <v>0</v>
      </c>
      <c r="Q7" s="392">
        <v>0</v>
      </c>
      <c r="R7" s="392">
        <v>0</v>
      </c>
      <c r="S7" s="392">
        <v>0</v>
      </c>
      <c r="T7" s="392">
        <v>0</v>
      </c>
      <c r="U7" s="392">
        <v>0</v>
      </c>
      <c r="V7" s="392">
        <v>0</v>
      </c>
      <c r="W7" s="392">
        <v>0</v>
      </c>
      <c r="X7" s="392">
        <v>0</v>
      </c>
      <c r="Y7" s="392">
        <v>0</v>
      </c>
      <c r="Z7" s="392">
        <v>0</v>
      </c>
      <c r="AA7" s="392">
        <v>0</v>
      </c>
      <c r="AB7" s="392">
        <v>0</v>
      </c>
      <c r="AC7" s="392">
        <v>0</v>
      </c>
      <c r="AD7" s="392">
        <v>0</v>
      </c>
      <c r="AE7" s="392">
        <v>0</v>
      </c>
      <c r="AF7" s="392">
        <v>0</v>
      </c>
    </row>
    <row r="8" spans="1:32" s="388" customFormat="1" ht="15" customHeight="1" thickBot="1">
      <c r="B8" s="393" t="s">
        <v>11</v>
      </c>
      <c r="C8" s="390" t="s">
        <v>409</v>
      </c>
      <c r="D8" s="391" t="s">
        <v>106</v>
      </c>
      <c r="E8" s="391">
        <v>0</v>
      </c>
      <c r="F8" s="1019">
        <v>0</v>
      </c>
      <c r="G8" s="394">
        <v>0</v>
      </c>
      <c r="H8" s="394">
        <v>0</v>
      </c>
      <c r="I8" s="394">
        <v>0</v>
      </c>
      <c r="J8" s="394">
        <v>0</v>
      </c>
      <c r="K8" s="394">
        <v>0</v>
      </c>
      <c r="L8" s="394">
        <v>0</v>
      </c>
      <c r="M8" s="394">
        <v>0</v>
      </c>
      <c r="N8" s="394">
        <v>0</v>
      </c>
      <c r="O8" s="394">
        <v>0</v>
      </c>
      <c r="P8" s="394">
        <v>0</v>
      </c>
      <c r="Q8" s="394">
        <v>0</v>
      </c>
      <c r="R8" s="394">
        <v>0</v>
      </c>
      <c r="S8" s="394">
        <v>0</v>
      </c>
      <c r="T8" s="394">
        <v>0</v>
      </c>
      <c r="U8" s="394">
        <v>0</v>
      </c>
      <c r="V8" s="394">
        <v>0</v>
      </c>
      <c r="W8" s="394">
        <v>0</v>
      </c>
      <c r="X8" s="394">
        <v>0</v>
      </c>
      <c r="Y8" s="394">
        <v>0</v>
      </c>
      <c r="Z8" s="394">
        <v>0</v>
      </c>
      <c r="AA8" s="394">
        <v>0</v>
      </c>
      <c r="AB8" s="394">
        <v>0</v>
      </c>
      <c r="AC8" s="394">
        <v>0</v>
      </c>
      <c r="AD8" s="394">
        <v>0</v>
      </c>
      <c r="AE8" s="394">
        <v>0</v>
      </c>
      <c r="AF8" s="394">
        <v>0</v>
      </c>
    </row>
    <row r="9" spans="1:32" s="388" customFormat="1" ht="15" customHeight="1" thickBot="1">
      <c r="B9" s="393" t="s">
        <v>10</v>
      </c>
      <c r="C9" s="390" t="s">
        <v>409</v>
      </c>
      <c r="D9" s="391" t="s">
        <v>106</v>
      </c>
      <c r="E9" s="391">
        <v>0</v>
      </c>
      <c r="F9" s="1019">
        <v>0</v>
      </c>
      <c r="G9" s="392">
        <v>0</v>
      </c>
      <c r="H9" s="392">
        <v>0</v>
      </c>
      <c r="I9" s="392">
        <v>0</v>
      </c>
      <c r="J9" s="392">
        <v>0</v>
      </c>
      <c r="K9" s="392">
        <v>0</v>
      </c>
      <c r="L9" s="392">
        <v>0</v>
      </c>
      <c r="M9" s="392">
        <v>0</v>
      </c>
      <c r="N9" s="392">
        <v>0</v>
      </c>
      <c r="O9" s="392">
        <v>0</v>
      </c>
      <c r="P9" s="392">
        <v>0</v>
      </c>
      <c r="Q9" s="392">
        <v>0</v>
      </c>
      <c r="R9" s="392">
        <v>0</v>
      </c>
      <c r="S9" s="392">
        <v>0</v>
      </c>
      <c r="T9" s="392">
        <v>0</v>
      </c>
      <c r="U9" s="392">
        <v>0</v>
      </c>
      <c r="V9" s="392">
        <v>0</v>
      </c>
      <c r="W9" s="392">
        <v>0</v>
      </c>
      <c r="X9" s="392">
        <v>0</v>
      </c>
      <c r="Y9" s="392">
        <v>0</v>
      </c>
      <c r="Z9" s="392">
        <v>0</v>
      </c>
      <c r="AA9" s="392">
        <v>0</v>
      </c>
      <c r="AB9" s="392">
        <v>0</v>
      </c>
      <c r="AC9" s="392">
        <v>0</v>
      </c>
      <c r="AD9" s="392">
        <v>0</v>
      </c>
      <c r="AE9" s="392">
        <v>0</v>
      </c>
      <c r="AF9" s="392">
        <v>0</v>
      </c>
    </row>
    <row r="10" spans="1:32" s="388" customFormat="1" ht="15" customHeight="1" thickBot="1">
      <c r="B10" s="393" t="s">
        <v>339</v>
      </c>
      <c r="C10" s="390" t="s">
        <v>409</v>
      </c>
      <c r="D10" s="391" t="s">
        <v>106</v>
      </c>
      <c r="E10" s="391">
        <v>0</v>
      </c>
      <c r="F10" s="1019">
        <v>0</v>
      </c>
      <c r="G10" s="392">
        <v>0</v>
      </c>
      <c r="H10" s="392">
        <v>0</v>
      </c>
      <c r="I10" s="392">
        <v>0</v>
      </c>
      <c r="J10" s="392">
        <v>0</v>
      </c>
      <c r="K10" s="392">
        <v>0</v>
      </c>
      <c r="L10" s="392">
        <v>0</v>
      </c>
      <c r="M10" s="392">
        <v>0</v>
      </c>
      <c r="N10" s="392">
        <v>0</v>
      </c>
      <c r="O10" s="392">
        <v>0</v>
      </c>
      <c r="P10" s="392">
        <v>0</v>
      </c>
      <c r="Q10" s="392">
        <v>0</v>
      </c>
      <c r="R10" s="392">
        <v>0</v>
      </c>
      <c r="S10" s="392">
        <v>0</v>
      </c>
      <c r="T10" s="392">
        <v>0</v>
      </c>
      <c r="U10" s="392">
        <v>0</v>
      </c>
      <c r="V10" s="392">
        <v>0</v>
      </c>
      <c r="W10" s="392">
        <v>0</v>
      </c>
      <c r="X10" s="392">
        <v>0</v>
      </c>
      <c r="Y10" s="392">
        <v>0</v>
      </c>
      <c r="Z10" s="392">
        <v>0</v>
      </c>
      <c r="AA10" s="392">
        <v>0</v>
      </c>
      <c r="AB10" s="392">
        <v>0</v>
      </c>
      <c r="AC10" s="392">
        <v>0</v>
      </c>
      <c r="AD10" s="392">
        <v>0</v>
      </c>
      <c r="AE10" s="392">
        <v>0</v>
      </c>
      <c r="AF10" s="392">
        <v>0</v>
      </c>
    </row>
    <row r="11" spans="1:32" s="388" customFormat="1" ht="15" customHeight="1" thickBot="1">
      <c r="B11" s="393" t="s">
        <v>340</v>
      </c>
      <c r="C11" s="390" t="s">
        <v>409</v>
      </c>
      <c r="D11" s="391" t="s">
        <v>106</v>
      </c>
      <c r="E11" s="391">
        <v>0</v>
      </c>
      <c r="F11" s="1019">
        <v>0</v>
      </c>
      <c r="G11" s="392">
        <v>0</v>
      </c>
      <c r="H11" s="392">
        <v>0</v>
      </c>
      <c r="I11" s="392">
        <v>0</v>
      </c>
      <c r="J11" s="392">
        <v>0</v>
      </c>
      <c r="K11" s="392">
        <v>0</v>
      </c>
      <c r="L11" s="392">
        <v>0</v>
      </c>
      <c r="M11" s="392">
        <v>0</v>
      </c>
      <c r="N11" s="392">
        <v>0</v>
      </c>
      <c r="O11" s="392">
        <v>0</v>
      </c>
      <c r="P11" s="392">
        <v>0</v>
      </c>
      <c r="Q11" s="392">
        <v>0</v>
      </c>
      <c r="R11" s="392">
        <v>0</v>
      </c>
      <c r="S11" s="392">
        <v>0</v>
      </c>
      <c r="T11" s="392">
        <v>0</v>
      </c>
      <c r="U11" s="392">
        <v>0</v>
      </c>
      <c r="V11" s="392">
        <v>0</v>
      </c>
      <c r="W11" s="392">
        <v>0</v>
      </c>
      <c r="X11" s="392">
        <v>0</v>
      </c>
      <c r="Y11" s="392">
        <v>0</v>
      </c>
      <c r="Z11" s="392">
        <v>0</v>
      </c>
      <c r="AA11" s="392">
        <v>0</v>
      </c>
      <c r="AB11" s="392">
        <v>0</v>
      </c>
      <c r="AC11" s="392">
        <v>0</v>
      </c>
      <c r="AD11" s="392">
        <v>0</v>
      </c>
      <c r="AE11" s="392">
        <v>0</v>
      </c>
      <c r="AF11" s="392">
        <v>0</v>
      </c>
    </row>
    <row r="12" spans="1:32" ht="27" thickBot="1">
      <c r="B12" s="165" t="s">
        <v>530</v>
      </c>
      <c r="C12" s="175" t="str">
        <f>ControlPanel!E27</f>
        <v>Référence</v>
      </c>
      <c r="D12" s="15" t="str">
        <f>VLOOKUP($C$12,$C$13:$AF$37,2,FALSE)</f>
        <v>fh</v>
      </c>
      <c r="E12" s="15" t="str">
        <f>VLOOKUP($C$12,$C$13:$AF$37,3,FALSE)</f>
        <v>6%</v>
      </c>
      <c r="F12" s="486" t="str">
        <f>VLOOKUP($C$12,$C$13:$AF$37,4,FALSE)</f>
        <v xml:space="preserve">Mise à jour des prévisions annuelles GRT 2021 </v>
      </c>
      <c r="G12" s="14">
        <f>IF(G$4&lt;ControlPanel!$D$59,VLOOKUP("Référence",$C$13:$AF$37,G$4-$G$4+5,FALSE),VLOOKUP($C$12,$C$13:$AF$37,G$4-$G$4+5,FALSE))</f>
        <v>0</v>
      </c>
      <c r="H12" s="14">
        <f>IF(H$4&lt;ControlPanel!$D$59,VLOOKUP("Référence",$C$13:$AF$37,H$4-$G$4+5,FALSE),VLOOKUP($C$12,$C$13:$AF$37,H$4-$G$4+5,FALSE))</f>
        <v>0</v>
      </c>
      <c r="I12" s="14">
        <f>IF(I$4&lt;ControlPanel!$D$59,VLOOKUP("Référence",$C$13:$AF$37,I$4-$G$4+5,FALSE),VLOOKUP($C$12,$C$13:$AF$37,I$4-$G$4+5,FALSE))</f>
        <v>0</v>
      </c>
      <c r="J12" s="14">
        <f>IF(J$4&lt;ControlPanel!$D$59,VLOOKUP("Référence",$C$13:$AF$37,J$4-$G$4+5,FALSE),VLOOKUP($C$12,$C$13:$AF$37,J$4-$G$4+5,FALSE))</f>
        <v>0</v>
      </c>
      <c r="K12" s="14">
        <f>IF(K$4&lt;ControlPanel!$D$59,VLOOKUP("Référence",$C$13:$AF$37,K$4-$G$4+5,FALSE),VLOOKUP($C$12,$C$13:$AF$37,K$4-$G$4+5,FALSE))</f>
        <v>0</v>
      </c>
      <c r="L12" s="14">
        <f>IF(L$4&lt;ControlPanel!$D$59,VLOOKUP("Référence",$C$13:$AF$37,L$4-$G$4+5,FALSE),VLOOKUP($C$12,$C$13:$AF$37,L$4-$G$4+5,FALSE))</f>
        <v>0.20025000000000001</v>
      </c>
      <c r="M12" s="14">
        <f>IF(M$4&lt;ControlPanel!$D$59,VLOOKUP("Référence",$C$13:$AF$37,M$4-$G$4+5,FALSE),VLOOKUP($C$12,$C$13:$AF$37,M$4-$G$4+5,FALSE))</f>
        <v>0.26</v>
      </c>
      <c r="N12" s="14">
        <f>IF(N$4&lt;ControlPanel!$D$59,VLOOKUP("Référence",$C$13:$AF$37,N$4-$G$4+5,FALSE),VLOOKUP($C$12,$C$13:$AF$37,N$4-$G$4+5,FALSE))</f>
        <v>0.123</v>
      </c>
      <c r="O12" s="14">
        <f>IF(O$4&lt;ControlPanel!$D$59,VLOOKUP("Référence",$C$13:$AF$37,O$4-$G$4+5,FALSE),VLOOKUP($C$12,$C$13:$AF$37,O$4-$G$4+5,FALSE))</f>
        <v>0.123</v>
      </c>
      <c r="P12" s="14">
        <f>IF(P$4&lt;ControlPanel!$D$59,VLOOKUP("Référence",$C$13:$AF$37,P$4-$G$4+5,FALSE),VLOOKUP($C$12,$C$13:$AF$37,P$4-$G$4+5,FALSE))</f>
        <v>8.6282704209457411E-2</v>
      </c>
      <c r="Q12" s="14">
        <f>IF(Q$4&lt;ControlPanel!$D$59,VLOOKUP("Référence",$C$13:$AF$37,Q$4-$G$4+5,FALSE),VLOOKUP($C$12,$C$13:$AF$37,Q$4-$G$4+5,FALSE))</f>
        <v>5.896218016593225E-2</v>
      </c>
      <c r="R12" s="14">
        <f>IF(R$4&lt;ControlPanel!$D$59,VLOOKUP("Référence",$C$13:$AF$37,R$4-$G$4+5,FALSE),VLOOKUP($C$12,$C$13:$AF$37,R$4-$G$4+5,FALSE))</f>
        <v>6.7386075190170966E-2</v>
      </c>
      <c r="S12" s="14">
        <f>IF(S$4&lt;ControlPanel!$D$59,VLOOKUP("Référence",$C$13:$AF$37,S$4-$G$4+5,FALSE),VLOOKUP($C$12,$C$13:$AF$37,S$4-$G$4+5,FALSE))</f>
        <v>6.7386075190170966E-2</v>
      </c>
      <c r="T12" s="14">
        <f>IF(T$4&lt;ControlPanel!$D$59,VLOOKUP("Référence",$C$13:$AF$37,T$4-$G$4+5,FALSE),VLOOKUP($C$12,$C$13:$AF$37,T$4-$G$4+5,FALSE))</f>
        <v>6.7386075190170966E-2</v>
      </c>
      <c r="U12" s="14">
        <f>IF(U$4&lt;ControlPanel!$D$59,VLOOKUP("Référence",$C$13:$AF$37,U$4-$G$4+5,FALSE),VLOOKUP($C$12,$C$13:$AF$37,U$4-$G$4+5,FALSE))</f>
        <v>6.7386075190170966E-2</v>
      </c>
      <c r="V12" s="14">
        <f>IF(V$4&lt;ControlPanel!$D$59,VLOOKUP("Référence",$C$13:$AF$37,V$4-$G$4+5,FALSE),VLOOKUP($C$12,$C$13:$AF$37,V$4-$G$4+5,FALSE))</f>
        <v>6.7386075190170966E-2</v>
      </c>
      <c r="W12" s="14">
        <f>IF(W$4&lt;ControlPanel!$D$59,VLOOKUP("Référence",$C$13:$AF$37,W$4-$G$4+5,FALSE),VLOOKUP($C$12,$C$13:$AF$37,W$4-$G$4+5,FALSE))</f>
        <v>6.7386075190170966E-2</v>
      </c>
      <c r="X12" s="14">
        <f>IF(X$4&lt;ControlPanel!$D$59,VLOOKUP("Référence",$C$13:$AF$37,X$4-$G$4+5,FALSE),VLOOKUP($C$12,$C$13:$AF$37,X$4-$G$4+5,FALSE))</f>
        <v>6.7386075190170966E-2</v>
      </c>
      <c r="Y12" s="14">
        <f>IF(Y$4&lt;ControlPanel!$D$59,VLOOKUP("Référence",$C$13:$AF$37,Y$4-$G$4+5,FALSE),VLOOKUP($C$12,$C$13:$AF$37,Y$4-$G$4+5,FALSE))</f>
        <v>6.7386075190170966E-2</v>
      </c>
      <c r="Z12" s="14">
        <f>IF(Z$4&lt;ControlPanel!$D$59,VLOOKUP("Référence",$C$13:$AF$37,Z$4-$G$4+5,FALSE),VLOOKUP($C$12,$C$13:$AF$37,Z$4-$G$4+5,FALSE))</f>
        <v>6.7386075190170966E-2</v>
      </c>
      <c r="AA12" s="14">
        <f>IF(AA$4&lt;ControlPanel!$D$59,VLOOKUP("Référence",$C$13:$AF$37,AA$4-$G$4+5,FALSE),VLOOKUP($C$12,$C$13:$AF$37,AA$4-$G$4+5,FALSE))</f>
        <v>6.7386075190170966E-2</v>
      </c>
      <c r="AB12" s="14">
        <f>IF(AB$4&lt;ControlPanel!$D$59,VLOOKUP("Référence",$C$13:$AF$37,AB$4-$G$4+5,FALSE),VLOOKUP($C$12,$C$13:$AF$37,AB$4-$G$4+5,FALSE))</f>
        <v>6.7386075190170966E-2</v>
      </c>
      <c r="AC12" s="14">
        <f>IF(AC$4&lt;ControlPanel!$D$59,VLOOKUP("Référence",$C$13:$AF$37,AC$4-$G$4+5,FALSE),VLOOKUP($C$12,$C$13:$AF$37,AC$4-$G$4+5,FALSE))</f>
        <v>6.7386075190170966E-2</v>
      </c>
      <c r="AD12" s="14">
        <f>IF(AD$4&lt;ControlPanel!$D$59,VLOOKUP("Référence",$C$13:$AF$37,AD$4-$G$4+5,FALSE),VLOOKUP($C$12,$C$13:$AF$37,AD$4-$G$4+5,FALSE))</f>
        <v>6.7386075190170966E-2</v>
      </c>
      <c r="AE12" s="14">
        <f>IF(AE$4&lt;ControlPanel!$D$59,VLOOKUP("Référence",$C$13:$AF$37,AE$4-$G$4+5,FALSE),VLOOKUP($C$12,$C$13:$AF$37,AE$4-$G$4+5,FALSE))</f>
        <v>6.7386075190170966E-2</v>
      </c>
      <c r="AF12" s="14">
        <f>IF(AF$4&lt;ControlPanel!$D$59,VLOOKUP("Référence",$C$13:$AF$37,AF$4-$G$4+5,FALSE),VLOOKUP($C$12,$C$13:$AF$37,AF$4-$G$4+5,FALSE))</f>
        <v>6.7386075190170966E-2</v>
      </c>
    </row>
    <row r="13" spans="1:32" ht="127.5" customHeight="1">
      <c r="B13" s="166" t="s">
        <v>12</v>
      </c>
      <c r="C13" s="174" t="s">
        <v>409</v>
      </c>
      <c r="D13" s="22" t="s">
        <v>300</v>
      </c>
      <c r="E13" s="168" t="s">
        <v>303</v>
      </c>
      <c r="F13" s="538" t="s">
        <v>914</v>
      </c>
      <c r="G13" s="321"/>
      <c r="H13" s="321"/>
      <c r="I13" s="321"/>
      <c r="J13" s="321"/>
      <c r="K13" s="321"/>
      <c r="L13" s="321">
        <v>0.20025000000000001</v>
      </c>
      <c r="M13" s="321">
        <v>0.26</v>
      </c>
      <c r="N13" s="321">
        <v>0.123</v>
      </c>
      <c r="O13" s="321">
        <f>N13</f>
        <v>0.123</v>
      </c>
      <c r="P13" s="321">
        <v>8.6282704209457411E-2</v>
      </c>
      <c r="Q13" s="321">
        <v>5.896218016593225E-2</v>
      </c>
      <c r="R13" s="321">
        <v>6.7386075190170966E-2</v>
      </c>
      <c r="S13" s="321">
        <f t="shared" ref="S13:AF13" si="0">R13</f>
        <v>6.7386075190170966E-2</v>
      </c>
      <c r="T13" s="321">
        <f t="shared" si="0"/>
        <v>6.7386075190170966E-2</v>
      </c>
      <c r="U13" s="321">
        <f t="shared" si="0"/>
        <v>6.7386075190170966E-2</v>
      </c>
      <c r="V13" s="321">
        <f t="shared" si="0"/>
        <v>6.7386075190170966E-2</v>
      </c>
      <c r="W13" s="321">
        <f t="shared" si="0"/>
        <v>6.7386075190170966E-2</v>
      </c>
      <c r="X13" s="321">
        <f t="shared" si="0"/>
        <v>6.7386075190170966E-2</v>
      </c>
      <c r="Y13" s="321">
        <f t="shared" si="0"/>
        <v>6.7386075190170966E-2</v>
      </c>
      <c r="Z13" s="321">
        <f t="shared" si="0"/>
        <v>6.7386075190170966E-2</v>
      </c>
      <c r="AA13" s="321">
        <f t="shared" si="0"/>
        <v>6.7386075190170966E-2</v>
      </c>
      <c r="AB13" s="321">
        <f t="shared" si="0"/>
        <v>6.7386075190170966E-2</v>
      </c>
      <c r="AC13" s="321">
        <f t="shared" si="0"/>
        <v>6.7386075190170966E-2</v>
      </c>
      <c r="AD13" s="321">
        <f t="shared" si="0"/>
        <v>6.7386075190170966E-2</v>
      </c>
      <c r="AE13" s="321">
        <f t="shared" si="0"/>
        <v>6.7386075190170966E-2</v>
      </c>
      <c r="AF13" s="321">
        <f t="shared" si="0"/>
        <v>6.7386075190170966E-2</v>
      </c>
    </row>
    <row r="14" spans="1:32" s="462" customFormat="1" ht="72" customHeight="1">
      <c r="A14" s="9"/>
      <c r="B14" s="63"/>
      <c r="C14" s="16" t="s">
        <v>915</v>
      </c>
      <c r="D14" s="322" t="s">
        <v>106</v>
      </c>
      <c r="E14" s="16" t="s">
        <v>915</v>
      </c>
      <c r="F14" s="538"/>
      <c r="G14" s="321"/>
      <c r="H14" s="321"/>
      <c r="I14" s="321"/>
      <c r="J14" s="321"/>
      <c r="K14" s="321"/>
      <c r="L14" s="321"/>
      <c r="M14" s="321"/>
      <c r="N14" s="321"/>
      <c r="O14" s="321"/>
      <c r="P14" s="321"/>
      <c r="Q14" s="321">
        <v>0</v>
      </c>
      <c r="R14" s="321">
        <v>0</v>
      </c>
      <c r="S14" s="321">
        <v>0</v>
      </c>
      <c r="T14" s="321">
        <v>0</v>
      </c>
      <c r="U14" s="321">
        <v>0</v>
      </c>
      <c r="V14" s="321">
        <v>0</v>
      </c>
      <c r="W14" s="321">
        <v>0</v>
      </c>
      <c r="X14" s="321">
        <v>0</v>
      </c>
      <c r="Y14" s="321">
        <v>0</v>
      </c>
      <c r="Z14" s="321">
        <v>0</v>
      </c>
      <c r="AA14" s="321">
        <v>0</v>
      </c>
      <c r="AB14" s="321">
        <v>0</v>
      </c>
      <c r="AC14" s="321">
        <v>0</v>
      </c>
      <c r="AD14" s="321">
        <v>0</v>
      </c>
      <c r="AE14" s="321">
        <v>0</v>
      </c>
      <c r="AF14" s="321">
        <v>0</v>
      </c>
    </row>
    <row r="15" spans="1:32" s="462" customFormat="1" ht="105.6">
      <c r="A15" s="9"/>
      <c r="B15" s="63"/>
      <c r="C15" s="16" t="s">
        <v>355</v>
      </c>
      <c r="D15" s="322" t="s">
        <v>106</v>
      </c>
      <c r="E15" s="169" t="s">
        <v>244</v>
      </c>
      <c r="F15" s="538" t="s">
        <v>916</v>
      </c>
      <c r="G15" s="321"/>
      <c r="H15" s="321"/>
      <c r="I15" s="321"/>
      <c r="J15" s="321"/>
      <c r="K15" s="321"/>
      <c r="L15" s="321"/>
      <c r="M15" s="321"/>
      <c r="N15" s="321"/>
      <c r="O15" s="321"/>
      <c r="P15" s="321"/>
      <c r="Q15" s="321">
        <v>0.123</v>
      </c>
      <c r="R15" s="321">
        <v>0.123</v>
      </c>
      <c r="S15" s="321">
        <v>0.123</v>
      </c>
      <c r="T15" s="321">
        <v>0.123</v>
      </c>
      <c r="U15" s="321">
        <v>0.123</v>
      </c>
      <c r="V15" s="321">
        <v>0.123</v>
      </c>
      <c r="W15" s="321">
        <v>0.123</v>
      </c>
      <c r="X15" s="321">
        <v>0.123</v>
      </c>
      <c r="Y15" s="321">
        <v>0.123</v>
      </c>
      <c r="Z15" s="321">
        <v>0.123</v>
      </c>
      <c r="AA15" s="321">
        <v>0.123</v>
      </c>
      <c r="AB15" s="321">
        <v>0.123</v>
      </c>
      <c r="AC15" s="321">
        <v>0.123</v>
      </c>
      <c r="AD15" s="321">
        <v>0.123</v>
      </c>
      <c r="AE15" s="321">
        <v>0.123</v>
      </c>
      <c r="AF15" s="321">
        <v>0.123</v>
      </c>
    </row>
    <row r="16" spans="1:32" s="462" customFormat="1" ht="105.6">
      <c r="A16" s="9"/>
      <c r="B16" s="63"/>
      <c r="C16" s="16" t="s">
        <v>861</v>
      </c>
      <c r="D16" s="322" t="s">
        <v>106</v>
      </c>
      <c r="E16" s="168" t="s">
        <v>111</v>
      </c>
      <c r="F16" s="538" t="s">
        <v>917</v>
      </c>
      <c r="G16" s="321"/>
      <c r="H16" s="321"/>
      <c r="I16" s="321"/>
      <c r="J16" s="321"/>
      <c r="K16" s="321"/>
      <c r="L16" s="321"/>
      <c r="M16" s="321"/>
      <c r="N16" s="321"/>
      <c r="O16" s="321"/>
      <c r="P16" s="321"/>
      <c r="Q16" s="321">
        <v>0.40050000000000002</v>
      </c>
      <c r="R16" s="321">
        <v>0.40050000000000002</v>
      </c>
      <c r="S16" s="321">
        <v>0.40050000000000002</v>
      </c>
      <c r="T16" s="321">
        <v>0.40050000000000002</v>
      </c>
      <c r="U16" s="321">
        <v>0.40050000000000002</v>
      </c>
      <c r="V16" s="321">
        <v>0.40050000000000002</v>
      </c>
      <c r="W16" s="321">
        <v>0.40050000000000002</v>
      </c>
      <c r="X16" s="321">
        <v>0.40050000000000002</v>
      </c>
      <c r="Y16" s="321">
        <v>0.40050000000000002</v>
      </c>
      <c r="Z16" s="321">
        <v>0.40050000000000002</v>
      </c>
      <c r="AA16" s="321">
        <v>0.40050000000000002</v>
      </c>
      <c r="AB16" s="321">
        <v>0.40050000000000002</v>
      </c>
      <c r="AC16" s="321">
        <v>0.40050000000000002</v>
      </c>
      <c r="AD16" s="321">
        <v>0.40050000000000002</v>
      </c>
      <c r="AE16" s="321">
        <v>0.40050000000000002</v>
      </c>
      <c r="AF16" s="321">
        <v>0.40050000000000002</v>
      </c>
    </row>
    <row r="17" spans="1:32" s="462" customFormat="1" ht="105.6">
      <c r="A17" s="9"/>
      <c r="B17" s="63"/>
      <c r="C17" s="16" t="s">
        <v>856</v>
      </c>
      <c r="D17" s="322" t="s">
        <v>106</v>
      </c>
      <c r="E17" s="168" t="s">
        <v>112</v>
      </c>
      <c r="F17" s="538" t="s">
        <v>918</v>
      </c>
      <c r="G17" s="321"/>
      <c r="H17" s="321"/>
      <c r="I17" s="321"/>
      <c r="J17" s="321"/>
      <c r="K17" s="321"/>
      <c r="L17" s="321"/>
      <c r="M17" s="321"/>
      <c r="N17" s="321"/>
      <c r="O17" s="321"/>
      <c r="P17" s="321"/>
      <c r="Q17" s="321">
        <v>0.60075000000000001</v>
      </c>
      <c r="R17" s="321">
        <v>0.60075000000000001</v>
      </c>
      <c r="S17" s="321">
        <v>0.60075000000000001</v>
      </c>
      <c r="T17" s="321">
        <v>0.60075000000000001</v>
      </c>
      <c r="U17" s="321">
        <v>0.60075000000000001</v>
      </c>
      <c r="V17" s="321">
        <v>0.60075000000000001</v>
      </c>
      <c r="W17" s="321">
        <v>0.60075000000000001</v>
      </c>
      <c r="X17" s="321">
        <v>0.60075000000000001</v>
      </c>
      <c r="Y17" s="321">
        <v>0.60075000000000001</v>
      </c>
      <c r="Z17" s="321">
        <v>0.60075000000000001</v>
      </c>
      <c r="AA17" s="321">
        <v>0.60075000000000001</v>
      </c>
      <c r="AB17" s="321">
        <v>0.60075000000000001</v>
      </c>
      <c r="AC17" s="321">
        <v>0.60075000000000001</v>
      </c>
      <c r="AD17" s="321">
        <v>0.60075000000000001</v>
      </c>
      <c r="AE17" s="321">
        <v>0.60075000000000001</v>
      </c>
      <c r="AF17" s="321">
        <v>0.60075000000000001</v>
      </c>
    </row>
    <row r="18" spans="1:32" s="462" customFormat="1" ht="105.6">
      <c r="A18" s="9"/>
      <c r="B18" s="63"/>
      <c r="C18" s="16" t="s">
        <v>857</v>
      </c>
      <c r="D18" s="322" t="s">
        <v>106</v>
      </c>
      <c r="E18" s="168" t="s">
        <v>113</v>
      </c>
      <c r="F18" s="538" t="s">
        <v>919</v>
      </c>
      <c r="G18" s="321"/>
      <c r="H18" s="321"/>
      <c r="I18" s="321"/>
      <c r="J18" s="321"/>
      <c r="K18" s="321"/>
      <c r="L18" s="321"/>
      <c r="M18" s="321"/>
      <c r="N18" s="321"/>
      <c r="O18" s="321"/>
      <c r="P18" s="321"/>
      <c r="Q18" s="321">
        <v>0.80100000000000005</v>
      </c>
      <c r="R18" s="321">
        <v>0.80100000000000005</v>
      </c>
      <c r="S18" s="321">
        <v>0.80100000000000005</v>
      </c>
      <c r="T18" s="321">
        <v>0.80100000000000005</v>
      </c>
      <c r="U18" s="321">
        <v>0.80100000000000005</v>
      </c>
      <c r="V18" s="321">
        <v>0.80100000000000005</v>
      </c>
      <c r="W18" s="321">
        <v>0.80100000000000005</v>
      </c>
      <c r="X18" s="321">
        <v>0.80100000000000005</v>
      </c>
      <c r="Y18" s="321">
        <v>0.80100000000000005</v>
      </c>
      <c r="Z18" s="321">
        <v>0.80100000000000005</v>
      </c>
      <c r="AA18" s="321">
        <v>0.80100000000000005</v>
      </c>
      <c r="AB18" s="321">
        <v>0.80100000000000005</v>
      </c>
      <c r="AC18" s="321">
        <v>0.80100000000000005</v>
      </c>
      <c r="AD18" s="321">
        <v>0.80100000000000005</v>
      </c>
      <c r="AE18" s="321">
        <v>0.80100000000000005</v>
      </c>
      <c r="AF18" s="321">
        <v>0.80100000000000005</v>
      </c>
    </row>
    <row r="19" spans="1:32" s="462" customFormat="1" ht="15" customHeight="1">
      <c r="B19" s="463"/>
      <c r="C19" s="162"/>
      <c r="D19" s="179"/>
      <c r="E19" s="184"/>
      <c r="F19" s="609"/>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row>
    <row r="20" spans="1:32" s="462" customFormat="1" ht="15" customHeight="1">
      <c r="B20" s="463"/>
      <c r="C20" s="176"/>
      <c r="D20" s="162"/>
      <c r="E20" s="184"/>
      <c r="F20" s="609"/>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row>
    <row r="21" spans="1:32" s="462" customFormat="1" ht="15" customHeight="1">
      <c r="B21" s="463"/>
      <c r="C21" s="176"/>
      <c r="D21" s="162"/>
      <c r="E21" s="184"/>
      <c r="F21" s="609"/>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row>
    <row r="22" spans="1:32" s="462" customFormat="1" ht="15" customHeight="1">
      <c r="B22" s="463"/>
      <c r="C22" s="176"/>
      <c r="D22" s="179"/>
      <c r="E22" s="163"/>
      <c r="F22" s="537"/>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row>
    <row r="23" spans="1:32" s="462" customFormat="1" ht="15" customHeight="1">
      <c r="B23" s="463"/>
      <c r="C23" s="176"/>
      <c r="D23" s="179"/>
      <c r="E23" s="163"/>
      <c r="F23" s="537"/>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row>
    <row r="24" spans="1:32" s="462" customFormat="1" ht="15" customHeight="1">
      <c r="B24" s="463"/>
      <c r="C24" s="176"/>
      <c r="D24" s="179"/>
      <c r="E24" s="163"/>
      <c r="F24" s="537"/>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row>
    <row r="25" spans="1:32" s="462" customFormat="1" ht="15" customHeight="1">
      <c r="B25" s="463"/>
      <c r="C25" s="176"/>
      <c r="D25" s="179"/>
      <c r="E25" s="163"/>
      <c r="F25" s="537"/>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row>
    <row r="26" spans="1:32" s="462" customFormat="1" ht="15" customHeight="1">
      <c r="B26" s="463"/>
      <c r="C26" s="176"/>
      <c r="D26" s="179"/>
      <c r="E26" s="163"/>
      <c r="F26" s="537"/>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row>
    <row r="27" spans="1:32" s="462" customFormat="1" ht="15" customHeight="1">
      <c r="B27" s="463"/>
      <c r="C27" s="176"/>
      <c r="D27" s="179"/>
      <c r="E27" s="163"/>
      <c r="F27" s="537"/>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row>
    <row r="28" spans="1:32" s="462" customFormat="1" ht="15" customHeight="1">
      <c r="B28" s="463"/>
      <c r="C28" s="176"/>
      <c r="D28" s="179"/>
      <c r="E28" s="163"/>
      <c r="F28" s="537"/>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row>
    <row r="29" spans="1:32" s="462" customFormat="1" ht="15" customHeight="1">
      <c r="B29" s="463"/>
      <c r="C29" s="176"/>
      <c r="D29" s="179"/>
      <c r="E29" s="163"/>
      <c r="F29" s="537"/>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row>
    <row r="30" spans="1:32" s="462" customFormat="1" ht="15" customHeight="1">
      <c r="B30" s="463"/>
      <c r="C30" s="176"/>
      <c r="D30" s="179"/>
      <c r="E30" s="163"/>
      <c r="F30" s="537"/>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c r="AE30" s="180"/>
      <c r="AF30" s="180"/>
    </row>
    <row r="31" spans="1:32" s="462" customFormat="1" ht="15" customHeight="1">
      <c r="B31" s="463"/>
      <c r="C31" s="176"/>
      <c r="D31" s="179"/>
      <c r="E31" s="163"/>
      <c r="F31" s="537"/>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c r="AE31" s="180"/>
      <c r="AF31" s="180"/>
    </row>
    <row r="32" spans="1:32" s="462" customFormat="1" ht="15" customHeight="1">
      <c r="B32" s="463"/>
      <c r="C32" s="176"/>
      <c r="D32" s="179"/>
      <c r="E32" s="163"/>
      <c r="F32" s="537"/>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row>
    <row r="33" spans="2:32" s="462" customFormat="1" ht="15" customHeight="1">
      <c r="B33" s="463"/>
      <c r="C33" s="176"/>
      <c r="D33" s="179"/>
      <c r="E33" s="163"/>
      <c r="F33" s="537"/>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row>
    <row r="34" spans="2:32" s="462" customFormat="1" ht="15" customHeight="1">
      <c r="B34" s="463"/>
      <c r="C34" s="176"/>
      <c r="D34" s="179"/>
      <c r="E34" s="163"/>
      <c r="F34" s="537"/>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row>
    <row r="35" spans="2:32" s="462" customFormat="1" ht="15" customHeight="1">
      <c r="B35" s="463"/>
      <c r="C35" s="176"/>
      <c r="D35" s="179"/>
      <c r="E35" s="163"/>
      <c r="F35" s="537"/>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row>
    <row r="36" spans="2:32" s="462" customFormat="1" ht="15" customHeight="1">
      <c r="B36" s="463"/>
      <c r="C36" s="176"/>
      <c r="D36" s="179"/>
      <c r="E36" s="163"/>
      <c r="F36" s="537"/>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row>
    <row r="37" spans="2:32" s="462" customFormat="1" ht="15" customHeight="1">
      <c r="B37" s="464"/>
      <c r="C37" s="178"/>
      <c r="D37" s="181"/>
      <c r="E37" s="182"/>
      <c r="F37" s="1018"/>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row>
    <row r="38" spans="2:32" ht="15" customHeight="1">
      <c r="C38" s="10"/>
    </row>
    <row r="39" spans="2:32" ht="15" customHeight="1">
      <c r="B39" s="315"/>
      <c r="C39" s="10"/>
      <c r="D39" s="26"/>
      <c r="E39" s="215"/>
      <c r="F39" s="215"/>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2:32" ht="15" customHeight="1">
      <c r="C40" s="10"/>
      <c r="D40" s="26"/>
      <c r="E40" s="215"/>
      <c r="F40" s="215"/>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2:32" ht="15" customHeight="1">
      <c r="C41" s="10"/>
      <c r="D41" s="26"/>
      <c r="E41" s="215"/>
      <c r="F41" s="215"/>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row r="42" spans="2:32" ht="15" customHeight="1">
      <c r="C42" s="10"/>
      <c r="D42" s="26"/>
      <c r="E42" s="215"/>
      <c r="F42" s="215"/>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row>
    <row r="43" spans="2:32" ht="15" customHeight="1">
      <c r="C43" s="10"/>
      <c r="D43" s="26"/>
      <c r="E43" s="215"/>
      <c r="F43" s="215"/>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row>
    <row r="44" spans="2:32" ht="15" customHeight="1">
      <c r="C44" s="10"/>
      <c r="D44" s="26"/>
      <c r="E44" s="215"/>
      <c r="F44" s="215"/>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row>
    <row r="45" spans="2:32" ht="15" customHeight="1">
      <c r="C45" s="10"/>
      <c r="D45" s="26"/>
      <c r="E45" s="215"/>
      <c r="F45" s="215"/>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row>
    <row r="46" spans="2:32" ht="15" customHeight="1">
      <c r="C46" s="10"/>
      <c r="D46" s="26"/>
      <c r="E46" s="215"/>
      <c r="F46" s="215"/>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row>
    <row r="47" spans="2:32" ht="15" customHeight="1">
      <c r="C47" s="10"/>
      <c r="D47" s="26"/>
      <c r="E47" s="215"/>
      <c r="F47" s="215"/>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row>
    <row r="48" spans="2:32" ht="15" customHeight="1">
      <c r="C48" s="10"/>
      <c r="D48" s="26"/>
      <c r="E48" s="215"/>
      <c r="F48" s="215"/>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row>
    <row r="49" spans="3:32" ht="15" customHeight="1">
      <c r="C49" s="10"/>
      <c r="D49" s="26"/>
      <c r="E49" s="215"/>
      <c r="F49" s="215"/>
      <c r="G49" s="203"/>
      <c r="H49" s="203"/>
      <c r="I49" s="203"/>
      <c r="J49" s="203"/>
      <c r="K49" s="203"/>
      <c r="L49" s="203"/>
      <c r="M49" s="203"/>
      <c r="N49" s="203"/>
      <c r="O49" s="203"/>
      <c r="P49" s="203"/>
      <c r="Q49" s="203"/>
      <c r="R49" s="203"/>
      <c r="S49" s="203"/>
      <c r="T49" s="203"/>
      <c r="U49" s="203"/>
      <c r="V49" s="203"/>
      <c r="W49" s="203"/>
      <c r="X49" s="203"/>
      <c r="Y49" s="203"/>
      <c r="Z49" s="203"/>
      <c r="AA49" s="203"/>
      <c r="AB49" s="203"/>
      <c r="AC49" s="203"/>
      <c r="AD49" s="203"/>
      <c r="AE49" s="203"/>
      <c r="AF49" s="203"/>
    </row>
    <row r="50" spans="3:32" ht="15" customHeight="1">
      <c r="C50" s="10"/>
      <c r="D50" s="26"/>
      <c r="E50" s="215"/>
      <c r="F50" s="215"/>
      <c r="G50" s="203"/>
      <c r="H50" s="203"/>
      <c r="I50" s="203"/>
      <c r="J50" s="203"/>
      <c r="K50" s="203"/>
      <c r="L50" s="203"/>
      <c r="M50" s="203"/>
      <c r="N50" s="203"/>
      <c r="O50" s="203"/>
      <c r="P50" s="203"/>
      <c r="Q50" s="203"/>
      <c r="R50" s="203"/>
      <c r="S50" s="203"/>
      <c r="T50" s="203"/>
      <c r="U50" s="203"/>
      <c r="V50" s="203"/>
      <c r="W50" s="203"/>
      <c r="X50" s="203"/>
      <c r="Y50" s="203"/>
      <c r="Z50" s="203"/>
      <c r="AA50" s="203"/>
      <c r="AB50" s="203"/>
      <c r="AC50" s="203"/>
      <c r="AD50" s="203"/>
      <c r="AE50" s="203"/>
      <c r="AF50" s="203"/>
    </row>
    <row r="51" spans="3:32" ht="15" customHeight="1">
      <c r="C51" s="10"/>
      <c r="D51" s="26"/>
      <c r="E51" s="215"/>
      <c r="F51" s="215"/>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row>
    <row r="52" spans="3:32" ht="15" customHeight="1">
      <c r="C52" s="10"/>
      <c r="D52" s="26"/>
      <c r="E52" s="215"/>
      <c r="F52" s="215"/>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row>
    <row r="53" spans="3:32" ht="15" customHeight="1">
      <c r="C53" s="10"/>
      <c r="D53" s="26"/>
      <c r="E53" s="215"/>
      <c r="F53" s="215"/>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row>
    <row r="54" spans="3:32" ht="15" customHeight="1">
      <c r="C54" s="10"/>
      <c r="D54" s="26"/>
      <c r="E54" s="215"/>
      <c r="F54" s="215"/>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row>
    <row r="55" spans="3:32" ht="15" customHeight="1">
      <c r="C55" s="10"/>
      <c r="D55" s="26"/>
      <c r="E55" s="215"/>
      <c r="F55" s="215"/>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row>
    <row r="56" spans="3:32" ht="15" customHeight="1">
      <c r="C56" s="10"/>
      <c r="D56" s="26"/>
      <c r="E56" s="215"/>
      <c r="F56" s="215"/>
      <c r="G56" s="203"/>
      <c r="H56" s="203"/>
      <c r="I56" s="203"/>
      <c r="J56" s="203"/>
      <c r="K56" s="203"/>
      <c r="L56" s="203"/>
      <c r="M56" s="203"/>
      <c r="N56" s="203"/>
      <c r="O56" s="203"/>
      <c r="P56" s="203"/>
      <c r="Q56" s="203"/>
      <c r="R56" s="203"/>
      <c r="S56" s="203"/>
      <c r="T56" s="203"/>
      <c r="U56" s="203"/>
      <c r="V56" s="203"/>
      <c r="W56" s="203"/>
      <c r="X56" s="203"/>
      <c r="Y56" s="203"/>
      <c r="Z56" s="203"/>
      <c r="AA56" s="203"/>
      <c r="AB56" s="203"/>
      <c r="AC56" s="203"/>
      <c r="AD56" s="203"/>
      <c r="AE56" s="203"/>
      <c r="AF56" s="203"/>
    </row>
    <row r="57" spans="3:32" ht="15" customHeight="1">
      <c r="C57" s="10"/>
      <c r="D57" s="26"/>
      <c r="E57" s="215"/>
      <c r="F57" s="215"/>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row>
    <row r="58" spans="3:32" ht="15" customHeight="1">
      <c r="C58" s="10"/>
      <c r="D58" s="26"/>
      <c r="E58" s="215"/>
      <c r="F58" s="215"/>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row>
    <row r="59" spans="3:32" ht="15" customHeight="1">
      <c r="C59" s="10"/>
      <c r="D59" s="26"/>
      <c r="E59" s="215"/>
      <c r="F59" s="215"/>
      <c r="G59" s="203"/>
      <c r="H59" s="203"/>
      <c r="I59" s="203"/>
      <c r="J59" s="203"/>
      <c r="K59" s="203"/>
      <c r="L59" s="203"/>
      <c r="M59" s="203"/>
      <c r="N59" s="203"/>
      <c r="O59" s="203"/>
      <c r="P59" s="203"/>
      <c r="Q59" s="203"/>
      <c r="R59" s="203"/>
      <c r="S59" s="203"/>
      <c r="T59" s="203"/>
      <c r="U59" s="203"/>
      <c r="V59" s="203"/>
      <c r="W59" s="203"/>
      <c r="X59" s="203"/>
      <c r="Y59" s="203"/>
      <c r="Z59" s="203"/>
      <c r="AA59" s="203"/>
      <c r="AB59" s="203"/>
      <c r="AC59" s="203"/>
      <c r="AD59" s="203"/>
      <c r="AE59" s="203"/>
      <c r="AF59" s="203"/>
    </row>
    <row r="60" spans="3:32" ht="15" customHeight="1">
      <c r="C60" s="10"/>
      <c r="D60" s="26"/>
      <c r="E60" s="215"/>
      <c r="F60" s="215"/>
      <c r="G60" s="203"/>
      <c r="H60" s="203"/>
      <c r="I60" s="203"/>
      <c r="J60" s="203"/>
      <c r="K60" s="203"/>
      <c r="L60" s="203"/>
      <c r="M60" s="203"/>
      <c r="N60" s="203"/>
      <c r="O60" s="203"/>
      <c r="P60" s="203"/>
      <c r="Q60" s="203"/>
      <c r="R60" s="203"/>
      <c r="S60" s="203"/>
      <c r="T60" s="203"/>
      <c r="U60" s="203"/>
      <c r="V60" s="203"/>
      <c r="W60" s="203"/>
      <c r="X60" s="203"/>
      <c r="Y60" s="203"/>
      <c r="Z60" s="203"/>
      <c r="AA60" s="203"/>
      <c r="AB60" s="203"/>
      <c r="AC60" s="203"/>
      <c r="AD60" s="203"/>
      <c r="AE60" s="203"/>
      <c r="AF60" s="203"/>
    </row>
    <row r="61" spans="3:32" ht="15" customHeight="1">
      <c r="C61" s="10"/>
      <c r="D61" s="26"/>
      <c r="E61" s="215"/>
      <c r="F61" s="215"/>
      <c r="G61" s="203"/>
      <c r="H61" s="203"/>
      <c r="I61" s="203"/>
      <c r="J61" s="203"/>
      <c r="K61" s="203"/>
      <c r="L61" s="203"/>
      <c r="M61" s="203"/>
      <c r="N61" s="203"/>
      <c r="O61" s="203"/>
      <c r="P61" s="203"/>
      <c r="Q61" s="203"/>
      <c r="R61" s="203"/>
      <c r="S61" s="203"/>
      <c r="T61" s="203"/>
      <c r="U61" s="203"/>
      <c r="V61" s="203"/>
      <c r="W61" s="203"/>
      <c r="X61" s="203"/>
      <c r="Y61" s="203"/>
      <c r="Z61" s="203"/>
      <c r="AA61" s="203"/>
      <c r="AB61" s="203"/>
      <c r="AC61" s="203"/>
      <c r="AD61" s="203"/>
      <c r="AE61" s="203"/>
      <c r="AF61" s="203"/>
    </row>
    <row r="62" spans="3:32" ht="15" customHeight="1">
      <c r="C62" s="10"/>
      <c r="D62" s="26"/>
      <c r="E62" s="215"/>
      <c r="F62" s="215"/>
      <c r="G62" s="203"/>
      <c r="H62" s="203"/>
      <c r="I62" s="203"/>
      <c r="J62" s="203"/>
      <c r="K62" s="203"/>
      <c r="L62" s="203"/>
      <c r="M62" s="203"/>
      <c r="N62" s="203"/>
      <c r="O62" s="203"/>
      <c r="P62" s="203"/>
      <c r="Q62" s="203"/>
      <c r="R62" s="203"/>
      <c r="S62" s="203"/>
      <c r="T62" s="203"/>
      <c r="U62" s="203"/>
      <c r="V62" s="203"/>
      <c r="W62" s="203"/>
      <c r="X62" s="203"/>
      <c r="Y62" s="203"/>
      <c r="Z62" s="203"/>
      <c r="AA62" s="203"/>
      <c r="AB62" s="203"/>
      <c r="AC62" s="203"/>
      <c r="AD62" s="203"/>
      <c r="AE62" s="203"/>
      <c r="AF62" s="203"/>
    </row>
    <row r="63" spans="3:32" ht="15" customHeight="1">
      <c r="C63" s="10"/>
      <c r="D63" s="26"/>
      <c r="E63" s="215"/>
      <c r="F63" s="215"/>
      <c r="G63" s="203"/>
      <c r="H63" s="203"/>
      <c r="I63" s="203"/>
      <c r="J63" s="203"/>
      <c r="K63" s="203"/>
      <c r="L63" s="203"/>
      <c r="M63" s="203"/>
      <c r="N63" s="203"/>
      <c r="O63" s="203"/>
      <c r="P63" s="203"/>
      <c r="Q63" s="203"/>
      <c r="R63" s="203"/>
      <c r="S63" s="203"/>
      <c r="T63" s="203"/>
      <c r="U63" s="203"/>
      <c r="V63" s="203"/>
      <c r="W63" s="203"/>
      <c r="X63" s="203"/>
      <c r="Y63" s="203"/>
      <c r="Z63" s="203"/>
      <c r="AA63" s="203"/>
      <c r="AB63" s="203"/>
      <c r="AC63" s="203"/>
      <c r="AD63" s="203"/>
      <c r="AE63" s="203"/>
      <c r="AF63" s="203"/>
    </row>
    <row r="64" spans="3:32" ht="15" customHeight="1">
      <c r="C64" s="10"/>
    </row>
    <row r="65" spans="2:32" ht="15" customHeight="1">
      <c r="B65" s="315"/>
      <c r="C65" s="10"/>
      <c r="D65" s="26"/>
      <c r="E65" s="215"/>
      <c r="F65" s="215"/>
      <c r="G65" s="203"/>
      <c r="H65" s="203"/>
      <c r="I65" s="203"/>
      <c r="J65" s="203"/>
      <c r="K65" s="203"/>
      <c r="L65" s="203"/>
      <c r="M65" s="203"/>
      <c r="N65" s="203"/>
      <c r="O65" s="203"/>
      <c r="P65" s="203"/>
      <c r="Q65" s="203"/>
      <c r="R65" s="203"/>
      <c r="S65" s="203"/>
      <c r="T65" s="203"/>
      <c r="U65" s="203"/>
      <c r="V65" s="203"/>
      <c r="W65" s="203"/>
      <c r="X65" s="203"/>
      <c r="Y65" s="203"/>
      <c r="Z65" s="203"/>
      <c r="AA65" s="203"/>
      <c r="AB65" s="203"/>
      <c r="AC65" s="203"/>
      <c r="AD65" s="203"/>
      <c r="AE65" s="203"/>
      <c r="AF65" s="203"/>
    </row>
    <row r="66" spans="2:32" ht="15" customHeight="1">
      <c r="C66" s="10"/>
      <c r="D66" s="26"/>
      <c r="E66" s="215"/>
      <c r="F66" s="215"/>
      <c r="G66" s="203"/>
      <c r="H66" s="203"/>
      <c r="I66" s="203"/>
      <c r="J66" s="203"/>
      <c r="K66" s="203"/>
      <c r="L66" s="203"/>
      <c r="M66" s="203"/>
      <c r="N66" s="203"/>
      <c r="O66" s="203"/>
      <c r="P66" s="203"/>
      <c r="Q66" s="203"/>
      <c r="R66" s="203"/>
      <c r="S66" s="203"/>
      <c r="T66" s="203"/>
      <c r="U66" s="203"/>
      <c r="V66" s="203"/>
      <c r="W66" s="203"/>
      <c r="X66" s="203"/>
      <c r="Y66" s="203"/>
      <c r="Z66" s="203"/>
      <c r="AA66" s="203"/>
      <c r="AB66" s="203"/>
      <c r="AC66" s="203"/>
      <c r="AD66" s="203"/>
      <c r="AE66" s="203"/>
      <c r="AF66" s="203"/>
    </row>
    <row r="67" spans="2:32" ht="15" customHeight="1">
      <c r="C67" s="10"/>
      <c r="D67" s="26"/>
      <c r="E67" s="215"/>
      <c r="F67" s="215"/>
      <c r="G67" s="203"/>
      <c r="H67" s="203"/>
      <c r="I67" s="203"/>
      <c r="J67" s="203"/>
      <c r="K67" s="203"/>
      <c r="L67" s="203"/>
      <c r="M67" s="203"/>
      <c r="N67" s="203"/>
      <c r="O67" s="203"/>
      <c r="P67" s="203"/>
      <c r="Q67" s="203"/>
      <c r="R67" s="203"/>
      <c r="S67" s="203"/>
      <c r="T67" s="203"/>
      <c r="U67" s="203"/>
      <c r="V67" s="203"/>
      <c r="W67" s="203"/>
      <c r="X67" s="203"/>
      <c r="Y67" s="203"/>
      <c r="Z67" s="203"/>
      <c r="AA67" s="203"/>
      <c r="AB67" s="203"/>
      <c r="AC67" s="203"/>
      <c r="AD67" s="203"/>
      <c r="AE67" s="203"/>
      <c r="AF67" s="203"/>
    </row>
    <row r="68" spans="2:32" ht="15" customHeight="1">
      <c r="C68" s="10"/>
      <c r="D68" s="26"/>
      <c r="E68" s="215"/>
      <c r="F68" s="215"/>
      <c r="G68" s="203"/>
      <c r="H68" s="203"/>
      <c r="I68" s="203"/>
      <c r="J68" s="203"/>
      <c r="K68" s="203"/>
      <c r="L68" s="203"/>
      <c r="M68" s="203"/>
      <c r="N68" s="203"/>
      <c r="O68" s="203"/>
      <c r="P68" s="203"/>
      <c r="Q68" s="203"/>
      <c r="R68" s="203"/>
      <c r="S68" s="203"/>
      <c r="T68" s="203"/>
      <c r="U68" s="203"/>
      <c r="V68" s="203"/>
      <c r="W68" s="203"/>
      <c r="X68" s="203"/>
      <c r="Y68" s="203"/>
      <c r="Z68" s="203"/>
      <c r="AA68" s="203"/>
      <c r="AB68" s="203"/>
      <c r="AC68" s="203"/>
      <c r="AD68" s="203"/>
      <c r="AE68" s="203"/>
      <c r="AF68" s="203"/>
    </row>
    <row r="69" spans="2:32" ht="15" customHeight="1">
      <c r="C69" s="10"/>
      <c r="D69" s="26"/>
      <c r="E69" s="215"/>
      <c r="F69" s="215"/>
      <c r="G69" s="203"/>
      <c r="H69" s="203"/>
      <c r="I69" s="203"/>
      <c r="J69" s="203"/>
      <c r="K69" s="203"/>
      <c r="L69" s="203"/>
      <c r="M69" s="203"/>
      <c r="N69" s="203"/>
      <c r="O69" s="203"/>
      <c r="P69" s="203"/>
      <c r="Q69" s="203"/>
      <c r="R69" s="203"/>
      <c r="S69" s="203"/>
      <c r="T69" s="203"/>
      <c r="U69" s="203"/>
      <c r="V69" s="203"/>
      <c r="W69" s="203"/>
      <c r="X69" s="203"/>
      <c r="Y69" s="203"/>
      <c r="Z69" s="203"/>
      <c r="AA69" s="203"/>
      <c r="AB69" s="203"/>
      <c r="AC69" s="203"/>
      <c r="AD69" s="203"/>
      <c r="AE69" s="203"/>
      <c r="AF69" s="203"/>
    </row>
    <row r="70" spans="2:32" ht="15" customHeight="1">
      <c r="C70" s="10"/>
      <c r="D70" s="26"/>
      <c r="E70" s="215"/>
      <c r="F70" s="215"/>
      <c r="G70" s="203"/>
      <c r="H70" s="203"/>
      <c r="I70" s="203"/>
      <c r="J70" s="203"/>
      <c r="K70" s="203"/>
      <c r="L70" s="203"/>
      <c r="M70" s="203"/>
      <c r="N70" s="203"/>
      <c r="O70" s="203"/>
      <c r="P70" s="203"/>
      <c r="Q70" s="203"/>
      <c r="R70" s="203"/>
      <c r="S70" s="203"/>
      <c r="T70" s="203"/>
      <c r="U70" s="203"/>
      <c r="V70" s="203"/>
      <c r="W70" s="203"/>
      <c r="X70" s="203"/>
      <c r="Y70" s="203"/>
      <c r="Z70" s="203"/>
      <c r="AA70" s="203"/>
      <c r="AB70" s="203"/>
      <c r="AC70" s="203"/>
      <c r="AD70" s="203"/>
      <c r="AE70" s="203"/>
      <c r="AF70" s="203"/>
    </row>
    <row r="71" spans="2:32" ht="15" customHeight="1">
      <c r="C71" s="10"/>
      <c r="D71" s="26"/>
      <c r="E71" s="215"/>
      <c r="F71" s="215"/>
      <c r="G71" s="203"/>
      <c r="H71" s="203"/>
      <c r="I71" s="203"/>
      <c r="J71" s="203"/>
      <c r="K71" s="203"/>
      <c r="L71" s="203"/>
      <c r="M71" s="203"/>
      <c r="N71" s="203"/>
      <c r="O71" s="203"/>
      <c r="P71" s="203"/>
      <c r="Q71" s="203"/>
      <c r="R71" s="203"/>
      <c r="S71" s="203"/>
      <c r="T71" s="203"/>
      <c r="U71" s="203"/>
      <c r="V71" s="203"/>
      <c r="W71" s="203"/>
      <c r="X71" s="203"/>
      <c r="Y71" s="203"/>
      <c r="Z71" s="203"/>
      <c r="AA71" s="203"/>
      <c r="AB71" s="203"/>
      <c r="AC71" s="203"/>
      <c r="AD71" s="203"/>
      <c r="AE71" s="203"/>
      <c r="AF71" s="203"/>
    </row>
    <row r="72" spans="2:32" ht="15" customHeight="1">
      <c r="C72" s="10"/>
      <c r="D72" s="26"/>
      <c r="E72" s="215"/>
      <c r="F72" s="215"/>
      <c r="G72" s="203"/>
      <c r="H72" s="203"/>
      <c r="I72" s="203"/>
      <c r="J72" s="203"/>
      <c r="K72" s="203"/>
      <c r="L72" s="203"/>
      <c r="M72" s="203"/>
      <c r="N72" s="203"/>
      <c r="O72" s="203"/>
      <c r="P72" s="203"/>
      <c r="Q72" s="203"/>
      <c r="R72" s="203"/>
      <c r="S72" s="203"/>
      <c r="T72" s="203"/>
      <c r="U72" s="203"/>
      <c r="V72" s="203"/>
      <c r="W72" s="203"/>
      <c r="X72" s="203"/>
      <c r="Y72" s="203"/>
      <c r="Z72" s="203"/>
      <c r="AA72" s="203"/>
      <c r="AB72" s="203"/>
      <c r="AC72" s="203"/>
      <c r="AD72" s="203"/>
      <c r="AE72" s="203"/>
      <c r="AF72" s="203"/>
    </row>
    <row r="73" spans="2:32" ht="15" customHeight="1">
      <c r="C73" s="10"/>
      <c r="D73" s="26"/>
      <c r="E73" s="215"/>
      <c r="F73" s="215"/>
      <c r="G73" s="203"/>
      <c r="H73" s="203"/>
      <c r="I73" s="203"/>
      <c r="J73" s="203"/>
      <c r="K73" s="203"/>
      <c r="L73" s="203"/>
      <c r="M73" s="203"/>
      <c r="N73" s="203"/>
      <c r="O73" s="203"/>
      <c r="P73" s="203"/>
      <c r="Q73" s="203"/>
      <c r="R73" s="203"/>
      <c r="S73" s="203"/>
      <c r="T73" s="203"/>
      <c r="U73" s="203"/>
      <c r="V73" s="203"/>
      <c r="W73" s="203"/>
      <c r="X73" s="203"/>
      <c r="Y73" s="203"/>
      <c r="Z73" s="203"/>
      <c r="AA73" s="203"/>
      <c r="AB73" s="203"/>
      <c r="AC73" s="203"/>
      <c r="AD73" s="203"/>
      <c r="AE73" s="203"/>
      <c r="AF73" s="203"/>
    </row>
    <row r="74" spans="2:32" ht="15" customHeight="1">
      <c r="C74" s="10"/>
      <c r="D74" s="26"/>
      <c r="E74" s="215"/>
      <c r="F74" s="215"/>
      <c r="G74" s="203"/>
      <c r="H74" s="203"/>
      <c r="I74" s="203"/>
      <c r="J74" s="203"/>
      <c r="K74" s="203"/>
      <c r="L74" s="203"/>
      <c r="M74" s="203"/>
      <c r="N74" s="203"/>
      <c r="O74" s="203"/>
      <c r="P74" s="203"/>
      <c r="Q74" s="203"/>
      <c r="R74" s="203"/>
      <c r="S74" s="203"/>
      <c r="T74" s="203"/>
      <c r="U74" s="203"/>
      <c r="V74" s="203"/>
      <c r="W74" s="203"/>
      <c r="X74" s="203"/>
      <c r="Y74" s="203"/>
      <c r="Z74" s="203"/>
      <c r="AA74" s="203"/>
      <c r="AB74" s="203"/>
      <c r="AC74" s="203"/>
      <c r="AD74" s="203"/>
      <c r="AE74" s="203"/>
      <c r="AF74" s="203"/>
    </row>
    <row r="75" spans="2:32" ht="15" customHeight="1">
      <c r="C75" s="10"/>
      <c r="D75" s="26"/>
      <c r="E75" s="215"/>
      <c r="F75" s="215"/>
      <c r="G75" s="203"/>
      <c r="H75" s="203"/>
      <c r="I75" s="203"/>
      <c r="J75" s="203"/>
      <c r="K75" s="203"/>
      <c r="L75" s="203"/>
      <c r="M75" s="203"/>
      <c r="N75" s="203"/>
      <c r="O75" s="203"/>
      <c r="P75" s="203"/>
      <c r="Q75" s="203"/>
      <c r="R75" s="203"/>
      <c r="S75" s="203"/>
      <c r="T75" s="203"/>
      <c r="U75" s="203"/>
      <c r="V75" s="203"/>
      <c r="W75" s="203"/>
      <c r="X75" s="203"/>
      <c r="Y75" s="203"/>
      <c r="Z75" s="203"/>
      <c r="AA75" s="203"/>
      <c r="AB75" s="203"/>
      <c r="AC75" s="203"/>
      <c r="AD75" s="203"/>
      <c r="AE75" s="203"/>
      <c r="AF75" s="203"/>
    </row>
    <row r="76" spans="2:32" ht="15" customHeight="1">
      <c r="C76" s="10"/>
      <c r="D76" s="26"/>
      <c r="E76" s="215"/>
      <c r="F76" s="215"/>
      <c r="G76" s="203"/>
      <c r="H76" s="203"/>
      <c r="I76" s="203"/>
      <c r="J76" s="203"/>
      <c r="K76" s="203"/>
      <c r="L76" s="203"/>
      <c r="M76" s="203"/>
      <c r="N76" s="203"/>
      <c r="O76" s="203"/>
      <c r="P76" s="203"/>
      <c r="Q76" s="203"/>
      <c r="R76" s="203"/>
      <c r="S76" s="203"/>
      <c r="T76" s="203"/>
      <c r="U76" s="203"/>
      <c r="V76" s="203"/>
      <c r="W76" s="203"/>
      <c r="X76" s="203"/>
      <c r="Y76" s="203"/>
      <c r="Z76" s="203"/>
      <c r="AA76" s="203"/>
      <c r="AB76" s="203"/>
      <c r="AC76" s="203"/>
      <c r="AD76" s="203"/>
      <c r="AE76" s="203"/>
      <c r="AF76" s="203"/>
    </row>
    <row r="77" spans="2:32" ht="15" customHeight="1">
      <c r="C77" s="10"/>
      <c r="D77" s="26"/>
      <c r="E77" s="215"/>
      <c r="F77" s="215"/>
      <c r="G77" s="203"/>
      <c r="H77" s="203"/>
      <c r="I77" s="203"/>
      <c r="J77" s="203"/>
      <c r="K77" s="203"/>
      <c r="L77" s="203"/>
      <c r="M77" s="203"/>
      <c r="N77" s="203"/>
      <c r="O77" s="203"/>
      <c r="P77" s="203"/>
      <c r="Q77" s="203"/>
      <c r="R77" s="203"/>
      <c r="S77" s="203"/>
      <c r="T77" s="203"/>
      <c r="U77" s="203"/>
      <c r="V77" s="203"/>
      <c r="W77" s="203"/>
      <c r="X77" s="203"/>
      <c r="Y77" s="203"/>
      <c r="Z77" s="203"/>
      <c r="AA77" s="203"/>
      <c r="AB77" s="203"/>
      <c r="AC77" s="203"/>
      <c r="AD77" s="203"/>
      <c r="AE77" s="203"/>
      <c r="AF77" s="203"/>
    </row>
    <row r="78" spans="2:32" ht="15" customHeight="1">
      <c r="C78" s="10"/>
      <c r="D78" s="26"/>
      <c r="E78" s="215"/>
      <c r="F78" s="215"/>
      <c r="G78" s="203"/>
      <c r="H78" s="203"/>
      <c r="I78" s="203"/>
      <c r="J78" s="203"/>
      <c r="K78" s="203"/>
      <c r="L78" s="203"/>
      <c r="M78" s="203"/>
      <c r="N78" s="203"/>
      <c r="O78" s="203"/>
      <c r="P78" s="203"/>
      <c r="Q78" s="203"/>
      <c r="R78" s="203"/>
      <c r="S78" s="203"/>
      <c r="T78" s="203"/>
      <c r="U78" s="203"/>
      <c r="V78" s="203"/>
      <c r="W78" s="203"/>
      <c r="X78" s="203"/>
      <c r="Y78" s="203"/>
      <c r="Z78" s="203"/>
      <c r="AA78" s="203"/>
      <c r="AB78" s="203"/>
      <c r="AC78" s="203"/>
      <c r="AD78" s="203"/>
      <c r="AE78" s="203"/>
      <c r="AF78" s="203"/>
    </row>
    <row r="79" spans="2:32" ht="15" customHeight="1">
      <c r="C79" s="10"/>
      <c r="D79" s="26"/>
      <c r="E79" s="215"/>
      <c r="F79" s="215"/>
      <c r="G79" s="203"/>
      <c r="H79" s="203"/>
      <c r="I79" s="203"/>
      <c r="J79" s="203"/>
      <c r="K79" s="203"/>
      <c r="L79" s="203"/>
      <c r="M79" s="203"/>
      <c r="N79" s="203"/>
      <c r="O79" s="203"/>
      <c r="P79" s="203"/>
      <c r="Q79" s="203"/>
      <c r="R79" s="203"/>
      <c r="S79" s="203"/>
      <c r="T79" s="203"/>
      <c r="U79" s="203"/>
      <c r="V79" s="203"/>
      <c r="W79" s="203"/>
      <c r="X79" s="203"/>
      <c r="Y79" s="203"/>
      <c r="Z79" s="203"/>
      <c r="AA79" s="203"/>
      <c r="AB79" s="203"/>
      <c r="AC79" s="203"/>
      <c r="AD79" s="203"/>
      <c r="AE79" s="203"/>
      <c r="AF79" s="203"/>
    </row>
    <row r="80" spans="2:32" ht="15" customHeight="1">
      <c r="C80" s="10"/>
      <c r="D80" s="26"/>
      <c r="E80" s="215"/>
      <c r="F80" s="215"/>
      <c r="G80" s="203"/>
      <c r="H80" s="203"/>
      <c r="I80" s="203"/>
      <c r="J80" s="203"/>
      <c r="K80" s="203"/>
      <c r="L80" s="203"/>
      <c r="M80" s="203"/>
      <c r="N80" s="203"/>
      <c r="O80" s="203"/>
      <c r="P80" s="203"/>
      <c r="Q80" s="203"/>
      <c r="R80" s="203"/>
      <c r="S80" s="203"/>
      <c r="T80" s="203"/>
      <c r="U80" s="203"/>
      <c r="V80" s="203"/>
      <c r="W80" s="203"/>
      <c r="X80" s="203"/>
      <c r="Y80" s="203"/>
      <c r="Z80" s="203"/>
      <c r="AA80" s="203"/>
      <c r="AB80" s="203"/>
      <c r="AC80" s="203"/>
      <c r="AD80" s="203"/>
      <c r="AE80" s="203"/>
      <c r="AF80" s="203"/>
    </row>
    <row r="81" spans="2:32" ht="15" customHeight="1">
      <c r="C81" s="10"/>
      <c r="D81" s="26"/>
      <c r="E81" s="215"/>
      <c r="F81" s="215"/>
      <c r="G81" s="203"/>
      <c r="H81" s="203"/>
      <c r="I81" s="203"/>
      <c r="J81" s="203"/>
      <c r="K81" s="203"/>
      <c r="L81" s="203"/>
      <c r="M81" s="203"/>
      <c r="N81" s="203"/>
      <c r="O81" s="203"/>
      <c r="P81" s="203"/>
      <c r="Q81" s="203"/>
      <c r="R81" s="203"/>
      <c r="S81" s="203"/>
      <c r="T81" s="203"/>
      <c r="U81" s="203"/>
      <c r="V81" s="203"/>
      <c r="W81" s="203"/>
      <c r="X81" s="203"/>
      <c r="Y81" s="203"/>
      <c r="Z81" s="203"/>
      <c r="AA81" s="203"/>
      <c r="AB81" s="203"/>
      <c r="AC81" s="203"/>
      <c r="AD81" s="203"/>
      <c r="AE81" s="203"/>
      <c r="AF81" s="203"/>
    </row>
    <row r="82" spans="2:32" ht="15" customHeight="1">
      <c r="C82" s="10"/>
      <c r="D82" s="26"/>
      <c r="E82" s="215"/>
      <c r="F82" s="215"/>
      <c r="G82" s="203"/>
      <c r="H82" s="203"/>
      <c r="I82" s="203"/>
      <c r="J82" s="203"/>
      <c r="K82" s="203"/>
      <c r="L82" s="203"/>
      <c r="M82" s="203"/>
      <c r="N82" s="203"/>
      <c r="O82" s="203"/>
      <c r="P82" s="203"/>
      <c r="Q82" s="203"/>
      <c r="R82" s="203"/>
      <c r="S82" s="203"/>
      <c r="T82" s="203"/>
      <c r="U82" s="203"/>
      <c r="V82" s="203"/>
      <c r="W82" s="203"/>
      <c r="X82" s="203"/>
      <c r="Y82" s="203"/>
      <c r="Z82" s="203"/>
      <c r="AA82" s="203"/>
      <c r="AB82" s="203"/>
      <c r="AC82" s="203"/>
      <c r="AD82" s="203"/>
      <c r="AE82" s="203"/>
      <c r="AF82" s="203"/>
    </row>
    <row r="83" spans="2:32" ht="15" customHeight="1">
      <c r="C83" s="10"/>
      <c r="D83" s="26"/>
      <c r="E83" s="215"/>
      <c r="F83" s="215"/>
      <c r="G83" s="203"/>
      <c r="H83" s="203"/>
      <c r="I83" s="203"/>
      <c r="J83" s="203"/>
      <c r="K83" s="203"/>
      <c r="L83" s="203"/>
      <c r="M83" s="203"/>
      <c r="N83" s="203"/>
      <c r="O83" s="203"/>
      <c r="P83" s="203"/>
      <c r="Q83" s="203"/>
      <c r="R83" s="203"/>
      <c r="S83" s="203"/>
      <c r="T83" s="203"/>
      <c r="U83" s="203"/>
      <c r="V83" s="203"/>
      <c r="W83" s="203"/>
      <c r="X83" s="203"/>
      <c r="Y83" s="203"/>
      <c r="Z83" s="203"/>
      <c r="AA83" s="203"/>
      <c r="AB83" s="203"/>
      <c r="AC83" s="203"/>
      <c r="AD83" s="203"/>
      <c r="AE83" s="203"/>
      <c r="AF83" s="203"/>
    </row>
    <row r="84" spans="2:32" ht="15" customHeight="1">
      <c r="C84" s="10"/>
      <c r="D84" s="26"/>
      <c r="E84" s="215"/>
      <c r="F84" s="215"/>
      <c r="G84" s="203"/>
      <c r="H84" s="203"/>
      <c r="I84" s="203"/>
      <c r="J84" s="203"/>
      <c r="K84" s="203"/>
      <c r="L84" s="203"/>
      <c r="M84" s="203"/>
      <c r="N84" s="203"/>
      <c r="O84" s="203"/>
      <c r="P84" s="203"/>
      <c r="Q84" s="203"/>
      <c r="R84" s="203"/>
      <c r="S84" s="203"/>
      <c r="T84" s="203"/>
      <c r="U84" s="203"/>
      <c r="V84" s="203"/>
      <c r="W84" s="203"/>
      <c r="X84" s="203"/>
      <c r="Y84" s="203"/>
      <c r="Z84" s="203"/>
      <c r="AA84" s="203"/>
      <c r="AB84" s="203"/>
      <c r="AC84" s="203"/>
      <c r="AD84" s="203"/>
      <c r="AE84" s="203"/>
      <c r="AF84" s="203"/>
    </row>
    <row r="85" spans="2:32" ht="15" customHeight="1">
      <c r="C85" s="10"/>
      <c r="D85" s="26"/>
      <c r="E85" s="215"/>
      <c r="F85" s="215"/>
      <c r="G85" s="203"/>
      <c r="H85" s="203"/>
      <c r="I85" s="203"/>
      <c r="J85" s="203"/>
      <c r="K85" s="203"/>
      <c r="L85" s="203"/>
      <c r="M85" s="203"/>
      <c r="N85" s="203"/>
      <c r="O85" s="203"/>
      <c r="P85" s="203"/>
      <c r="Q85" s="203"/>
      <c r="R85" s="203"/>
      <c r="S85" s="203"/>
      <c r="T85" s="203"/>
      <c r="U85" s="203"/>
      <c r="V85" s="203"/>
      <c r="W85" s="203"/>
      <c r="X85" s="203"/>
      <c r="Y85" s="203"/>
      <c r="Z85" s="203"/>
      <c r="AA85" s="203"/>
      <c r="AB85" s="203"/>
      <c r="AC85" s="203"/>
      <c r="AD85" s="203"/>
      <c r="AE85" s="203"/>
      <c r="AF85" s="203"/>
    </row>
    <row r="86" spans="2:32" ht="15" customHeight="1">
      <c r="C86" s="10"/>
      <c r="D86" s="26"/>
      <c r="E86" s="215"/>
      <c r="F86" s="215"/>
      <c r="G86" s="203"/>
      <c r="H86" s="203"/>
      <c r="I86" s="203"/>
      <c r="J86" s="203"/>
      <c r="K86" s="203"/>
      <c r="L86" s="203"/>
      <c r="M86" s="203"/>
      <c r="N86" s="203"/>
      <c r="O86" s="203"/>
      <c r="P86" s="203"/>
      <c r="Q86" s="203"/>
      <c r="R86" s="203"/>
      <c r="S86" s="203"/>
      <c r="T86" s="203"/>
      <c r="U86" s="203"/>
      <c r="V86" s="203"/>
      <c r="W86" s="203"/>
      <c r="X86" s="203"/>
      <c r="Y86" s="203"/>
      <c r="Z86" s="203"/>
      <c r="AA86" s="203"/>
      <c r="AB86" s="203"/>
      <c r="AC86" s="203"/>
      <c r="AD86" s="203"/>
      <c r="AE86" s="203"/>
      <c r="AF86" s="203"/>
    </row>
    <row r="87" spans="2:32" ht="15" customHeight="1">
      <c r="C87" s="10"/>
      <c r="D87" s="26"/>
      <c r="E87" s="215"/>
      <c r="F87" s="215"/>
      <c r="G87" s="203"/>
      <c r="H87" s="203"/>
      <c r="I87" s="203"/>
      <c r="J87" s="203"/>
      <c r="K87" s="203"/>
      <c r="L87" s="203"/>
      <c r="M87" s="203"/>
      <c r="N87" s="203"/>
      <c r="O87" s="203"/>
      <c r="P87" s="203"/>
      <c r="Q87" s="203"/>
      <c r="R87" s="203"/>
      <c r="S87" s="203"/>
      <c r="T87" s="203"/>
      <c r="U87" s="203"/>
      <c r="V87" s="203"/>
      <c r="W87" s="203"/>
      <c r="X87" s="203"/>
      <c r="Y87" s="203"/>
      <c r="Z87" s="203"/>
      <c r="AA87" s="203"/>
      <c r="AB87" s="203"/>
      <c r="AC87" s="203"/>
      <c r="AD87" s="203"/>
      <c r="AE87" s="203"/>
      <c r="AF87" s="203"/>
    </row>
    <row r="88" spans="2:32" ht="15" customHeight="1">
      <c r="C88" s="10"/>
      <c r="D88" s="26"/>
      <c r="E88" s="215"/>
      <c r="F88" s="215"/>
      <c r="G88" s="203"/>
      <c r="H88" s="203"/>
      <c r="I88" s="203"/>
      <c r="J88" s="203"/>
      <c r="K88" s="203"/>
      <c r="L88" s="203"/>
      <c r="M88" s="203"/>
      <c r="N88" s="203"/>
      <c r="O88" s="203"/>
      <c r="P88" s="203"/>
      <c r="Q88" s="203"/>
      <c r="R88" s="203"/>
      <c r="S88" s="203"/>
      <c r="T88" s="203"/>
      <c r="U88" s="203"/>
      <c r="V88" s="203"/>
      <c r="W88" s="203"/>
      <c r="X88" s="203"/>
      <c r="Y88" s="203"/>
      <c r="Z88" s="203"/>
      <c r="AA88" s="203"/>
      <c r="AB88" s="203"/>
      <c r="AC88" s="203"/>
      <c r="AD88" s="203"/>
      <c r="AE88" s="203"/>
      <c r="AF88" s="203"/>
    </row>
    <row r="89" spans="2:32" ht="15" customHeight="1">
      <c r="C89" s="10"/>
      <c r="D89" s="26"/>
      <c r="E89" s="215"/>
      <c r="F89" s="215"/>
      <c r="G89" s="203"/>
      <c r="H89" s="203"/>
      <c r="I89" s="203"/>
      <c r="J89" s="203"/>
      <c r="K89" s="203"/>
      <c r="L89" s="203"/>
      <c r="M89" s="203"/>
      <c r="N89" s="203"/>
      <c r="O89" s="203"/>
      <c r="P89" s="203"/>
      <c r="Q89" s="203"/>
      <c r="R89" s="203"/>
      <c r="S89" s="203"/>
      <c r="T89" s="203"/>
      <c r="U89" s="203"/>
      <c r="V89" s="203"/>
      <c r="W89" s="203"/>
      <c r="X89" s="203"/>
      <c r="Y89" s="203"/>
      <c r="Z89" s="203"/>
      <c r="AA89" s="203"/>
      <c r="AB89" s="203"/>
      <c r="AC89" s="203"/>
      <c r="AD89" s="203"/>
      <c r="AE89" s="203"/>
      <c r="AF89" s="203"/>
    </row>
    <row r="90" spans="2:32" ht="15" customHeight="1">
      <c r="C90" s="10"/>
    </row>
    <row r="91" spans="2:32" ht="15" customHeight="1">
      <c r="B91" s="315"/>
      <c r="C91" s="10"/>
      <c r="D91" s="26"/>
      <c r="E91" s="215"/>
      <c r="F91" s="215"/>
      <c r="G91" s="203"/>
      <c r="H91" s="203"/>
      <c r="I91" s="203"/>
      <c r="J91" s="203"/>
      <c r="K91" s="203"/>
      <c r="L91" s="203"/>
      <c r="M91" s="203"/>
      <c r="N91" s="203"/>
      <c r="O91" s="203"/>
      <c r="P91" s="203"/>
      <c r="Q91" s="203"/>
      <c r="R91" s="203"/>
      <c r="S91" s="203"/>
      <c r="T91" s="203"/>
      <c r="U91" s="203"/>
      <c r="V91" s="203"/>
      <c r="W91" s="203"/>
      <c r="X91" s="203"/>
      <c r="Y91" s="203"/>
      <c r="Z91" s="203"/>
      <c r="AA91" s="203"/>
      <c r="AB91" s="203"/>
      <c r="AC91" s="203"/>
      <c r="AD91" s="203"/>
      <c r="AE91" s="203"/>
      <c r="AF91" s="203"/>
    </row>
    <row r="92" spans="2:32" ht="15" customHeight="1">
      <c r="C92" s="10"/>
      <c r="D92" s="26"/>
      <c r="E92" s="215"/>
      <c r="F92" s="215"/>
      <c r="G92" s="203"/>
      <c r="H92" s="203"/>
      <c r="I92" s="203"/>
      <c r="J92" s="203"/>
      <c r="K92" s="203"/>
      <c r="L92" s="203"/>
      <c r="M92" s="203"/>
      <c r="N92" s="203"/>
      <c r="O92" s="203"/>
      <c r="P92" s="203"/>
      <c r="Q92" s="203"/>
      <c r="R92" s="203"/>
      <c r="S92" s="203"/>
      <c r="T92" s="203"/>
      <c r="U92" s="203"/>
      <c r="V92" s="203"/>
      <c r="W92" s="203"/>
      <c r="X92" s="203"/>
      <c r="Y92" s="203"/>
      <c r="Z92" s="203"/>
      <c r="AA92" s="203"/>
      <c r="AB92" s="203"/>
      <c r="AC92" s="203"/>
      <c r="AD92" s="203"/>
      <c r="AE92" s="203"/>
      <c r="AF92" s="203"/>
    </row>
    <row r="93" spans="2:32" ht="15" customHeight="1">
      <c r="C93" s="10"/>
      <c r="D93" s="26"/>
      <c r="E93" s="215"/>
      <c r="F93" s="215"/>
      <c r="G93" s="203"/>
      <c r="H93" s="203"/>
      <c r="I93" s="203"/>
      <c r="J93" s="203"/>
      <c r="K93" s="203"/>
      <c r="L93" s="203"/>
      <c r="M93" s="203"/>
      <c r="N93" s="203"/>
      <c r="O93" s="203"/>
      <c r="P93" s="203"/>
      <c r="Q93" s="203"/>
      <c r="R93" s="203"/>
      <c r="S93" s="203"/>
      <c r="T93" s="203"/>
      <c r="U93" s="203"/>
      <c r="V93" s="203"/>
      <c r="W93" s="203"/>
      <c r="X93" s="203"/>
      <c r="Y93" s="203"/>
      <c r="Z93" s="203"/>
      <c r="AA93" s="203"/>
      <c r="AB93" s="203"/>
      <c r="AC93" s="203"/>
      <c r="AD93" s="203"/>
      <c r="AE93" s="203"/>
      <c r="AF93" s="203"/>
    </row>
    <row r="94" spans="2:32" ht="15" customHeight="1">
      <c r="C94" s="10"/>
      <c r="D94" s="26"/>
      <c r="E94" s="215"/>
      <c r="F94" s="215"/>
      <c r="G94" s="203"/>
      <c r="H94" s="203"/>
      <c r="I94" s="203"/>
      <c r="J94" s="203"/>
      <c r="K94" s="203"/>
      <c r="L94" s="203"/>
      <c r="M94" s="203"/>
      <c r="N94" s="203"/>
      <c r="O94" s="203"/>
      <c r="P94" s="203"/>
      <c r="Q94" s="203"/>
      <c r="R94" s="203"/>
      <c r="S94" s="203"/>
      <c r="T94" s="203"/>
      <c r="U94" s="203"/>
      <c r="V94" s="203"/>
      <c r="W94" s="203"/>
      <c r="X94" s="203"/>
      <c r="Y94" s="203"/>
      <c r="Z94" s="203"/>
      <c r="AA94" s="203"/>
      <c r="AB94" s="203"/>
      <c r="AC94" s="203"/>
      <c r="AD94" s="203"/>
      <c r="AE94" s="203"/>
      <c r="AF94" s="203"/>
    </row>
    <row r="95" spans="2:32" ht="15" customHeight="1">
      <c r="C95" s="10"/>
      <c r="D95" s="26"/>
      <c r="E95" s="215"/>
      <c r="F95" s="215"/>
      <c r="G95" s="203"/>
      <c r="H95" s="203"/>
      <c r="I95" s="203"/>
      <c r="J95" s="203"/>
      <c r="K95" s="203"/>
      <c r="L95" s="203"/>
      <c r="M95" s="203"/>
      <c r="N95" s="203"/>
      <c r="O95" s="203"/>
      <c r="P95" s="203"/>
      <c r="Q95" s="203"/>
      <c r="R95" s="203"/>
      <c r="S95" s="203"/>
      <c r="T95" s="203"/>
      <c r="U95" s="203"/>
      <c r="V95" s="203"/>
      <c r="W95" s="203"/>
      <c r="X95" s="203"/>
      <c r="Y95" s="203"/>
      <c r="Z95" s="203"/>
      <c r="AA95" s="203"/>
      <c r="AB95" s="203"/>
      <c r="AC95" s="203"/>
      <c r="AD95" s="203"/>
      <c r="AE95" s="203"/>
      <c r="AF95" s="203"/>
    </row>
    <row r="96" spans="2:32" ht="15" customHeight="1">
      <c r="C96" s="10"/>
      <c r="D96" s="26"/>
      <c r="E96" s="215"/>
      <c r="F96" s="215"/>
      <c r="G96" s="203"/>
      <c r="H96" s="203"/>
      <c r="I96" s="203"/>
      <c r="J96" s="203"/>
      <c r="K96" s="203"/>
      <c r="L96" s="203"/>
      <c r="M96" s="203"/>
      <c r="N96" s="203"/>
      <c r="O96" s="203"/>
      <c r="P96" s="203"/>
      <c r="Q96" s="203"/>
      <c r="R96" s="203"/>
      <c r="S96" s="203"/>
      <c r="T96" s="203"/>
      <c r="U96" s="203"/>
      <c r="V96" s="203"/>
      <c r="W96" s="203"/>
      <c r="X96" s="203"/>
      <c r="Y96" s="203"/>
      <c r="Z96" s="203"/>
      <c r="AA96" s="203"/>
      <c r="AB96" s="203"/>
      <c r="AC96" s="203"/>
      <c r="AD96" s="203"/>
      <c r="AE96" s="203"/>
      <c r="AF96" s="203"/>
    </row>
    <row r="97" spans="3:32" ht="15" customHeight="1">
      <c r="C97" s="10"/>
      <c r="D97" s="26"/>
      <c r="E97" s="215"/>
      <c r="F97" s="215"/>
      <c r="G97" s="203"/>
      <c r="H97" s="203"/>
      <c r="I97" s="203"/>
      <c r="J97" s="203"/>
      <c r="K97" s="203"/>
      <c r="L97" s="203"/>
      <c r="M97" s="203"/>
      <c r="N97" s="203"/>
      <c r="O97" s="203"/>
      <c r="P97" s="203"/>
      <c r="Q97" s="203"/>
      <c r="R97" s="203"/>
      <c r="S97" s="203"/>
      <c r="T97" s="203"/>
      <c r="U97" s="203"/>
      <c r="V97" s="203"/>
      <c r="W97" s="203"/>
      <c r="X97" s="203"/>
      <c r="Y97" s="203"/>
      <c r="Z97" s="203"/>
      <c r="AA97" s="203"/>
      <c r="AB97" s="203"/>
      <c r="AC97" s="203"/>
      <c r="AD97" s="203"/>
      <c r="AE97" s="203"/>
      <c r="AF97" s="203"/>
    </row>
    <row r="98" spans="3:32" ht="15" customHeight="1">
      <c r="C98" s="10"/>
      <c r="D98" s="26"/>
      <c r="E98" s="215"/>
      <c r="F98" s="215"/>
      <c r="G98" s="203"/>
      <c r="H98" s="203"/>
      <c r="I98" s="203"/>
      <c r="J98" s="203"/>
      <c r="K98" s="203"/>
      <c r="L98" s="203"/>
      <c r="M98" s="203"/>
      <c r="N98" s="203"/>
      <c r="O98" s="203"/>
      <c r="P98" s="203"/>
      <c r="Q98" s="203"/>
      <c r="R98" s="203"/>
      <c r="S98" s="203"/>
      <c r="T98" s="203"/>
      <c r="U98" s="203"/>
      <c r="V98" s="203"/>
      <c r="W98" s="203"/>
      <c r="X98" s="203"/>
      <c r="Y98" s="203"/>
      <c r="Z98" s="203"/>
      <c r="AA98" s="203"/>
      <c r="AB98" s="203"/>
      <c r="AC98" s="203"/>
      <c r="AD98" s="203"/>
      <c r="AE98" s="203"/>
      <c r="AF98" s="203"/>
    </row>
    <row r="99" spans="3:32" ht="15" customHeight="1">
      <c r="C99" s="10"/>
      <c r="D99" s="26"/>
      <c r="E99" s="215"/>
      <c r="F99" s="215"/>
      <c r="G99" s="203"/>
      <c r="H99" s="203"/>
      <c r="I99" s="203"/>
      <c r="J99" s="203"/>
      <c r="K99" s="203"/>
      <c r="L99" s="203"/>
      <c r="M99" s="203"/>
      <c r="N99" s="203"/>
      <c r="O99" s="203"/>
      <c r="P99" s="203"/>
      <c r="Q99" s="203"/>
      <c r="R99" s="203"/>
      <c r="S99" s="203"/>
      <c r="T99" s="203"/>
      <c r="U99" s="203"/>
      <c r="V99" s="203"/>
      <c r="W99" s="203"/>
      <c r="X99" s="203"/>
      <c r="Y99" s="203"/>
      <c r="Z99" s="203"/>
      <c r="AA99" s="203"/>
      <c r="AB99" s="203"/>
      <c r="AC99" s="203"/>
      <c r="AD99" s="203"/>
      <c r="AE99" s="203"/>
      <c r="AF99" s="203"/>
    </row>
    <row r="100" spans="3:32" ht="15" customHeight="1">
      <c r="C100" s="10"/>
      <c r="D100" s="26"/>
      <c r="E100" s="215"/>
      <c r="F100" s="215"/>
      <c r="G100" s="203"/>
      <c r="H100" s="203"/>
      <c r="I100" s="203"/>
      <c r="J100" s="203"/>
      <c r="K100" s="203"/>
      <c r="L100" s="203"/>
      <c r="M100" s="203"/>
      <c r="N100" s="203"/>
      <c r="O100" s="203"/>
      <c r="P100" s="203"/>
      <c r="Q100" s="203"/>
      <c r="R100" s="203"/>
      <c r="S100" s="203"/>
      <c r="T100" s="203"/>
      <c r="U100" s="203"/>
      <c r="V100" s="203"/>
      <c r="W100" s="203"/>
      <c r="X100" s="203"/>
      <c r="Y100" s="203"/>
      <c r="Z100" s="203"/>
      <c r="AA100" s="203"/>
      <c r="AB100" s="203"/>
      <c r="AC100" s="203"/>
      <c r="AD100" s="203"/>
      <c r="AE100" s="203"/>
      <c r="AF100" s="203"/>
    </row>
    <row r="101" spans="3:32" ht="15" customHeight="1">
      <c r="C101" s="10"/>
      <c r="D101" s="26"/>
      <c r="E101" s="215"/>
      <c r="F101" s="215"/>
      <c r="G101" s="203"/>
      <c r="H101" s="203"/>
      <c r="I101" s="203"/>
      <c r="J101" s="203"/>
      <c r="K101" s="203"/>
      <c r="L101" s="203"/>
      <c r="M101" s="203"/>
      <c r="N101" s="203"/>
      <c r="O101" s="203"/>
      <c r="P101" s="203"/>
      <c r="Q101" s="203"/>
      <c r="R101" s="203"/>
      <c r="S101" s="203"/>
      <c r="T101" s="203"/>
      <c r="U101" s="203"/>
      <c r="V101" s="203"/>
      <c r="W101" s="203"/>
      <c r="X101" s="203"/>
      <c r="Y101" s="203"/>
      <c r="Z101" s="203"/>
      <c r="AA101" s="203"/>
      <c r="AB101" s="203"/>
      <c r="AC101" s="203"/>
      <c r="AD101" s="203"/>
      <c r="AE101" s="203"/>
      <c r="AF101" s="203"/>
    </row>
    <row r="102" spans="3:32" ht="15" customHeight="1">
      <c r="C102" s="10"/>
      <c r="D102" s="26"/>
      <c r="E102" s="215"/>
      <c r="F102" s="215"/>
      <c r="G102" s="203"/>
      <c r="H102" s="203"/>
      <c r="I102" s="203"/>
      <c r="J102" s="203"/>
      <c r="K102" s="203"/>
      <c r="L102" s="203"/>
      <c r="M102" s="203"/>
      <c r="N102" s="203"/>
      <c r="O102" s="203"/>
      <c r="P102" s="203"/>
      <c r="Q102" s="203"/>
      <c r="R102" s="203"/>
      <c r="S102" s="203"/>
      <c r="T102" s="203"/>
      <c r="U102" s="203"/>
      <c r="V102" s="203"/>
      <c r="W102" s="203"/>
      <c r="X102" s="203"/>
      <c r="Y102" s="203"/>
      <c r="Z102" s="203"/>
      <c r="AA102" s="203"/>
      <c r="AB102" s="203"/>
      <c r="AC102" s="203"/>
      <c r="AD102" s="203"/>
      <c r="AE102" s="203"/>
      <c r="AF102" s="203"/>
    </row>
    <row r="103" spans="3:32" ht="15" customHeight="1">
      <c r="C103" s="10"/>
      <c r="D103" s="26"/>
      <c r="E103" s="215"/>
      <c r="F103" s="215"/>
      <c r="G103" s="203"/>
      <c r="H103" s="203"/>
      <c r="I103" s="203"/>
      <c r="J103" s="203"/>
      <c r="K103" s="203"/>
      <c r="L103" s="203"/>
      <c r="M103" s="203"/>
      <c r="N103" s="203"/>
      <c r="O103" s="203"/>
      <c r="P103" s="203"/>
      <c r="Q103" s="203"/>
      <c r="R103" s="203"/>
      <c r="S103" s="203"/>
      <c r="T103" s="203"/>
      <c r="U103" s="203"/>
      <c r="V103" s="203"/>
      <c r="W103" s="203"/>
      <c r="X103" s="203"/>
      <c r="Y103" s="203"/>
      <c r="Z103" s="203"/>
      <c r="AA103" s="203"/>
      <c r="AB103" s="203"/>
      <c r="AC103" s="203"/>
      <c r="AD103" s="203"/>
      <c r="AE103" s="203"/>
      <c r="AF103" s="203"/>
    </row>
    <row r="104" spans="3:32" ht="15" customHeight="1">
      <c r="C104" s="10"/>
      <c r="D104" s="26"/>
      <c r="E104" s="215"/>
      <c r="F104" s="215"/>
      <c r="G104" s="203"/>
      <c r="H104" s="203"/>
      <c r="I104" s="203"/>
      <c r="J104" s="203"/>
      <c r="K104" s="203"/>
      <c r="L104" s="203"/>
      <c r="M104" s="203"/>
      <c r="N104" s="203"/>
      <c r="O104" s="203"/>
      <c r="P104" s="203"/>
      <c r="Q104" s="203"/>
      <c r="R104" s="203"/>
      <c r="S104" s="203"/>
      <c r="T104" s="203"/>
      <c r="U104" s="203"/>
      <c r="V104" s="203"/>
      <c r="W104" s="203"/>
      <c r="X104" s="203"/>
      <c r="Y104" s="203"/>
      <c r="Z104" s="203"/>
      <c r="AA104" s="203"/>
      <c r="AB104" s="203"/>
      <c r="AC104" s="203"/>
      <c r="AD104" s="203"/>
      <c r="AE104" s="203"/>
      <c r="AF104" s="203"/>
    </row>
    <row r="105" spans="3:32" ht="15" customHeight="1">
      <c r="C105" s="10"/>
      <c r="D105" s="26"/>
      <c r="E105" s="215"/>
      <c r="F105" s="215"/>
      <c r="G105" s="203"/>
      <c r="H105" s="203"/>
      <c r="I105" s="203"/>
      <c r="J105" s="203"/>
      <c r="K105" s="203"/>
      <c r="L105" s="203"/>
      <c r="M105" s="203"/>
      <c r="N105" s="203"/>
      <c r="O105" s="203"/>
      <c r="P105" s="203"/>
      <c r="Q105" s="203"/>
      <c r="R105" s="203"/>
      <c r="S105" s="203"/>
      <c r="T105" s="203"/>
      <c r="U105" s="203"/>
      <c r="V105" s="203"/>
      <c r="W105" s="203"/>
      <c r="X105" s="203"/>
      <c r="Y105" s="203"/>
      <c r="Z105" s="203"/>
      <c r="AA105" s="203"/>
      <c r="AB105" s="203"/>
      <c r="AC105" s="203"/>
      <c r="AD105" s="203"/>
      <c r="AE105" s="203"/>
      <c r="AF105" s="203"/>
    </row>
    <row r="106" spans="3:32" ht="15" customHeight="1">
      <c r="C106" s="10"/>
      <c r="D106" s="26"/>
      <c r="E106" s="215"/>
      <c r="F106" s="215"/>
      <c r="G106" s="203"/>
      <c r="H106" s="203"/>
      <c r="I106" s="203"/>
      <c r="J106" s="203"/>
      <c r="K106" s="203"/>
      <c r="L106" s="203"/>
      <c r="M106" s="203"/>
      <c r="N106" s="203"/>
      <c r="O106" s="203"/>
      <c r="P106" s="203"/>
      <c r="Q106" s="203"/>
      <c r="R106" s="203"/>
      <c r="S106" s="203"/>
      <c r="T106" s="203"/>
      <c r="U106" s="203"/>
      <c r="V106" s="203"/>
      <c r="W106" s="203"/>
      <c r="X106" s="203"/>
      <c r="Y106" s="203"/>
      <c r="Z106" s="203"/>
      <c r="AA106" s="203"/>
      <c r="AB106" s="203"/>
      <c r="AC106" s="203"/>
      <c r="AD106" s="203"/>
      <c r="AE106" s="203"/>
      <c r="AF106" s="203"/>
    </row>
    <row r="107" spans="3:32" ht="15" customHeight="1">
      <c r="C107" s="10"/>
      <c r="D107" s="26"/>
      <c r="E107" s="215"/>
      <c r="F107" s="215"/>
      <c r="G107" s="203"/>
      <c r="H107" s="203"/>
      <c r="I107" s="203"/>
      <c r="J107" s="203"/>
      <c r="K107" s="203"/>
      <c r="L107" s="203"/>
      <c r="M107" s="203"/>
      <c r="N107" s="203"/>
      <c r="O107" s="203"/>
      <c r="P107" s="203"/>
      <c r="Q107" s="203"/>
      <c r="R107" s="203"/>
      <c r="S107" s="203"/>
      <c r="T107" s="203"/>
      <c r="U107" s="203"/>
      <c r="V107" s="203"/>
      <c r="W107" s="203"/>
      <c r="X107" s="203"/>
      <c r="Y107" s="203"/>
      <c r="Z107" s="203"/>
      <c r="AA107" s="203"/>
      <c r="AB107" s="203"/>
      <c r="AC107" s="203"/>
      <c r="AD107" s="203"/>
      <c r="AE107" s="203"/>
      <c r="AF107" s="203"/>
    </row>
    <row r="108" spans="3:32" ht="15" customHeight="1">
      <c r="C108" s="10"/>
      <c r="D108" s="26"/>
      <c r="E108" s="215"/>
      <c r="F108" s="215"/>
      <c r="G108" s="203"/>
      <c r="H108" s="203"/>
      <c r="I108" s="203"/>
      <c r="J108" s="203"/>
      <c r="K108" s="203"/>
      <c r="L108" s="203"/>
      <c r="M108" s="203"/>
      <c r="N108" s="203"/>
      <c r="O108" s="203"/>
      <c r="P108" s="203"/>
      <c r="Q108" s="203"/>
      <c r="R108" s="203"/>
      <c r="S108" s="203"/>
      <c r="T108" s="203"/>
      <c r="U108" s="203"/>
      <c r="V108" s="203"/>
      <c r="W108" s="203"/>
      <c r="X108" s="203"/>
      <c r="Y108" s="203"/>
      <c r="Z108" s="203"/>
      <c r="AA108" s="203"/>
      <c r="AB108" s="203"/>
      <c r="AC108" s="203"/>
      <c r="AD108" s="203"/>
      <c r="AE108" s="203"/>
      <c r="AF108" s="203"/>
    </row>
    <row r="109" spans="3:32" ht="15" customHeight="1">
      <c r="C109" s="10"/>
      <c r="D109" s="26"/>
      <c r="E109" s="215"/>
      <c r="F109" s="215"/>
      <c r="G109" s="203"/>
      <c r="H109" s="203"/>
      <c r="I109" s="203"/>
      <c r="J109" s="203"/>
      <c r="K109" s="203"/>
      <c r="L109" s="203"/>
      <c r="M109" s="203"/>
      <c r="N109" s="203"/>
      <c r="O109" s="203"/>
      <c r="P109" s="203"/>
      <c r="Q109" s="203"/>
      <c r="R109" s="203"/>
      <c r="S109" s="203"/>
      <c r="T109" s="203"/>
      <c r="U109" s="203"/>
      <c r="V109" s="203"/>
      <c r="W109" s="203"/>
      <c r="X109" s="203"/>
      <c r="Y109" s="203"/>
      <c r="Z109" s="203"/>
      <c r="AA109" s="203"/>
      <c r="AB109" s="203"/>
      <c r="AC109" s="203"/>
      <c r="AD109" s="203"/>
      <c r="AE109" s="203"/>
      <c r="AF109" s="203"/>
    </row>
    <row r="110" spans="3:32" ht="15" customHeight="1">
      <c r="C110" s="10"/>
      <c r="D110" s="26"/>
      <c r="E110" s="215"/>
      <c r="F110" s="215"/>
      <c r="G110" s="203"/>
      <c r="H110" s="203"/>
      <c r="I110" s="203"/>
      <c r="J110" s="203"/>
      <c r="K110" s="203"/>
      <c r="L110" s="203"/>
      <c r="M110" s="203"/>
      <c r="N110" s="203"/>
      <c r="O110" s="203"/>
      <c r="P110" s="203"/>
      <c r="Q110" s="203"/>
      <c r="R110" s="203"/>
      <c r="S110" s="203"/>
      <c r="T110" s="203"/>
      <c r="U110" s="203"/>
      <c r="V110" s="203"/>
      <c r="W110" s="203"/>
      <c r="X110" s="203"/>
      <c r="Y110" s="203"/>
      <c r="Z110" s="203"/>
      <c r="AA110" s="203"/>
      <c r="AB110" s="203"/>
      <c r="AC110" s="203"/>
      <c r="AD110" s="203"/>
      <c r="AE110" s="203"/>
      <c r="AF110" s="203"/>
    </row>
    <row r="111" spans="3:32" ht="15" customHeight="1">
      <c r="C111" s="10"/>
      <c r="D111" s="26"/>
      <c r="E111" s="215"/>
      <c r="F111" s="215"/>
      <c r="G111" s="203"/>
      <c r="H111" s="203"/>
      <c r="I111" s="203"/>
      <c r="J111" s="203"/>
      <c r="K111" s="203"/>
      <c r="L111" s="203"/>
      <c r="M111" s="203"/>
      <c r="N111" s="203"/>
      <c r="O111" s="203"/>
      <c r="P111" s="203"/>
      <c r="Q111" s="203"/>
      <c r="R111" s="203"/>
      <c r="S111" s="203"/>
      <c r="T111" s="203"/>
      <c r="U111" s="203"/>
      <c r="V111" s="203"/>
      <c r="W111" s="203"/>
      <c r="X111" s="203"/>
      <c r="Y111" s="203"/>
      <c r="Z111" s="203"/>
      <c r="AA111" s="203"/>
      <c r="AB111" s="203"/>
      <c r="AC111" s="203"/>
      <c r="AD111" s="203"/>
      <c r="AE111" s="203"/>
      <c r="AF111" s="203"/>
    </row>
    <row r="112" spans="3:32" ht="15" customHeight="1">
      <c r="C112" s="10"/>
      <c r="D112" s="26"/>
      <c r="E112" s="215"/>
      <c r="F112" s="215"/>
      <c r="G112" s="203"/>
      <c r="H112" s="203"/>
      <c r="I112" s="203"/>
      <c r="J112" s="203"/>
      <c r="K112" s="203"/>
      <c r="L112" s="203"/>
      <c r="M112" s="203"/>
      <c r="N112" s="203"/>
      <c r="O112" s="203"/>
      <c r="P112" s="203"/>
      <c r="Q112" s="203"/>
      <c r="R112" s="203"/>
      <c r="S112" s="203"/>
      <c r="T112" s="203"/>
      <c r="U112" s="203"/>
      <c r="V112" s="203"/>
      <c r="W112" s="203"/>
      <c r="X112" s="203"/>
      <c r="Y112" s="203"/>
      <c r="Z112" s="203"/>
      <c r="AA112" s="203"/>
      <c r="AB112" s="203"/>
      <c r="AC112" s="203"/>
      <c r="AD112" s="203"/>
      <c r="AE112" s="203"/>
      <c r="AF112" s="203"/>
    </row>
    <row r="113" spans="2:32" ht="15" customHeight="1">
      <c r="C113" s="10"/>
      <c r="D113" s="26"/>
      <c r="E113" s="215"/>
      <c r="F113" s="215"/>
      <c r="G113" s="203"/>
      <c r="H113" s="203"/>
      <c r="I113" s="203"/>
      <c r="J113" s="203"/>
      <c r="K113" s="203"/>
      <c r="L113" s="203"/>
      <c r="M113" s="203"/>
      <c r="N113" s="203"/>
      <c r="O113" s="203"/>
      <c r="P113" s="203"/>
      <c r="Q113" s="203"/>
      <c r="R113" s="203"/>
      <c r="S113" s="203"/>
      <c r="T113" s="203"/>
      <c r="U113" s="203"/>
      <c r="V113" s="203"/>
      <c r="W113" s="203"/>
      <c r="X113" s="203"/>
      <c r="Y113" s="203"/>
      <c r="Z113" s="203"/>
      <c r="AA113" s="203"/>
      <c r="AB113" s="203"/>
      <c r="AC113" s="203"/>
      <c r="AD113" s="203"/>
      <c r="AE113" s="203"/>
      <c r="AF113" s="203"/>
    </row>
    <row r="114" spans="2:32" ht="15" customHeight="1">
      <c r="C114" s="10"/>
      <c r="D114" s="26"/>
      <c r="E114" s="215"/>
      <c r="F114" s="215"/>
      <c r="G114" s="203"/>
      <c r="H114" s="203"/>
      <c r="I114" s="203"/>
      <c r="J114" s="203"/>
      <c r="K114" s="203"/>
      <c r="L114" s="203"/>
      <c r="M114" s="203"/>
      <c r="N114" s="203"/>
      <c r="O114" s="203"/>
      <c r="P114" s="203"/>
      <c r="Q114" s="203"/>
      <c r="R114" s="203"/>
      <c r="S114" s="203"/>
      <c r="T114" s="203"/>
      <c r="U114" s="203"/>
      <c r="V114" s="203"/>
      <c r="W114" s="203"/>
      <c r="X114" s="203"/>
      <c r="Y114" s="203"/>
      <c r="Z114" s="203"/>
      <c r="AA114" s="203"/>
      <c r="AB114" s="203"/>
      <c r="AC114" s="203"/>
      <c r="AD114" s="203"/>
      <c r="AE114" s="203"/>
      <c r="AF114" s="203"/>
    </row>
    <row r="115" spans="2:32" ht="15" customHeight="1">
      <c r="C115" s="10"/>
      <c r="D115" s="26"/>
      <c r="E115" s="215"/>
      <c r="F115" s="215"/>
      <c r="G115" s="203"/>
      <c r="H115" s="203"/>
      <c r="I115" s="203"/>
      <c r="J115" s="203"/>
      <c r="K115" s="203"/>
      <c r="L115" s="203"/>
      <c r="M115" s="203"/>
      <c r="N115" s="203"/>
      <c r="O115" s="203"/>
      <c r="P115" s="203"/>
      <c r="Q115" s="203"/>
      <c r="R115" s="203"/>
      <c r="S115" s="203"/>
      <c r="T115" s="203"/>
      <c r="U115" s="203"/>
      <c r="V115" s="203"/>
      <c r="W115" s="203"/>
      <c r="X115" s="203"/>
      <c r="Y115" s="203"/>
      <c r="Z115" s="203"/>
      <c r="AA115" s="203"/>
      <c r="AB115" s="203"/>
      <c r="AC115" s="203"/>
      <c r="AD115" s="203"/>
      <c r="AE115" s="203"/>
      <c r="AF115" s="203"/>
    </row>
    <row r="116" spans="2:32" ht="15" customHeight="1">
      <c r="C116" s="10"/>
    </row>
    <row r="117" spans="2:32" ht="15" customHeight="1">
      <c r="B117" s="315"/>
      <c r="C117" s="10"/>
      <c r="D117" s="26"/>
      <c r="E117" s="215"/>
      <c r="F117" s="215"/>
      <c r="G117" s="203"/>
      <c r="H117" s="203"/>
      <c r="I117" s="203"/>
      <c r="J117" s="203"/>
      <c r="K117" s="203"/>
      <c r="L117" s="203"/>
      <c r="M117" s="203"/>
      <c r="N117" s="203"/>
      <c r="O117" s="203"/>
      <c r="P117" s="203"/>
      <c r="Q117" s="203"/>
      <c r="R117" s="203"/>
      <c r="S117" s="203"/>
      <c r="T117" s="203"/>
      <c r="U117" s="203"/>
      <c r="V117" s="203"/>
      <c r="W117" s="203"/>
      <c r="X117" s="203"/>
      <c r="Y117" s="203"/>
      <c r="Z117" s="203"/>
      <c r="AA117" s="203"/>
      <c r="AB117" s="203"/>
      <c r="AC117" s="203"/>
      <c r="AD117" s="203"/>
      <c r="AE117" s="203"/>
      <c r="AF117" s="203"/>
    </row>
    <row r="118" spans="2:32" ht="15" customHeight="1">
      <c r="C118" s="10"/>
      <c r="D118" s="26"/>
      <c r="E118" s="215"/>
      <c r="F118" s="215"/>
      <c r="G118" s="203"/>
      <c r="H118" s="203"/>
      <c r="I118" s="203"/>
      <c r="J118" s="203"/>
      <c r="K118" s="203"/>
      <c r="L118" s="203"/>
      <c r="M118" s="203"/>
      <c r="N118" s="203"/>
      <c r="O118" s="203"/>
      <c r="P118" s="203"/>
      <c r="Q118" s="203"/>
      <c r="R118" s="203"/>
      <c r="S118" s="203"/>
      <c r="T118" s="203"/>
      <c r="U118" s="203"/>
      <c r="V118" s="203"/>
      <c r="W118" s="203"/>
      <c r="X118" s="203"/>
      <c r="Y118" s="203"/>
      <c r="Z118" s="203"/>
      <c r="AA118" s="203"/>
      <c r="AB118" s="203"/>
      <c r="AC118" s="203"/>
      <c r="AD118" s="203"/>
      <c r="AE118" s="203"/>
      <c r="AF118" s="203"/>
    </row>
    <row r="119" spans="2:32" ht="15" customHeight="1">
      <c r="C119" s="10"/>
      <c r="D119" s="26"/>
      <c r="E119" s="215"/>
      <c r="F119" s="215"/>
      <c r="G119" s="203"/>
      <c r="H119" s="203"/>
      <c r="I119" s="203"/>
      <c r="J119" s="203"/>
      <c r="K119" s="203"/>
      <c r="L119" s="203"/>
      <c r="M119" s="203"/>
      <c r="N119" s="203"/>
      <c r="O119" s="203"/>
      <c r="P119" s="203"/>
      <c r="Q119" s="203"/>
      <c r="R119" s="203"/>
      <c r="S119" s="203"/>
      <c r="T119" s="203"/>
      <c r="U119" s="203"/>
      <c r="V119" s="203"/>
      <c r="W119" s="203"/>
      <c r="X119" s="203"/>
      <c r="Y119" s="203"/>
      <c r="Z119" s="203"/>
      <c r="AA119" s="203"/>
      <c r="AB119" s="203"/>
      <c r="AC119" s="203"/>
      <c r="AD119" s="203"/>
      <c r="AE119" s="203"/>
      <c r="AF119" s="203"/>
    </row>
    <row r="120" spans="2:32" ht="15" customHeight="1">
      <c r="C120" s="10"/>
      <c r="D120" s="26"/>
      <c r="E120" s="215"/>
      <c r="F120" s="215"/>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row>
    <row r="121" spans="2:32" ht="15" customHeight="1">
      <c r="C121" s="10"/>
      <c r="D121" s="26"/>
      <c r="E121" s="215"/>
      <c r="F121" s="215"/>
      <c r="G121" s="203"/>
      <c r="H121" s="203"/>
      <c r="I121" s="203"/>
      <c r="J121" s="203"/>
      <c r="K121" s="203"/>
      <c r="L121" s="203"/>
      <c r="M121" s="203"/>
      <c r="N121" s="203"/>
      <c r="O121" s="203"/>
      <c r="P121" s="203"/>
      <c r="Q121" s="203"/>
      <c r="R121" s="203"/>
      <c r="S121" s="203"/>
      <c r="T121" s="203"/>
      <c r="U121" s="203"/>
      <c r="V121" s="203"/>
      <c r="W121" s="203"/>
      <c r="X121" s="203"/>
      <c r="Y121" s="203"/>
      <c r="Z121" s="203"/>
      <c r="AA121" s="203"/>
      <c r="AB121" s="203"/>
      <c r="AC121" s="203"/>
      <c r="AD121" s="203"/>
      <c r="AE121" s="203"/>
      <c r="AF121" s="203"/>
    </row>
    <row r="122" spans="2:32" ht="15" customHeight="1">
      <c r="C122" s="10"/>
      <c r="D122" s="26"/>
      <c r="E122" s="215"/>
      <c r="F122" s="215"/>
      <c r="G122" s="203"/>
      <c r="H122" s="203"/>
      <c r="I122" s="203"/>
      <c r="J122" s="203"/>
      <c r="K122" s="203"/>
      <c r="L122" s="203"/>
      <c r="M122" s="203"/>
      <c r="N122" s="203"/>
      <c r="O122" s="203"/>
      <c r="P122" s="203"/>
      <c r="Q122" s="203"/>
      <c r="R122" s="203"/>
      <c r="S122" s="203"/>
      <c r="T122" s="203"/>
      <c r="U122" s="203"/>
      <c r="V122" s="203"/>
      <c r="W122" s="203"/>
      <c r="X122" s="203"/>
      <c r="Y122" s="203"/>
      <c r="Z122" s="203"/>
      <c r="AA122" s="203"/>
      <c r="AB122" s="203"/>
      <c r="AC122" s="203"/>
      <c r="AD122" s="203"/>
      <c r="AE122" s="203"/>
      <c r="AF122" s="203"/>
    </row>
    <row r="123" spans="2:32" ht="15" customHeight="1">
      <c r="C123" s="10"/>
      <c r="D123" s="26"/>
      <c r="E123" s="215"/>
      <c r="F123" s="215"/>
      <c r="G123" s="203"/>
      <c r="H123" s="203"/>
      <c r="I123" s="203"/>
      <c r="J123" s="203"/>
      <c r="K123" s="203"/>
      <c r="L123" s="203"/>
      <c r="M123" s="203"/>
      <c r="N123" s="203"/>
      <c r="O123" s="203"/>
      <c r="P123" s="203"/>
      <c r="Q123" s="203"/>
      <c r="R123" s="203"/>
      <c r="S123" s="203"/>
      <c r="T123" s="203"/>
      <c r="U123" s="203"/>
      <c r="V123" s="203"/>
      <c r="W123" s="203"/>
      <c r="X123" s="203"/>
      <c r="Y123" s="203"/>
      <c r="Z123" s="203"/>
      <c r="AA123" s="203"/>
      <c r="AB123" s="203"/>
      <c r="AC123" s="203"/>
      <c r="AD123" s="203"/>
      <c r="AE123" s="203"/>
      <c r="AF123" s="203"/>
    </row>
    <row r="124" spans="2:32" ht="15" customHeight="1">
      <c r="C124" s="10"/>
      <c r="D124" s="26"/>
      <c r="E124" s="215"/>
      <c r="F124" s="215"/>
      <c r="G124" s="203"/>
      <c r="H124" s="203"/>
      <c r="I124" s="203"/>
      <c r="J124" s="203"/>
      <c r="K124" s="203"/>
      <c r="L124" s="203"/>
      <c r="M124" s="203"/>
      <c r="N124" s="203"/>
      <c r="O124" s="203"/>
      <c r="P124" s="203"/>
      <c r="Q124" s="203"/>
      <c r="R124" s="203"/>
      <c r="S124" s="203"/>
      <c r="T124" s="203"/>
      <c r="U124" s="203"/>
      <c r="V124" s="203"/>
      <c r="W124" s="203"/>
      <c r="X124" s="203"/>
      <c r="Y124" s="203"/>
      <c r="Z124" s="203"/>
      <c r="AA124" s="203"/>
      <c r="AB124" s="203"/>
      <c r="AC124" s="203"/>
      <c r="AD124" s="203"/>
      <c r="AE124" s="203"/>
      <c r="AF124" s="203"/>
    </row>
    <row r="125" spans="2:32" ht="15" customHeight="1">
      <c r="C125" s="10"/>
      <c r="D125" s="26"/>
      <c r="E125" s="215"/>
      <c r="F125" s="215"/>
      <c r="G125" s="203"/>
      <c r="H125" s="203"/>
      <c r="I125" s="203"/>
      <c r="J125" s="203"/>
      <c r="K125" s="203"/>
      <c r="L125" s="203"/>
      <c r="M125" s="203"/>
      <c r="N125" s="203"/>
      <c r="O125" s="203"/>
      <c r="P125" s="203"/>
      <c r="Q125" s="203"/>
      <c r="R125" s="203"/>
      <c r="S125" s="203"/>
      <c r="T125" s="203"/>
      <c r="U125" s="203"/>
      <c r="V125" s="203"/>
      <c r="W125" s="203"/>
      <c r="X125" s="203"/>
      <c r="Y125" s="203"/>
      <c r="Z125" s="203"/>
      <c r="AA125" s="203"/>
      <c r="AB125" s="203"/>
      <c r="AC125" s="203"/>
      <c r="AD125" s="203"/>
      <c r="AE125" s="203"/>
      <c r="AF125" s="203"/>
    </row>
    <row r="126" spans="2:32" ht="15" customHeight="1">
      <c r="C126" s="10"/>
      <c r="D126" s="26"/>
      <c r="E126" s="215"/>
      <c r="F126" s="215"/>
      <c r="G126" s="203"/>
      <c r="H126" s="203"/>
      <c r="I126" s="203"/>
      <c r="J126" s="203"/>
      <c r="K126" s="203"/>
      <c r="L126" s="203"/>
      <c r="M126" s="203"/>
      <c r="N126" s="203"/>
      <c r="O126" s="203"/>
      <c r="P126" s="203"/>
      <c r="Q126" s="203"/>
      <c r="R126" s="203"/>
      <c r="S126" s="203"/>
      <c r="T126" s="203"/>
      <c r="U126" s="203"/>
      <c r="V126" s="203"/>
      <c r="W126" s="203"/>
      <c r="X126" s="203"/>
      <c r="Y126" s="203"/>
      <c r="Z126" s="203"/>
      <c r="AA126" s="203"/>
      <c r="AB126" s="203"/>
      <c r="AC126" s="203"/>
      <c r="AD126" s="203"/>
      <c r="AE126" s="203"/>
      <c r="AF126" s="203"/>
    </row>
    <row r="127" spans="2:32" ht="15" customHeight="1">
      <c r="C127" s="10"/>
      <c r="D127" s="26"/>
      <c r="E127" s="215"/>
      <c r="F127" s="215"/>
      <c r="G127" s="203"/>
      <c r="H127" s="203"/>
      <c r="I127" s="203"/>
      <c r="J127" s="203"/>
      <c r="K127" s="203"/>
      <c r="L127" s="203"/>
      <c r="M127" s="203"/>
      <c r="N127" s="203"/>
      <c r="O127" s="203"/>
      <c r="P127" s="203"/>
      <c r="Q127" s="203"/>
      <c r="R127" s="203"/>
      <c r="S127" s="203"/>
      <c r="T127" s="203"/>
      <c r="U127" s="203"/>
      <c r="V127" s="203"/>
      <c r="W127" s="203"/>
      <c r="X127" s="203"/>
      <c r="Y127" s="203"/>
      <c r="Z127" s="203"/>
      <c r="AA127" s="203"/>
      <c r="AB127" s="203"/>
      <c r="AC127" s="203"/>
      <c r="AD127" s="203"/>
      <c r="AE127" s="203"/>
      <c r="AF127" s="203"/>
    </row>
    <row r="128" spans="2:32" ht="15" customHeight="1">
      <c r="C128" s="10"/>
      <c r="D128" s="26"/>
      <c r="E128" s="215"/>
      <c r="F128" s="215"/>
      <c r="G128" s="203"/>
      <c r="H128" s="203"/>
      <c r="I128" s="203"/>
      <c r="J128" s="203"/>
      <c r="K128" s="203"/>
      <c r="L128" s="203"/>
      <c r="M128" s="203"/>
      <c r="N128" s="203"/>
      <c r="O128" s="203"/>
      <c r="P128" s="203"/>
      <c r="Q128" s="203"/>
      <c r="R128" s="203"/>
      <c r="S128" s="203"/>
      <c r="T128" s="203"/>
      <c r="U128" s="203"/>
      <c r="V128" s="203"/>
      <c r="W128" s="203"/>
      <c r="X128" s="203"/>
      <c r="Y128" s="203"/>
      <c r="Z128" s="203"/>
      <c r="AA128" s="203"/>
      <c r="AB128" s="203"/>
      <c r="AC128" s="203"/>
      <c r="AD128" s="203"/>
      <c r="AE128" s="203"/>
      <c r="AF128" s="203"/>
    </row>
    <row r="129" spans="2:32" ht="15" customHeight="1">
      <c r="C129" s="10"/>
      <c r="D129" s="26"/>
      <c r="E129" s="215"/>
      <c r="F129" s="215"/>
      <c r="G129" s="203"/>
      <c r="H129" s="203"/>
      <c r="I129" s="203"/>
      <c r="J129" s="203"/>
      <c r="K129" s="203"/>
      <c r="L129" s="203"/>
      <c r="M129" s="203"/>
      <c r="N129" s="203"/>
      <c r="O129" s="203"/>
      <c r="P129" s="203"/>
      <c r="Q129" s="203"/>
      <c r="R129" s="203"/>
      <c r="S129" s="203"/>
      <c r="T129" s="203"/>
      <c r="U129" s="203"/>
      <c r="V129" s="203"/>
      <c r="W129" s="203"/>
      <c r="X129" s="203"/>
      <c r="Y129" s="203"/>
      <c r="Z129" s="203"/>
      <c r="AA129" s="203"/>
      <c r="AB129" s="203"/>
      <c r="AC129" s="203"/>
      <c r="AD129" s="203"/>
      <c r="AE129" s="203"/>
      <c r="AF129" s="203"/>
    </row>
    <row r="130" spans="2:32" ht="15" customHeight="1">
      <c r="C130" s="10"/>
      <c r="D130" s="26"/>
      <c r="E130" s="215"/>
      <c r="F130" s="215"/>
      <c r="G130" s="203"/>
      <c r="H130" s="203"/>
      <c r="I130" s="203"/>
      <c r="J130" s="203"/>
      <c r="K130" s="203"/>
      <c r="L130" s="203"/>
      <c r="M130" s="203"/>
      <c r="N130" s="203"/>
      <c r="O130" s="203"/>
      <c r="P130" s="203"/>
      <c r="Q130" s="203"/>
      <c r="R130" s="203"/>
      <c r="S130" s="203"/>
      <c r="T130" s="203"/>
      <c r="U130" s="203"/>
      <c r="V130" s="203"/>
      <c r="W130" s="203"/>
      <c r="X130" s="203"/>
      <c r="Y130" s="203"/>
      <c r="Z130" s="203"/>
      <c r="AA130" s="203"/>
      <c r="AB130" s="203"/>
      <c r="AC130" s="203"/>
      <c r="AD130" s="203"/>
      <c r="AE130" s="203"/>
      <c r="AF130" s="203"/>
    </row>
    <row r="131" spans="2:32" ht="15" customHeight="1">
      <c r="C131" s="10"/>
      <c r="D131" s="26"/>
      <c r="E131" s="215"/>
      <c r="F131" s="215"/>
      <c r="G131" s="203"/>
      <c r="H131" s="203"/>
      <c r="I131" s="203"/>
      <c r="J131" s="203"/>
      <c r="K131" s="203"/>
      <c r="L131" s="203"/>
      <c r="M131" s="203"/>
      <c r="N131" s="203"/>
      <c r="O131" s="203"/>
      <c r="P131" s="203"/>
      <c r="Q131" s="203"/>
      <c r="R131" s="203"/>
      <c r="S131" s="203"/>
      <c r="T131" s="203"/>
      <c r="U131" s="203"/>
      <c r="V131" s="203"/>
      <c r="W131" s="203"/>
      <c r="X131" s="203"/>
      <c r="Y131" s="203"/>
      <c r="Z131" s="203"/>
      <c r="AA131" s="203"/>
      <c r="AB131" s="203"/>
      <c r="AC131" s="203"/>
      <c r="AD131" s="203"/>
      <c r="AE131" s="203"/>
      <c r="AF131" s="203"/>
    </row>
    <row r="132" spans="2:32" ht="15" customHeight="1">
      <c r="C132" s="10"/>
      <c r="D132" s="26"/>
      <c r="E132" s="215"/>
      <c r="F132" s="215"/>
      <c r="G132" s="203"/>
      <c r="H132" s="203"/>
      <c r="I132" s="203"/>
      <c r="J132" s="203"/>
      <c r="K132" s="203"/>
      <c r="L132" s="203"/>
      <c r="M132" s="203"/>
      <c r="N132" s="203"/>
      <c r="O132" s="203"/>
      <c r="P132" s="203"/>
      <c r="Q132" s="203"/>
      <c r="R132" s="203"/>
      <c r="S132" s="203"/>
      <c r="T132" s="203"/>
      <c r="U132" s="203"/>
      <c r="V132" s="203"/>
      <c r="W132" s="203"/>
      <c r="X132" s="203"/>
      <c r="Y132" s="203"/>
      <c r="Z132" s="203"/>
      <c r="AA132" s="203"/>
      <c r="AB132" s="203"/>
      <c r="AC132" s="203"/>
      <c r="AD132" s="203"/>
      <c r="AE132" s="203"/>
      <c r="AF132" s="203"/>
    </row>
    <row r="133" spans="2:32" ht="15" customHeight="1">
      <c r="C133" s="10"/>
      <c r="D133" s="26"/>
      <c r="E133" s="215"/>
      <c r="F133" s="215"/>
      <c r="G133" s="203"/>
      <c r="H133" s="203"/>
      <c r="I133" s="203"/>
      <c r="J133" s="203"/>
      <c r="K133" s="203"/>
      <c r="L133" s="203"/>
      <c r="M133" s="203"/>
      <c r="N133" s="203"/>
      <c r="O133" s="203"/>
      <c r="P133" s="203"/>
      <c r="Q133" s="203"/>
      <c r="R133" s="203"/>
      <c r="S133" s="203"/>
      <c r="T133" s="203"/>
      <c r="U133" s="203"/>
      <c r="V133" s="203"/>
      <c r="W133" s="203"/>
      <c r="X133" s="203"/>
      <c r="Y133" s="203"/>
      <c r="Z133" s="203"/>
      <c r="AA133" s="203"/>
      <c r="AB133" s="203"/>
      <c r="AC133" s="203"/>
      <c r="AD133" s="203"/>
      <c r="AE133" s="203"/>
      <c r="AF133" s="203"/>
    </row>
    <row r="134" spans="2:32" ht="15" customHeight="1">
      <c r="C134" s="10"/>
      <c r="D134" s="26"/>
      <c r="E134" s="215"/>
      <c r="F134" s="215"/>
      <c r="G134" s="203"/>
      <c r="H134" s="203"/>
      <c r="I134" s="203"/>
      <c r="J134" s="203"/>
      <c r="K134" s="203"/>
      <c r="L134" s="203"/>
      <c r="M134" s="203"/>
      <c r="N134" s="203"/>
      <c r="O134" s="203"/>
      <c r="P134" s="203"/>
      <c r="Q134" s="203"/>
      <c r="R134" s="203"/>
      <c r="S134" s="203"/>
      <c r="T134" s="203"/>
      <c r="U134" s="203"/>
      <c r="V134" s="203"/>
      <c r="W134" s="203"/>
      <c r="X134" s="203"/>
      <c r="Y134" s="203"/>
      <c r="Z134" s="203"/>
      <c r="AA134" s="203"/>
      <c r="AB134" s="203"/>
      <c r="AC134" s="203"/>
      <c r="AD134" s="203"/>
      <c r="AE134" s="203"/>
      <c r="AF134" s="203"/>
    </row>
    <row r="135" spans="2:32" ht="15" customHeight="1">
      <c r="C135" s="10"/>
      <c r="D135" s="26"/>
      <c r="E135" s="215"/>
      <c r="F135" s="215"/>
      <c r="G135" s="203"/>
      <c r="H135" s="203"/>
      <c r="I135" s="203"/>
      <c r="J135" s="203"/>
      <c r="K135" s="203"/>
      <c r="L135" s="203"/>
      <c r="M135" s="203"/>
      <c r="N135" s="203"/>
      <c r="O135" s="203"/>
      <c r="P135" s="203"/>
      <c r="Q135" s="203"/>
      <c r="R135" s="203"/>
      <c r="S135" s="203"/>
      <c r="T135" s="203"/>
      <c r="U135" s="203"/>
      <c r="V135" s="203"/>
      <c r="W135" s="203"/>
      <c r="X135" s="203"/>
      <c r="Y135" s="203"/>
      <c r="Z135" s="203"/>
      <c r="AA135" s="203"/>
      <c r="AB135" s="203"/>
      <c r="AC135" s="203"/>
      <c r="AD135" s="203"/>
      <c r="AE135" s="203"/>
      <c r="AF135" s="203"/>
    </row>
    <row r="136" spans="2:32" ht="15" customHeight="1">
      <c r="C136" s="10"/>
      <c r="D136" s="26"/>
      <c r="E136" s="215"/>
      <c r="F136" s="215"/>
      <c r="G136" s="203"/>
      <c r="H136" s="203"/>
      <c r="I136" s="203"/>
      <c r="J136" s="203"/>
      <c r="K136" s="203"/>
      <c r="L136" s="203"/>
      <c r="M136" s="203"/>
      <c r="N136" s="203"/>
      <c r="O136" s="203"/>
      <c r="P136" s="203"/>
      <c r="Q136" s="203"/>
      <c r="R136" s="203"/>
      <c r="S136" s="203"/>
      <c r="T136" s="203"/>
      <c r="U136" s="203"/>
      <c r="V136" s="203"/>
      <c r="W136" s="203"/>
      <c r="X136" s="203"/>
      <c r="Y136" s="203"/>
      <c r="Z136" s="203"/>
      <c r="AA136" s="203"/>
      <c r="AB136" s="203"/>
      <c r="AC136" s="203"/>
      <c r="AD136" s="203"/>
      <c r="AE136" s="203"/>
      <c r="AF136" s="203"/>
    </row>
    <row r="137" spans="2:32" ht="15" customHeight="1">
      <c r="C137" s="10"/>
      <c r="D137" s="26"/>
      <c r="E137" s="215"/>
      <c r="F137" s="215"/>
      <c r="G137" s="203"/>
      <c r="H137" s="203"/>
      <c r="I137" s="203"/>
      <c r="J137" s="203"/>
      <c r="K137" s="203"/>
      <c r="L137" s="203"/>
      <c r="M137" s="203"/>
      <c r="N137" s="203"/>
      <c r="O137" s="203"/>
      <c r="P137" s="203"/>
      <c r="Q137" s="203"/>
      <c r="R137" s="203"/>
      <c r="S137" s="203"/>
      <c r="T137" s="203"/>
      <c r="U137" s="203"/>
      <c r="V137" s="203"/>
      <c r="W137" s="203"/>
      <c r="X137" s="203"/>
      <c r="Y137" s="203"/>
      <c r="Z137" s="203"/>
      <c r="AA137" s="203"/>
      <c r="AB137" s="203"/>
      <c r="AC137" s="203"/>
      <c r="AD137" s="203"/>
      <c r="AE137" s="203"/>
      <c r="AF137" s="203"/>
    </row>
    <row r="138" spans="2:32" ht="15" customHeight="1">
      <c r="C138" s="10"/>
      <c r="D138" s="26"/>
      <c r="E138" s="215"/>
      <c r="F138" s="215"/>
      <c r="G138" s="203"/>
      <c r="H138" s="203"/>
      <c r="I138" s="203"/>
      <c r="J138" s="203"/>
      <c r="K138" s="203"/>
      <c r="L138" s="203"/>
      <c r="M138" s="203"/>
      <c r="N138" s="203"/>
      <c r="O138" s="203"/>
      <c r="P138" s="203"/>
      <c r="Q138" s="203"/>
      <c r="R138" s="203"/>
      <c r="S138" s="203"/>
      <c r="T138" s="203"/>
      <c r="U138" s="203"/>
      <c r="V138" s="203"/>
      <c r="W138" s="203"/>
      <c r="X138" s="203"/>
      <c r="Y138" s="203"/>
      <c r="Z138" s="203"/>
      <c r="AA138" s="203"/>
      <c r="AB138" s="203"/>
      <c r="AC138" s="203"/>
      <c r="AD138" s="203"/>
      <c r="AE138" s="203"/>
      <c r="AF138" s="203"/>
    </row>
    <row r="139" spans="2:32" ht="15" customHeight="1">
      <c r="C139" s="10"/>
      <c r="D139" s="26"/>
      <c r="E139" s="215"/>
      <c r="F139" s="215"/>
      <c r="G139" s="203"/>
      <c r="H139" s="203"/>
      <c r="I139" s="203"/>
      <c r="J139" s="203"/>
      <c r="K139" s="203"/>
      <c r="L139" s="203"/>
      <c r="M139" s="203"/>
      <c r="N139" s="203"/>
      <c r="O139" s="203"/>
      <c r="P139" s="203"/>
      <c r="Q139" s="203"/>
      <c r="R139" s="203"/>
      <c r="S139" s="203"/>
      <c r="T139" s="203"/>
      <c r="U139" s="203"/>
      <c r="V139" s="203"/>
      <c r="W139" s="203"/>
      <c r="X139" s="203"/>
      <c r="Y139" s="203"/>
      <c r="Z139" s="203"/>
      <c r="AA139" s="203"/>
      <c r="AB139" s="203"/>
      <c r="AC139" s="203"/>
      <c r="AD139" s="203"/>
      <c r="AE139" s="203"/>
      <c r="AF139" s="203"/>
    </row>
    <row r="140" spans="2:32" ht="15" customHeight="1">
      <c r="C140" s="10"/>
      <c r="D140" s="26"/>
      <c r="E140" s="215"/>
      <c r="F140" s="215"/>
      <c r="G140" s="203"/>
      <c r="H140" s="203"/>
      <c r="I140" s="203"/>
      <c r="J140" s="203"/>
      <c r="K140" s="203"/>
      <c r="L140" s="203"/>
      <c r="M140" s="203"/>
      <c r="N140" s="203"/>
      <c r="O140" s="203"/>
      <c r="P140" s="203"/>
      <c r="Q140" s="203"/>
      <c r="R140" s="203"/>
      <c r="S140" s="203"/>
      <c r="T140" s="203"/>
      <c r="U140" s="203"/>
      <c r="V140" s="203"/>
      <c r="W140" s="203"/>
      <c r="X140" s="203"/>
      <c r="Y140" s="203"/>
      <c r="Z140" s="203"/>
      <c r="AA140" s="203"/>
      <c r="AB140" s="203"/>
      <c r="AC140" s="203"/>
      <c r="AD140" s="203"/>
      <c r="AE140" s="203"/>
      <c r="AF140" s="203"/>
    </row>
    <row r="141" spans="2:32" ht="15" customHeight="1">
      <c r="C141" s="10"/>
      <c r="D141" s="26"/>
      <c r="E141" s="215"/>
      <c r="F141" s="215"/>
      <c r="G141" s="203"/>
      <c r="H141" s="203"/>
      <c r="I141" s="203"/>
      <c r="J141" s="203"/>
      <c r="K141" s="203"/>
      <c r="L141" s="203"/>
      <c r="M141" s="203"/>
      <c r="N141" s="203"/>
      <c r="O141" s="203"/>
      <c r="P141" s="203"/>
      <c r="Q141" s="203"/>
      <c r="R141" s="203"/>
      <c r="S141" s="203"/>
      <c r="T141" s="203"/>
      <c r="U141" s="203"/>
      <c r="V141" s="203"/>
      <c r="W141" s="203"/>
      <c r="X141" s="203"/>
      <c r="Y141" s="203"/>
      <c r="Z141" s="203"/>
      <c r="AA141" s="203"/>
      <c r="AB141" s="203"/>
      <c r="AC141" s="203"/>
      <c r="AD141" s="203"/>
      <c r="AE141" s="203"/>
      <c r="AF141" s="203"/>
    </row>
    <row r="142" spans="2:32" ht="15" customHeight="1">
      <c r="C142" s="10"/>
    </row>
    <row r="143" spans="2:32" ht="15" customHeight="1">
      <c r="B143" s="315"/>
      <c r="C143" s="10"/>
      <c r="D143" s="26"/>
      <c r="E143" s="215"/>
      <c r="F143" s="215"/>
      <c r="G143" s="203"/>
      <c r="H143" s="203"/>
      <c r="I143" s="203"/>
      <c r="J143" s="203"/>
      <c r="K143" s="203"/>
      <c r="L143" s="203"/>
      <c r="M143" s="203"/>
      <c r="N143" s="203"/>
      <c r="O143" s="203"/>
      <c r="P143" s="203"/>
      <c r="Q143" s="203"/>
      <c r="R143" s="203"/>
      <c r="S143" s="203"/>
      <c r="T143" s="203"/>
      <c r="U143" s="203"/>
      <c r="V143" s="203"/>
      <c r="W143" s="203"/>
      <c r="X143" s="203"/>
      <c r="Y143" s="203"/>
      <c r="Z143" s="203"/>
      <c r="AA143" s="203"/>
      <c r="AB143" s="203"/>
      <c r="AC143" s="203"/>
      <c r="AD143" s="203"/>
      <c r="AE143" s="203"/>
      <c r="AF143" s="203"/>
    </row>
    <row r="144" spans="2:32" ht="15" customHeight="1">
      <c r="C144" s="10"/>
      <c r="D144" s="26"/>
      <c r="E144" s="215"/>
      <c r="F144" s="215"/>
      <c r="G144" s="203"/>
      <c r="H144" s="203"/>
      <c r="I144" s="203"/>
      <c r="J144" s="203"/>
      <c r="K144" s="203"/>
      <c r="L144" s="203"/>
      <c r="M144" s="203"/>
      <c r="N144" s="203"/>
      <c r="O144" s="203"/>
      <c r="P144" s="203"/>
      <c r="Q144" s="203"/>
      <c r="R144" s="203"/>
      <c r="S144" s="203"/>
      <c r="T144" s="203"/>
      <c r="U144" s="203"/>
      <c r="V144" s="203"/>
      <c r="W144" s="203"/>
      <c r="X144" s="203"/>
      <c r="Y144" s="203"/>
      <c r="Z144" s="203"/>
      <c r="AA144" s="203"/>
      <c r="AB144" s="203"/>
      <c r="AC144" s="203"/>
      <c r="AD144" s="203"/>
      <c r="AE144" s="203"/>
      <c r="AF144" s="203"/>
    </row>
    <row r="145" spans="3:32" ht="15" customHeight="1">
      <c r="C145" s="10"/>
      <c r="D145" s="26"/>
      <c r="E145" s="215"/>
      <c r="F145" s="215"/>
      <c r="G145" s="203"/>
      <c r="H145" s="203"/>
      <c r="I145" s="203"/>
      <c r="J145" s="203"/>
      <c r="K145" s="203"/>
      <c r="L145" s="203"/>
      <c r="M145" s="203"/>
      <c r="N145" s="203"/>
      <c r="O145" s="203"/>
      <c r="P145" s="203"/>
      <c r="Q145" s="203"/>
      <c r="R145" s="203"/>
      <c r="S145" s="203"/>
      <c r="T145" s="203"/>
      <c r="U145" s="203"/>
      <c r="V145" s="203"/>
      <c r="W145" s="203"/>
      <c r="X145" s="203"/>
      <c r="Y145" s="203"/>
      <c r="Z145" s="203"/>
      <c r="AA145" s="203"/>
      <c r="AB145" s="203"/>
      <c r="AC145" s="203"/>
      <c r="AD145" s="203"/>
      <c r="AE145" s="203"/>
      <c r="AF145" s="203"/>
    </row>
    <row r="146" spans="3:32" ht="15" customHeight="1">
      <c r="C146" s="10"/>
      <c r="D146" s="26"/>
      <c r="E146" s="215"/>
      <c r="F146" s="215"/>
      <c r="G146" s="203"/>
      <c r="H146" s="203"/>
      <c r="I146" s="203"/>
      <c r="J146" s="203"/>
      <c r="K146" s="203"/>
      <c r="L146" s="203"/>
      <c r="M146" s="203"/>
      <c r="N146" s="203"/>
      <c r="O146" s="203"/>
      <c r="P146" s="203"/>
      <c r="Q146" s="203"/>
      <c r="R146" s="203"/>
      <c r="S146" s="203"/>
      <c r="T146" s="203"/>
      <c r="U146" s="203"/>
      <c r="V146" s="203"/>
      <c r="W146" s="203"/>
      <c r="X146" s="203"/>
      <c r="Y146" s="203"/>
      <c r="Z146" s="203"/>
      <c r="AA146" s="203"/>
      <c r="AB146" s="203"/>
      <c r="AC146" s="203"/>
      <c r="AD146" s="203"/>
      <c r="AE146" s="203"/>
      <c r="AF146" s="203"/>
    </row>
    <row r="147" spans="3:32" ht="15" customHeight="1">
      <c r="C147" s="10"/>
      <c r="D147" s="26"/>
      <c r="E147" s="215"/>
      <c r="F147" s="215"/>
      <c r="G147" s="203"/>
      <c r="H147" s="203"/>
      <c r="I147" s="203"/>
      <c r="J147" s="203"/>
      <c r="K147" s="203"/>
      <c r="L147" s="203"/>
      <c r="M147" s="203"/>
      <c r="N147" s="203"/>
      <c r="O147" s="203"/>
      <c r="P147" s="203"/>
      <c r="Q147" s="203"/>
      <c r="R147" s="203"/>
      <c r="S147" s="203"/>
      <c r="T147" s="203"/>
      <c r="U147" s="203"/>
      <c r="V147" s="203"/>
      <c r="W147" s="203"/>
      <c r="X147" s="203"/>
      <c r="Y147" s="203"/>
      <c r="Z147" s="203"/>
      <c r="AA147" s="203"/>
      <c r="AB147" s="203"/>
      <c r="AC147" s="203"/>
      <c r="AD147" s="203"/>
      <c r="AE147" s="203"/>
      <c r="AF147" s="203"/>
    </row>
    <row r="148" spans="3:32" ht="15" customHeight="1">
      <c r="C148" s="10"/>
      <c r="D148" s="26"/>
      <c r="E148" s="215"/>
      <c r="F148" s="215"/>
      <c r="G148" s="203"/>
      <c r="H148" s="203"/>
      <c r="I148" s="203"/>
      <c r="J148" s="203"/>
      <c r="K148" s="203"/>
      <c r="L148" s="203"/>
      <c r="M148" s="203"/>
      <c r="N148" s="203"/>
      <c r="O148" s="203"/>
      <c r="P148" s="203"/>
      <c r="Q148" s="203"/>
      <c r="R148" s="203"/>
      <c r="S148" s="203"/>
      <c r="T148" s="203"/>
      <c r="U148" s="203"/>
      <c r="V148" s="203"/>
      <c r="W148" s="203"/>
      <c r="X148" s="203"/>
      <c r="Y148" s="203"/>
      <c r="Z148" s="203"/>
      <c r="AA148" s="203"/>
      <c r="AB148" s="203"/>
      <c r="AC148" s="203"/>
      <c r="AD148" s="203"/>
      <c r="AE148" s="203"/>
      <c r="AF148" s="203"/>
    </row>
    <row r="149" spans="3:32" ht="15" customHeight="1">
      <c r="C149" s="10"/>
      <c r="D149" s="26"/>
      <c r="E149" s="215"/>
      <c r="F149" s="215"/>
      <c r="G149" s="203"/>
      <c r="H149" s="203"/>
      <c r="I149" s="203"/>
      <c r="J149" s="203"/>
      <c r="K149" s="203"/>
      <c r="L149" s="203"/>
      <c r="M149" s="203"/>
      <c r="N149" s="203"/>
      <c r="O149" s="203"/>
      <c r="P149" s="203"/>
      <c r="Q149" s="203"/>
      <c r="R149" s="203"/>
      <c r="S149" s="203"/>
      <c r="T149" s="203"/>
      <c r="U149" s="203"/>
      <c r="V149" s="203"/>
      <c r="W149" s="203"/>
      <c r="X149" s="203"/>
      <c r="Y149" s="203"/>
      <c r="Z149" s="203"/>
      <c r="AA149" s="203"/>
      <c r="AB149" s="203"/>
      <c r="AC149" s="203"/>
      <c r="AD149" s="203"/>
      <c r="AE149" s="203"/>
      <c r="AF149" s="203"/>
    </row>
    <row r="150" spans="3:32" ht="15" customHeight="1">
      <c r="C150" s="10"/>
      <c r="D150" s="26"/>
      <c r="E150" s="215"/>
      <c r="F150" s="215"/>
      <c r="G150" s="203"/>
      <c r="H150" s="203"/>
      <c r="I150" s="203"/>
      <c r="J150" s="203"/>
      <c r="K150" s="203"/>
      <c r="L150" s="203"/>
      <c r="M150" s="203"/>
      <c r="N150" s="203"/>
      <c r="O150" s="203"/>
      <c r="P150" s="203"/>
      <c r="Q150" s="203"/>
      <c r="R150" s="203"/>
      <c r="S150" s="203"/>
      <c r="T150" s="203"/>
      <c r="U150" s="203"/>
      <c r="V150" s="203"/>
      <c r="W150" s="203"/>
      <c r="X150" s="203"/>
      <c r="Y150" s="203"/>
      <c r="Z150" s="203"/>
      <c r="AA150" s="203"/>
      <c r="AB150" s="203"/>
      <c r="AC150" s="203"/>
      <c r="AD150" s="203"/>
      <c r="AE150" s="203"/>
      <c r="AF150" s="203"/>
    </row>
    <row r="151" spans="3:32" ht="15" customHeight="1">
      <c r="C151" s="10"/>
      <c r="D151" s="26"/>
      <c r="E151" s="215"/>
      <c r="F151" s="215"/>
      <c r="G151" s="203"/>
      <c r="H151" s="203"/>
      <c r="I151" s="203"/>
      <c r="J151" s="203"/>
      <c r="K151" s="203"/>
      <c r="L151" s="203"/>
      <c r="M151" s="203"/>
      <c r="N151" s="203"/>
      <c r="O151" s="203"/>
      <c r="P151" s="203"/>
      <c r="Q151" s="203"/>
      <c r="R151" s="203"/>
      <c r="S151" s="203"/>
      <c r="T151" s="203"/>
      <c r="U151" s="203"/>
      <c r="V151" s="203"/>
      <c r="W151" s="203"/>
      <c r="X151" s="203"/>
      <c r="Y151" s="203"/>
      <c r="Z151" s="203"/>
      <c r="AA151" s="203"/>
      <c r="AB151" s="203"/>
      <c r="AC151" s="203"/>
      <c r="AD151" s="203"/>
      <c r="AE151" s="203"/>
      <c r="AF151" s="203"/>
    </row>
    <row r="152" spans="3:32" ht="15" customHeight="1">
      <c r="C152" s="10"/>
      <c r="D152" s="26"/>
      <c r="E152" s="215"/>
      <c r="F152" s="215"/>
      <c r="G152" s="203"/>
      <c r="H152" s="203"/>
      <c r="I152" s="203"/>
      <c r="J152" s="203"/>
      <c r="K152" s="203"/>
      <c r="L152" s="203"/>
      <c r="M152" s="203"/>
      <c r="N152" s="203"/>
      <c r="O152" s="203"/>
      <c r="P152" s="203"/>
      <c r="Q152" s="203"/>
      <c r="R152" s="203"/>
      <c r="S152" s="203"/>
      <c r="T152" s="203"/>
      <c r="U152" s="203"/>
      <c r="V152" s="203"/>
      <c r="W152" s="203"/>
      <c r="X152" s="203"/>
      <c r="Y152" s="203"/>
      <c r="Z152" s="203"/>
      <c r="AA152" s="203"/>
      <c r="AB152" s="203"/>
      <c r="AC152" s="203"/>
      <c r="AD152" s="203"/>
      <c r="AE152" s="203"/>
      <c r="AF152" s="203"/>
    </row>
    <row r="153" spans="3:32" ht="15" customHeight="1">
      <c r="C153" s="10"/>
      <c r="D153" s="26"/>
      <c r="E153" s="215"/>
      <c r="F153" s="215"/>
      <c r="G153" s="203"/>
      <c r="H153" s="203"/>
      <c r="I153" s="203"/>
      <c r="J153" s="203"/>
      <c r="K153" s="203"/>
      <c r="L153" s="203"/>
      <c r="M153" s="203"/>
      <c r="N153" s="203"/>
      <c r="O153" s="203"/>
      <c r="P153" s="203"/>
      <c r="Q153" s="203"/>
      <c r="R153" s="203"/>
      <c r="S153" s="203"/>
      <c r="T153" s="203"/>
      <c r="U153" s="203"/>
      <c r="V153" s="203"/>
      <c r="W153" s="203"/>
      <c r="X153" s="203"/>
      <c r="Y153" s="203"/>
      <c r="Z153" s="203"/>
      <c r="AA153" s="203"/>
      <c r="AB153" s="203"/>
      <c r="AC153" s="203"/>
      <c r="AD153" s="203"/>
      <c r="AE153" s="203"/>
      <c r="AF153" s="203"/>
    </row>
    <row r="154" spans="3:32" ht="15" customHeight="1">
      <c r="C154" s="10"/>
      <c r="D154" s="26"/>
      <c r="E154" s="215"/>
      <c r="F154" s="215"/>
      <c r="G154" s="203"/>
      <c r="H154" s="203"/>
      <c r="I154" s="203"/>
      <c r="J154" s="203"/>
      <c r="K154" s="203"/>
      <c r="L154" s="203"/>
      <c r="M154" s="203"/>
      <c r="N154" s="203"/>
      <c r="O154" s="203"/>
      <c r="P154" s="203"/>
      <c r="Q154" s="203"/>
      <c r="R154" s="203"/>
      <c r="S154" s="203"/>
      <c r="T154" s="203"/>
      <c r="U154" s="203"/>
      <c r="V154" s="203"/>
      <c r="W154" s="203"/>
      <c r="X154" s="203"/>
      <c r="Y154" s="203"/>
      <c r="Z154" s="203"/>
      <c r="AA154" s="203"/>
      <c r="AB154" s="203"/>
      <c r="AC154" s="203"/>
      <c r="AD154" s="203"/>
      <c r="AE154" s="203"/>
      <c r="AF154" s="203"/>
    </row>
    <row r="155" spans="3:32" ht="15" customHeight="1">
      <c r="C155" s="10"/>
      <c r="D155" s="26"/>
      <c r="E155" s="215"/>
      <c r="F155" s="215"/>
      <c r="G155" s="203"/>
      <c r="H155" s="203"/>
      <c r="I155" s="203"/>
      <c r="J155" s="203"/>
      <c r="K155" s="203"/>
      <c r="L155" s="203"/>
      <c r="M155" s="203"/>
      <c r="N155" s="203"/>
      <c r="O155" s="203"/>
      <c r="P155" s="203"/>
      <c r="Q155" s="203"/>
      <c r="R155" s="203"/>
      <c r="S155" s="203"/>
      <c r="T155" s="203"/>
      <c r="U155" s="203"/>
      <c r="V155" s="203"/>
      <c r="W155" s="203"/>
      <c r="X155" s="203"/>
      <c r="Y155" s="203"/>
      <c r="Z155" s="203"/>
      <c r="AA155" s="203"/>
      <c r="AB155" s="203"/>
      <c r="AC155" s="203"/>
      <c r="AD155" s="203"/>
      <c r="AE155" s="203"/>
      <c r="AF155" s="203"/>
    </row>
    <row r="156" spans="3:32" ht="15" customHeight="1">
      <c r="C156" s="10"/>
      <c r="D156" s="26"/>
      <c r="E156" s="215"/>
      <c r="F156" s="215"/>
      <c r="G156" s="203"/>
      <c r="H156" s="203"/>
      <c r="I156" s="203"/>
      <c r="J156" s="203"/>
      <c r="K156" s="203"/>
      <c r="L156" s="203"/>
      <c r="M156" s="203"/>
      <c r="N156" s="203"/>
      <c r="O156" s="203"/>
      <c r="P156" s="203"/>
      <c r="Q156" s="203"/>
      <c r="R156" s="203"/>
      <c r="S156" s="203"/>
      <c r="T156" s="203"/>
      <c r="U156" s="203"/>
      <c r="V156" s="203"/>
      <c r="W156" s="203"/>
      <c r="X156" s="203"/>
      <c r="Y156" s="203"/>
      <c r="Z156" s="203"/>
      <c r="AA156" s="203"/>
      <c r="AB156" s="203"/>
      <c r="AC156" s="203"/>
      <c r="AD156" s="203"/>
      <c r="AE156" s="203"/>
      <c r="AF156" s="203"/>
    </row>
    <row r="157" spans="3:32" ht="15" customHeight="1">
      <c r="C157" s="10"/>
      <c r="D157" s="26"/>
      <c r="E157" s="215"/>
      <c r="F157" s="215"/>
      <c r="G157" s="203"/>
      <c r="H157" s="203"/>
      <c r="I157" s="203"/>
      <c r="J157" s="203"/>
      <c r="K157" s="203"/>
      <c r="L157" s="203"/>
      <c r="M157" s="203"/>
      <c r="N157" s="203"/>
      <c r="O157" s="203"/>
      <c r="P157" s="203"/>
      <c r="Q157" s="203"/>
      <c r="R157" s="203"/>
      <c r="S157" s="203"/>
      <c r="T157" s="203"/>
      <c r="U157" s="203"/>
      <c r="V157" s="203"/>
      <c r="W157" s="203"/>
      <c r="X157" s="203"/>
      <c r="Y157" s="203"/>
      <c r="Z157" s="203"/>
      <c r="AA157" s="203"/>
      <c r="AB157" s="203"/>
      <c r="AC157" s="203"/>
      <c r="AD157" s="203"/>
      <c r="AE157" s="203"/>
      <c r="AF157" s="203"/>
    </row>
    <row r="158" spans="3:32" ht="15" customHeight="1">
      <c r="C158" s="10"/>
      <c r="D158" s="26"/>
      <c r="E158" s="215"/>
      <c r="F158" s="215"/>
      <c r="G158" s="203"/>
      <c r="H158" s="203"/>
      <c r="I158" s="203"/>
      <c r="J158" s="203"/>
      <c r="K158" s="203"/>
      <c r="L158" s="203"/>
      <c r="M158" s="203"/>
      <c r="N158" s="203"/>
      <c r="O158" s="203"/>
      <c r="P158" s="203"/>
      <c r="Q158" s="203"/>
      <c r="R158" s="203"/>
      <c r="S158" s="203"/>
      <c r="T158" s="203"/>
      <c r="U158" s="203"/>
      <c r="V158" s="203"/>
      <c r="W158" s="203"/>
      <c r="X158" s="203"/>
      <c r="Y158" s="203"/>
      <c r="Z158" s="203"/>
      <c r="AA158" s="203"/>
      <c r="AB158" s="203"/>
      <c r="AC158" s="203"/>
      <c r="AD158" s="203"/>
      <c r="AE158" s="203"/>
      <c r="AF158" s="203"/>
    </row>
    <row r="159" spans="3:32" ht="15" customHeight="1">
      <c r="C159" s="10"/>
      <c r="D159" s="26"/>
      <c r="E159" s="215"/>
      <c r="F159" s="215"/>
      <c r="G159" s="203"/>
      <c r="H159" s="203"/>
      <c r="I159" s="203"/>
      <c r="J159" s="203"/>
      <c r="K159" s="203"/>
      <c r="L159" s="203"/>
      <c r="M159" s="203"/>
      <c r="N159" s="203"/>
      <c r="O159" s="203"/>
      <c r="P159" s="203"/>
      <c r="Q159" s="203"/>
      <c r="R159" s="203"/>
      <c r="S159" s="203"/>
      <c r="T159" s="203"/>
      <c r="U159" s="203"/>
      <c r="V159" s="203"/>
      <c r="W159" s="203"/>
      <c r="X159" s="203"/>
      <c r="Y159" s="203"/>
      <c r="Z159" s="203"/>
      <c r="AA159" s="203"/>
      <c r="AB159" s="203"/>
      <c r="AC159" s="203"/>
      <c r="AD159" s="203"/>
      <c r="AE159" s="203"/>
      <c r="AF159" s="203"/>
    </row>
    <row r="160" spans="3:32" ht="15" customHeight="1">
      <c r="C160" s="10"/>
      <c r="D160" s="26"/>
      <c r="E160" s="215"/>
      <c r="F160" s="215"/>
      <c r="G160" s="203"/>
      <c r="H160" s="203"/>
      <c r="I160" s="203"/>
      <c r="J160" s="203"/>
      <c r="K160" s="203"/>
      <c r="L160" s="203"/>
      <c r="M160" s="203"/>
      <c r="N160" s="203"/>
      <c r="O160" s="203"/>
      <c r="P160" s="203"/>
      <c r="Q160" s="203"/>
      <c r="R160" s="203"/>
      <c r="S160" s="203"/>
      <c r="T160" s="203"/>
      <c r="U160" s="203"/>
      <c r="V160" s="203"/>
      <c r="W160" s="203"/>
      <c r="X160" s="203"/>
      <c r="Y160" s="203"/>
      <c r="Z160" s="203"/>
      <c r="AA160" s="203"/>
      <c r="AB160" s="203"/>
      <c r="AC160" s="203"/>
      <c r="AD160" s="203"/>
      <c r="AE160" s="203"/>
      <c r="AF160" s="203"/>
    </row>
    <row r="161" spans="3:32" ht="15" customHeight="1">
      <c r="C161" s="10"/>
      <c r="D161" s="26"/>
      <c r="E161" s="215"/>
      <c r="F161" s="215"/>
      <c r="G161" s="203"/>
      <c r="H161" s="203"/>
      <c r="I161" s="203"/>
      <c r="J161" s="203"/>
      <c r="K161" s="203"/>
      <c r="L161" s="203"/>
      <c r="M161" s="203"/>
      <c r="N161" s="203"/>
      <c r="O161" s="203"/>
      <c r="P161" s="203"/>
      <c r="Q161" s="203"/>
      <c r="R161" s="203"/>
      <c r="S161" s="203"/>
      <c r="T161" s="203"/>
      <c r="U161" s="203"/>
      <c r="V161" s="203"/>
      <c r="W161" s="203"/>
      <c r="X161" s="203"/>
      <c r="Y161" s="203"/>
      <c r="Z161" s="203"/>
      <c r="AA161" s="203"/>
      <c r="AB161" s="203"/>
      <c r="AC161" s="203"/>
      <c r="AD161" s="203"/>
      <c r="AE161" s="203"/>
      <c r="AF161" s="203"/>
    </row>
    <row r="162" spans="3:32" ht="15" customHeight="1">
      <c r="C162" s="10"/>
      <c r="D162" s="26"/>
      <c r="E162" s="215"/>
      <c r="F162" s="215"/>
      <c r="G162" s="203"/>
      <c r="H162" s="203"/>
      <c r="I162" s="203"/>
      <c r="J162" s="203"/>
      <c r="K162" s="203"/>
      <c r="L162" s="203"/>
      <c r="M162" s="203"/>
      <c r="N162" s="203"/>
      <c r="O162" s="203"/>
      <c r="P162" s="203"/>
      <c r="Q162" s="203"/>
      <c r="R162" s="203"/>
      <c r="S162" s="203"/>
      <c r="T162" s="203"/>
      <c r="U162" s="203"/>
      <c r="V162" s="203"/>
      <c r="W162" s="203"/>
      <c r="X162" s="203"/>
      <c r="Y162" s="203"/>
      <c r="Z162" s="203"/>
      <c r="AA162" s="203"/>
      <c r="AB162" s="203"/>
      <c r="AC162" s="203"/>
      <c r="AD162" s="203"/>
      <c r="AE162" s="203"/>
      <c r="AF162" s="203"/>
    </row>
    <row r="163" spans="3:32" ht="15" customHeight="1">
      <c r="C163" s="10"/>
      <c r="D163" s="26"/>
      <c r="E163" s="215"/>
      <c r="F163" s="215"/>
      <c r="G163" s="203"/>
      <c r="H163" s="203"/>
      <c r="I163" s="203"/>
      <c r="J163" s="203"/>
      <c r="K163" s="203"/>
      <c r="L163" s="203"/>
      <c r="M163" s="203"/>
      <c r="N163" s="203"/>
      <c r="O163" s="203"/>
      <c r="P163" s="203"/>
      <c r="Q163" s="203"/>
      <c r="R163" s="203"/>
      <c r="S163" s="203"/>
      <c r="T163" s="203"/>
      <c r="U163" s="203"/>
      <c r="V163" s="203"/>
      <c r="W163" s="203"/>
      <c r="X163" s="203"/>
      <c r="Y163" s="203"/>
      <c r="Z163" s="203"/>
      <c r="AA163" s="203"/>
      <c r="AB163" s="203"/>
      <c r="AC163" s="203"/>
      <c r="AD163" s="203"/>
      <c r="AE163" s="203"/>
      <c r="AF163" s="203"/>
    </row>
    <row r="164" spans="3:32" ht="15" customHeight="1">
      <c r="C164" s="10"/>
      <c r="D164" s="26"/>
      <c r="E164" s="215"/>
      <c r="F164" s="215"/>
      <c r="G164" s="203"/>
      <c r="H164" s="203"/>
      <c r="I164" s="203"/>
      <c r="J164" s="203"/>
      <c r="K164" s="203"/>
      <c r="L164" s="203"/>
      <c r="M164" s="203"/>
      <c r="N164" s="203"/>
      <c r="O164" s="203"/>
      <c r="P164" s="203"/>
      <c r="Q164" s="203"/>
      <c r="R164" s="203"/>
      <c r="S164" s="203"/>
      <c r="T164" s="203"/>
      <c r="U164" s="203"/>
      <c r="V164" s="203"/>
      <c r="W164" s="203"/>
      <c r="X164" s="203"/>
      <c r="Y164" s="203"/>
      <c r="Z164" s="203"/>
      <c r="AA164" s="203"/>
      <c r="AB164" s="203"/>
      <c r="AC164" s="203"/>
      <c r="AD164" s="203"/>
      <c r="AE164" s="203"/>
      <c r="AF164" s="203"/>
    </row>
    <row r="165" spans="3:32" ht="15" customHeight="1">
      <c r="C165" s="10"/>
      <c r="D165" s="26"/>
      <c r="E165" s="215"/>
      <c r="F165" s="215"/>
      <c r="G165" s="203"/>
      <c r="H165" s="203"/>
      <c r="I165" s="203"/>
      <c r="J165" s="203"/>
      <c r="K165" s="203"/>
      <c r="L165" s="203"/>
      <c r="M165" s="203"/>
      <c r="N165" s="203"/>
      <c r="O165" s="203"/>
      <c r="P165" s="203"/>
      <c r="Q165" s="203"/>
      <c r="R165" s="203"/>
      <c r="S165" s="203"/>
      <c r="T165" s="203"/>
      <c r="U165" s="203"/>
      <c r="V165" s="203"/>
      <c r="W165" s="203"/>
      <c r="X165" s="203"/>
      <c r="Y165" s="203"/>
      <c r="Z165" s="203"/>
      <c r="AA165" s="203"/>
      <c r="AB165" s="203"/>
      <c r="AC165" s="203"/>
      <c r="AD165" s="203"/>
      <c r="AE165" s="203"/>
      <c r="AF165" s="203"/>
    </row>
    <row r="166" spans="3:32" ht="15" customHeight="1">
      <c r="C166" s="10"/>
      <c r="D166" s="26"/>
      <c r="E166" s="215"/>
      <c r="F166" s="215"/>
      <c r="G166" s="203"/>
      <c r="H166" s="203"/>
      <c r="I166" s="203"/>
      <c r="J166" s="203"/>
      <c r="K166" s="203"/>
      <c r="L166" s="203"/>
      <c r="M166" s="203"/>
      <c r="N166" s="203"/>
      <c r="O166" s="203"/>
      <c r="P166" s="203"/>
      <c r="Q166" s="203"/>
      <c r="R166" s="203"/>
      <c r="S166" s="203"/>
      <c r="T166" s="203"/>
      <c r="U166" s="203"/>
      <c r="V166" s="203"/>
      <c r="W166" s="203"/>
      <c r="X166" s="203"/>
      <c r="Y166" s="203"/>
      <c r="Z166" s="203"/>
      <c r="AA166" s="203"/>
      <c r="AB166" s="203"/>
      <c r="AC166" s="203"/>
      <c r="AD166" s="203"/>
      <c r="AE166" s="203"/>
      <c r="AF166" s="203"/>
    </row>
    <row r="167" spans="3:32" ht="15" customHeight="1">
      <c r="C167" s="10"/>
      <c r="D167" s="26"/>
      <c r="E167" s="215"/>
      <c r="F167" s="215"/>
      <c r="G167" s="203"/>
      <c r="H167" s="203"/>
      <c r="I167" s="203"/>
      <c r="J167" s="203"/>
      <c r="K167" s="203"/>
      <c r="L167" s="203"/>
      <c r="M167" s="203"/>
      <c r="N167" s="203"/>
      <c r="O167" s="203"/>
      <c r="P167" s="203"/>
      <c r="Q167" s="203"/>
      <c r="R167" s="203"/>
      <c r="S167" s="203"/>
      <c r="T167" s="203"/>
      <c r="U167" s="203"/>
      <c r="V167" s="203"/>
      <c r="W167" s="203"/>
      <c r="X167" s="203"/>
      <c r="Y167" s="203"/>
      <c r="Z167" s="203"/>
      <c r="AA167" s="203"/>
      <c r="AB167" s="203"/>
      <c r="AC167" s="203"/>
      <c r="AD167" s="203"/>
      <c r="AE167" s="203"/>
      <c r="AF167" s="203"/>
    </row>
    <row r="168" spans="3:32" ht="15" customHeight="1">
      <c r="C168" s="10"/>
    </row>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23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legacyDrawing r:id="rId2"/>
  <extLst>
    <ext xmlns:x14="http://schemas.microsoft.com/office/spreadsheetml/2009/9/main" uri="{78C0D931-6437-407d-A8EE-F0AAD7539E65}">
      <x14:conditionalFormattings>
        <x14:conditionalFormatting xmlns:xm="http://schemas.microsoft.com/office/excel/2006/main">
          <x14:cfRule type="cellIs" priority="689" operator="greaterThan" id="{00000000-0000-0000-0000-000000000000}">
            <xm:f>ControlPanel!$D$59-1</xm:f>
            <x14:dxf>
              <font>
                <color rgb="FF9C6500"/>
              </font>
              <fill>
                <patternFill>
                  <fgColor indexed="64"/>
                  <bgColor rgb="FFFFEB9C"/>
                </patternFill>
              </fill>
            </x14:dxf>
          </x14:cfRule>
          <x14:cfRule type="cellIs" priority="690" operator="lessThan" id="{00000000-0000-0000-0000-000000000000}">
            <xm:f>ControlPanel!$D$59</xm:f>
            <x14:dxf>
              <font>
                <color rgb="FF006100"/>
              </font>
              <fill>
                <patternFill>
                  <fgColor indexed="64"/>
                  <bgColor rgb="FFC6EFCE"/>
                </patternFill>
              </fill>
            </x14:dxf>
          </x14:cfRule>
          <x14:cfRule type="cellIs" priority="691" operator="lessThan" id="{00000000-0000-0000-0000-000000000000}">
            <xm:f>ControlPanel!$D$59+1</xm:f>
            <x14:dxf>
              <font>
                <color rgb="FF006100"/>
              </font>
              <fill>
                <patternFill>
                  <fgColor indexed="64"/>
                  <bgColor rgb="FFC6EFCE"/>
                </patternFill>
              </fill>
            </x14:dxf>
          </x14:cfRule>
          <xm:sqref>G4:AF4</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EC2C9-F62E-4264-9773-E6C4B1674371}">
  <sheetPr codeName="Tabelle71">
    <tabColor theme="9" tint="0.39997558519241921"/>
    <pageSetUpPr fitToPage="1"/>
  </sheetPr>
  <dimension ref="A1:AE1359"/>
  <sheetViews>
    <sheetView zoomScaleNormal="100" workbookViewId="0">
      <selection activeCell="E15" sqref="E15"/>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920</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214</v>
      </c>
      <c r="G5" s="323" t="s">
        <v>214</v>
      </c>
      <c r="H5" s="323" t="s">
        <v>214</v>
      </c>
      <c r="I5" s="323" t="s">
        <v>214</v>
      </c>
      <c r="J5" s="323" t="s">
        <v>214</v>
      </c>
      <c r="K5" s="323" t="s">
        <v>214</v>
      </c>
      <c r="L5" s="323" t="s">
        <v>214</v>
      </c>
      <c r="M5" s="323" t="s">
        <v>214</v>
      </c>
      <c r="N5" s="323" t="s">
        <v>214</v>
      </c>
      <c r="O5" s="323" t="s">
        <v>214</v>
      </c>
      <c r="P5" s="323" t="s">
        <v>214</v>
      </c>
      <c r="Q5" s="323" t="s">
        <v>214</v>
      </c>
      <c r="R5" s="323" t="s">
        <v>214</v>
      </c>
      <c r="S5" s="323" t="s">
        <v>214</v>
      </c>
      <c r="T5" s="323" t="s">
        <v>214</v>
      </c>
      <c r="U5" s="323" t="s">
        <v>214</v>
      </c>
      <c r="V5" s="323" t="s">
        <v>214</v>
      </c>
      <c r="W5" s="323" t="s">
        <v>214</v>
      </c>
      <c r="X5" s="323" t="s">
        <v>214</v>
      </c>
      <c r="Y5" s="323" t="s">
        <v>214</v>
      </c>
      <c r="Z5" s="323" t="s">
        <v>214</v>
      </c>
      <c r="AA5" s="323" t="s">
        <v>214</v>
      </c>
      <c r="AB5" s="323" t="s">
        <v>214</v>
      </c>
      <c r="AC5" s="323" t="s">
        <v>214</v>
      </c>
      <c r="AD5" s="323" t="s">
        <v>214</v>
      </c>
      <c r="AE5" s="323" t="s">
        <v>214</v>
      </c>
    </row>
    <row r="6" spans="1:31" ht="40.200000000000003" thickBot="1">
      <c r="B6" s="170" t="str">
        <f>ControlPanel!I45</f>
        <v>Référence</v>
      </c>
      <c r="C6" s="15" t="str">
        <f>VLOOKUP($B$6,$B$7:$AE$25,2,FALSE)</f>
        <v>fh</v>
      </c>
      <c r="D6" s="486" t="str">
        <f>VLOOKUP($B$6,$B$7:$AE$25,3,FALSE)</f>
        <v>6,5 ct / kWh en 2021 et 6,0 ct / kWh en 2022 seront atteints</v>
      </c>
      <c r="E6" s="486" t="str">
        <f>VLOOKUP($B$6,$B$7:$AE$25,4,FALSE)</f>
        <v>Les 6,5 ct / kWh spécifiés en 2021 et 6,0 ct / kWh en 2022 seront atteints. Par la suite constant 5 milliards</v>
      </c>
      <c r="F6" s="38">
        <f>IF(F$4&lt;ControlPanel!$D$59,VLOOKUP("Référence",$B$7:$AE$25,F$4-$F$4+5,FALSE),VLOOKUP($B$6,$B$7:$AE$25,F$4-$F$4+5,FALSE))</f>
        <v>0</v>
      </c>
      <c r="G6" s="38">
        <f>IF(G$4&lt;ControlPanel!$D$59,VLOOKUP("Référence",$B$7:$AE$25,G$4-$F$4+5,FALSE),VLOOKUP($B$6,$B$7:$AE$25,G$4-$F$4+5,FALSE))</f>
        <v>0</v>
      </c>
      <c r="H6" s="38">
        <f>IF(H$4&lt;ControlPanel!$D$59,VLOOKUP("Référence",$B$7:$AE$25,H$4-$F$4+5,FALSE),VLOOKUP($B$6,$B$7:$AE$25,H$4-$F$4+5,FALSE))</f>
        <v>0</v>
      </c>
      <c r="I6" s="38">
        <f>IF(I$4&lt;ControlPanel!$D$59,VLOOKUP("Référence",$B$7:$AE$25,I$4-$F$4+5,FALSE),VLOOKUP($B$6,$B$7:$AE$25,I$4-$F$4+5,FALSE))</f>
        <v>0</v>
      </c>
      <c r="J6" s="38">
        <f>IF(J$4&lt;ControlPanel!$D$59,VLOOKUP("Référence",$B$7:$AE$25,J$4-$F$4+5,FALSE),VLOOKUP($B$6,$B$7:$AE$25,J$4-$F$4+5,FALSE))</f>
        <v>0</v>
      </c>
      <c r="K6" s="38">
        <f>IF(K$4&lt;ControlPanel!$D$59,VLOOKUP("Référence",$B$7:$AE$25,K$4-$F$4+5,FALSE),VLOOKUP($B$6,$B$7:$AE$25,K$4-$F$4+5,FALSE))</f>
        <v>0</v>
      </c>
      <c r="L6" s="38">
        <f>IF(L$4&lt;ControlPanel!$D$59,VLOOKUP("Référence",$B$7:$AE$25,L$4-$F$4+5,FALSE),VLOOKUP($B$6,$B$7:$AE$25,L$4-$F$4+5,FALSE))</f>
        <v>0</v>
      </c>
      <c r="M6" s="38">
        <f>IF(M$4&lt;ControlPanel!$D$59,VLOOKUP("Référence",$B$7:$AE$25,M$4-$F$4+5,FALSE),VLOOKUP($B$6,$B$7:$AE$25,M$4-$F$4+5,FALSE))</f>
        <v>0</v>
      </c>
      <c r="N6" s="38">
        <f>IF(N$4&lt;ControlPanel!$D$59,VLOOKUP("Référence",$B$7:$AE$25,N$4-$F$4+5,FALSE),VLOOKUP($B$6,$B$7:$AE$25,N$4-$F$4+5,FALSE))</f>
        <v>0</v>
      </c>
      <c r="O6" s="38">
        <f>IF(O$4&lt;ControlPanel!$D$59,VLOOKUP("Référence",$B$7:$AE$25,O$4-$F$4+5,FALSE),VLOOKUP($B$6,$B$7:$AE$25,O$4-$F$4+5,FALSE))</f>
        <v>0</v>
      </c>
      <c r="P6" s="38">
        <f>IF(P$4&lt;ControlPanel!$D$59,VLOOKUP("Référence",$B$7:$AE$25,P$4-$F$4+5,FALSE),VLOOKUP($B$6,$B$7:$AE$25,P$4-$F$4+5,FALSE))</f>
        <v>0</v>
      </c>
      <c r="Q6" s="38">
        <f>IF(Q$4&lt;ControlPanel!$D$59,VLOOKUP("Référence",$B$7:$AE$25,Q$4-$F$4+5,FALSE),VLOOKUP($B$6,$B$7:$AE$25,Q$4-$F$4+5,FALSE))</f>
        <v>10.8</v>
      </c>
      <c r="R6" s="38">
        <f>IF(R$4&lt;ControlPanel!$D$59,VLOOKUP("Référence",$B$7:$AE$25,R$4-$F$4+5,FALSE),VLOOKUP($B$6,$B$7:$AE$25,R$4-$F$4+5,FALSE))</f>
        <v>4.1085000000000003</v>
      </c>
      <c r="S6" s="38">
        <f>IF(S$4&lt;ControlPanel!$D$59,VLOOKUP("Référence",$B$7:$AE$25,S$4-$F$4+5,FALSE),VLOOKUP($B$6,$B$7:$AE$25,S$4-$F$4+5,FALSE))</f>
        <v>5</v>
      </c>
      <c r="T6" s="38">
        <f>IF(T$4&lt;ControlPanel!$D$59,VLOOKUP("Référence",$B$7:$AE$25,T$4-$F$4+5,FALSE),VLOOKUP($B$6,$B$7:$AE$25,T$4-$F$4+5,FALSE))</f>
        <v>5</v>
      </c>
      <c r="U6" s="38">
        <f>IF(U$4&lt;ControlPanel!$D$59,VLOOKUP("Référence",$B$7:$AE$25,U$4-$F$4+5,FALSE),VLOOKUP($B$6,$B$7:$AE$25,U$4-$F$4+5,FALSE))</f>
        <v>5</v>
      </c>
      <c r="V6" s="38">
        <f>IF(V$4&lt;ControlPanel!$D$59,VLOOKUP("Référence",$B$7:$AE$25,V$4-$F$4+5,FALSE),VLOOKUP($B$6,$B$7:$AE$25,V$4-$F$4+5,FALSE))</f>
        <v>5</v>
      </c>
      <c r="W6" s="38">
        <f>IF(W$4&lt;ControlPanel!$D$59,VLOOKUP("Référence",$B$7:$AE$25,W$4-$F$4+5,FALSE),VLOOKUP($B$6,$B$7:$AE$25,W$4-$F$4+5,FALSE))</f>
        <v>5</v>
      </c>
      <c r="X6" s="38">
        <f>IF(X$4&lt;ControlPanel!$D$59,VLOOKUP("Référence",$B$7:$AE$25,X$4-$F$4+5,FALSE),VLOOKUP($B$6,$B$7:$AE$25,X$4-$F$4+5,FALSE))</f>
        <v>5</v>
      </c>
      <c r="Y6" s="38">
        <f>IF(Y$4&lt;ControlPanel!$D$59,VLOOKUP("Référence",$B$7:$AE$25,Y$4-$F$4+5,FALSE),VLOOKUP($B$6,$B$7:$AE$25,Y$4-$F$4+5,FALSE))</f>
        <v>5</v>
      </c>
      <c r="Z6" s="38">
        <f>IF(Z$4&lt;ControlPanel!$D$59,VLOOKUP("Référence",$B$7:$AE$25,Z$4-$F$4+5,FALSE),VLOOKUP($B$6,$B$7:$AE$25,Z$4-$F$4+5,FALSE))</f>
        <v>5</v>
      </c>
      <c r="AA6" s="38">
        <f>IF(AA$4&lt;ControlPanel!$D$59,VLOOKUP("Référence",$B$7:$AE$25,AA$4-$F$4+5,FALSE),VLOOKUP($B$6,$B$7:$AE$25,AA$4-$F$4+5,FALSE))</f>
        <v>5</v>
      </c>
      <c r="AB6" s="38">
        <f>IF(AB$4&lt;ControlPanel!$D$59,VLOOKUP("Référence",$B$7:$AE$25,AB$4-$F$4+5,FALSE),VLOOKUP($B$6,$B$7:$AE$25,AB$4-$F$4+5,FALSE))</f>
        <v>5</v>
      </c>
      <c r="AC6" s="38">
        <f>IF(AC$4&lt;ControlPanel!$D$59,VLOOKUP("Référence",$B$7:$AE$25,AC$4-$F$4+5,FALSE),VLOOKUP($B$6,$B$7:$AE$25,AC$4-$F$4+5,FALSE))</f>
        <v>5</v>
      </c>
      <c r="AD6" s="38">
        <f>IF(AD$4&lt;ControlPanel!$D$59,VLOOKUP("Référence",$B$7:$AE$25,AD$4-$F$4+5,FALSE),VLOOKUP($B$6,$B$7:$AE$25,AD$4-$F$4+5,FALSE))</f>
        <v>5</v>
      </c>
      <c r="AE6" s="38">
        <f>IF(AE$4&lt;ControlPanel!$D$59,VLOOKUP("Référence",$B$7:$AE$25,AE$4-$F$4+5,FALSE),VLOOKUP($B$6,$B$7:$AE$25,AE$4-$F$4+5,FALSE))</f>
        <v>5</v>
      </c>
    </row>
    <row r="7" spans="1:31" ht="39.6">
      <c r="B7" s="16" t="s">
        <v>409</v>
      </c>
      <c r="C7" s="12" t="s">
        <v>300</v>
      </c>
      <c r="D7" s="488" t="s">
        <v>922</v>
      </c>
      <c r="E7" s="539" t="s">
        <v>924</v>
      </c>
      <c r="F7" s="225"/>
      <c r="G7" s="225"/>
      <c r="H7" s="225"/>
      <c r="I7" s="225"/>
      <c r="J7" s="225"/>
      <c r="K7" s="225"/>
      <c r="L7" s="225"/>
      <c r="M7" s="225"/>
      <c r="N7" s="225"/>
      <c r="O7" s="225"/>
      <c r="P7" s="225"/>
      <c r="Q7" s="225">
        <v>10.8</v>
      </c>
      <c r="R7" s="225">
        <v>4.1085000000000003</v>
      </c>
      <c r="S7" s="225">
        <v>5</v>
      </c>
      <c r="T7" s="225">
        <v>5</v>
      </c>
      <c r="U7" s="225">
        <v>5</v>
      </c>
      <c r="V7" s="225">
        <v>5</v>
      </c>
      <c r="W7" s="225">
        <v>5</v>
      </c>
      <c r="X7" s="225">
        <v>5</v>
      </c>
      <c r="Y7" s="225">
        <v>5</v>
      </c>
      <c r="Z7" s="225">
        <v>5</v>
      </c>
      <c r="AA7" s="225">
        <v>5</v>
      </c>
      <c r="AB7" s="225">
        <v>5</v>
      </c>
      <c r="AC7" s="225">
        <v>5</v>
      </c>
      <c r="AD7" s="225">
        <v>5</v>
      </c>
      <c r="AE7" s="225">
        <v>5</v>
      </c>
    </row>
    <row r="8" spans="1:31" s="462" customFormat="1" ht="15" customHeight="1">
      <c r="A8" s="9"/>
      <c r="B8" s="168" t="s">
        <v>306</v>
      </c>
      <c r="C8" s="12" t="s">
        <v>48</v>
      </c>
      <c r="D8" s="168" t="s">
        <v>306</v>
      </c>
      <c r="E8" s="539" t="s">
        <v>925</v>
      </c>
      <c r="F8" s="225"/>
      <c r="G8" s="225"/>
      <c r="H8" s="225"/>
      <c r="I8" s="225"/>
      <c r="J8" s="225"/>
      <c r="K8" s="225"/>
      <c r="L8" s="225"/>
      <c r="M8" s="225"/>
      <c r="N8" s="225"/>
      <c r="O8" s="225"/>
      <c r="P8" s="225"/>
      <c r="Q8" s="225">
        <v>10</v>
      </c>
      <c r="R8" s="225">
        <v>10</v>
      </c>
      <c r="S8" s="225">
        <v>10</v>
      </c>
      <c r="T8" s="225">
        <v>10</v>
      </c>
      <c r="U8" s="225">
        <v>10</v>
      </c>
      <c r="V8" s="225">
        <v>10</v>
      </c>
      <c r="W8" s="225">
        <v>10</v>
      </c>
      <c r="X8" s="225">
        <v>10</v>
      </c>
      <c r="Y8" s="225">
        <v>10</v>
      </c>
      <c r="Z8" s="225">
        <v>10</v>
      </c>
      <c r="AA8" s="225">
        <v>10</v>
      </c>
      <c r="AB8" s="225">
        <v>10</v>
      </c>
      <c r="AC8" s="225">
        <v>10</v>
      </c>
      <c r="AD8" s="225">
        <v>10</v>
      </c>
      <c r="AE8" s="225">
        <v>10</v>
      </c>
    </row>
    <row r="9" spans="1:31" s="462" customFormat="1" ht="15" customHeight="1">
      <c r="A9" s="9"/>
      <c r="B9" s="168" t="s">
        <v>307</v>
      </c>
      <c r="C9" s="12" t="s">
        <v>48</v>
      </c>
      <c r="D9" s="168" t="s">
        <v>307</v>
      </c>
      <c r="E9" s="539" t="s">
        <v>926</v>
      </c>
      <c r="F9" s="321"/>
      <c r="G9" s="321"/>
      <c r="H9" s="321"/>
      <c r="I9" s="321"/>
      <c r="J9" s="321"/>
      <c r="K9" s="321"/>
      <c r="L9" s="321"/>
      <c r="M9" s="321"/>
      <c r="N9" s="321"/>
      <c r="O9" s="321"/>
      <c r="P9" s="321"/>
      <c r="Q9" s="321">
        <v>5</v>
      </c>
      <c r="R9" s="321">
        <v>5</v>
      </c>
      <c r="S9" s="321">
        <v>5</v>
      </c>
      <c r="T9" s="321">
        <v>5</v>
      </c>
      <c r="U9" s="321">
        <v>5</v>
      </c>
      <c r="V9" s="321">
        <v>5</v>
      </c>
      <c r="W9" s="321">
        <v>5</v>
      </c>
      <c r="X9" s="321">
        <v>5</v>
      </c>
      <c r="Y9" s="321">
        <v>5</v>
      </c>
      <c r="Z9" s="321">
        <v>5</v>
      </c>
      <c r="AA9" s="321">
        <v>5</v>
      </c>
      <c r="AB9" s="321">
        <v>5</v>
      </c>
      <c r="AC9" s="321">
        <v>5</v>
      </c>
      <c r="AD9" s="321">
        <v>5</v>
      </c>
      <c r="AE9" s="321">
        <v>5</v>
      </c>
    </row>
    <row r="10" spans="1:31" s="462" customFormat="1" ht="15" customHeight="1">
      <c r="A10" s="9"/>
      <c r="B10" s="168" t="s">
        <v>834</v>
      </c>
      <c r="C10" s="12" t="s">
        <v>48</v>
      </c>
      <c r="D10" s="168" t="s">
        <v>834</v>
      </c>
      <c r="E10" s="539" t="s">
        <v>927</v>
      </c>
      <c r="F10" s="321"/>
      <c r="G10" s="321"/>
      <c r="H10" s="321"/>
      <c r="I10" s="321"/>
      <c r="J10" s="321"/>
      <c r="K10" s="321"/>
      <c r="L10" s="321"/>
      <c r="M10" s="321"/>
      <c r="N10" s="321"/>
      <c r="O10" s="321"/>
      <c r="P10" s="321"/>
      <c r="Q10" s="321">
        <v>0</v>
      </c>
      <c r="R10" s="321">
        <v>0</v>
      </c>
      <c r="S10" s="321">
        <v>0</v>
      </c>
      <c r="T10" s="321">
        <v>0</v>
      </c>
      <c r="U10" s="321">
        <v>0</v>
      </c>
      <c r="V10" s="321">
        <v>0</v>
      </c>
      <c r="W10" s="321">
        <v>0</v>
      </c>
      <c r="X10" s="321">
        <v>0</v>
      </c>
      <c r="Y10" s="321">
        <v>0</v>
      </c>
      <c r="Z10" s="321">
        <v>0</v>
      </c>
      <c r="AA10" s="321">
        <v>0</v>
      </c>
      <c r="AB10" s="321">
        <v>0</v>
      </c>
      <c r="AC10" s="321">
        <v>0</v>
      </c>
      <c r="AD10" s="321">
        <v>0</v>
      </c>
      <c r="AE10" s="321">
        <v>0</v>
      </c>
    </row>
    <row r="11" spans="1:31" s="462" customFormat="1" ht="39.6">
      <c r="B11" s="176" t="s">
        <v>921</v>
      </c>
      <c r="C11" s="162" t="s">
        <v>300</v>
      </c>
      <c r="D11" s="163" t="s">
        <v>923</v>
      </c>
      <c r="E11" s="539" t="s">
        <v>928</v>
      </c>
      <c r="F11" s="180"/>
      <c r="G11" s="180"/>
      <c r="H11" s="180"/>
      <c r="I11" s="180"/>
      <c r="J11" s="180"/>
      <c r="K11" s="180"/>
      <c r="L11" s="180"/>
      <c r="M11" s="180"/>
      <c r="N11" s="180"/>
      <c r="O11" s="180"/>
      <c r="P11" s="180"/>
      <c r="Q11" s="225">
        <v>10.8</v>
      </c>
      <c r="R11" s="225">
        <v>8.07</v>
      </c>
      <c r="S11" s="225">
        <v>5</v>
      </c>
      <c r="T11" s="225">
        <v>5</v>
      </c>
      <c r="U11" s="225">
        <v>5</v>
      </c>
      <c r="V11" s="225">
        <v>5</v>
      </c>
      <c r="W11" s="225">
        <v>5</v>
      </c>
      <c r="X11" s="225">
        <v>5</v>
      </c>
      <c r="Y11" s="225">
        <v>5</v>
      </c>
      <c r="Z11" s="225">
        <v>5</v>
      </c>
      <c r="AA11" s="225">
        <v>5</v>
      </c>
      <c r="AB11" s="225">
        <v>5</v>
      </c>
      <c r="AC11" s="225">
        <v>5</v>
      </c>
      <c r="AD11" s="225">
        <v>5</v>
      </c>
      <c r="AE11" s="225">
        <v>5</v>
      </c>
    </row>
    <row r="12" spans="1:31" s="462" customFormat="1" ht="15" customHeight="1">
      <c r="B12" s="176"/>
      <c r="C12" s="162"/>
      <c r="D12" s="163"/>
      <c r="E12" s="532"/>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row>
    <row r="13" spans="1:31" s="462" customFormat="1" ht="15" customHeight="1">
      <c r="B13" s="176"/>
      <c r="C13" s="162"/>
      <c r="D13" s="163"/>
      <c r="E13" s="532"/>
      <c r="F13" s="180"/>
      <c r="G13" s="180"/>
      <c r="H13" s="180"/>
      <c r="I13" s="180"/>
      <c r="J13" s="180"/>
      <c r="K13" s="180"/>
      <c r="L13" s="180"/>
      <c r="M13" s="180"/>
      <c r="N13" s="180"/>
      <c r="O13" s="180"/>
      <c r="P13" s="180"/>
      <c r="Q13" s="225"/>
      <c r="R13" s="180"/>
      <c r="S13" s="180"/>
      <c r="T13" s="180"/>
      <c r="U13" s="180"/>
      <c r="V13" s="180"/>
      <c r="W13" s="180"/>
      <c r="X13" s="180"/>
      <c r="Y13" s="180"/>
      <c r="Z13" s="180"/>
      <c r="AA13" s="180"/>
      <c r="AB13" s="180"/>
      <c r="AC13" s="180"/>
      <c r="AD13" s="180"/>
      <c r="AE13" s="180"/>
    </row>
    <row r="14" spans="1:31" s="462" customFormat="1" ht="15" customHeight="1">
      <c r="B14" s="176"/>
      <c r="C14" s="162"/>
      <c r="D14" s="163"/>
      <c r="E14" s="532"/>
      <c r="F14" s="180"/>
      <c r="G14" s="180"/>
      <c r="H14" s="180"/>
      <c r="I14" s="180"/>
      <c r="J14" s="180"/>
      <c r="K14" s="180"/>
      <c r="L14" s="180"/>
      <c r="M14" s="180"/>
      <c r="N14" s="180"/>
      <c r="O14" s="180"/>
      <c r="P14" s="180"/>
      <c r="Q14" s="225"/>
      <c r="R14" s="180"/>
      <c r="S14" s="180"/>
      <c r="T14" s="180"/>
      <c r="U14" s="180"/>
      <c r="V14" s="180"/>
      <c r="W14" s="180"/>
      <c r="X14" s="180"/>
      <c r="Y14" s="180"/>
      <c r="Z14" s="180"/>
      <c r="AA14" s="180"/>
      <c r="AB14" s="180"/>
      <c r="AC14" s="180"/>
      <c r="AD14" s="180"/>
      <c r="AE14" s="180"/>
    </row>
    <row r="15" spans="1:31" s="462" customFormat="1" ht="15" customHeight="1">
      <c r="B15" s="176"/>
      <c r="C15" s="179"/>
      <c r="D15" s="163"/>
      <c r="E15" s="532"/>
      <c r="F15" s="180"/>
      <c r="G15" s="180"/>
      <c r="H15" s="180"/>
      <c r="I15" s="180"/>
      <c r="J15" s="180"/>
      <c r="K15" s="180"/>
      <c r="L15" s="180"/>
      <c r="M15" s="180"/>
      <c r="N15" s="180"/>
      <c r="O15" s="180"/>
      <c r="P15" s="180"/>
      <c r="Q15" s="225"/>
      <c r="R15" s="180"/>
      <c r="S15" s="180"/>
      <c r="T15" s="180"/>
      <c r="U15" s="180"/>
      <c r="V15" s="180"/>
      <c r="W15" s="180"/>
      <c r="X15" s="180"/>
      <c r="Y15" s="180"/>
      <c r="Z15" s="180"/>
      <c r="AA15" s="180"/>
      <c r="AB15" s="180"/>
      <c r="AC15" s="180"/>
      <c r="AD15" s="180"/>
      <c r="AE15" s="180"/>
    </row>
    <row r="16" spans="1:31" s="462" customFormat="1" ht="15" customHeight="1">
      <c r="B16" s="176"/>
      <c r="C16" s="179"/>
      <c r="D16" s="163"/>
      <c r="E16" s="532"/>
      <c r="F16" s="180"/>
      <c r="G16" s="180"/>
      <c r="H16" s="180"/>
      <c r="I16" s="180"/>
      <c r="J16" s="180"/>
      <c r="K16" s="180"/>
      <c r="L16" s="180"/>
      <c r="M16" s="180"/>
      <c r="N16" s="180"/>
      <c r="O16" s="180"/>
      <c r="P16" s="180"/>
      <c r="Q16" s="225"/>
      <c r="R16" s="180"/>
      <c r="S16" s="180"/>
      <c r="T16" s="180"/>
      <c r="U16" s="180"/>
      <c r="V16" s="180"/>
      <c r="W16" s="180"/>
      <c r="X16" s="180"/>
      <c r="Y16" s="180"/>
      <c r="Z16" s="180"/>
      <c r="AA16" s="180"/>
      <c r="AB16" s="180"/>
      <c r="AC16" s="180"/>
      <c r="AD16" s="180"/>
      <c r="AE16" s="180"/>
    </row>
    <row r="17" spans="2:31" s="462" customFormat="1" ht="15" customHeight="1">
      <c r="B17" s="176"/>
      <c r="C17" s="179"/>
      <c r="D17" s="163"/>
      <c r="E17" s="532"/>
      <c r="F17" s="180"/>
      <c r="G17" s="180"/>
      <c r="H17" s="180"/>
      <c r="I17" s="180"/>
      <c r="J17" s="180"/>
      <c r="K17" s="180"/>
      <c r="L17" s="180"/>
      <c r="M17" s="180"/>
      <c r="N17" s="180"/>
      <c r="O17" s="180"/>
      <c r="P17" s="180"/>
      <c r="Q17" s="225"/>
      <c r="R17" s="180"/>
      <c r="S17" s="180"/>
      <c r="T17" s="180"/>
      <c r="U17" s="180"/>
      <c r="V17" s="180"/>
      <c r="W17" s="180"/>
      <c r="X17" s="180"/>
      <c r="Y17" s="180"/>
      <c r="Z17" s="180"/>
      <c r="AA17" s="180"/>
      <c r="AB17" s="180"/>
      <c r="AC17" s="180"/>
      <c r="AD17" s="180"/>
      <c r="AE17" s="180"/>
    </row>
    <row r="18" spans="2:31" s="462" customFormat="1" ht="15" customHeight="1">
      <c r="B18" s="176"/>
      <c r="C18" s="179"/>
      <c r="D18" s="163"/>
      <c r="E18" s="532"/>
      <c r="F18" s="180"/>
      <c r="G18" s="180"/>
      <c r="H18" s="180"/>
      <c r="I18" s="180"/>
      <c r="J18" s="180"/>
      <c r="K18" s="180"/>
      <c r="L18" s="180"/>
      <c r="M18" s="180"/>
      <c r="N18" s="180"/>
      <c r="O18" s="180"/>
      <c r="P18" s="180"/>
      <c r="Q18" s="225"/>
      <c r="R18" s="180"/>
      <c r="S18" s="180"/>
      <c r="T18" s="180"/>
      <c r="U18" s="180"/>
      <c r="V18" s="180"/>
      <c r="W18" s="180"/>
      <c r="X18" s="180"/>
      <c r="Y18" s="180"/>
      <c r="Z18" s="180"/>
      <c r="AA18" s="180"/>
      <c r="AB18" s="180"/>
      <c r="AC18" s="180"/>
      <c r="AD18" s="180"/>
      <c r="AE18" s="180"/>
    </row>
    <row r="19" spans="2:31" s="462" customFormat="1" ht="15" customHeight="1">
      <c r="B19" s="176"/>
      <c r="C19" s="179"/>
      <c r="D19" s="163"/>
      <c r="E19" s="532"/>
      <c r="F19" s="180"/>
      <c r="G19" s="180"/>
      <c r="H19" s="180"/>
      <c r="I19" s="180"/>
      <c r="J19" s="180"/>
      <c r="K19" s="180"/>
      <c r="L19" s="180"/>
      <c r="M19" s="180"/>
      <c r="N19" s="180"/>
      <c r="O19" s="180"/>
      <c r="P19" s="180"/>
      <c r="Q19" s="225"/>
      <c r="R19" s="180"/>
      <c r="S19" s="180"/>
      <c r="T19" s="180"/>
      <c r="U19" s="180"/>
      <c r="V19" s="180"/>
      <c r="W19" s="180"/>
      <c r="X19" s="180"/>
      <c r="Y19" s="180"/>
      <c r="Z19" s="180"/>
      <c r="AA19" s="180"/>
      <c r="AB19" s="180"/>
      <c r="AC19" s="180"/>
      <c r="AD19" s="180"/>
      <c r="AE19" s="180"/>
    </row>
    <row r="20" spans="2:31" s="462" customFormat="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s="462" customFormat="1" ht="15" customHeight="1">
      <c r="B21" s="176"/>
      <c r="C21" s="179"/>
      <c r="D21" s="163"/>
      <c r="E21" s="532"/>
      <c r="F21" s="180"/>
      <c r="G21" s="180"/>
      <c r="H21" s="180"/>
      <c r="I21" s="180"/>
      <c r="J21" s="180"/>
      <c r="K21" s="180"/>
      <c r="L21" s="180"/>
      <c r="M21" s="180"/>
      <c r="N21" s="180"/>
      <c r="O21" s="180"/>
      <c r="P21" s="180"/>
      <c r="Q21" s="225"/>
      <c r="R21" s="180"/>
      <c r="S21" s="180"/>
      <c r="T21" s="180"/>
      <c r="U21" s="180"/>
      <c r="V21" s="180"/>
      <c r="W21" s="180"/>
      <c r="X21" s="180"/>
      <c r="Y21" s="180"/>
      <c r="Z21" s="180"/>
      <c r="AA21" s="180"/>
      <c r="AB21" s="180"/>
      <c r="AC21" s="180"/>
      <c r="AD21" s="180"/>
      <c r="AE21" s="180"/>
    </row>
    <row r="22" spans="2:31" s="462" customFormat="1" ht="15" customHeight="1">
      <c r="B22" s="176"/>
      <c r="C22" s="179"/>
      <c r="D22" s="163"/>
      <c r="E22" s="532"/>
      <c r="F22" s="180"/>
      <c r="G22" s="180"/>
      <c r="H22" s="180"/>
      <c r="I22" s="180"/>
      <c r="J22" s="180"/>
      <c r="K22" s="180"/>
      <c r="L22" s="180"/>
      <c r="M22" s="180"/>
      <c r="N22" s="180"/>
      <c r="O22" s="180"/>
      <c r="P22" s="180"/>
      <c r="Q22" s="225"/>
      <c r="R22" s="180"/>
      <c r="S22" s="180"/>
      <c r="T22" s="180"/>
      <c r="U22" s="180"/>
      <c r="V22" s="180"/>
      <c r="W22" s="180"/>
      <c r="X22" s="180"/>
      <c r="Y22" s="180"/>
      <c r="Z22" s="180"/>
      <c r="AA22" s="180"/>
      <c r="AB22" s="180"/>
      <c r="AC22" s="180"/>
      <c r="AD22" s="180"/>
      <c r="AE22" s="180"/>
    </row>
    <row r="23" spans="2:31" s="462" customFormat="1" ht="15" customHeight="1">
      <c r="B23" s="176"/>
      <c r="C23" s="179"/>
      <c r="D23" s="163"/>
      <c r="E23" s="532"/>
      <c r="F23" s="180"/>
      <c r="G23" s="180"/>
      <c r="H23" s="180"/>
      <c r="I23" s="180"/>
      <c r="J23" s="180"/>
      <c r="K23" s="180"/>
      <c r="L23" s="180"/>
      <c r="M23" s="180"/>
      <c r="N23" s="180"/>
      <c r="O23" s="180"/>
      <c r="P23" s="180"/>
      <c r="Q23" s="225"/>
      <c r="R23" s="180"/>
      <c r="S23" s="180"/>
      <c r="T23" s="180"/>
      <c r="U23" s="180"/>
      <c r="V23" s="180"/>
      <c r="W23" s="180"/>
      <c r="X23" s="180"/>
      <c r="Y23" s="180"/>
      <c r="Z23" s="180"/>
      <c r="AA23" s="180"/>
      <c r="AB23" s="180"/>
      <c r="AC23" s="180"/>
      <c r="AD23" s="180"/>
      <c r="AE23" s="180"/>
    </row>
    <row r="24" spans="2:31" s="462" customFormat="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s="462" customFormat="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8607C65C-476C-4EF4-8F3C-E70FE2CE5E83}"/>
  </hyperlinks>
  <pageMargins left="0.78740157480314965" right="0.78740157480314965" top="0.98425196850393704" bottom="0.98425196850393704" header="0.59055118110236227" footer="0.59055118110236227"/>
  <pageSetup paperSize="9" scale="83"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674B4359-F706-4288-99AB-2475F05544D6}">
            <xm:f>ControlPanel!$D$59-1</xm:f>
            <x14:dxf>
              <font>
                <color rgb="FF9C6500"/>
              </font>
              <fill>
                <patternFill>
                  <fgColor indexed="64"/>
                  <bgColor rgb="FFFFEB9C"/>
                </patternFill>
              </fill>
            </x14:dxf>
          </x14:cfRule>
          <x14:cfRule type="cellIs" priority="2" operator="lessThan" id="{5717BFAE-9695-426A-9A59-AD7473FEE85A}">
            <xm:f>ControlPanel!$D$59</xm:f>
            <x14:dxf>
              <font>
                <color rgb="FF006100"/>
              </font>
              <fill>
                <patternFill>
                  <fgColor indexed="64"/>
                  <bgColor rgb="FFC6EFCE"/>
                </patternFill>
              </fill>
            </x14:dxf>
          </x14:cfRule>
          <xm:sqref>F4:AE4</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Tabelle43">
    <tabColor theme="9" tint="-0.499984740745262"/>
  </sheetPr>
  <dimension ref="A1:AF917"/>
  <sheetViews>
    <sheetView zoomScaleNormal="100" workbookViewId="0">
      <selection activeCell="G6" sqref="G6"/>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4" width="8.6640625" style="9" customWidth="1"/>
    <col min="15" max="32" width="8.6640625" style="9" customWidth="1" outlineLevel="1"/>
    <col min="33" max="16384" width="11.5546875" style="9"/>
  </cols>
  <sheetData>
    <row r="1" spans="1:32">
      <c r="A1" s="41" t="s">
        <v>74</v>
      </c>
      <c r="B1" s="61" t="s">
        <v>929</v>
      </c>
      <c r="C1" s="61"/>
      <c r="D1" s="19"/>
      <c r="E1" s="19"/>
      <c r="F1" s="19"/>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26</v>
      </c>
      <c r="H5" s="323" t="s">
        <v>26</v>
      </c>
      <c r="I5" s="323" t="s">
        <v>26</v>
      </c>
      <c r="J5" s="323" t="s">
        <v>26</v>
      </c>
      <c r="K5" s="323" t="s">
        <v>26</v>
      </c>
      <c r="L5" s="323" t="s">
        <v>26</v>
      </c>
      <c r="M5" s="323" t="s">
        <v>26</v>
      </c>
      <c r="N5" s="323" t="s">
        <v>26</v>
      </c>
      <c r="O5" s="323" t="s">
        <v>26</v>
      </c>
      <c r="P5" s="323" t="s">
        <v>26</v>
      </c>
      <c r="Q5" s="323" t="s">
        <v>26</v>
      </c>
      <c r="R5" s="323" t="s">
        <v>26</v>
      </c>
      <c r="S5" s="323" t="s">
        <v>26</v>
      </c>
      <c r="T5" s="323" t="s">
        <v>26</v>
      </c>
      <c r="U5" s="323" t="s">
        <v>26</v>
      </c>
      <c r="V5" s="323" t="s">
        <v>26</v>
      </c>
      <c r="W5" s="323" t="s">
        <v>26</v>
      </c>
      <c r="X5" s="323" t="s">
        <v>26</v>
      </c>
      <c r="Y5" s="323" t="s">
        <v>26</v>
      </c>
      <c r="Z5" s="323" t="s">
        <v>26</v>
      </c>
      <c r="AA5" s="323" t="s">
        <v>26</v>
      </c>
      <c r="AB5" s="323" t="s">
        <v>26</v>
      </c>
      <c r="AC5" s="323" t="s">
        <v>26</v>
      </c>
      <c r="AD5" s="323" t="s">
        <v>26</v>
      </c>
      <c r="AE5" s="323" t="s">
        <v>26</v>
      </c>
      <c r="AF5" s="323" t="s">
        <v>26</v>
      </c>
    </row>
    <row r="6" spans="1:32" ht="15" customHeight="1" thickBot="1">
      <c r="B6" s="166" t="s">
        <v>529</v>
      </c>
      <c r="C6" s="175" t="s">
        <v>846</v>
      </c>
      <c r="D6" s="15" t="s">
        <v>300</v>
      </c>
      <c r="E6" s="15" t="s">
        <v>930</v>
      </c>
      <c r="F6" s="529"/>
      <c r="G6" s="14">
        <v>5.444</v>
      </c>
      <c r="H6" s="14">
        <v>6.0667459999999993</v>
      </c>
      <c r="I6" s="14">
        <v>5.8298559999999995</v>
      </c>
      <c r="J6" s="14">
        <v>6.2952879999999993</v>
      </c>
      <c r="K6" s="14">
        <v>6.154331</v>
      </c>
      <c r="L6" s="14">
        <v>6.0918529999999995</v>
      </c>
      <c r="M6" s="14">
        <v>6.2462140000000002</v>
      </c>
      <c r="N6" s="14">
        <v>6.2808169999999999</v>
      </c>
      <c r="O6" s="14">
        <v>5.9237959999999994</v>
      </c>
      <c r="P6" s="14">
        <v>6.5145869999999997</v>
      </c>
      <c r="Q6" s="14">
        <v>6.250337</v>
      </c>
      <c r="R6" s="14">
        <v>6.378431</v>
      </c>
      <c r="S6" s="14">
        <v>0</v>
      </c>
      <c r="T6" s="14">
        <v>0</v>
      </c>
      <c r="U6" s="14">
        <v>0</v>
      </c>
      <c r="V6" s="14">
        <v>0</v>
      </c>
      <c r="W6" s="14">
        <v>0</v>
      </c>
      <c r="X6" s="14">
        <v>0</v>
      </c>
      <c r="Y6" s="14">
        <v>0</v>
      </c>
      <c r="Z6" s="14">
        <v>0</v>
      </c>
      <c r="AA6" s="14">
        <v>0</v>
      </c>
      <c r="AB6" s="14">
        <v>0</v>
      </c>
      <c r="AC6" s="14">
        <v>0</v>
      </c>
      <c r="AD6" s="14">
        <v>0</v>
      </c>
      <c r="AE6" s="14">
        <v>0</v>
      </c>
      <c r="AF6" s="14">
        <v>0</v>
      </c>
    </row>
    <row r="7" spans="1:32" ht="15" customHeight="1" thickBot="1">
      <c r="B7" s="165" t="s">
        <v>349</v>
      </c>
      <c r="C7" s="175" t="s">
        <v>846</v>
      </c>
      <c r="D7" s="15" t="s">
        <v>300</v>
      </c>
      <c r="E7" s="15" t="s">
        <v>930</v>
      </c>
      <c r="F7" s="529"/>
      <c r="G7" s="14">
        <v>1.835</v>
      </c>
      <c r="H7" s="14">
        <v>1.993012</v>
      </c>
      <c r="I7" s="14">
        <v>1.667049</v>
      </c>
      <c r="J7" s="14">
        <v>1.9069669999999999</v>
      </c>
      <c r="K7" s="14">
        <v>1.824149</v>
      </c>
      <c r="L7" s="14">
        <v>1.6785699999999999</v>
      </c>
      <c r="M7" s="14">
        <v>1.607626</v>
      </c>
      <c r="N7" s="14">
        <v>1.3880729999999999</v>
      </c>
      <c r="O7" s="14">
        <v>1.6777449999999998</v>
      </c>
      <c r="P7" s="14">
        <v>1.7078559999999998</v>
      </c>
      <c r="Q7" s="14">
        <v>1.4397339999999998</v>
      </c>
      <c r="R7" s="14">
        <v>1.2507809999999999</v>
      </c>
      <c r="S7" s="14">
        <v>0</v>
      </c>
      <c r="T7" s="14">
        <v>0</v>
      </c>
      <c r="U7" s="14">
        <v>0</v>
      </c>
      <c r="V7" s="14">
        <v>0</v>
      </c>
      <c r="W7" s="14">
        <v>0</v>
      </c>
      <c r="X7" s="14">
        <v>0</v>
      </c>
      <c r="Y7" s="14">
        <v>0</v>
      </c>
      <c r="Z7" s="14">
        <v>0</v>
      </c>
      <c r="AA7" s="14">
        <v>0</v>
      </c>
      <c r="AB7" s="14">
        <v>0</v>
      </c>
      <c r="AC7" s="14">
        <v>0</v>
      </c>
      <c r="AD7" s="14">
        <v>0</v>
      </c>
      <c r="AE7" s="14">
        <v>0</v>
      </c>
      <c r="AF7" s="14">
        <v>0</v>
      </c>
    </row>
    <row r="8" spans="1:32" ht="15" customHeight="1" thickBot="1">
      <c r="B8" s="165" t="s">
        <v>11</v>
      </c>
      <c r="C8" s="175" t="s">
        <v>846</v>
      </c>
      <c r="D8" s="15" t="s">
        <v>300</v>
      </c>
      <c r="E8" s="15" t="s">
        <v>930</v>
      </c>
      <c r="F8" s="529"/>
      <c r="G8" s="38">
        <v>26.262</v>
      </c>
      <c r="H8" s="38">
        <v>27.776935999999999</v>
      </c>
      <c r="I8" s="38">
        <v>30.355590999999997</v>
      </c>
      <c r="J8" s="38">
        <v>33.165135999999997</v>
      </c>
      <c r="K8" s="38">
        <v>34.944730999999997</v>
      </c>
      <c r="L8" s="38">
        <v>38.357603999999995</v>
      </c>
      <c r="M8" s="38">
        <v>40.238844999999998</v>
      </c>
      <c r="N8" s="38">
        <v>40.770392999999999</v>
      </c>
      <c r="O8" s="38">
        <v>41.554488999999997</v>
      </c>
      <c r="P8" s="38">
        <v>41.351619999999997</v>
      </c>
      <c r="Q8" s="38">
        <v>41.746690000000001</v>
      </c>
      <c r="R8" s="38">
        <v>40.206693999999999</v>
      </c>
      <c r="S8" s="38">
        <v>0</v>
      </c>
      <c r="T8" s="38">
        <v>0</v>
      </c>
      <c r="U8" s="38">
        <v>0</v>
      </c>
      <c r="V8" s="38">
        <v>0</v>
      </c>
      <c r="W8" s="38">
        <v>0</v>
      </c>
      <c r="X8" s="38">
        <v>0</v>
      </c>
      <c r="Y8" s="38">
        <v>0</v>
      </c>
      <c r="Z8" s="38">
        <v>0</v>
      </c>
      <c r="AA8" s="38">
        <v>0</v>
      </c>
      <c r="AB8" s="38">
        <v>0</v>
      </c>
      <c r="AC8" s="38">
        <v>0</v>
      </c>
      <c r="AD8" s="38">
        <v>0</v>
      </c>
      <c r="AE8" s="38">
        <v>0</v>
      </c>
      <c r="AF8" s="38">
        <v>0</v>
      </c>
    </row>
    <row r="9" spans="1:32" ht="15" customHeight="1" thickBot="1">
      <c r="B9" s="165" t="s">
        <v>10</v>
      </c>
      <c r="C9" s="175" t="s">
        <v>846</v>
      </c>
      <c r="D9" s="15" t="s">
        <v>300</v>
      </c>
      <c r="E9" s="15" t="s">
        <v>930</v>
      </c>
      <c r="F9" s="529"/>
      <c r="G9" s="14">
        <v>3.5999999999999997E-2</v>
      </c>
      <c r="H9" s="14">
        <v>6.1612E-2</v>
      </c>
      <c r="I9" s="14">
        <v>0.10724</v>
      </c>
      <c r="J9" s="14">
        <v>7.6874999999999999E-2</v>
      </c>
      <c r="K9" s="14">
        <v>0.130407</v>
      </c>
      <c r="L9" s="14">
        <v>0.15870499999999998</v>
      </c>
      <c r="M9" s="14">
        <v>0.18035599999999999</v>
      </c>
      <c r="N9" s="14">
        <v>0.189524</v>
      </c>
      <c r="O9" s="14">
        <v>0.25728000000000001</v>
      </c>
      <c r="P9" s="14">
        <v>0.28638599999999997</v>
      </c>
      <c r="Q9" s="14">
        <v>0.214729</v>
      </c>
      <c r="R9" s="14">
        <v>0.26771400000000001</v>
      </c>
      <c r="S9" s="14">
        <v>0</v>
      </c>
      <c r="T9" s="14">
        <v>0</v>
      </c>
      <c r="U9" s="14">
        <v>0</v>
      </c>
      <c r="V9" s="14">
        <v>0</v>
      </c>
      <c r="W9" s="14">
        <v>0</v>
      </c>
      <c r="X9" s="14">
        <v>0</v>
      </c>
      <c r="Y9" s="14">
        <v>0</v>
      </c>
      <c r="Z9" s="14">
        <v>0</v>
      </c>
      <c r="AA9" s="14">
        <v>0</v>
      </c>
      <c r="AB9" s="14">
        <v>0</v>
      </c>
      <c r="AC9" s="14">
        <v>0</v>
      </c>
      <c r="AD9" s="14">
        <v>0</v>
      </c>
      <c r="AE9" s="14">
        <v>0</v>
      </c>
      <c r="AF9" s="14">
        <v>0</v>
      </c>
    </row>
    <row r="10" spans="1:32" ht="15" customHeight="1" thickBot="1">
      <c r="B10" s="165" t="s">
        <v>339</v>
      </c>
      <c r="C10" s="175" t="s">
        <v>846</v>
      </c>
      <c r="D10" s="15" t="s">
        <v>300</v>
      </c>
      <c r="E10" s="15" t="s">
        <v>930</v>
      </c>
      <c r="F10" s="529"/>
      <c r="G10" s="14">
        <v>47.704000000000001</v>
      </c>
      <c r="H10" s="14">
        <v>53.882748999999997</v>
      </c>
      <c r="I10" s="14">
        <v>50.125189999999996</v>
      </c>
      <c r="J10" s="14">
        <v>55.830889999999997</v>
      </c>
      <c r="K10" s="14">
        <v>62.190390000000001</v>
      </c>
      <c r="L10" s="14">
        <v>66.872687999999997</v>
      </c>
      <c r="M10" s="14">
        <v>75.948886000000002</v>
      </c>
      <c r="N10" s="14">
        <v>82.001902999999999</v>
      </c>
      <c r="O10" s="14">
        <v>92.724075999999997</v>
      </c>
      <c r="P10" s="14">
        <v>98.799182999999999</v>
      </c>
      <c r="Q10" s="14">
        <v>102.08820399999999</v>
      </c>
      <c r="R10" s="14">
        <v>101.185739</v>
      </c>
      <c r="S10" s="14">
        <v>0</v>
      </c>
      <c r="T10" s="14">
        <v>0</v>
      </c>
      <c r="U10" s="14">
        <v>0</v>
      </c>
      <c r="V10" s="14">
        <v>0</v>
      </c>
      <c r="W10" s="14">
        <v>0</v>
      </c>
      <c r="X10" s="14">
        <v>0</v>
      </c>
      <c r="Y10" s="14">
        <v>0</v>
      </c>
      <c r="Z10" s="14">
        <v>0</v>
      </c>
      <c r="AA10" s="14">
        <v>0</v>
      </c>
      <c r="AB10" s="14">
        <v>0</v>
      </c>
      <c r="AC10" s="14">
        <v>0</v>
      </c>
      <c r="AD10" s="14">
        <v>0</v>
      </c>
      <c r="AE10" s="14">
        <v>0</v>
      </c>
      <c r="AF10" s="14">
        <v>0</v>
      </c>
    </row>
    <row r="11" spans="1:32" ht="15" customHeight="1" thickBot="1">
      <c r="B11" s="165" t="s">
        <v>340</v>
      </c>
      <c r="C11" s="175" t="s">
        <v>846</v>
      </c>
      <c r="D11" s="15" t="s">
        <v>300</v>
      </c>
      <c r="E11" s="15" t="s">
        <v>930</v>
      </c>
      <c r="F11" s="529"/>
      <c r="G11" s="14">
        <v>0.65400000000000003</v>
      </c>
      <c r="H11" s="14">
        <v>1.1467909999999999</v>
      </c>
      <c r="I11" s="14">
        <v>1.361415</v>
      </c>
      <c r="J11" s="14">
        <v>2.4940419999999999</v>
      </c>
      <c r="K11" s="14">
        <v>7.397958</v>
      </c>
      <c r="L11" s="14">
        <v>11.231204</v>
      </c>
      <c r="M11" s="14">
        <v>15.379543999999999</v>
      </c>
      <c r="N11" s="14">
        <v>20.033355</v>
      </c>
      <c r="O11" s="14">
        <v>22.564405999999998</v>
      </c>
      <c r="P11" s="14">
        <v>26.466161</v>
      </c>
      <c r="Q11" s="14">
        <v>29.940075999999998</v>
      </c>
      <c r="R11" s="14">
        <v>29.638939999999998</v>
      </c>
      <c r="S11" s="14">
        <v>0</v>
      </c>
      <c r="T11" s="14">
        <v>0</v>
      </c>
      <c r="U11" s="14">
        <v>0</v>
      </c>
      <c r="V11" s="14">
        <v>0</v>
      </c>
      <c r="W11" s="14">
        <v>0</v>
      </c>
      <c r="X11" s="14">
        <v>0</v>
      </c>
      <c r="Y11" s="14">
        <v>0</v>
      </c>
      <c r="Z11" s="14">
        <v>0</v>
      </c>
      <c r="AA11" s="14">
        <v>0</v>
      </c>
      <c r="AB11" s="14">
        <v>0</v>
      </c>
      <c r="AC11" s="14">
        <v>0</v>
      </c>
      <c r="AD11" s="14">
        <v>0</v>
      </c>
      <c r="AE11" s="14">
        <v>0</v>
      </c>
      <c r="AF11" s="14">
        <v>0</v>
      </c>
    </row>
    <row r="12" spans="1:32" ht="15" customHeight="1" thickBot="1">
      <c r="B12" s="167" t="s">
        <v>530</v>
      </c>
      <c r="C12" s="175" t="s">
        <v>846</v>
      </c>
      <c r="D12" s="15" t="s">
        <v>300</v>
      </c>
      <c r="E12" s="15" t="s">
        <v>930</v>
      </c>
      <c r="F12" s="529"/>
      <c r="G12" s="14">
        <v>8.2959999999999994</v>
      </c>
      <c r="H12" s="14">
        <v>19.399286999999998</v>
      </c>
      <c r="I12" s="14">
        <v>24.072319</v>
      </c>
      <c r="J12" s="14">
        <v>34.673694999999995</v>
      </c>
      <c r="K12" s="14">
        <v>36.594586999999997</v>
      </c>
      <c r="L12" s="14">
        <v>36.096958000000001</v>
      </c>
      <c r="M12" s="14">
        <v>36.82555</v>
      </c>
      <c r="N12" s="14">
        <v>36.562143999999996</v>
      </c>
      <c r="O12" s="14">
        <v>39.173614999999998</v>
      </c>
      <c r="P12" s="14">
        <v>41.877699</v>
      </c>
      <c r="Q12" s="14">
        <v>43.939245999999997</v>
      </c>
      <c r="R12" s="14">
        <v>49.344335000000001</v>
      </c>
      <c r="S12" s="14">
        <v>0</v>
      </c>
      <c r="T12" s="14">
        <v>0</v>
      </c>
      <c r="U12" s="14">
        <v>0</v>
      </c>
      <c r="V12" s="14">
        <v>0</v>
      </c>
      <c r="W12" s="14">
        <v>0</v>
      </c>
      <c r="X12" s="14">
        <v>0</v>
      </c>
      <c r="Y12" s="14">
        <v>0</v>
      </c>
      <c r="Z12" s="14">
        <v>0</v>
      </c>
      <c r="AA12" s="14">
        <v>0</v>
      </c>
      <c r="AB12" s="14">
        <v>0</v>
      </c>
      <c r="AC12" s="14">
        <v>0</v>
      </c>
      <c r="AD12" s="14">
        <v>0</v>
      </c>
      <c r="AE12" s="14">
        <v>0</v>
      </c>
      <c r="AF12" s="14">
        <v>0</v>
      </c>
    </row>
    <row r="13" spans="1:32" ht="15" customHeight="1">
      <c r="D13" s="9"/>
      <c r="E13" s="9"/>
      <c r="F13" s="9"/>
      <c r="O13" s="549"/>
    </row>
    <row r="14" spans="1:32" ht="15" customHeight="1">
      <c r="D14" s="9"/>
      <c r="E14" s="9"/>
      <c r="F14" s="9"/>
    </row>
    <row r="15" spans="1:32" ht="15" customHeight="1">
      <c r="D15" s="9"/>
      <c r="E15" s="9"/>
      <c r="F15" s="9"/>
    </row>
    <row r="16" spans="1:32" ht="15" customHeight="1">
      <c r="D16" s="9"/>
      <c r="E16" s="9"/>
      <c r="F16" s="9"/>
    </row>
    <row r="17" s="9" customFormat="1" ht="15" customHeight="1"/>
    <row r="18" s="9" customFormat="1" ht="15" customHeight="1"/>
    <row r="19" s="9" customFormat="1" ht="15" customHeight="1"/>
    <row r="20" s="9" customFormat="1" ht="15" customHeight="1"/>
    <row r="21" s="9" customFormat="1" ht="15" customHeight="1"/>
    <row r="22" s="9" customFormat="1" ht="15" customHeight="1"/>
    <row r="23" s="9" customFormat="1" ht="15" customHeight="1"/>
    <row r="24" s="9" customFormat="1" ht="15" customHeight="1"/>
    <row r="25" s="9" customFormat="1" ht="15" customHeight="1"/>
    <row r="26" s="9" customFormat="1" ht="15" customHeight="1"/>
    <row r="27" s="9" customFormat="1" ht="15" customHeight="1"/>
    <row r="28" s="9" customFormat="1" ht="15" customHeight="1"/>
    <row r="29" s="9" customFormat="1" ht="15" customHeight="1"/>
    <row r="30" s="9" customFormat="1" ht="15" customHeight="1"/>
    <row r="31" s="9" customFormat="1" ht="15" customHeight="1"/>
    <row r="32" s="9" customFormat="1" ht="15" customHeight="1"/>
    <row r="33" s="9" customFormat="1" ht="15" customHeight="1"/>
    <row r="34" s="9" customFormat="1" ht="15" customHeight="1"/>
    <row r="35" s="9" customFormat="1" ht="15" customHeight="1"/>
    <row r="36" s="9" customFormat="1" ht="15" customHeight="1"/>
    <row r="37" s="9" customFormat="1" ht="15" customHeight="1"/>
    <row r="38" s="9" customFormat="1" ht="15" customHeight="1"/>
    <row r="39" s="9" customFormat="1" ht="15" customHeight="1"/>
    <row r="40" s="9" customFormat="1" ht="15" customHeight="1"/>
    <row r="41" s="9" customFormat="1" ht="15" customHeight="1"/>
    <row r="42" s="9" customFormat="1" ht="15" customHeight="1"/>
    <row r="43" s="9" customFormat="1" ht="15" customHeight="1"/>
    <row r="44" s="9" customFormat="1" ht="15" customHeight="1"/>
    <row r="45" s="9" customFormat="1" ht="15" customHeight="1"/>
    <row r="46" s="9" customFormat="1" ht="15" customHeight="1"/>
    <row r="47" s="9" customFormat="1" ht="15" customHeight="1"/>
    <row r="48" s="9" customFormat="1" ht="15" customHeight="1"/>
    <row r="49" s="9" customFormat="1" ht="15" customHeight="1"/>
    <row r="50" s="9" customFormat="1" ht="15" customHeight="1"/>
    <row r="51" s="9" customFormat="1" ht="15" customHeight="1"/>
    <row r="52" s="9" customFormat="1" ht="15" customHeight="1"/>
    <row r="53" s="9" customFormat="1" ht="15" customHeight="1"/>
    <row r="54" s="9" customFormat="1" ht="15" customHeight="1"/>
    <row r="55" s="9" customFormat="1" ht="15" customHeight="1"/>
    <row r="56" s="9" customFormat="1" ht="15" customHeight="1"/>
    <row r="57" s="9" customFormat="1" ht="15" customHeight="1"/>
    <row r="58" s="9" customFormat="1" ht="15" customHeight="1"/>
    <row r="59" s="9" customFormat="1" ht="15" customHeight="1"/>
    <row r="60" s="9" customFormat="1" ht="15" customHeight="1"/>
    <row r="61" s="9" customFormat="1" ht="15" customHeight="1"/>
    <row r="62" s="9" customFormat="1" ht="15" customHeight="1"/>
    <row r="63" s="9" customFormat="1" ht="15" customHeight="1"/>
    <row r="64" s="9" customFormat="1" ht="15" customHeight="1"/>
    <row r="65" s="9" customFormat="1" ht="15" customHeight="1"/>
    <row r="66" s="9" customFormat="1" ht="15" customHeight="1"/>
    <row r="67" s="9" customFormat="1" ht="15" customHeight="1"/>
    <row r="68" s="9" customFormat="1" ht="15" customHeight="1"/>
    <row r="69" s="9" customFormat="1" ht="15" customHeight="1"/>
    <row r="70" s="9" customFormat="1" ht="15" customHeight="1"/>
    <row r="71" s="9" customFormat="1" ht="15" customHeight="1"/>
    <row r="72" s="9" customFormat="1" ht="15" customHeight="1"/>
    <row r="73" s="9" customFormat="1" ht="15" customHeight="1"/>
    <row r="74" s="9" customFormat="1" ht="15" customHeight="1"/>
    <row r="75" s="9" customFormat="1" ht="15" customHeight="1"/>
    <row r="76" s="9" customFormat="1" ht="15" customHeight="1"/>
    <row r="77" s="9" customFormat="1" ht="15" customHeight="1"/>
    <row r="78" s="9" customFormat="1" ht="15" customHeight="1"/>
    <row r="79" s="9" customFormat="1" ht="15" customHeight="1"/>
    <row r="80" s="9" customFormat="1" ht="15" customHeight="1"/>
    <row r="81" s="9" customFormat="1" ht="15" customHeight="1"/>
    <row r="82" s="9" customFormat="1" ht="15" customHeight="1"/>
    <row r="83" s="9" customFormat="1" ht="15" customHeight="1"/>
    <row r="84" s="9" customFormat="1" ht="15" customHeight="1"/>
    <row r="85" s="9" customFormat="1" ht="15" customHeight="1"/>
    <row r="86" s="9" customFormat="1" ht="15" customHeight="1"/>
    <row r="87" s="9" customFormat="1" ht="15" customHeight="1"/>
    <row r="88" s="9" customFormat="1" ht="15" customHeight="1"/>
    <row r="89" s="9" customFormat="1" ht="15" customHeight="1"/>
    <row r="90" s="9" customFormat="1" ht="15" customHeight="1"/>
    <row r="91" s="9" customFormat="1" ht="15" customHeight="1"/>
    <row r="92" s="9" customFormat="1" ht="15" customHeight="1"/>
    <row r="93" s="9" customFormat="1" ht="15" customHeight="1"/>
    <row r="94" s="9" customFormat="1" ht="15" customHeight="1"/>
    <row r="95" s="9" customFormat="1" ht="15" customHeight="1"/>
    <row r="96" s="9" customFormat="1" ht="15" customHeight="1"/>
    <row r="97" s="9" customFormat="1" ht="15" customHeight="1"/>
    <row r="98" s="9" customFormat="1" ht="15" customHeight="1"/>
    <row r="99" s="9" customFormat="1" ht="15" customHeight="1"/>
    <row r="100" s="9" customFormat="1" ht="15" customHeight="1"/>
    <row r="101" s="9" customFormat="1" ht="15" customHeight="1"/>
    <row r="102" s="9" customFormat="1" ht="15" customHeight="1"/>
    <row r="103" s="9" customFormat="1" ht="15" customHeight="1"/>
    <row r="104" s="9" customFormat="1" ht="15" customHeight="1"/>
    <row r="105" s="9" customFormat="1" ht="15" customHeight="1"/>
    <row r="106" s="9" customFormat="1" ht="15" customHeight="1"/>
    <row r="107" s="9" customFormat="1" ht="15" customHeight="1"/>
    <row r="108" s="9" customFormat="1" ht="15" customHeight="1"/>
    <row r="109" s="9" customFormat="1" ht="15" customHeight="1"/>
    <row r="110" s="9" customFormat="1" ht="15" customHeight="1"/>
    <row r="111" s="9" customFormat="1" ht="15" customHeight="1"/>
    <row r="112" s="9" customFormat="1" ht="15" customHeight="1"/>
    <row r="113" s="9" customFormat="1" ht="15" customHeight="1"/>
    <row r="114" s="9" customFormat="1" ht="15" customHeight="1"/>
    <row r="115" s="9" customFormat="1" ht="15" customHeight="1"/>
    <row r="116" s="9" customFormat="1" ht="15" customHeight="1"/>
    <row r="117" s="9" customFormat="1" ht="15" customHeight="1"/>
    <row r="118" s="9" customFormat="1" ht="15" customHeight="1"/>
    <row r="119" s="9" customFormat="1" ht="15" customHeight="1"/>
    <row r="120" s="9" customFormat="1" ht="15" customHeight="1"/>
    <row r="121" s="9" customFormat="1" ht="15" customHeight="1"/>
    <row r="122" s="9" customFormat="1" ht="15" customHeight="1"/>
    <row r="123" s="9" customFormat="1" ht="15" customHeight="1"/>
    <row r="124" s="9" customFormat="1" ht="15" customHeight="1"/>
    <row r="125" s="9" customFormat="1" ht="15" customHeight="1"/>
    <row r="126" s="9" customFormat="1" ht="15" customHeight="1"/>
    <row r="127" s="9" customFormat="1" ht="15" customHeight="1"/>
    <row r="128" s="9" customFormat="1" ht="15" customHeight="1"/>
    <row r="129" s="9" customFormat="1" ht="15" customHeight="1"/>
    <row r="130" s="9" customFormat="1" ht="15" customHeight="1"/>
    <row r="131" s="9" customFormat="1" ht="15" customHeight="1"/>
    <row r="132" s="9" customFormat="1" ht="15" customHeight="1"/>
    <row r="133" s="9" customFormat="1" ht="15" customHeight="1"/>
    <row r="134" s="9" customFormat="1" ht="15" customHeight="1"/>
    <row r="135" s="9" customFormat="1" ht="15" customHeight="1"/>
    <row r="136" s="9" customFormat="1" ht="15" customHeight="1"/>
    <row r="137" s="9" customFormat="1" ht="15" customHeight="1"/>
    <row r="138" s="9" customFormat="1" ht="15" customHeight="1"/>
    <row r="139" s="9" customFormat="1" ht="15" customHeight="1"/>
    <row r="140" s="9" customFormat="1" ht="15" customHeight="1"/>
    <row r="141" s="9" customFormat="1" ht="15" customHeight="1"/>
    <row r="142" s="9" customFormat="1" ht="15" customHeight="1"/>
    <row r="143" s="9" customFormat="1" ht="15" customHeight="1"/>
    <row r="144" s="9" customFormat="1" ht="15" customHeight="1"/>
    <row r="145" s="9" customFormat="1" ht="15" customHeight="1"/>
    <row r="146" s="9" customFormat="1" ht="15" customHeight="1"/>
    <row r="147" s="9" customFormat="1" ht="15" customHeight="1"/>
    <row r="148" s="9" customFormat="1" ht="15" customHeight="1"/>
    <row r="149" s="9" customFormat="1" ht="15" customHeight="1"/>
    <row r="150" s="9" customFormat="1" ht="15" customHeight="1"/>
    <row r="151" s="9" customFormat="1" ht="15" customHeight="1"/>
    <row r="152" s="9" customFormat="1" ht="15" customHeight="1"/>
    <row r="153" s="9" customFormat="1" ht="15" customHeight="1"/>
    <row r="154" s="9" customFormat="1" ht="15" customHeight="1"/>
    <row r="155" s="9" customFormat="1" ht="15" customHeight="1"/>
    <row r="156" s="9" customFormat="1" ht="15" customHeight="1"/>
    <row r="157" s="9" customFormat="1" ht="15" customHeight="1"/>
    <row r="158" s="9" customFormat="1" ht="15" customHeight="1"/>
    <row r="159" s="9" customFormat="1" ht="15" customHeight="1"/>
    <row r="160" s="9" customFormat="1" ht="15" customHeight="1"/>
    <row r="161" s="9" customFormat="1" ht="15" customHeight="1"/>
    <row r="162" s="9" customFormat="1" ht="15" customHeight="1"/>
    <row r="163" s="9" customFormat="1" ht="15" customHeight="1"/>
    <row r="164" s="9" customFormat="1" ht="15" customHeight="1"/>
    <row r="165" s="9" customFormat="1" ht="15" customHeight="1"/>
    <row r="166" s="9" customFormat="1" ht="15" customHeight="1"/>
    <row r="167" s="9" customFormat="1" ht="15" customHeight="1"/>
    <row r="168" s="9" customFormat="1" ht="15" customHeight="1"/>
    <row r="169" s="9" customFormat="1" ht="15" customHeight="1"/>
    <row r="170" s="9" customFormat="1" ht="15" customHeight="1"/>
    <row r="171" s="9" customFormat="1" ht="15" customHeight="1"/>
    <row r="172" s="9" customFormat="1" ht="15" customHeight="1"/>
    <row r="173" s="9" customFormat="1" ht="15" customHeight="1"/>
    <row r="174" s="9" customFormat="1" ht="15" customHeight="1"/>
    <row r="175" s="9" customFormat="1" ht="15" customHeight="1"/>
    <row r="176" s="9" customFormat="1" ht="15" customHeight="1"/>
    <row r="177" s="9" customFormat="1" ht="15" customHeight="1"/>
    <row r="178" s="9" customFormat="1" ht="15" customHeight="1"/>
    <row r="179" s="9" customFormat="1" ht="15" customHeight="1"/>
    <row r="180" s="9" customFormat="1" ht="15" customHeight="1"/>
    <row r="181" s="9" customFormat="1" ht="15" customHeight="1"/>
    <row r="182" s="9" customFormat="1" ht="15" customHeight="1"/>
    <row r="183" s="9" customFormat="1" ht="15" customHeight="1"/>
    <row r="184" s="9" customFormat="1" ht="15" customHeight="1"/>
    <row r="185" s="9" customFormat="1" ht="15" customHeight="1"/>
    <row r="186" s="9" customFormat="1" ht="15" customHeight="1"/>
    <row r="187" s="9" customFormat="1" ht="15" customHeight="1"/>
    <row r="188" s="9" customFormat="1" ht="15" customHeight="1"/>
    <row r="189" s="9" customFormat="1" ht="15" customHeight="1"/>
    <row r="190" s="9" customFormat="1" ht="15" customHeight="1"/>
    <row r="191" s="9" customFormat="1" ht="15" customHeight="1"/>
    <row r="192" s="9" customFormat="1" ht="15" customHeight="1"/>
    <row r="193" s="9" customFormat="1" ht="15" customHeight="1"/>
    <row r="194" s="9" customFormat="1" ht="15" customHeight="1"/>
    <row r="195" s="9" customFormat="1" ht="15" customHeight="1"/>
    <row r="196" s="9" customFormat="1" ht="15" customHeight="1"/>
    <row r="197" s="9" customFormat="1" ht="15" customHeight="1"/>
    <row r="198" s="9" customFormat="1" ht="15" customHeight="1"/>
    <row r="199" s="9" customFormat="1" ht="15" customHeight="1"/>
    <row r="200" s="9" customFormat="1" ht="15" customHeight="1"/>
    <row r="201" s="9" customFormat="1" ht="15" customHeight="1"/>
    <row r="202" s="9" customFormat="1" ht="15" customHeight="1"/>
    <row r="203" s="9" customFormat="1" ht="15" customHeight="1"/>
    <row r="204" s="9" customFormat="1" ht="15" customHeight="1"/>
    <row r="205" s="9" customFormat="1" ht="15" customHeight="1"/>
    <row r="206" s="9" customFormat="1" ht="15" customHeight="1"/>
    <row r="207" s="9" customFormat="1" ht="15" customHeight="1"/>
    <row r="208" s="9" customFormat="1" ht="15" customHeight="1"/>
    <row r="209" s="9" customFormat="1" ht="15" customHeight="1"/>
    <row r="210" s="9" customFormat="1" ht="15" customHeight="1"/>
    <row r="211" s="9" customFormat="1" ht="15" customHeight="1"/>
    <row r="212" s="9" customFormat="1" ht="15" customHeight="1"/>
    <row r="213" s="9" customFormat="1" ht="15" customHeight="1"/>
    <row r="214" s="9" customFormat="1" ht="15" customHeight="1"/>
    <row r="215" s="9" customFormat="1" ht="15" customHeight="1"/>
    <row r="216" s="9" customFormat="1" ht="15" customHeight="1"/>
    <row r="217" s="9" customFormat="1" ht="15" customHeight="1"/>
    <row r="218" s="9" customFormat="1" ht="15" customHeight="1"/>
    <row r="219" s="9" customFormat="1" ht="15" customHeight="1"/>
    <row r="220" s="9" customFormat="1" ht="15" customHeight="1"/>
    <row r="221" s="9" customFormat="1" ht="15" customHeight="1"/>
    <row r="222" s="9" customFormat="1" ht="15" customHeight="1"/>
    <row r="223" s="9" customFormat="1" ht="15" customHeight="1"/>
    <row r="224" s="9" customFormat="1" ht="15" customHeight="1"/>
    <row r="225" s="9" customFormat="1" ht="15" customHeight="1"/>
    <row r="226" s="9" customFormat="1" ht="15" customHeight="1"/>
    <row r="227" s="9" customFormat="1" ht="15" customHeight="1"/>
    <row r="228" s="9" customFormat="1" ht="15" customHeight="1"/>
    <row r="229" s="9" customFormat="1" ht="15" customHeight="1"/>
    <row r="230" s="9" customFormat="1" ht="15" customHeight="1"/>
    <row r="231" s="9" customFormat="1" ht="15" customHeight="1"/>
    <row r="232" s="9" customFormat="1" ht="15" customHeight="1"/>
    <row r="233" s="9" customFormat="1" ht="15" customHeight="1"/>
    <row r="234" s="9" customFormat="1" ht="15" customHeight="1"/>
    <row r="235" s="9" customFormat="1" ht="15" customHeight="1"/>
    <row r="236" s="9" customFormat="1" ht="15" customHeight="1"/>
    <row r="237" s="9" customFormat="1" ht="15" customHeight="1"/>
    <row r="238" s="9" customFormat="1" ht="15" customHeight="1"/>
    <row r="239" s="9" customFormat="1" ht="15" customHeight="1"/>
    <row r="240" s="9" customFormat="1" ht="15" customHeight="1"/>
    <row r="241" s="9" customFormat="1" ht="15" customHeight="1"/>
    <row r="242" s="9" customFormat="1" ht="15" customHeight="1"/>
    <row r="243" s="9" customFormat="1" ht="15" customHeight="1"/>
    <row r="244" s="9" customFormat="1" ht="15" customHeight="1"/>
    <row r="245" s="9" customFormat="1" ht="15" customHeight="1"/>
    <row r="246" s="9" customFormat="1" ht="15" customHeight="1"/>
    <row r="247" s="9" customFormat="1" ht="15" customHeight="1"/>
    <row r="248" s="9" customFormat="1" ht="15" customHeight="1"/>
    <row r="249" s="9" customFormat="1" ht="15" customHeight="1"/>
    <row r="250" s="9" customFormat="1" ht="15" customHeight="1"/>
    <row r="251" s="9" customFormat="1" ht="15" customHeight="1"/>
    <row r="252" s="9" customFormat="1" ht="15" customHeight="1"/>
    <row r="253" s="9" customFormat="1" ht="15" customHeight="1"/>
    <row r="254" s="9" customFormat="1" ht="15" customHeight="1"/>
    <row r="255" s="9" customFormat="1" ht="15" customHeight="1"/>
    <row r="256" s="9" customFormat="1" ht="15" customHeight="1"/>
    <row r="257" s="9" customFormat="1" ht="15" customHeight="1"/>
    <row r="258" s="9" customFormat="1" ht="15" customHeight="1"/>
    <row r="259" s="9" customFormat="1" ht="15" customHeight="1"/>
    <row r="260" s="9" customFormat="1" ht="15" customHeight="1"/>
    <row r="261" s="9" customFormat="1" ht="15" customHeight="1"/>
    <row r="262" s="9" customFormat="1" ht="15" customHeight="1"/>
    <row r="263" s="9" customFormat="1" ht="15" customHeight="1"/>
    <row r="264" s="9" customFormat="1" ht="15" customHeight="1"/>
    <row r="265" s="9" customFormat="1" ht="15" customHeight="1"/>
    <row r="266" s="9" customFormat="1" ht="15" customHeight="1"/>
    <row r="267" s="9" customFormat="1" ht="15" customHeight="1"/>
    <row r="268" s="9" customFormat="1" ht="15" customHeight="1"/>
    <row r="269" s="9" customFormat="1" ht="15" customHeight="1"/>
    <row r="270" s="9" customFormat="1" ht="15" customHeight="1"/>
    <row r="271" s="9" customFormat="1" ht="15" customHeight="1"/>
    <row r="272" s="9" customFormat="1" ht="15" customHeight="1"/>
    <row r="273" s="9" customFormat="1" ht="15" customHeight="1"/>
    <row r="274" s="9" customFormat="1" ht="15" customHeight="1"/>
    <row r="275" s="9" customFormat="1" ht="15" customHeight="1"/>
    <row r="276" s="9" customFormat="1" ht="15" customHeight="1"/>
    <row r="277" s="9" customFormat="1" ht="15" customHeight="1"/>
    <row r="278" s="9" customFormat="1" ht="15" customHeight="1"/>
    <row r="279" s="9" customFormat="1" ht="15" customHeight="1"/>
    <row r="280" s="9" customFormat="1" ht="15" customHeight="1"/>
    <row r="281" s="9" customFormat="1" ht="15" customHeight="1"/>
    <row r="282" s="9" customFormat="1" ht="15" customHeight="1"/>
    <row r="283" s="9" customFormat="1" ht="15" customHeight="1"/>
    <row r="284" s="9" customFormat="1" ht="15" customHeight="1"/>
    <row r="285" s="9" customFormat="1" ht="15" customHeight="1"/>
    <row r="286" s="9" customFormat="1" ht="15" customHeight="1"/>
    <row r="287" s="9" customFormat="1" ht="15" customHeight="1"/>
    <row r="288" s="9" customFormat="1" ht="15" customHeight="1"/>
    <row r="289" s="9" customFormat="1" ht="15" customHeight="1"/>
    <row r="290" s="9" customFormat="1" ht="15" customHeight="1"/>
    <row r="291" s="9" customFormat="1" ht="15" customHeight="1"/>
    <row r="292" s="9" customFormat="1" ht="15" customHeight="1"/>
    <row r="293" s="9" customFormat="1" ht="15" customHeight="1"/>
    <row r="294" s="9" customFormat="1" ht="15" customHeight="1"/>
    <row r="295" s="9" customFormat="1" ht="15" customHeight="1"/>
    <row r="296" s="9" customFormat="1" ht="15" customHeight="1"/>
    <row r="297" s="9" customFormat="1" ht="15" customHeight="1"/>
    <row r="298" s="9" customFormat="1" ht="15" customHeight="1"/>
    <row r="299" s="9" customFormat="1" ht="15" customHeight="1"/>
    <row r="300" s="9" customFormat="1" ht="15" customHeight="1"/>
    <row r="301" s="9" customFormat="1" ht="15" customHeight="1"/>
    <row r="302" s="9" customFormat="1" ht="15" customHeight="1"/>
    <row r="303" s="9" customFormat="1" ht="15" customHeight="1"/>
    <row r="304" s="9" customFormat="1" ht="15" customHeight="1"/>
    <row r="305" s="9" customFormat="1" ht="15" customHeight="1"/>
    <row r="306" s="9" customFormat="1" ht="15" customHeight="1"/>
    <row r="307" s="9" customFormat="1" ht="15" customHeight="1"/>
    <row r="308" s="9" customFormat="1" ht="15" customHeight="1"/>
    <row r="309" s="9" customFormat="1" ht="15" customHeight="1"/>
    <row r="310" s="9" customFormat="1" ht="15" customHeight="1"/>
    <row r="311" s="9" customFormat="1" ht="15" customHeight="1"/>
    <row r="312" s="9" customFormat="1" ht="15" customHeight="1"/>
    <row r="313" s="9" customFormat="1" ht="15" customHeight="1"/>
    <row r="314" s="9" customFormat="1" ht="15" customHeight="1"/>
    <row r="315" s="9" customFormat="1" ht="15" customHeight="1"/>
    <row r="316" s="9" customFormat="1" ht="15" customHeight="1"/>
    <row r="317" s="9" customFormat="1" ht="15" customHeight="1"/>
    <row r="318" s="9" customFormat="1" ht="15" customHeight="1"/>
    <row r="319" s="9" customFormat="1" ht="15" customHeight="1"/>
    <row r="320" s="9" customFormat="1" ht="15" customHeight="1"/>
    <row r="321" s="9" customFormat="1" ht="15" customHeight="1"/>
    <row r="322" s="9" customFormat="1" ht="15" customHeight="1"/>
    <row r="323" s="9" customFormat="1" ht="15" customHeight="1"/>
    <row r="324" s="9" customFormat="1" ht="15" customHeight="1"/>
    <row r="325" s="9" customFormat="1" ht="15" customHeight="1"/>
    <row r="326" s="9" customFormat="1" ht="15" customHeight="1"/>
    <row r="327" s="9" customFormat="1" ht="15" customHeight="1"/>
    <row r="328" s="9" customFormat="1" ht="15" customHeight="1"/>
    <row r="329" s="9" customFormat="1" ht="15" customHeight="1"/>
    <row r="330" s="9" customFormat="1" ht="15" customHeight="1"/>
    <row r="331" s="9" customFormat="1" ht="15" customHeight="1"/>
    <row r="332" s="9" customFormat="1" ht="15" customHeight="1"/>
    <row r="333" s="9" customFormat="1" ht="15" customHeight="1"/>
    <row r="334" s="9" customFormat="1" ht="15" customHeight="1"/>
    <row r="335" s="9" customFormat="1" ht="15" customHeight="1"/>
    <row r="336" s="9" customFormat="1" ht="15" customHeight="1"/>
    <row r="337" s="9" customFormat="1" ht="15" customHeight="1"/>
    <row r="338" s="9" customFormat="1" ht="15" customHeight="1"/>
    <row r="339" s="9" customFormat="1" ht="15" customHeight="1"/>
    <row r="340" s="9" customFormat="1" ht="15" customHeight="1"/>
    <row r="341" s="9" customFormat="1" ht="15" customHeight="1"/>
    <row r="342" s="9" customFormat="1" ht="15" customHeight="1"/>
    <row r="343" s="9" customFormat="1" ht="15" customHeight="1"/>
    <row r="344" s="9" customFormat="1" ht="15" customHeight="1"/>
    <row r="345" s="9" customFormat="1" ht="15" customHeight="1"/>
    <row r="346" s="9" customFormat="1" ht="15" customHeight="1"/>
    <row r="347" s="9" customFormat="1" ht="15" customHeight="1"/>
    <row r="348" s="9" customFormat="1" ht="15" customHeight="1"/>
    <row r="349" s="9" customFormat="1" ht="15" customHeight="1"/>
    <row r="350" s="9" customFormat="1" ht="15" customHeight="1"/>
    <row r="351" s="9" customFormat="1" ht="15" customHeight="1"/>
    <row r="352" s="9" customFormat="1" ht="15" customHeight="1"/>
    <row r="353" s="9" customFormat="1" ht="15" customHeight="1"/>
    <row r="354" s="9" customFormat="1" ht="15" customHeight="1"/>
    <row r="355" s="9" customFormat="1" ht="15" customHeight="1"/>
    <row r="356" s="9" customFormat="1" ht="15" customHeight="1"/>
    <row r="357" s="9" customFormat="1" ht="15" customHeight="1"/>
    <row r="358" s="9" customFormat="1" ht="15" customHeight="1"/>
    <row r="359" s="9" customFormat="1" ht="15" customHeight="1"/>
    <row r="360" s="9" customFormat="1" ht="15" customHeight="1"/>
    <row r="361" s="9" customFormat="1" ht="15" customHeight="1"/>
    <row r="362" s="9" customFormat="1" ht="15" customHeight="1"/>
    <row r="363" s="9" customFormat="1" ht="15" customHeight="1"/>
    <row r="364" s="9" customFormat="1" ht="15" customHeight="1"/>
    <row r="365" s="9" customFormat="1" ht="15" customHeight="1"/>
    <row r="366" s="9" customFormat="1" ht="15" customHeight="1"/>
    <row r="367" s="9" customFormat="1" ht="15" customHeight="1"/>
    <row r="368" s="9" customFormat="1" ht="15" customHeight="1"/>
    <row r="369" s="9" customFormat="1" ht="15" customHeight="1"/>
    <row r="370" s="9" customFormat="1" ht="15" customHeight="1"/>
    <row r="371" s="9" customFormat="1" ht="15" customHeight="1"/>
    <row r="372" s="9" customFormat="1" ht="15" customHeight="1"/>
    <row r="373" s="9" customFormat="1" ht="15" customHeight="1"/>
    <row r="374" s="9" customFormat="1" ht="15" customHeight="1"/>
    <row r="375" s="9" customFormat="1" ht="15" customHeight="1"/>
    <row r="376" s="9" customFormat="1" ht="15" customHeight="1"/>
    <row r="377" s="9" customFormat="1" ht="15" customHeight="1"/>
    <row r="378" s="9" customFormat="1" ht="15" customHeight="1"/>
    <row r="379" s="9" customFormat="1" ht="15" customHeight="1"/>
    <row r="380" s="9" customFormat="1" ht="15" customHeight="1"/>
    <row r="381" s="9" customFormat="1" ht="15" customHeight="1"/>
    <row r="382" s="9" customFormat="1" ht="15" customHeight="1"/>
    <row r="383" s="9" customFormat="1" ht="15" customHeight="1"/>
    <row r="384" s="9" customFormat="1" ht="15" customHeight="1"/>
    <row r="385" s="9" customFormat="1" ht="15" customHeight="1"/>
    <row r="386" s="9" customFormat="1" ht="15" customHeight="1"/>
    <row r="387" s="9" customFormat="1" ht="15" customHeight="1"/>
    <row r="388" s="9" customFormat="1" ht="15" customHeight="1"/>
    <row r="389" s="9" customFormat="1" ht="15" customHeight="1"/>
    <row r="390" s="9" customFormat="1" ht="15" customHeight="1"/>
    <row r="391" s="9" customFormat="1" ht="15" customHeight="1"/>
    <row r="392" s="9" customFormat="1" ht="15" customHeight="1"/>
    <row r="393" s="9" customFormat="1" ht="15" customHeight="1"/>
    <row r="394" s="9" customFormat="1" ht="15" customHeight="1"/>
    <row r="395" s="9" customFormat="1" ht="15" customHeight="1"/>
    <row r="396" s="9" customFormat="1" ht="15" customHeight="1"/>
    <row r="397" s="9" customFormat="1" ht="15" customHeight="1"/>
    <row r="398" s="9" customFormat="1" ht="15" customHeight="1"/>
    <row r="399" s="9" customFormat="1" ht="15" customHeight="1"/>
    <row r="400" s="9" customFormat="1" ht="15" customHeight="1"/>
    <row r="401" s="9" customFormat="1" ht="15" customHeight="1"/>
    <row r="402" s="9" customFormat="1" ht="15" customHeight="1"/>
    <row r="403" s="9" customFormat="1" ht="15" customHeight="1"/>
    <row r="404" s="9" customFormat="1" ht="15" customHeight="1"/>
    <row r="405" s="9" customFormat="1" ht="15" customHeight="1"/>
    <row r="406" s="9" customFormat="1" ht="15" customHeight="1"/>
    <row r="407" s="9" customFormat="1" ht="15" customHeight="1"/>
    <row r="408" s="9" customFormat="1" ht="15" customHeight="1"/>
    <row r="409" s="9" customFormat="1" ht="15" customHeight="1"/>
    <row r="410" s="9" customFormat="1" ht="15" customHeight="1"/>
    <row r="411" s="9" customFormat="1" ht="15" customHeight="1"/>
    <row r="412" s="9" customFormat="1" ht="15" customHeight="1"/>
    <row r="413" s="9" customFormat="1" ht="15" customHeight="1"/>
    <row r="414" s="9" customFormat="1" ht="15" customHeight="1"/>
    <row r="415" s="9" customFormat="1" ht="15" customHeight="1"/>
    <row r="416" s="9" customFormat="1" ht="15" customHeight="1"/>
    <row r="417" s="9" customFormat="1" ht="15" customHeight="1"/>
    <row r="418" s="9" customFormat="1" ht="15" customHeight="1"/>
    <row r="419" s="9" customFormat="1" ht="15" customHeight="1"/>
    <row r="420" s="9" customFormat="1" ht="15" customHeight="1"/>
    <row r="421" s="9" customFormat="1" ht="15" customHeight="1"/>
    <row r="422" s="9" customFormat="1" ht="15" customHeight="1"/>
    <row r="423" s="9" customFormat="1" ht="15" customHeight="1"/>
    <row r="424" s="9" customFormat="1" ht="15" customHeight="1"/>
    <row r="425" s="9" customFormat="1" ht="15" customHeight="1"/>
    <row r="426" s="9" customFormat="1" ht="15" customHeight="1"/>
    <row r="427" s="9" customFormat="1" ht="15" customHeight="1"/>
    <row r="428" s="9" customFormat="1" ht="15" customHeight="1"/>
    <row r="429" s="9" customFormat="1" ht="15" customHeight="1"/>
    <row r="430" s="9" customFormat="1" ht="15" customHeight="1"/>
    <row r="431" s="9" customFormat="1" ht="15" customHeight="1"/>
    <row r="432" s="9" customFormat="1" ht="15" customHeight="1"/>
    <row r="433" s="9" customFormat="1" ht="15" customHeight="1"/>
    <row r="434" s="9" customFormat="1" ht="15" customHeight="1"/>
    <row r="435" s="9" customFormat="1" ht="15" customHeight="1"/>
    <row r="436" s="9" customFormat="1" ht="15" customHeight="1"/>
    <row r="437" s="9" customFormat="1" ht="15" customHeight="1"/>
    <row r="438" s="9" customFormat="1" ht="15" customHeight="1"/>
    <row r="439" s="9" customFormat="1" ht="15" customHeight="1"/>
    <row r="440" s="9" customFormat="1" ht="15" customHeight="1"/>
    <row r="441" s="9" customFormat="1" ht="15" customHeight="1"/>
    <row r="442" s="9" customFormat="1" ht="15" customHeight="1"/>
    <row r="443" s="9" customFormat="1" ht="15" customHeight="1"/>
    <row r="444" s="9" customFormat="1" ht="15" customHeight="1"/>
    <row r="445" s="9" customFormat="1" ht="15" customHeight="1"/>
    <row r="446" s="9" customFormat="1" ht="15" customHeight="1"/>
    <row r="447" s="9" customFormat="1" ht="15" customHeight="1"/>
    <row r="448" s="9" customFormat="1" ht="15" customHeight="1"/>
    <row r="449" s="9" customFormat="1" ht="15" customHeight="1"/>
    <row r="450" s="9" customFormat="1" ht="15" customHeight="1"/>
    <row r="451" s="9" customFormat="1" ht="15" customHeight="1"/>
    <row r="452" s="9" customFormat="1" ht="15" customHeight="1"/>
    <row r="453" s="9" customFormat="1" ht="15" customHeight="1"/>
    <row r="454" s="9" customFormat="1" ht="15" customHeight="1"/>
    <row r="455" s="9" customFormat="1" ht="15" customHeight="1"/>
    <row r="456" s="9" customFormat="1" ht="15" customHeight="1"/>
    <row r="457" s="9" customFormat="1" ht="15" customHeight="1"/>
    <row r="458" s="9" customFormat="1" ht="15" customHeight="1"/>
    <row r="459" s="9" customFormat="1" ht="15" customHeight="1"/>
    <row r="460" s="9" customFormat="1" ht="15" customHeight="1"/>
    <row r="461" s="9" customFormat="1" ht="15" customHeight="1"/>
    <row r="462" s="9" customFormat="1" ht="15" customHeight="1"/>
    <row r="463" s="9" customFormat="1" ht="15" customHeight="1"/>
    <row r="464" s="9" customFormat="1" ht="15" customHeight="1"/>
    <row r="465" s="9" customFormat="1" ht="15" customHeight="1"/>
    <row r="466" s="9" customFormat="1" ht="15" customHeight="1"/>
    <row r="467" s="9" customFormat="1" ht="15" customHeight="1"/>
    <row r="468" s="9" customFormat="1" ht="15" customHeight="1"/>
    <row r="469" s="9" customFormat="1" ht="15" customHeight="1"/>
    <row r="470" s="9" customFormat="1" ht="15" customHeight="1"/>
    <row r="471" s="9" customFormat="1" ht="15" customHeight="1"/>
    <row r="472" s="9" customFormat="1" ht="15" customHeight="1"/>
    <row r="473" s="9" customFormat="1" ht="15" customHeight="1"/>
    <row r="474" s="9" customFormat="1" ht="15" customHeight="1"/>
    <row r="475" s="9" customFormat="1" ht="15" customHeight="1"/>
    <row r="476" s="9" customFormat="1" ht="15" customHeight="1"/>
    <row r="477" s="9" customFormat="1" ht="15" customHeight="1"/>
    <row r="478" s="9" customFormat="1" ht="15" customHeight="1"/>
    <row r="479" s="9" customFormat="1" ht="15" customHeight="1"/>
    <row r="480" s="9" customFormat="1" ht="15" customHeight="1"/>
    <row r="481" s="9" customFormat="1" ht="15" customHeight="1"/>
    <row r="482" s="9" customFormat="1" ht="15" customHeight="1"/>
    <row r="483" s="9" customFormat="1" ht="15" customHeight="1"/>
    <row r="484" s="9" customFormat="1" ht="15" customHeight="1"/>
    <row r="485" s="9" customFormat="1" ht="15" customHeight="1"/>
    <row r="486" s="9" customFormat="1" ht="15" customHeight="1"/>
    <row r="487" s="9" customFormat="1" ht="15" customHeight="1"/>
    <row r="488" s="9" customFormat="1" ht="15" customHeight="1"/>
    <row r="489" s="9" customFormat="1" ht="15" customHeight="1"/>
    <row r="490" s="9" customFormat="1" ht="15" customHeight="1"/>
    <row r="491" s="9" customFormat="1" ht="15" customHeight="1"/>
    <row r="492" s="9" customFormat="1" ht="15" customHeight="1"/>
    <row r="493" s="9" customFormat="1" ht="15" customHeight="1"/>
    <row r="494" s="9" customFormat="1" ht="15" customHeight="1"/>
    <row r="495" s="9" customFormat="1" ht="15" customHeight="1"/>
    <row r="496" s="9" customFormat="1" ht="15" customHeight="1"/>
    <row r="497" s="9" customFormat="1" ht="15" customHeight="1"/>
    <row r="498" s="9" customFormat="1" ht="15" customHeight="1"/>
    <row r="499" s="9" customFormat="1" ht="15" customHeight="1"/>
    <row r="500" s="9" customFormat="1" ht="15" customHeight="1"/>
    <row r="501" s="9" customFormat="1" ht="15" customHeight="1"/>
    <row r="502" s="9" customFormat="1" ht="15" customHeight="1"/>
    <row r="503" s="9" customFormat="1" ht="15" customHeight="1"/>
    <row r="504" s="9" customFormat="1" ht="15" customHeight="1"/>
    <row r="505" s="9" customFormat="1" ht="15" customHeight="1"/>
    <row r="506" s="9" customFormat="1" ht="15" customHeight="1"/>
    <row r="507" s="9" customFormat="1" ht="15" customHeight="1"/>
    <row r="508" s="9" customFormat="1" ht="15" customHeight="1"/>
    <row r="509" s="9" customFormat="1" ht="15" customHeight="1"/>
    <row r="510" s="9" customFormat="1" ht="15" customHeight="1"/>
    <row r="511" s="9" customFormat="1" ht="15" customHeight="1"/>
    <row r="512" s="9" customFormat="1" ht="15" customHeight="1"/>
    <row r="513" s="9" customFormat="1" ht="15" customHeight="1"/>
    <row r="514" s="9" customFormat="1" ht="15" customHeight="1"/>
    <row r="515" s="9" customFormat="1" ht="15" customHeight="1"/>
    <row r="516" s="9" customFormat="1" ht="15" customHeight="1"/>
    <row r="517" s="9" customFormat="1" ht="15" customHeight="1"/>
    <row r="518" s="9" customFormat="1" ht="15" customHeight="1"/>
    <row r="519" s="9" customFormat="1" ht="15" customHeight="1"/>
    <row r="520" s="9" customFormat="1" ht="15" customHeight="1"/>
    <row r="521" s="9" customFormat="1" ht="15" customHeight="1"/>
    <row r="522" s="9" customFormat="1" ht="15" customHeight="1"/>
    <row r="523" s="9" customFormat="1" ht="15" customHeight="1"/>
    <row r="524" s="9" customFormat="1" ht="15" customHeight="1"/>
    <row r="525" s="9" customFormat="1" ht="15" customHeight="1"/>
    <row r="526" s="9" customFormat="1" ht="15" customHeight="1"/>
    <row r="527" s="9" customFormat="1" ht="15" customHeight="1"/>
    <row r="528" s="9" customFormat="1" ht="15" customHeight="1"/>
    <row r="529" s="9" customFormat="1" ht="15" customHeight="1"/>
    <row r="530" s="9" customFormat="1" ht="15" customHeight="1"/>
    <row r="531" s="9" customFormat="1" ht="15" customHeight="1"/>
    <row r="532" s="9" customFormat="1" ht="15" customHeight="1"/>
    <row r="533" s="9" customFormat="1" ht="15" customHeight="1"/>
    <row r="534" s="9" customFormat="1" ht="15" customHeight="1"/>
    <row r="535" s="9" customFormat="1" ht="15" customHeight="1"/>
    <row r="536" s="9" customFormat="1" ht="15" customHeight="1"/>
    <row r="537" s="9" customFormat="1" ht="15" customHeight="1"/>
    <row r="538" s="9" customFormat="1" ht="15" customHeight="1"/>
    <row r="539" s="9" customFormat="1" ht="15" customHeight="1"/>
    <row r="540" s="9" customFormat="1" ht="15" customHeight="1"/>
    <row r="541" s="9" customFormat="1" ht="15" customHeight="1"/>
    <row r="542" s="9" customFormat="1" ht="15" customHeight="1"/>
    <row r="543" s="9" customFormat="1" ht="15" customHeight="1"/>
    <row r="544" s="9" customFormat="1" ht="15" customHeight="1"/>
    <row r="545" s="9" customFormat="1" ht="15" customHeight="1"/>
    <row r="546" s="9" customFormat="1" ht="15" customHeight="1"/>
    <row r="547" s="9" customFormat="1" ht="15" customHeight="1"/>
    <row r="548" s="9" customFormat="1" ht="15" customHeight="1"/>
    <row r="549" s="9" customFormat="1" ht="15" customHeight="1"/>
    <row r="550" s="9" customFormat="1" ht="15" customHeight="1"/>
    <row r="551" s="9" customFormat="1" ht="15" customHeight="1"/>
    <row r="552" s="9" customFormat="1" ht="15" customHeight="1"/>
    <row r="553" s="9" customFormat="1" ht="15" customHeight="1"/>
    <row r="554" s="9" customFormat="1" ht="15" customHeight="1"/>
    <row r="555" s="9" customFormat="1" ht="15" customHeight="1"/>
    <row r="556" s="9" customFormat="1" ht="15" customHeight="1"/>
    <row r="557" s="9" customFormat="1" ht="15" customHeight="1"/>
    <row r="558" s="9" customFormat="1" ht="15" customHeight="1"/>
    <row r="559" s="9" customFormat="1" ht="15" customHeight="1"/>
    <row r="560" s="9" customFormat="1" ht="15" customHeight="1"/>
    <row r="561" s="9" customFormat="1" ht="15" customHeight="1"/>
    <row r="562" s="9" customFormat="1" ht="15" customHeight="1"/>
    <row r="563" s="9" customFormat="1" ht="15" customHeight="1"/>
    <row r="564" s="9" customFormat="1" ht="15" customHeight="1"/>
    <row r="565" s="9" customFormat="1" ht="15" customHeight="1"/>
    <row r="566" s="9" customFormat="1" ht="15" customHeight="1"/>
    <row r="567" s="9" customFormat="1" ht="15" customHeight="1"/>
    <row r="568" s="9" customFormat="1" ht="15" customHeight="1"/>
    <row r="569" s="9" customFormat="1" ht="15" customHeight="1"/>
    <row r="570" s="9" customFormat="1" ht="15" customHeight="1"/>
    <row r="571" s="9" customFormat="1" ht="15" customHeight="1"/>
    <row r="572" s="9" customFormat="1" ht="15" customHeight="1"/>
    <row r="573" s="9" customFormat="1" ht="15" customHeight="1"/>
    <row r="574" s="9" customFormat="1" ht="15" customHeight="1"/>
    <row r="575" s="9" customFormat="1" ht="15" customHeight="1"/>
    <row r="576" s="9" customFormat="1" ht="15" customHeight="1"/>
    <row r="577" s="9" customFormat="1" ht="15" customHeight="1"/>
    <row r="578" s="9" customFormat="1" ht="15" customHeight="1"/>
    <row r="579" s="9" customFormat="1" ht="15" customHeight="1"/>
    <row r="580" s="9" customFormat="1" ht="15" customHeight="1"/>
    <row r="581" s="9" customFormat="1" ht="15" customHeight="1"/>
    <row r="582" s="9" customFormat="1" ht="15" customHeight="1"/>
    <row r="583" s="9" customFormat="1" ht="15" customHeight="1"/>
    <row r="584" s="9" customFormat="1" ht="15" customHeight="1"/>
    <row r="585" s="9" customFormat="1" ht="15" customHeight="1"/>
    <row r="586" s="9" customFormat="1" ht="15" customHeight="1"/>
    <row r="587" s="9" customFormat="1" ht="15" customHeight="1"/>
    <row r="588" s="9" customFormat="1" ht="15" customHeight="1"/>
    <row r="589" s="9" customFormat="1" ht="15" customHeight="1"/>
    <row r="590" s="9" customFormat="1" ht="15" customHeight="1"/>
    <row r="591" s="9" customFormat="1" ht="15" customHeight="1"/>
    <row r="592" s="9" customFormat="1" ht="15" customHeight="1"/>
    <row r="593" s="9" customFormat="1" ht="15" customHeight="1"/>
    <row r="594" s="9" customFormat="1" ht="15" customHeight="1"/>
    <row r="595" s="9" customFormat="1" ht="15" customHeight="1"/>
    <row r="596" s="9" customFormat="1" ht="15" customHeight="1"/>
    <row r="597" s="9" customFormat="1" ht="15" customHeight="1"/>
    <row r="598" s="9" customFormat="1" ht="15" customHeight="1"/>
    <row r="599" s="9" customFormat="1" ht="15" customHeight="1"/>
    <row r="600" s="9" customFormat="1" ht="15" customHeight="1"/>
    <row r="601" s="9" customFormat="1" ht="15" customHeight="1"/>
    <row r="602" s="9" customFormat="1" ht="15" customHeight="1"/>
    <row r="603" s="9" customFormat="1" ht="15" customHeight="1"/>
    <row r="604" s="9" customFormat="1" ht="15" customHeight="1"/>
    <row r="605" s="9" customFormat="1" ht="15" customHeight="1"/>
    <row r="606" s="9" customFormat="1" ht="15" customHeight="1"/>
    <row r="607" s="9" customFormat="1" ht="15" customHeight="1"/>
    <row r="608" s="9" customFormat="1" ht="15" customHeight="1"/>
    <row r="609" s="9" customFormat="1" ht="15" customHeight="1"/>
    <row r="610" s="9" customFormat="1" ht="15" customHeight="1"/>
    <row r="611" s="9" customFormat="1" ht="15" customHeight="1"/>
    <row r="612" s="9" customFormat="1" ht="15" customHeight="1"/>
    <row r="613" s="9" customFormat="1" ht="15" customHeight="1"/>
    <row r="614" s="9" customFormat="1" ht="15" customHeight="1"/>
    <row r="615" s="9" customFormat="1" ht="15" customHeight="1"/>
    <row r="616" s="9" customFormat="1" ht="15" customHeight="1"/>
    <row r="617" s="9" customFormat="1" ht="15" customHeight="1"/>
    <row r="618" s="9" customFormat="1" ht="15" customHeight="1"/>
    <row r="619" s="9" customFormat="1" ht="15" customHeight="1"/>
    <row r="620" s="9" customFormat="1" ht="15" customHeight="1"/>
    <row r="621" s="9" customFormat="1" ht="15" customHeight="1"/>
    <row r="622" s="9" customFormat="1" ht="15" customHeight="1"/>
    <row r="623" s="9" customFormat="1" ht="15" customHeight="1"/>
    <row r="624" s="9" customFormat="1" ht="15" customHeight="1"/>
    <row r="625" s="9" customFormat="1" ht="15" customHeight="1"/>
    <row r="626" s="9" customFormat="1" ht="15" customHeight="1"/>
    <row r="627" s="9" customFormat="1" ht="15" customHeight="1"/>
    <row r="628" s="9" customFormat="1" ht="15" customHeight="1"/>
    <row r="629" s="9" customFormat="1" ht="15" customHeight="1"/>
    <row r="630" s="9" customFormat="1" ht="15" customHeight="1"/>
    <row r="631" s="9" customFormat="1" ht="15" customHeight="1"/>
    <row r="632" s="9" customFormat="1" ht="15" customHeight="1"/>
    <row r="633" s="9" customFormat="1" ht="15" customHeight="1"/>
    <row r="634" s="9" customFormat="1" ht="15" customHeight="1"/>
    <row r="635" s="9" customFormat="1" ht="15" customHeight="1"/>
    <row r="636" s="9" customFormat="1" ht="15" customHeight="1"/>
    <row r="637" s="9" customFormat="1" ht="15" customHeight="1"/>
    <row r="638" s="9" customFormat="1" ht="15" customHeight="1"/>
    <row r="639" s="9" customFormat="1" ht="15" customHeight="1"/>
    <row r="640" s="9" customFormat="1" ht="15" customHeight="1"/>
    <row r="641" s="9" customFormat="1" ht="15" customHeight="1"/>
    <row r="642" s="9" customFormat="1" ht="15" customHeight="1"/>
    <row r="643" s="9" customFormat="1" ht="15" customHeight="1"/>
    <row r="644" s="9" customFormat="1" ht="15" customHeight="1"/>
    <row r="645" s="9" customFormat="1" ht="15" customHeight="1"/>
    <row r="646" s="9" customFormat="1" ht="15" customHeight="1"/>
    <row r="647" s="9" customFormat="1" ht="15" customHeight="1"/>
    <row r="648" s="9" customFormat="1" ht="15" customHeight="1"/>
    <row r="649" s="9" customFormat="1" ht="15" customHeight="1"/>
    <row r="650" s="9" customFormat="1" ht="15" customHeight="1"/>
    <row r="651" s="9" customFormat="1" ht="15" customHeight="1"/>
    <row r="652" s="9" customFormat="1" ht="15" customHeight="1"/>
    <row r="653" s="9" customFormat="1" ht="15" customHeight="1"/>
    <row r="654" s="9" customFormat="1" ht="15" customHeight="1"/>
    <row r="655" s="9" customFormat="1" ht="15" customHeight="1"/>
    <row r="656" s="9" customFormat="1" ht="15" customHeight="1"/>
    <row r="657" s="9" customFormat="1" ht="15" customHeight="1"/>
    <row r="658" s="9" customFormat="1" ht="15" customHeight="1"/>
    <row r="659" s="9" customFormat="1" ht="15" customHeight="1"/>
    <row r="660" s="9" customFormat="1" ht="15" customHeight="1"/>
    <row r="661" s="9" customFormat="1" ht="15" customHeight="1"/>
    <row r="662" s="9" customFormat="1" ht="15" customHeight="1"/>
    <row r="663" s="9" customFormat="1" ht="15" customHeight="1"/>
    <row r="664" s="9" customFormat="1" ht="15" customHeight="1"/>
    <row r="665" s="9" customFormat="1" ht="15" customHeight="1"/>
    <row r="666" s="9" customFormat="1" ht="15" customHeight="1"/>
    <row r="667" s="9" customFormat="1" ht="15" customHeight="1"/>
    <row r="668" s="9" customFormat="1" ht="15" customHeight="1"/>
    <row r="669" s="9" customFormat="1" ht="15" customHeight="1"/>
    <row r="670" s="9" customFormat="1" ht="15" customHeight="1"/>
    <row r="671" s="9" customFormat="1" ht="15" customHeight="1"/>
    <row r="672" s="9" customFormat="1" ht="15" customHeight="1"/>
    <row r="673" s="9" customFormat="1" ht="15" customHeight="1"/>
    <row r="674" s="9" customFormat="1" ht="15" customHeight="1"/>
    <row r="675" s="9" customFormat="1" ht="15" customHeight="1"/>
    <row r="676" s="9" customFormat="1" ht="15" customHeight="1"/>
    <row r="677" s="9" customFormat="1" ht="15" customHeight="1"/>
    <row r="678" s="9" customFormat="1" ht="15" customHeight="1"/>
    <row r="679" s="9" customFormat="1" ht="15" customHeight="1"/>
    <row r="680" s="9" customFormat="1" ht="15" customHeight="1"/>
    <row r="681" s="9" customFormat="1" ht="15" customHeight="1"/>
    <row r="682" s="9" customFormat="1" ht="15" customHeight="1"/>
    <row r="683" s="9" customFormat="1" ht="15" customHeight="1"/>
    <row r="684" s="9" customFormat="1" ht="15" customHeight="1"/>
    <row r="685" s="9" customFormat="1" ht="15" customHeight="1"/>
    <row r="686" s="9" customFormat="1" ht="15" customHeight="1"/>
    <row r="687" s="9" customFormat="1" ht="15" customHeight="1"/>
    <row r="688" s="9" customFormat="1" ht="15" customHeight="1"/>
    <row r="689" s="9" customFormat="1" ht="15" customHeight="1"/>
    <row r="690" s="9" customFormat="1" ht="15" customHeight="1"/>
    <row r="691" s="9" customFormat="1" ht="15" customHeight="1"/>
    <row r="692" s="9" customFormat="1" ht="15" customHeight="1"/>
    <row r="693" s="9" customFormat="1" ht="15" customHeight="1"/>
    <row r="694" s="9" customFormat="1" ht="15" customHeight="1"/>
    <row r="695" s="9" customFormat="1" ht="15" customHeight="1"/>
    <row r="696" s="9" customFormat="1" ht="15" customHeight="1"/>
    <row r="697" s="9" customFormat="1" ht="15" customHeight="1"/>
    <row r="698" s="9" customFormat="1" ht="15" customHeight="1"/>
    <row r="699" s="9" customFormat="1" ht="15" customHeight="1"/>
    <row r="700" s="9" customFormat="1" ht="15" customHeight="1"/>
    <row r="701" s="9" customFormat="1" ht="15" customHeight="1"/>
    <row r="702" s="9" customFormat="1" ht="15" customHeight="1"/>
    <row r="703" s="9" customFormat="1" ht="15" customHeight="1"/>
    <row r="704" s="9" customFormat="1" ht="15" customHeight="1"/>
    <row r="705" s="9" customFormat="1" ht="15" customHeight="1"/>
    <row r="706" s="9" customFormat="1" ht="15" customHeight="1"/>
    <row r="707" s="9" customFormat="1" ht="15" customHeight="1"/>
    <row r="708" s="9" customFormat="1" ht="15" customHeight="1"/>
    <row r="709" s="9" customFormat="1" ht="15" customHeight="1"/>
    <row r="710" s="9" customFormat="1" ht="15" customHeight="1"/>
    <row r="711" s="9" customFormat="1" ht="15" customHeight="1"/>
    <row r="712" s="9" customFormat="1" ht="15" customHeight="1"/>
    <row r="713" s="9" customFormat="1" ht="15" customHeight="1"/>
    <row r="714" s="9" customFormat="1" ht="15" customHeight="1"/>
    <row r="715" s="9" customFormat="1" ht="15" customHeight="1"/>
    <row r="716" s="9" customFormat="1" ht="15" customHeight="1"/>
    <row r="717" s="9" customFormat="1" ht="15" customHeight="1"/>
    <row r="718" s="9" customFormat="1" ht="15" customHeight="1"/>
    <row r="719" s="9" customFormat="1" ht="15" customHeight="1"/>
    <row r="720" s="9" customFormat="1" ht="15" customHeight="1"/>
    <row r="721" s="9" customFormat="1" ht="15" customHeight="1"/>
    <row r="722" s="9" customFormat="1" ht="15" customHeight="1"/>
    <row r="723" s="9" customFormat="1" ht="15" customHeight="1"/>
    <row r="724" s="9" customFormat="1" ht="15" customHeight="1"/>
    <row r="725" s="9" customFormat="1" ht="15" customHeight="1"/>
    <row r="726" s="9" customFormat="1" ht="15" customHeight="1"/>
    <row r="727" s="9" customFormat="1" ht="15" customHeight="1"/>
    <row r="728" s="9" customFormat="1" ht="15" customHeight="1"/>
    <row r="729" s="9" customFormat="1" ht="15" customHeight="1"/>
    <row r="730" s="9" customFormat="1" ht="15" customHeight="1"/>
    <row r="731" s="9" customFormat="1" ht="15" customHeight="1"/>
    <row r="732" s="9" customFormat="1" ht="15" customHeight="1"/>
    <row r="733" s="9" customFormat="1" ht="15" customHeight="1"/>
    <row r="734" s="9" customFormat="1" ht="15" customHeight="1"/>
    <row r="735" s="9" customFormat="1" ht="15" customHeight="1"/>
    <row r="736" s="9" customFormat="1" ht="15" customHeight="1"/>
    <row r="737" s="9" customFormat="1" ht="15" customHeight="1"/>
    <row r="738" s="9" customFormat="1" ht="15" customHeight="1"/>
    <row r="739" s="9" customFormat="1" ht="15" customHeight="1"/>
    <row r="740" s="9" customFormat="1" ht="15" customHeight="1"/>
    <row r="741" s="9" customFormat="1" ht="15" customHeight="1"/>
    <row r="742" s="9" customFormat="1" ht="15" customHeight="1"/>
    <row r="743" s="9" customFormat="1" ht="15" customHeight="1"/>
    <row r="744" s="9" customFormat="1" ht="15" customHeight="1"/>
    <row r="745" s="9" customFormat="1" ht="15" customHeight="1"/>
    <row r="746" s="9" customFormat="1" ht="15" customHeight="1"/>
    <row r="747" s="9" customFormat="1" ht="15" customHeight="1"/>
    <row r="748" s="9" customFormat="1" ht="15" customHeight="1"/>
    <row r="749" s="9" customFormat="1" ht="15" customHeight="1"/>
    <row r="750" s="9" customFormat="1" ht="15" customHeight="1"/>
    <row r="751" s="9" customFormat="1" ht="15" customHeight="1"/>
    <row r="752" s="9" customFormat="1" ht="15" customHeight="1"/>
    <row r="753" s="9" customFormat="1" ht="15" customHeight="1"/>
    <row r="754" s="9" customFormat="1" ht="15" customHeight="1"/>
    <row r="755" s="9" customFormat="1" ht="15" customHeight="1"/>
    <row r="756" s="9" customFormat="1" ht="15" customHeight="1"/>
    <row r="757" s="9" customFormat="1" ht="15" customHeight="1"/>
    <row r="758" s="9" customFormat="1" ht="15" customHeight="1"/>
    <row r="759" s="9" customFormat="1" ht="15" customHeight="1"/>
    <row r="760" s="9" customFormat="1" ht="15" customHeight="1"/>
    <row r="761" s="9" customFormat="1" ht="15" customHeight="1"/>
    <row r="762" s="9" customFormat="1" ht="15" customHeight="1"/>
    <row r="763" s="9" customFormat="1" ht="15" customHeight="1"/>
    <row r="764" s="9" customFormat="1" ht="15" customHeight="1"/>
    <row r="765" s="9" customFormat="1" ht="15" customHeight="1"/>
    <row r="766" s="9" customFormat="1" ht="15" customHeight="1"/>
    <row r="767" s="9" customFormat="1" ht="15" customHeight="1"/>
    <row r="768" s="9" customFormat="1" ht="15" customHeight="1"/>
    <row r="769" s="9" customFormat="1" ht="15" customHeight="1"/>
    <row r="770" s="9" customFormat="1" ht="15" customHeight="1"/>
    <row r="771" s="9" customFormat="1" ht="15" customHeight="1"/>
    <row r="772" s="9" customFormat="1" ht="15" customHeight="1"/>
    <row r="773" s="9" customFormat="1" ht="15" customHeight="1"/>
    <row r="774" s="9" customFormat="1" ht="15" customHeight="1"/>
    <row r="775" s="9" customFormat="1" ht="15" customHeight="1"/>
    <row r="776" s="9" customFormat="1" ht="15" customHeight="1"/>
    <row r="777" s="9" customFormat="1" ht="15" customHeight="1"/>
    <row r="778" s="9" customFormat="1" ht="15" customHeight="1"/>
    <row r="779" s="9" customFormat="1" ht="15" customHeight="1"/>
    <row r="780" s="9" customFormat="1" ht="15" customHeight="1"/>
    <row r="781" s="9" customFormat="1" ht="15" customHeight="1"/>
    <row r="782" s="9" customFormat="1" ht="15" customHeight="1"/>
    <row r="783" s="9" customFormat="1" ht="15" customHeight="1"/>
    <row r="784" s="9" customFormat="1" ht="15" customHeight="1"/>
    <row r="785" s="9" customFormat="1" ht="15" customHeight="1"/>
    <row r="786" s="9" customFormat="1" ht="15" customHeight="1"/>
    <row r="787" s="9" customFormat="1" ht="15" customHeight="1"/>
    <row r="788" s="9" customFormat="1" ht="15" customHeight="1"/>
    <row r="789" s="9" customFormat="1" ht="15" customHeight="1"/>
    <row r="790" s="9" customFormat="1" ht="15" customHeight="1"/>
    <row r="791" s="9" customFormat="1" ht="15" customHeight="1"/>
    <row r="792" s="9" customFormat="1" ht="15" customHeight="1"/>
    <row r="793" s="9" customFormat="1" ht="15" customHeight="1"/>
    <row r="794" s="9" customFormat="1" ht="15" customHeight="1"/>
    <row r="795" s="9" customFormat="1" ht="15" customHeight="1"/>
    <row r="796" s="9" customFormat="1" ht="15" customHeight="1"/>
    <row r="797" s="9" customFormat="1" ht="15" customHeight="1"/>
    <row r="798" s="9" customFormat="1" ht="15" customHeight="1"/>
    <row r="799" s="9" customFormat="1" ht="15" customHeight="1"/>
    <row r="800" s="9" customFormat="1" ht="15" customHeight="1"/>
    <row r="801" s="9" customFormat="1" ht="15" customHeight="1"/>
    <row r="802" s="9" customFormat="1" ht="15" customHeight="1"/>
    <row r="803" s="9" customFormat="1" ht="15" customHeight="1"/>
    <row r="804" s="9" customFormat="1" ht="15" customHeight="1"/>
    <row r="805" s="9" customFormat="1" ht="15" customHeight="1"/>
    <row r="806" s="9" customFormat="1" ht="15" customHeight="1"/>
    <row r="807" s="9" customFormat="1" ht="15" customHeight="1"/>
    <row r="808" s="9" customFormat="1" ht="15" customHeight="1"/>
    <row r="809" s="9" customFormat="1" ht="15" customHeight="1"/>
    <row r="810" s="9" customFormat="1" ht="15" customHeight="1"/>
    <row r="811" s="9" customFormat="1" ht="15" customHeight="1"/>
    <row r="812" s="9" customFormat="1" ht="15" customHeight="1"/>
    <row r="813" s="9" customFormat="1" ht="15" customHeight="1"/>
    <row r="814" s="9" customFormat="1" ht="15" customHeight="1"/>
    <row r="815" s="9" customFormat="1" ht="15" customHeight="1"/>
    <row r="816" s="9" customFormat="1" ht="15" customHeight="1"/>
    <row r="817" s="9" customFormat="1" ht="15" customHeight="1"/>
    <row r="818" s="9" customFormat="1" ht="15" customHeight="1"/>
    <row r="819" s="9" customFormat="1" ht="15" customHeight="1"/>
    <row r="820" s="9" customFormat="1" ht="15" customHeight="1"/>
    <row r="821" s="9" customFormat="1" ht="15" customHeight="1"/>
    <row r="822" s="9" customFormat="1" ht="15" customHeight="1"/>
    <row r="823" s="9" customFormat="1" ht="15" customHeight="1"/>
    <row r="824" s="9" customFormat="1" ht="15" customHeight="1"/>
    <row r="825" s="9" customFormat="1" ht="15" customHeight="1"/>
    <row r="826" s="9" customFormat="1" ht="15" customHeight="1"/>
    <row r="827" s="9" customFormat="1" ht="15" customHeight="1"/>
    <row r="828" s="9" customFormat="1" ht="15" customHeight="1"/>
    <row r="829" s="9" customFormat="1" ht="15" customHeight="1"/>
    <row r="830" s="9" customFormat="1" ht="15" customHeight="1"/>
    <row r="831" s="9" customFormat="1" ht="15" customHeight="1"/>
    <row r="832" s="9" customFormat="1" ht="15" customHeight="1"/>
    <row r="833" s="9" customFormat="1" ht="15" customHeight="1"/>
    <row r="834" s="9" customFormat="1" ht="15" customHeight="1"/>
    <row r="835" s="9" customFormat="1" ht="15" customHeight="1"/>
    <row r="836" s="9" customFormat="1" ht="15" customHeight="1"/>
    <row r="837" s="9" customFormat="1" ht="15" customHeight="1"/>
    <row r="838" s="9" customFormat="1" ht="15" customHeight="1"/>
    <row r="839" s="9" customFormat="1" ht="15" customHeight="1"/>
    <row r="840" s="9" customFormat="1" ht="15" customHeight="1"/>
    <row r="841" s="9" customFormat="1" ht="15" customHeight="1"/>
    <row r="842" s="9" customFormat="1" ht="15" customHeight="1"/>
    <row r="843" s="9" customFormat="1" ht="15" customHeight="1"/>
    <row r="844" s="9" customFormat="1" ht="15" customHeight="1"/>
    <row r="845" s="9" customFormat="1" ht="15" customHeight="1"/>
    <row r="846" s="9" customFormat="1" ht="15" customHeight="1"/>
    <row r="847" s="9" customFormat="1" ht="15" customHeight="1"/>
    <row r="848" s="9" customFormat="1" ht="15" customHeight="1"/>
    <row r="849" s="9" customFormat="1" ht="15" customHeight="1"/>
    <row r="850" s="9" customFormat="1" ht="15" customHeight="1"/>
    <row r="851" s="9" customFormat="1" ht="15" customHeight="1"/>
    <row r="852" s="9" customFormat="1" ht="15" customHeight="1"/>
    <row r="853" s="9" customFormat="1" ht="15" customHeight="1"/>
    <row r="854" s="9" customFormat="1" ht="15" customHeight="1"/>
    <row r="855" s="9" customFormat="1" ht="15" customHeight="1"/>
    <row r="856" s="9" customFormat="1" ht="15" customHeight="1"/>
    <row r="857" s="9" customFormat="1" ht="15" customHeight="1"/>
    <row r="858" s="9" customFormat="1" ht="15" customHeight="1"/>
    <row r="859" s="9" customFormat="1" ht="15" customHeight="1"/>
    <row r="860" s="9" customFormat="1" ht="15" customHeight="1"/>
    <row r="861" s="9" customFormat="1" ht="15" customHeight="1"/>
    <row r="862" s="9" customFormat="1" ht="15" customHeight="1"/>
    <row r="863" s="9" customFormat="1" ht="15" customHeight="1"/>
    <row r="864" s="9" customFormat="1" ht="15" customHeight="1"/>
    <row r="865" s="9" customFormat="1" ht="15" customHeight="1"/>
    <row r="866" s="9" customFormat="1" ht="15" customHeight="1"/>
    <row r="867" s="9" customFormat="1" ht="15" customHeight="1"/>
    <row r="868" s="9" customFormat="1" ht="15" customHeight="1"/>
    <row r="869" s="9" customFormat="1" ht="15" customHeight="1"/>
    <row r="870" s="9" customFormat="1" ht="15" customHeight="1"/>
    <row r="871" s="9" customFormat="1" ht="15" customHeight="1"/>
    <row r="872" s="9" customFormat="1" ht="15" customHeight="1"/>
    <row r="873" s="9" customFormat="1" ht="15" customHeight="1"/>
    <row r="874" s="9" customFormat="1" ht="15" customHeight="1"/>
    <row r="875" s="9" customFormat="1" ht="15" customHeight="1"/>
    <row r="876" s="9" customFormat="1" ht="15" customHeight="1"/>
    <row r="877" s="9" customFormat="1" ht="15" customHeight="1"/>
    <row r="878" s="9" customFormat="1" ht="15" customHeight="1"/>
    <row r="879" s="9" customFormat="1" ht="15" customHeight="1"/>
    <row r="880" s="9" customFormat="1" ht="15" customHeight="1"/>
    <row r="881" s="9" customFormat="1" ht="15" customHeight="1"/>
    <row r="882" s="9" customFormat="1" ht="15" customHeight="1"/>
    <row r="883" s="9" customFormat="1" ht="15" customHeight="1"/>
    <row r="884" s="9" customFormat="1" ht="15" customHeight="1"/>
    <row r="885" s="9" customFormat="1" ht="15" customHeight="1"/>
    <row r="886" s="9" customFormat="1" ht="15" customHeight="1"/>
    <row r="887" s="9" customFormat="1" ht="15" customHeight="1"/>
    <row r="888" s="9" customFormat="1" ht="15" customHeight="1"/>
    <row r="889" s="9" customFormat="1" ht="15" customHeight="1"/>
    <row r="890" s="9" customFormat="1" ht="15" customHeight="1"/>
    <row r="891" s="9" customFormat="1" ht="15" customHeight="1"/>
    <row r="892" s="9" customFormat="1" ht="15" customHeight="1"/>
    <row r="893" s="9" customFormat="1" ht="15" customHeight="1"/>
    <row r="894" s="9" customFormat="1" ht="15" customHeight="1"/>
    <row r="895" s="9" customFormat="1" ht="15" customHeight="1"/>
    <row r="896" s="9" customFormat="1" ht="15" customHeight="1"/>
    <row r="897" s="9" customFormat="1" ht="15" customHeight="1"/>
    <row r="898" s="9" customFormat="1" ht="15" customHeight="1"/>
    <row r="899" s="9" customFormat="1" ht="15" customHeight="1"/>
    <row r="900" s="9" customFormat="1" ht="15" customHeight="1"/>
    <row r="901" s="9" customFormat="1" ht="15" customHeight="1"/>
    <row r="902" s="9" customFormat="1" ht="15" customHeight="1"/>
    <row r="903" s="9" customFormat="1" ht="15" customHeight="1"/>
    <row r="904" s="9" customFormat="1" ht="15" customHeight="1"/>
    <row r="905" s="9" customFormat="1" ht="15" customHeight="1"/>
    <row r="906" s="9" customFormat="1" ht="15" customHeight="1"/>
    <row r="907" s="9" customFormat="1" ht="15" customHeight="1"/>
    <row r="908" s="9" customFormat="1" ht="15" customHeight="1"/>
    <row r="909" s="9" customFormat="1" ht="15" customHeight="1"/>
    <row r="910" s="9" customFormat="1" ht="15" customHeight="1"/>
    <row r="911" s="9" customFormat="1" ht="15" customHeight="1"/>
    <row r="912" s="9" customFormat="1" ht="15" customHeight="1"/>
    <row r="913" s="9" customFormat="1" ht="15" customHeight="1"/>
    <row r="914" s="9" customFormat="1" ht="15" customHeight="1"/>
    <row r="915" s="9" customFormat="1" ht="15" customHeight="1"/>
    <row r="916" s="9" customFormat="1" ht="15" customHeight="1"/>
    <row r="917" s="9" customFormat="1" ht="15" customHeight="1"/>
  </sheetData>
  <hyperlinks>
    <hyperlink ref="A1" location="'Start-Experte'!A1" display="zurück" xr:uid="{00000000-0004-0000-24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29" operator="greaterThan" id="{1F9965F7-4674-490E-B789-C76FF937519B}">
            <xm:f>ControlPanel!$D$59-1</xm:f>
            <x14:dxf>
              <font>
                <color rgb="FF9C6500"/>
              </font>
              <fill>
                <patternFill>
                  <bgColor rgb="FFFFEB9C"/>
                </patternFill>
              </fill>
            </x14:dxf>
          </x14:cfRule>
          <x14:cfRule type="cellIs" priority="730" operator="lessThan" id="{6F733E6D-4A8C-4E21-9410-CBA3F6132203}">
            <xm:f>ControlPanel!$D$59</xm:f>
            <x14:dxf>
              <font>
                <color rgb="FF006100"/>
              </font>
              <fill>
                <patternFill>
                  <bgColor rgb="FFC6EFCE"/>
                </patternFill>
              </fill>
            </x14:dxf>
          </x14:cfRule>
          <x14:cfRule type="cellIs" priority="731" operator="lessThan" id="{00000000-0000-0000-0000-000000000000}">
            <xm:f>ControlPanel!$D$59+1</xm:f>
            <x14:dxf>
              <font>
                <color rgb="FF006100"/>
              </font>
              <fill>
                <patternFill>
                  <fgColor indexed="64"/>
                  <bgColor rgb="FFC6EFCE"/>
                </patternFill>
              </fill>
            </x14:dxf>
          </x14:cfRule>
          <xm:sqref>G4:AF4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Tabelle60">
    <tabColor theme="9" tint="-0.499984740745262"/>
  </sheetPr>
  <dimension ref="A1:AF927"/>
  <sheetViews>
    <sheetView zoomScaleNormal="100" workbookViewId="0">
      <selection activeCell="E19" sqref="E19:E25"/>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4" width="8.6640625" style="9" customWidth="1"/>
    <col min="15" max="32" width="8.6640625" style="9" customWidth="1" outlineLevel="1"/>
    <col min="33" max="16384" width="11.5546875" style="9"/>
  </cols>
  <sheetData>
    <row r="1" spans="1:32">
      <c r="A1" s="41" t="s">
        <v>74</v>
      </c>
      <c r="B1" s="61" t="s">
        <v>931</v>
      </c>
      <c r="C1" s="61"/>
      <c r="D1" s="19"/>
      <c r="E1" s="19"/>
      <c r="F1" s="19"/>
    </row>
    <row r="2" spans="1:32" ht="54.75" customHeight="1">
      <c r="B2" s="1132" t="s">
        <v>273</v>
      </c>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26</v>
      </c>
      <c r="H5" s="323" t="s">
        <v>26</v>
      </c>
      <c r="I5" s="323" t="s">
        <v>26</v>
      </c>
      <c r="J5" s="323" t="s">
        <v>26</v>
      </c>
      <c r="K5" s="323" t="s">
        <v>26</v>
      </c>
      <c r="L5" s="323" t="s">
        <v>26</v>
      </c>
      <c r="M5" s="323" t="s">
        <v>26</v>
      </c>
      <c r="N5" s="323" t="s">
        <v>26</v>
      </c>
      <c r="O5" s="323" t="s">
        <v>26</v>
      </c>
      <c r="P5" s="323" t="s">
        <v>26</v>
      </c>
      <c r="Q5" s="323" t="s">
        <v>26</v>
      </c>
      <c r="R5" s="323" t="s">
        <v>26</v>
      </c>
      <c r="S5" s="323" t="s">
        <v>26</v>
      </c>
      <c r="T5" s="323" t="s">
        <v>26</v>
      </c>
      <c r="U5" s="323" t="s">
        <v>26</v>
      </c>
      <c r="V5" s="323" t="s">
        <v>26</v>
      </c>
      <c r="W5" s="323" t="s">
        <v>26</v>
      </c>
      <c r="X5" s="323" t="s">
        <v>26</v>
      </c>
      <c r="Y5" s="323" t="s">
        <v>26</v>
      </c>
      <c r="Z5" s="323" t="s">
        <v>26</v>
      </c>
      <c r="AA5" s="323" t="s">
        <v>26</v>
      </c>
      <c r="AB5" s="323" t="s">
        <v>26</v>
      </c>
      <c r="AC5" s="323" t="s">
        <v>26</v>
      </c>
      <c r="AD5" s="323" t="s">
        <v>26</v>
      </c>
      <c r="AE5" s="323" t="s">
        <v>26</v>
      </c>
      <c r="AF5" s="323" t="s">
        <v>26</v>
      </c>
    </row>
    <row r="6" spans="1:32" ht="15" customHeight="1" thickBot="1">
      <c r="B6" s="166" t="s">
        <v>529</v>
      </c>
      <c r="C6" s="175" t="s">
        <v>846</v>
      </c>
      <c r="D6" s="15" t="s">
        <v>300</v>
      </c>
      <c r="E6" s="15" t="s">
        <v>930</v>
      </c>
      <c r="F6" s="529"/>
      <c r="G6" s="14">
        <v>5.444</v>
      </c>
      <c r="H6" s="14">
        <v>2.0696829999999999</v>
      </c>
      <c r="I6" s="14">
        <v>2.6419329999999999</v>
      </c>
      <c r="J6" s="14">
        <v>1.4335309999999999</v>
      </c>
      <c r="K6" s="14">
        <v>2.6266479999999999</v>
      </c>
      <c r="L6" s="14">
        <v>2.5155029999999998</v>
      </c>
      <c r="M6" s="14">
        <v>2.4509639999999999</v>
      </c>
      <c r="N6" s="14">
        <v>3.2915449999999997</v>
      </c>
      <c r="O6" s="14">
        <v>2.4494499999999997</v>
      </c>
      <c r="P6" s="38">
        <v>2.4839579999999999</v>
      </c>
      <c r="Q6" s="38">
        <v>2.2986149999999999</v>
      </c>
      <c r="R6" s="14">
        <v>2.250448</v>
      </c>
      <c r="S6" s="14">
        <v>0</v>
      </c>
      <c r="T6" s="14">
        <v>0</v>
      </c>
      <c r="U6" s="14">
        <v>0</v>
      </c>
      <c r="V6" s="14">
        <v>0</v>
      </c>
      <c r="W6" s="14">
        <v>0</v>
      </c>
      <c r="X6" s="14">
        <v>0</v>
      </c>
      <c r="Y6" s="14">
        <v>0</v>
      </c>
      <c r="Z6" s="14">
        <v>0</v>
      </c>
      <c r="AA6" s="14">
        <v>0</v>
      </c>
      <c r="AB6" s="14">
        <v>0</v>
      </c>
      <c r="AC6" s="14">
        <v>0</v>
      </c>
      <c r="AD6" s="14">
        <v>0</v>
      </c>
      <c r="AE6" s="14">
        <v>0</v>
      </c>
      <c r="AF6" s="14">
        <v>0</v>
      </c>
    </row>
    <row r="7" spans="1:32" ht="15" customHeight="1" thickBot="1">
      <c r="B7" s="165" t="s">
        <v>349</v>
      </c>
      <c r="C7" s="175" t="s">
        <v>846</v>
      </c>
      <c r="D7" s="15" t="s">
        <v>300</v>
      </c>
      <c r="E7" s="15" t="s">
        <v>930</v>
      </c>
      <c r="F7" s="529"/>
      <c r="G7" s="14">
        <v>1.835</v>
      </c>
      <c r="H7" s="14">
        <v>0.19930099999999998</v>
      </c>
      <c r="I7" s="14">
        <v>0.434035</v>
      </c>
      <c r="J7" s="14">
        <v>0.26808399999999999</v>
      </c>
      <c r="K7" s="14">
        <v>0.274088</v>
      </c>
      <c r="L7" s="14">
        <v>0.72458999999999996</v>
      </c>
      <c r="M7" s="14">
        <v>0.67505300000000001</v>
      </c>
      <c r="N7" s="14">
        <v>0.48945699999999998</v>
      </c>
      <c r="O7" s="14">
        <v>0.40027299999999999</v>
      </c>
      <c r="P7" s="38">
        <v>0.30525099999999999</v>
      </c>
      <c r="Q7" s="38">
        <v>0.23846799999999999</v>
      </c>
      <c r="R7" s="14">
        <v>0.12540099999999998</v>
      </c>
      <c r="S7" s="14">
        <v>0</v>
      </c>
      <c r="T7" s="14">
        <v>0</v>
      </c>
      <c r="U7" s="14">
        <v>0</v>
      </c>
      <c r="V7" s="14">
        <v>0</v>
      </c>
      <c r="W7" s="14">
        <v>0</v>
      </c>
      <c r="X7" s="14">
        <v>0</v>
      </c>
      <c r="Y7" s="14">
        <v>0</v>
      </c>
      <c r="Z7" s="14">
        <v>0</v>
      </c>
      <c r="AA7" s="14">
        <v>0</v>
      </c>
      <c r="AB7" s="14">
        <v>0</v>
      </c>
      <c r="AC7" s="14">
        <v>0</v>
      </c>
      <c r="AD7" s="14">
        <v>0</v>
      </c>
      <c r="AE7" s="14">
        <v>0</v>
      </c>
      <c r="AF7" s="14">
        <v>0</v>
      </c>
    </row>
    <row r="8" spans="1:32" ht="15" customHeight="1" thickBot="1">
      <c r="B8" s="165" t="s">
        <v>11</v>
      </c>
      <c r="C8" s="175" t="s">
        <v>846</v>
      </c>
      <c r="D8" s="15" t="s">
        <v>300</v>
      </c>
      <c r="E8" s="15" t="s">
        <v>930</v>
      </c>
      <c r="F8" s="529"/>
      <c r="G8" s="38">
        <v>26.262</v>
      </c>
      <c r="H8" s="38">
        <v>24.314577</v>
      </c>
      <c r="I8" s="38">
        <v>23.696601999999999</v>
      </c>
      <c r="J8" s="38">
        <v>11.950588999999999</v>
      </c>
      <c r="K8" s="38">
        <v>12.996518</v>
      </c>
      <c r="L8" s="38">
        <v>9.971876</v>
      </c>
      <c r="M8" s="38">
        <v>11.098848</v>
      </c>
      <c r="N8" s="38">
        <v>9.7514399999999988</v>
      </c>
      <c r="O8" s="38">
        <v>10.333107999999999</v>
      </c>
      <c r="P8" s="38">
        <v>9.4306009999999993</v>
      </c>
      <c r="Q8" s="38">
        <v>7.5909040000000001</v>
      </c>
      <c r="R8" s="38">
        <v>6.6323159999999994</v>
      </c>
      <c r="S8" s="38">
        <v>0</v>
      </c>
      <c r="T8" s="38">
        <v>0</v>
      </c>
      <c r="U8" s="38">
        <v>0</v>
      </c>
      <c r="V8" s="38">
        <v>0</v>
      </c>
      <c r="W8" s="38">
        <v>0</v>
      </c>
      <c r="X8" s="38">
        <v>0</v>
      </c>
      <c r="Y8" s="38">
        <v>0</v>
      </c>
      <c r="Z8" s="38">
        <v>0</v>
      </c>
      <c r="AA8" s="38">
        <v>0</v>
      </c>
      <c r="AB8" s="38">
        <v>0</v>
      </c>
      <c r="AC8" s="38">
        <v>0</v>
      </c>
      <c r="AD8" s="38">
        <v>0</v>
      </c>
      <c r="AE8" s="38">
        <v>0</v>
      </c>
      <c r="AF8" s="38">
        <v>0</v>
      </c>
    </row>
    <row r="9" spans="1:32" ht="15" customHeight="1" thickBot="1">
      <c r="B9" s="165" t="s">
        <v>10</v>
      </c>
      <c r="C9" s="175" t="s">
        <v>846</v>
      </c>
      <c r="D9" s="15" t="s">
        <v>300</v>
      </c>
      <c r="E9" s="15" t="s">
        <v>930</v>
      </c>
      <c r="F9" s="529"/>
      <c r="G9" s="14">
        <v>3.5999999999999997E-2</v>
      </c>
      <c r="H9" s="14">
        <v>6.1612E-2</v>
      </c>
      <c r="I9" s="14">
        <v>9.0604999999999991E-2</v>
      </c>
      <c r="J9" s="14">
        <v>7.6874999999999999E-2</v>
      </c>
      <c r="K9" s="14">
        <v>0.113607</v>
      </c>
      <c r="L9" s="14">
        <v>7.9647999999999997E-2</v>
      </c>
      <c r="M9" s="14">
        <v>8.2011000000000001E-2</v>
      </c>
      <c r="N9" s="14">
        <v>8.3442999999999989E-2</v>
      </c>
      <c r="O9" s="14">
        <v>3.2674000000000002E-2</v>
      </c>
      <c r="P9" s="38">
        <v>5.3082999999999998E-2</v>
      </c>
      <c r="Q9" s="38">
        <v>7.8399999999999997E-3</v>
      </c>
      <c r="R9" s="14">
        <v>1.1445E-2</v>
      </c>
      <c r="S9" s="14">
        <v>0</v>
      </c>
      <c r="T9" s="14">
        <v>0</v>
      </c>
      <c r="U9" s="14">
        <v>0</v>
      </c>
      <c r="V9" s="14">
        <v>0</v>
      </c>
      <c r="W9" s="14">
        <v>0</v>
      </c>
      <c r="X9" s="14">
        <v>0</v>
      </c>
      <c r="Y9" s="14">
        <v>0</v>
      </c>
      <c r="Z9" s="14">
        <v>0</v>
      </c>
      <c r="AA9" s="14">
        <v>0</v>
      </c>
      <c r="AB9" s="14">
        <v>0</v>
      </c>
      <c r="AC9" s="14">
        <v>0</v>
      </c>
      <c r="AD9" s="14">
        <v>0</v>
      </c>
      <c r="AE9" s="14">
        <v>0</v>
      </c>
      <c r="AF9" s="14">
        <v>0</v>
      </c>
    </row>
    <row r="10" spans="1:32" ht="15" customHeight="1" thickBot="1">
      <c r="B10" s="165" t="s">
        <v>339</v>
      </c>
      <c r="C10" s="175" t="s">
        <v>846</v>
      </c>
      <c r="D10" s="15" t="s">
        <v>300</v>
      </c>
      <c r="E10" s="15" t="s">
        <v>930</v>
      </c>
      <c r="F10" s="529"/>
      <c r="G10" s="14">
        <v>47.704000000000001</v>
      </c>
      <c r="H10" s="14">
        <v>50.803851999999999</v>
      </c>
      <c r="I10" s="14">
        <v>41.210659</v>
      </c>
      <c r="J10" s="14">
        <v>8.037706</v>
      </c>
      <c r="K10" s="14">
        <v>8.9237459999999995</v>
      </c>
      <c r="L10" s="14">
        <v>9.3738069999999993</v>
      </c>
      <c r="M10" s="14">
        <v>8.1825499999999991</v>
      </c>
      <c r="N10" s="14">
        <v>6.2020169999999997</v>
      </c>
      <c r="O10" s="14">
        <v>4.9509549999999996</v>
      </c>
      <c r="P10" s="38">
        <v>3.3705379999999998</v>
      </c>
      <c r="Q10" s="38">
        <v>3.5940459999999996</v>
      </c>
      <c r="R10" s="14">
        <v>2.3290289999999998</v>
      </c>
      <c r="S10" s="14">
        <v>0</v>
      </c>
      <c r="T10" s="14">
        <v>0</v>
      </c>
      <c r="U10" s="14">
        <v>0</v>
      </c>
      <c r="V10" s="14">
        <v>0</v>
      </c>
      <c r="W10" s="14">
        <v>0</v>
      </c>
      <c r="X10" s="14">
        <v>0</v>
      </c>
      <c r="Y10" s="14">
        <v>0</v>
      </c>
      <c r="Z10" s="14">
        <v>0</v>
      </c>
      <c r="AA10" s="14">
        <v>0</v>
      </c>
      <c r="AB10" s="14">
        <v>0</v>
      </c>
      <c r="AC10" s="14">
        <v>0</v>
      </c>
      <c r="AD10" s="14">
        <v>0</v>
      </c>
      <c r="AE10" s="14">
        <v>0</v>
      </c>
      <c r="AF10" s="14">
        <v>0</v>
      </c>
    </row>
    <row r="11" spans="1:32" ht="15" customHeight="1" thickBot="1">
      <c r="B11" s="165" t="s">
        <v>340</v>
      </c>
      <c r="C11" s="175" t="s">
        <v>846</v>
      </c>
      <c r="D11" s="15" t="s">
        <v>300</v>
      </c>
      <c r="E11" s="15" t="s">
        <v>930</v>
      </c>
      <c r="F11" s="529"/>
      <c r="G11" s="14">
        <v>0.65400000000000003</v>
      </c>
      <c r="H11" s="14">
        <v>1.1467909999999999</v>
      </c>
      <c r="I11" s="14">
        <v>0.91880899999999999</v>
      </c>
      <c r="J11" s="14">
        <v>0</v>
      </c>
      <c r="K11" s="14">
        <v>0</v>
      </c>
      <c r="L11" s="14">
        <v>0</v>
      </c>
      <c r="M11" s="14">
        <v>0</v>
      </c>
      <c r="N11" s="14">
        <v>0</v>
      </c>
      <c r="O11" s="14">
        <v>0</v>
      </c>
      <c r="P11" s="38">
        <v>0</v>
      </c>
      <c r="Q11" s="38">
        <v>0</v>
      </c>
      <c r="R11" s="14">
        <v>0</v>
      </c>
      <c r="S11" s="14">
        <v>0</v>
      </c>
      <c r="T11" s="14">
        <v>0</v>
      </c>
      <c r="U11" s="14">
        <v>0</v>
      </c>
      <c r="V11" s="14">
        <v>0</v>
      </c>
      <c r="W11" s="14">
        <v>0</v>
      </c>
      <c r="X11" s="14">
        <v>0</v>
      </c>
      <c r="Y11" s="14">
        <v>0</v>
      </c>
      <c r="Z11" s="14">
        <v>0</v>
      </c>
      <c r="AA11" s="14">
        <v>0</v>
      </c>
      <c r="AB11" s="14">
        <v>0</v>
      </c>
      <c r="AC11" s="14">
        <v>0</v>
      </c>
      <c r="AD11" s="14">
        <v>0</v>
      </c>
      <c r="AE11" s="14">
        <v>0</v>
      </c>
      <c r="AF11" s="14">
        <v>0</v>
      </c>
    </row>
    <row r="12" spans="1:32" ht="15" customHeight="1" thickBot="1">
      <c r="B12" s="167" t="s">
        <v>530</v>
      </c>
      <c r="C12" s="175" t="s">
        <v>846</v>
      </c>
      <c r="D12" s="15" t="s">
        <v>300</v>
      </c>
      <c r="E12" s="15" t="s">
        <v>930</v>
      </c>
      <c r="F12" s="529"/>
      <c r="G12" s="14">
        <v>8.2959999999999994</v>
      </c>
      <c r="H12" s="14">
        <v>19.399286999999998</v>
      </c>
      <c r="I12" s="14">
        <v>22.864761999999999</v>
      </c>
      <c r="J12" s="14">
        <v>29.414850999999999</v>
      </c>
      <c r="K12" s="14">
        <v>28.987663999999999</v>
      </c>
      <c r="L12" s="14">
        <v>27.794584999999998</v>
      </c>
      <c r="M12" s="14">
        <v>27.602309999999999</v>
      </c>
      <c r="N12" s="14">
        <v>26.451788999999998</v>
      </c>
      <c r="O12" s="14">
        <v>27.684709999999999</v>
      </c>
      <c r="P12" s="38">
        <v>26.884110999999997</v>
      </c>
      <c r="Q12" s="38">
        <v>27.468408</v>
      </c>
      <c r="R12" s="14">
        <v>28.536632999999998</v>
      </c>
      <c r="S12" s="14">
        <v>0</v>
      </c>
      <c r="T12" s="14">
        <v>0</v>
      </c>
      <c r="U12" s="14">
        <v>0</v>
      </c>
      <c r="V12" s="14">
        <v>0</v>
      </c>
      <c r="W12" s="14">
        <v>0</v>
      </c>
      <c r="X12" s="14">
        <v>0</v>
      </c>
      <c r="Y12" s="14">
        <v>0</v>
      </c>
      <c r="Z12" s="14">
        <v>0</v>
      </c>
      <c r="AA12" s="14">
        <v>0</v>
      </c>
      <c r="AB12" s="14">
        <v>0</v>
      </c>
      <c r="AC12" s="14">
        <v>0</v>
      </c>
      <c r="AD12" s="14">
        <v>0</v>
      </c>
      <c r="AE12" s="14">
        <v>0</v>
      </c>
      <c r="AF12" s="14">
        <v>0</v>
      </c>
    </row>
    <row r="13" spans="1:32" ht="15" customHeight="1">
      <c r="D13" s="9"/>
      <c r="E13" s="9"/>
      <c r="F13" s="9"/>
      <c r="O13" s="549"/>
    </row>
    <row r="14" spans="1:32" ht="15" customHeight="1">
      <c r="D14" s="9"/>
      <c r="E14" s="9"/>
      <c r="F14" s="9"/>
    </row>
    <row r="15" spans="1:32" ht="15" customHeight="1">
      <c r="B15" s="1131" t="s">
        <v>274</v>
      </c>
      <c r="D15" s="9"/>
      <c r="E15" s="9"/>
      <c r="F15" s="9"/>
    </row>
    <row r="16" spans="1:32" ht="15" customHeight="1">
      <c r="B16" s="62"/>
      <c r="C16" s="62" t="s">
        <v>787</v>
      </c>
      <c r="D16" s="18" t="s">
        <v>788</v>
      </c>
      <c r="E16" s="314" t="s">
        <v>827</v>
      </c>
      <c r="F16" s="18" t="s">
        <v>574</v>
      </c>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row>
    <row r="17" spans="2:32" ht="15" customHeight="1">
      <c r="B17" s="63"/>
      <c r="C17" s="63"/>
      <c r="E17" s="16"/>
      <c r="G17" s="60">
        <v>2010</v>
      </c>
      <c r="H17" s="60">
        <v>2011</v>
      </c>
      <c r="I17" s="60">
        <v>2012</v>
      </c>
      <c r="J17" s="60">
        <v>2013</v>
      </c>
      <c r="K17" s="60">
        <v>2014</v>
      </c>
      <c r="L17" s="60">
        <v>2015</v>
      </c>
      <c r="M17" s="60">
        <v>2016</v>
      </c>
      <c r="N17" s="60">
        <v>2017</v>
      </c>
      <c r="O17" s="60">
        <v>2018</v>
      </c>
      <c r="P17" s="60">
        <v>2019</v>
      </c>
      <c r="Q17" s="60">
        <v>2020</v>
      </c>
      <c r="R17" s="60">
        <v>2021</v>
      </c>
      <c r="S17" s="60">
        <v>2022</v>
      </c>
      <c r="T17" s="60">
        <v>2023</v>
      </c>
      <c r="U17" s="60">
        <v>2024</v>
      </c>
      <c r="V17" s="60">
        <v>2025</v>
      </c>
      <c r="W17" s="60">
        <v>2026</v>
      </c>
      <c r="X17" s="60">
        <v>2027</v>
      </c>
      <c r="Y17" s="60">
        <v>2028</v>
      </c>
      <c r="Z17" s="60">
        <v>2029</v>
      </c>
      <c r="AA17" s="60">
        <v>2030</v>
      </c>
      <c r="AB17" s="60">
        <v>2031</v>
      </c>
      <c r="AC17" s="60">
        <v>2032</v>
      </c>
      <c r="AD17" s="60">
        <v>2033</v>
      </c>
      <c r="AE17" s="60">
        <v>2034</v>
      </c>
      <c r="AF17" s="60">
        <v>2035</v>
      </c>
    </row>
    <row r="18" spans="2:32" ht="15" customHeight="1" thickBot="1">
      <c r="B18" s="67"/>
      <c r="C18" s="63"/>
      <c r="E18" s="16"/>
      <c r="G18" s="323" t="s">
        <v>26</v>
      </c>
      <c r="H18" s="323" t="s">
        <v>26</v>
      </c>
      <c r="I18" s="323" t="s">
        <v>26</v>
      </c>
      <c r="J18" s="323" t="s">
        <v>26</v>
      </c>
      <c r="K18" s="323" t="s">
        <v>26</v>
      </c>
      <c r="L18" s="323" t="s">
        <v>26</v>
      </c>
      <c r="M18" s="323" t="s">
        <v>26</v>
      </c>
      <c r="N18" s="323" t="s">
        <v>26</v>
      </c>
      <c r="O18" s="323" t="s">
        <v>26</v>
      </c>
      <c r="P18" s="323" t="s">
        <v>26</v>
      </c>
      <c r="Q18" s="323" t="s">
        <v>26</v>
      </c>
      <c r="R18" s="323" t="s">
        <v>26</v>
      </c>
      <c r="S18" s="323" t="s">
        <v>26</v>
      </c>
      <c r="T18" s="323" t="s">
        <v>26</v>
      </c>
      <c r="U18" s="323" t="s">
        <v>26</v>
      </c>
      <c r="V18" s="323" t="s">
        <v>26</v>
      </c>
      <c r="W18" s="323" t="s">
        <v>26</v>
      </c>
      <c r="X18" s="323" t="s">
        <v>26</v>
      </c>
      <c r="Y18" s="323" t="s">
        <v>26</v>
      </c>
      <c r="Z18" s="323" t="s">
        <v>26</v>
      </c>
      <c r="AA18" s="323" t="s">
        <v>26</v>
      </c>
      <c r="AB18" s="323" t="s">
        <v>26</v>
      </c>
      <c r="AC18" s="323" t="s">
        <v>26</v>
      </c>
      <c r="AD18" s="323" t="s">
        <v>26</v>
      </c>
      <c r="AE18" s="323" t="s">
        <v>26</v>
      </c>
      <c r="AF18" s="323" t="s">
        <v>26</v>
      </c>
    </row>
    <row r="19" spans="2:32" ht="15" customHeight="1" thickBot="1">
      <c r="B19" s="166" t="s">
        <v>529</v>
      </c>
      <c r="C19" s="175" t="s">
        <v>846</v>
      </c>
      <c r="D19" s="15" t="s">
        <v>300</v>
      </c>
      <c r="E19" s="15" t="s">
        <v>930</v>
      </c>
      <c r="F19" s="529"/>
      <c r="G19" s="14">
        <v>0</v>
      </c>
      <c r="H19" s="14">
        <v>0</v>
      </c>
      <c r="I19" s="14">
        <v>2.1817889999999998</v>
      </c>
      <c r="J19" s="14">
        <v>4.2967389999999996</v>
      </c>
      <c r="K19" s="14">
        <v>2.8318239999999997</v>
      </c>
      <c r="L19" s="14">
        <v>3.5763499999999997</v>
      </c>
      <c r="M19" s="14">
        <v>3.7087819999999998</v>
      </c>
      <c r="N19" s="14">
        <v>2.8920019999999997</v>
      </c>
      <c r="O19" s="14">
        <v>3.0121289999999998</v>
      </c>
      <c r="P19" s="38">
        <v>3.465357</v>
      </c>
      <c r="Q19" s="38">
        <v>3.2058839999999997</v>
      </c>
      <c r="R19" s="14">
        <v>3.3938739999999998</v>
      </c>
      <c r="S19" s="14">
        <v>0</v>
      </c>
      <c r="T19" s="14">
        <v>0</v>
      </c>
      <c r="U19" s="14">
        <v>0</v>
      </c>
      <c r="V19" s="14">
        <v>0</v>
      </c>
      <c r="W19" s="14">
        <v>0</v>
      </c>
      <c r="X19" s="14">
        <v>0</v>
      </c>
      <c r="Y19" s="14">
        <v>0</v>
      </c>
      <c r="Z19" s="14">
        <v>0</v>
      </c>
      <c r="AA19" s="14">
        <v>0</v>
      </c>
      <c r="AB19" s="14">
        <v>0</v>
      </c>
      <c r="AC19" s="14">
        <v>0</v>
      </c>
      <c r="AD19" s="14">
        <v>0</v>
      </c>
      <c r="AE19" s="14">
        <v>0</v>
      </c>
      <c r="AF19" s="14">
        <v>0</v>
      </c>
    </row>
    <row r="20" spans="2:32" ht="15" customHeight="1" thickBot="1">
      <c r="B20" s="165" t="s">
        <v>349</v>
      </c>
      <c r="C20" s="175" t="s">
        <v>846</v>
      </c>
      <c r="D20" s="15" t="s">
        <v>300</v>
      </c>
      <c r="E20" s="15" t="s">
        <v>930</v>
      </c>
      <c r="F20" s="529"/>
      <c r="G20" s="14">
        <v>0</v>
      </c>
      <c r="H20" s="14">
        <v>0</v>
      </c>
      <c r="I20" s="14">
        <v>0.29039300000000001</v>
      </c>
      <c r="J20" s="14">
        <v>1.1700359999999999</v>
      </c>
      <c r="K20" s="14">
        <v>0.52149199999999996</v>
      </c>
      <c r="L20" s="14">
        <v>0.95397999999999994</v>
      </c>
      <c r="M20" s="14">
        <v>0.9315199999999999</v>
      </c>
      <c r="N20" s="14">
        <v>0.88699699999999992</v>
      </c>
      <c r="O20" s="14">
        <v>0.90645399999999998</v>
      </c>
      <c r="P20" s="38">
        <v>0.92375699999999994</v>
      </c>
      <c r="Q20" s="38">
        <v>0.75774799999999998</v>
      </c>
      <c r="R20" s="14">
        <v>0.72676399999999997</v>
      </c>
      <c r="S20" s="14">
        <v>0</v>
      </c>
      <c r="T20" s="14">
        <v>0</v>
      </c>
      <c r="U20" s="14">
        <v>0</v>
      </c>
      <c r="V20" s="14">
        <v>0</v>
      </c>
      <c r="W20" s="14">
        <v>0</v>
      </c>
      <c r="X20" s="14">
        <v>0</v>
      </c>
      <c r="Y20" s="14">
        <v>0</v>
      </c>
      <c r="Z20" s="14">
        <v>0</v>
      </c>
      <c r="AA20" s="14">
        <v>0</v>
      </c>
      <c r="AB20" s="14">
        <v>0</v>
      </c>
      <c r="AC20" s="14">
        <v>0</v>
      </c>
      <c r="AD20" s="14">
        <v>0</v>
      </c>
      <c r="AE20" s="14">
        <v>0</v>
      </c>
      <c r="AF20" s="14">
        <v>0</v>
      </c>
    </row>
    <row r="21" spans="2:32" ht="15" customHeight="1" thickBot="1">
      <c r="B21" s="165" t="s">
        <v>11</v>
      </c>
      <c r="C21" s="175" t="s">
        <v>846</v>
      </c>
      <c r="D21" s="15" t="s">
        <v>300</v>
      </c>
      <c r="E21" s="15" t="s">
        <v>930</v>
      </c>
      <c r="F21" s="529"/>
      <c r="G21" s="38">
        <v>0</v>
      </c>
      <c r="H21" s="38">
        <v>0</v>
      </c>
      <c r="I21" s="38">
        <v>5.9434979999999999</v>
      </c>
      <c r="J21" s="38">
        <v>21.214547</v>
      </c>
      <c r="K21" s="38">
        <v>21.925464999999999</v>
      </c>
      <c r="L21" s="38">
        <v>28.385728</v>
      </c>
      <c r="M21" s="38">
        <v>29.123989999999999</v>
      </c>
      <c r="N21" s="38">
        <v>31.014032999999998</v>
      </c>
      <c r="O21" s="38">
        <v>31.204751999999999</v>
      </c>
      <c r="P21" s="38">
        <v>31.842124999999999</v>
      </c>
      <c r="Q21" s="38">
        <v>34.123956</v>
      </c>
      <c r="R21" s="38">
        <v>33.524949999999997</v>
      </c>
      <c r="S21" s="38">
        <v>0</v>
      </c>
      <c r="T21" s="38">
        <v>0</v>
      </c>
      <c r="U21" s="38">
        <v>0</v>
      </c>
      <c r="V21" s="38">
        <v>0</v>
      </c>
      <c r="W21" s="38">
        <v>0</v>
      </c>
      <c r="X21" s="38">
        <v>0</v>
      </c>
      <c r="Y21" s="38">
        <v>0</v>
      </c>
      <c r="Z21" s="38">
        <v>0</v>
      </c>
      <c r="AA21" s="38">
        <v>0</v>
      </c>
      <c r="AB21" s="38">
        <v>0</v>
      </c>
      <c r="AC21" s="38">
        <v>0</v>
      </c>
      <c r="AD21" s="38">
        <v>0</v>
      </c>
      <c r="AE21" s="38">
        <v>0</v>
      </c>
      <c r="AF21" s="38">
        <v>0</v>
      </c>
    </row>
    <row r="22" spans="2:32" ht="15" customHeight="1" thickBot="1">
      <c r="B22" s="165" t="s">
        <v>10</v>
      </c>
      <c r="C22" s="175" t="s">
        <v>846</v>
      </c>
      <c r="D22" s="15" t="s">
        <v>300</v>
      </c>
      <c r="E22" s="15" t="s">
        <v>930</v>
      </c>
      <c r="F22" s="529"/>
      <c r="G22" s="14">
        <v>0</v>
      </c>
      <c r="H22" s="14">
        <v>0</v>
      </c>
      <c r="I22" s="14">
        <v>1.6635E-2</v>
      </c>
      <c r="J22" s="14">
        <v>0</v>
      </c>
      <c r="K22" s="14">
        <v>1.6799999999999999E-2</v>
      </c>
      <c r="L22" s="14">
        <v>7.9057000000000002E-2</v>
      </c>
      <c r="M22" s="14">
        <v>9.8345000000000002E-2</v>
      </c>
      <c r="N22" s="14">
        <v>0.10608099999999999</v>
      </c>
      <c r="O22" s="14">
        <v>0.17315</v>
      </c>
      <c r="P22" s="38">
        <v>0.17602599999999999</v>
      </c>
      <c r="Q22" s="38">
        <v>0.16394300000000001</v>
      </c>
      <c r="R22" s="14">
        <v>0.20272599999999999</v>
      </c>
      <c r="S22" s="14">
        <v>0</v>
      </c>
      <c r="T22" s="14">
        <v>0</v>
      </c>
      <c r="U22" s="14">
        <v>0</v>
      </c>
      <c r="V22" s="14">
        <v>0</v>
      </c>
      <c r="W22" s="14">
        <v>0</v>
      </c>
      <c r="X22" s="14">
        <v>0</v>
      </c>
      <c r="Y22" s="14">
        <v>0</v>
      </c>
      <c r="Z22" s="14">
        <v>0</v>
      </c>
      <c r="AA22" s="14">
        <v>0</v>
      </c>
      <c r="AB22" s="14">
        <v>0</v>
      </c>
      <c r="AC22" s="14">
        <v>0</v>
      </c>
      <c r="AD22" s="14">
        <v>0</v>
      </c>
      <c r="AE22" s="14">
        <v>0</v>
      </c>
      <c r="AF22" s="14">
        <v>0</v>
      </c>
    </row>
    <row r="23" spans="2:32" ht="15" customHeight="1" thickBot="1">
      <c r="B23" s="165" t="s">
        <v>339</v>
      </c>
      <c r="C23" s="175" t="s">
        <v>846</v>
      </c>
      <c r="D23" s="15" t="s">
        <v>300</v>
      </c>
      <c r="E23" s="15" t="s">
        <v>930</v>
      </c>
      <c r="F23" s="529"/>
      <c r="G23" s="14">
        <v>0</v>
      </c>
      <c r="H23" s="14">
        <v>0</v>
      </c>
      <c r="I23" s="14">
        <v>7.3871079999999996</v>
      </c>
      <c r="J23" s="14">
        <v>46.901826999999997</v>
      </c>
      <c r="K23" s="14">
        <v>51.661167999999996</v>
      </c>
      <c r="L23" s="14">
        <v>57.498880999999997</v>
      </c>
      <c r="M23" s="14">
        <v>67.570857000000004</v>
      </c>
      <c r="N23" s="14">
        <v>75.744242</v>
      </c>
      <c r="O23" s="14">
        <v>87.745678999999996</v>
      </c>
      <c r="P23" s="38">
        <v>95.400548999999998</v>
      </c>
      <c r="Q23" s="38">
        <v>98.452184000000003</v>
      </c>
      <c r="R23" s="14">
        <v>97.184866999999997</v>
      </c>
      <c r="S23" s="14">
        <v>0</v>
      </c>
      <c r="T23" s="14">
        <v>0</v>
      </c>
      <c r="U23" s="14">
        <v>0</v>
      </c>
      <c r="V23" s="14">
        <v>0</v>
      </c>
      <c r="W23" s="14">
        <v>0</v>
      </c>
      <c r="X23" s="14">
        <v>0</v>
      </c>
      <c r="Y23" s="14">
        <v>0</v>
      </c>
      <c r="Z23" s="14">
        <v>0</v>
      </c>
      <c r="AA23" s="14">
        <v>0</v>
      </c>
      <c r="AB23" s="14">
        <v>0</v>
      </c>
      <c r="AC23" s="14">
        <v>0</v>
      </c>
      <c r="AD23" s="14">
        <v>0</v>
      </c>
      <c r="AE23" s="14">
        <v>0</v>
      </c>
      <c r="AF23" s="14">
        <v>0</v>
      </c>
    </row>
    <row r="24" spans="2:32" ht="15" customHeight="1" thickBot="1">
      <c r="B24" s="165" t="s">
        <v>340</v>
      </c>
      <c r="C24" s="175" t="s">
        <v>846</v>
      </c>
      <c r="D24" s="15" t="s">
        <v>300</v>
      </c>
      <c r="E24" s="15" t="s">
        <v>930</v>
      </c>
      <c r="F24" s="529"/>
      <c r="G24" s="14">
        <v>0</v>
      </c>
      <c r="H24" s="14">
        <v>0</v>
      </c>
      <c r="I24" s="14">
        <v>0.442606</v>
      </c>
      <c r="J24" s="14">
        <v>2.4940419999999999</v>
      </c>
      <c r="K24" s="14">
        <v>7.397958</v>
      </c>
      <c r="L24" s="14">
        <v>11.231204</v>
      </c>
      <c r="M24" s="14">
        <v>15.379543999999999</v>
      </c>
      <c r="N24" s="14">
        <v>20.033355</v>
      </c>
      <c r="O24" s="14">
        <v>22.564405999999998</v>
      </c>
      <c r="P24" s="38">
        <v>26.466161</v>
      </c>
      <c r="Q24" s="38">
        <v>29.940075999999998</v>
      </c>
      <c r="R24" s="14">
        <v>29.638939999999998</v>
      </c>
      <c r="S24" s="14">
        <v>0</v>
      </c>
      <c r="T24" s="14">
        <v>0</v>
      </c>
      <c r="U24" s="14">
        <v>0</v>
      </c>
      <c r="V24" s="14">
        <v>0</v>
      </c>
      <c r="W24" s="14">
        <v>0</v>
      </c>
      <c r="X24" s="14">
        <v>0</v>
      </c>
      <c r="Y24" s="14">
        <v>0</v>
      </c>
      <c r="Z24" s="14">
        <v>0</v>
      </c>
      <c r="AA24" s="14">
        <v>0</v>
      </c>
      <c r="AB24" s="14">
        <v>0</v>
      </c>
      <c r="AC24" s="14">
        <v>0</v>
      </c>
      <c r="AD24" s="14">
        <v>0</v>
      </c>
      <c r="AE24" s="14">
        <v>0</v>
      </c>
      <c r="AF24" s="14">
        <v>0</v>
      </c>
    </row>
    <row r="25" spans="2:32" ht="15" customHeight="1" thickBot="1">
      <c r="B25" s="167" t="s">
        <v>530</v>
      </c>
      <c r="C25" s="175" t="s">
        <v>846</v>
      </c>
      <c r="D25" s="15" t="s">
        <v>300</v>
      </c>
      <c r="E25" s="15" t="s">
        <v>930</v>
      </c>
      <c r="F25" s="529"/>
      <c r="G25" s="14">
        <v>0</v>
      </c>
      <c r="H25" s="14">
        <v>0</v>
      </c>
      <c r="I25" s="14">
        <v>0.63546899999999995</v>
      </c>
      <c r="J25" s="14">
        <v>2.9213830000000001</v>
      </c>
      <c r="K25" s="14">
        <v>4.8185699999999994</v>
      </c>
      <c r="L25" s="14">
        <v>6.293679</v>
      </c>
      <c r="M25" s="14">
        <v>6.9605349999999993</v>
      </c>
      <c r="N25" s="14">
        <v>8.0043569999999988</v>
      </c>
      <c r="O25" s="14">
        <v>9.0451540000000001</v>
      </c>
      <c r="P25" s="38">
        <v>11.590814</v>
      </c>
      <c r="Q25" s="38">
        <v>12.871558</v>
      </c>
      <c r="R25" s="14">
        <v>15.710374999999999</v>
      </c>
      <c r="S25" s="14">
        <v>0</v>
      </c>
      <c r="T25" s="14">
        <v>0</v>
      </c>
      <c r="U25" s="14">
        <v>0</v>
      </c>
      <c r="V25" s="14">
        <v>0</v>
      </c>
      <c r="W25" s="14">
        <v>0</v>
      </c>
      <c r="X25" s="14">
        <v>0</v>
      </c>
      <c r="Y25" s="14">
        <v>0</v>
      </c>
      <c r="Z25" s="14">
        <v>0</v>
      </c>
      <c r="AA25" s="14">
        <v>0</v>
      </c>
      <c r="AB25" s="14">
        <v>0</v>
      </c>
      <c r="AC25" s="14">
        <v>0</v>
      </c>
      <c r="AD25" s="14">
        <v>0</v>
      </c>
      <c r="AE25" s="14">
        <v>0</v>
      </c>
      <c r="AF25" s="14">
        <v>0</v>
      </c>
    </row>
    <row r="26" spans="2:32" ht="15" customHeight="1">
      <c r="D26" s="9"/>
      <c r="E26" s="9"/>
      <c r="F26" s="9"/>
    </row>
    <row r="27" spans="2:32" ht="15" customHeight="1">
      <c r="D27" s="9"/>
      <c r="E27" s="9"/>
      <c r="F27" s="9"/>
    </row>
    <row r="28" spans="2:32" ht="15" customHeight="1">
      <c r="D28" s="9"/>
      <c r="E28" s="9"/>
      <c r="F28" s="9"/>
    </row>
    <row r="29" spans="2:32" ht="15" customHeight="1">
      <c r="D29" s="9"/>
      <c r="E29" s="9"/>
      <c r="F29" s="9"/>
    </row>
    <row r="30" spans="2:32" ht="15" customHeight="1">
      <c r="D30" s="9"/>
      <c r="E30" s="9"/>
      <c r="F30" s="9"/>
    </row>
    <row r="31" spans="2:32" ht="15" customHeight="1">
      <c r="D31" s="9"/>
      <c r="E31" s="9"/>
      <c r="F31" s="9"/>
    </row>
    <row r="32" spans="2:32" ht="15" customHeight="1">
      <c r="D32" s="9"/>
      <c r="E32" s="9"/>
      <c r="F32" s="9"/>
    </row>
    <row r="33" spans="4:12" ht="15" customHeight="1">
      <c r="D33" s="9"/>
      <c r="E33" s="9"/>
      <c r="F33" s="9"/>
    </row>
    <row r="34" spans="4:12" ht="15" customHeight="1">
      <c r="D34" s="9"/>
      <c r="E34" s="9"/>
      <c r="F34" s="9"/>
      <c r="G34" s="203"/>
      <c r="H34" s="203"/>
      <c r="I34" s="203"/>
      <c r="J34" s="203"/>
      <c r="K34" s="203"/>
      <c r="L34" s="203"/>
    </row>
    <row r="35" spans="4:12" ht="15" customHeight="1">
      <c r="D35" s="9"/>
      <c r="E35" s="9"/>
      <c r="F35" s="9"/>
      <c r="G35" s="203"/>
      <c r="H35" s="203"/>
      <c r="I35" s="203"/>
      <c r="J35" s="203"/>
      <c r="K35" s="203"/>
      <c r="L35" s="203"/>
    </row>
    <row r="36" spans="4:12" ht="15" customHeight="1">
      <c r="D36" s="9"/>
      <c r="E36" s="9"/>
      <c r="F36" s="9"/>
      <c r="G36" s="647"/>
      <c r="H36" s="647"/>
      <c r="I36" s="647"/>
      <c r="J36" s="647"/>
      <c r="K36" s="647"/>
      <c r="L36" s="647"/>
    </row>
    <row r="37" spans="4:12" ht="15" customHeight="1">
      <c r="D37" s="9"/>
      <c r="E37" s="9"/>
      <c r="F37" s="9"/>
      <c r="G37" s="203"/>
      <c r="H37" s="203"/>
      <c r="I37" s="203"/>
      <c r="J37" s="203"/>
      <c r="K37" s="203"/>
      <c r="L37" s="203"/>
    </row>
    <row r="38" spans="4:12" ht="15" customHeight="1">
      <c r="D38" s="9"/>
      <c r="E38" s="9"/>
      <c r="F38" s="9"/>
      <c r="G38" s="203"/>
      <c r="H38" s="203"/>
      <c r="I38" s="203"/>
      <c r="J38" s="203"/>
      <c r="K38" s="203"/>
      <c r="L38" s="203"/>
    </row>
    <row r="39" spans="4:12" ht="15" customHeight="1">
      <c r="D39" s="9"/>
      <c r="E39" s="9"/>
      <c r="F39" s="9"/>
      <c r="G39" s="203"/>
      <c r="H39" s="203"/>
      <c r="I39" s="203"/>
      <c r="J39" s="203"/>
      <c r="K39" s="203"/>
      <c r="L39" s="203"/>
    </row>
    <row r="40" spans="4:12" ht="15" customHeight="1">
      <c r="D40" s="9"/>
      <c r="E40" s="9"/>
      <c r="F40" s="9"/>
      <c r="G40" s="203"/>
      <c r="H40" s="203"/>
      <c r="I40" s="203"/>
      <c r="J40" s="203"/>
      <c r="K40" s="203"/>
      <c r="L40" s="203"/>
    </row>
    <row r="41" spans="4:12" ht="15" customHeight="1">
      <c r="D41" s="9"/>
      <c r="E41" s="9"/>
      <c r="F41" s="9"/>
    </row>
    <row r="42" spans="4:12" ht="15" customHeight="1">
      <c r="D42" s="9"/>
      <c r="E42" s="9"/>
      <c r="F42" s="9"/>
      <c r="G42" s="203"/>
      <c r="H42" s="203"/>
      <c r="I42" s="203"/>
      <c r="J42" s="203"/>
      <c r="K42" s="203"/>
      <c r="L42" s="203"/>
    </row>
    <row r="43" spans="4:12" ht="15" customHeight="1">
      <c r="D43" s="9"/>
      <c r="E43" s="9"/>
      <c r="F43" s="9"/>
      <c r="G43" s="203"/>
      <c r="H43" s="203"/>
      <c r="I43" s="203"/>
      <c r="J43" s="203"/>
      <c r="K43" s="203"/>
      <c r="L43" s="203"/>
    </row>
    <row r="44" spans="4:12" ht="15" customHeight="1">
      <c r="D44" s="9"/>
      <c r="E44" s="9"/>
      <c r="F44" s="9"/>
      <c r="G44" s="647"/>
      <c r="H44" s="647"/>
      <c r="I44" s="647"/>
      <c r="J44" s="647"/>
      <c r="K44" s="647"/>
      <c r="L44" s="647"/>
    </row>
    <row r="45" spans="4:12" ht="15" customHeight="1">
      <c r="D45" s="9"/>
      <c r="E45" s="9"/>
      <c r="F45" s="9"/>
      <c r="G45" s="203"/>
      <c r="H45" s="203"/>
      <c r="I45" s="203"/>
      <c r="J45" s="203"/>
      <c r="K45" s="203"/>
      <c r="L45" s="203"/>
    </row>
    <row r="46" spans="4:12" ht="15" customHeight="1">
      <c r="D46" s="9"/>
      <c r="E46" s="9"/>
      <c r="F46" s="9"/>
      <c r="G46" s="203"/>
      <c r="H46" s="203"/>
      <c r="I46" s="203"/>
      <c r="J46" s="203"/>
      <c r="K46" s="203"/>
      <c r="L46" s="203"/>
    </row>
    <row r="47" spans="4:12" ht="15" customHeight="1">
      <c r="D47" s="9"/>
      <c r="E47" s="9"/>
      <c r="F47" s="9"/>
      <c r="G47" s="203"/>
      <c r="H47" s="203"/>
      <c r="I47" s="203"/>
      <c r="J47" s="203"/>
      <c r="K47" s="203"/>
      <c r="L47" s="203"/>
    </row>
    <row r="48" spans="4:12" ht="15" customHeight="1">
      <c r="D48" s="9"/>
      <c r="E48" s="9"/>
      <c r="F48" s="9"/>
      <c r="G48" s="203"/>
      <c r="H48" s="203"/>
      <c r="I48" s="203"/>
      <c r="J48" s="203"/>
      <c r="K48" s="203"/>
      <c r="L48" s="203"/>
    </row>
    <row r="49" spans="4:12" ht="15" customHeight="1">
      <c r="D49" s="9"/>
      <c r="E49" s="9"/>
      <c r="F49" s="9"/>
    </row>
    <row r="50" spans="4:12" ht="15" customHeight="1">
      <c r="D50" s="9"/>
      <c r="E50" s="9"/>
      <c r="F50" s="9"/>
      <c r="G50" s="646"/>
      <c r="H50" s="646"/>
      <c r="I50" s="646"/>
      <c r="J50" s="646"/>
      <c r="K50" s="646"/>
      <c r="L50" s="646"/>
    </row>
    <row r="51" spans="4:12" ht="15" customHeight="1">
      <c r="D51" s="9"/>
      <c r="E51" s="9"/>
      <c r="F51" s="9"/>
      <c r="G51" s="646"/>
      <c r="H51" s="646"/>
      <c r="I51" s="646"/>
      <c r="J51" s="646"/>
      <c r="K51" s="646"/>
      <c r="L51" s="646"/>
    </row>
    <row r="52" spans="4:12" ht="15" customHeight="1">
      <c r="D52" s="9"/>
      <c r="E52" s="9"/>
      <c r="F52" s="9"/>
      <c r="G52" s="646"/>
      <c r="H52" s="646"/>
      <c r="I52" s="646"/>
      <c r="J52" s="646"/>
      <c r="K52" s="646"/>
      <c r="L52" s="646"/>
    </row>
    <row r="53" spans="4:12" ht="15" customHeight="1">
      <c r="D53" s="9"/>
      <c r="E53" s="9"/>
      <c r="F53" s="9"/>
      <c r="G53" s="646"/>
      <c r="H53" s="646"/>
      <c r="I53" s="646"/>
      <c r="J53" s="646"/>
      <c r="K53" s="646"/>
      <c r="L53" s="646"/>
    </row>
    <row r="54" spans="4:12" ht="15" customHeight="1">
      <c r="D54" s="9"/>
      <c r="E54" s="9"/>
      <c r="F54" s="9"/>
      <c r="G54" s="646"/>
      <c r="H54" s="646"/>
      <c r="I54" s="646"/>
      <c r="J54" s="646"/>
      <c r="K54" s="646"/>
      <c r="L54" s="646"/>
    </row>
    <row r="55" spans="4:12" ht="15" customHeight="1">
      <c r="D55" s="9"/>
      <c r="E55" s="9"/>
      <c r="F55" s="9"/>
      <c r="G55" s="646"/>
      <c r="H55" s="646"/>
      <c r="I55" s="646"/>
      <c r="J55" s="646"/>
      <c r="K55" s="646"/>
      <c r="L55" s="646"/>
    </row>
    <row r="56" spans="4:12" ht="15" customHeight="1">
      <c r="D56" s="9"/>
      <c r="E56" s="9"/>
      <c r="F56" s="9"/>
      <c r="G56" s="646"/>
      <c r="H56" s="646"/>
      <c r="I56" s="646"/>
      <c r="J56" s="646"/>
      <c r="K56" s="646"/>
      <c r="L56" s="646"/>
    </row>
    <row r="57" spans="4:12" ht="15" customHeight="1">
      <c r="D57" s="9"/>
      <c r="E57" s="9"/>
      <c r="F57" s="9"/>
    </row>
    <row r="58" spans="4:12" ht="15" customHeight="1">
      <c r="D58" s="9"/>
      <c r="E58" s="9"/>
      <c r="F58" s="9"/>
    </row>
    <row r="59" spans="4:12" ht="15" customHeight="1">
      <c r="D59" s="9"/>
      <c r="E59" s="9"/>
      <c r="F59" s="9"/>
    </row>
    <row r="60" spans="4:12" ht="15" customHeight="1">
      <c r="D60" s="9"/>
      <c r="E60" s="9"/>
      <c r="F60" s="9"/>
    </row>
    <row r="61" spans="4:12" ht="15" customHeight="1">
      <c r="D61" s="9"/>
      <c r="E61" s="9"/>
      <c r="F61" s="9"/>
    </row>
    <row r="62" spans="4:12" ht="15" customHeight="1">
      <c r="D62" s="9"/>
      <c r="E62" s="9"/>
      <c r="F62" s="9"/>
    </row>
    <row r="63" spans="4:12" ht="15" customHeight="1">
      <c r="D63" s="9"/>
      <c r="E63" s="9"/>
      <c r="F63" s="9"/>
    </row>
    <row r="64" spans="4:12" ht="15" customHeight="1">
      <c r="D64" s="9"/>
      <c r="E64" s="9"/>
      <c r="F64" s="9"/>
    </row>
    <row r="65" s="9" customFormat="1" ht="15" customHeight="1"/>
    <row r="66" s="9" customFormat="1" ht="15" customHeight="1"/>
    <row r="67" s="9" customFormat="1" ht="15" customHeight="1"/>
    <row r="68" s="9" customFormat="1" ht="15" customHeight="1"/>
    <row r="69" s="9" customFormat="1" ht="15" customHeight="1"/>
    <row r="70" s="9" customFormat="1" ht="15" customHeight="1"/>
    <row r="71" s="9" customFormat="1" ht="15" customHeight="1"/>
    <row r="72" s="9" customFormat="1" ht="15" customHeight="1"/>
    <row r="73" s="9" customFormat="1" ht="15" customHeight="1"/>
    <row r="74" s="9" customFormat="1" ht="15" customHeight="1"/>
    <row r="75" s="9" customFormat="1" ht="15" customHeight="1"/>
    <row r="76" s="9" customFormat="1" ht="15" customHeight="1"/>
    <row r="77" s="9" customFormat="1" ht="15" customHeight="1"/>
    <row r="78" s="9" customFormat="1" ht="15" customHeight="1"/>
    <row r="79" s="9" customFormat="1" ht="15" customHeight="1"/>
    <row r="80" s="9" customFormat="1" ht="15" customHeight="1"/>
    <row r="81" s="9" customFormat="1" ht="15" customHeight="1"/>
    <row r="82" s="9" customFormat="1" ht="15" customHeight="1"/>
    <row r="83" s="9" customFormat="1" ht="15" customHeight="1"/>
    <row r="84" s="9" customFormat="1" ht="15" customHeight="1"/>
    <row r="85" s="9" customFormat="1" ht="15" customHeight="1"/>
    <row r="86" s="9" customFormat="1" ht="15" customHeight="1"/>
    <row r="87" s="9" customFormat="1" ht="15" customHeight="1"/>
    <row r="88" s="9" customFormat="1" ht="15" customHeight="1"/>
    <row r="89" s="9" customFormat="1" ht="15" customHeight="1"/>
    <row r="90" s="9" customFormat="1" ht="15" customHeight="1"/>
    <row r="91" s="9" customFormat="1" ht="15" customHeight="1"/>
    <row r="92" s="9" customFormat="1" ht="15" customHeight="1"/>
    <row r="93" s="9" customFormat="1" ht="15" customHeight="1"/>
    <row r="94" s="9" customFormat="1" ht="15" customHeight="1"/>
    <row r="95" s="9" customFormat="1" ht="15" customHeight="1"/>
    <row r="96" s="9" customFormat="1" ht="15" customHeight="1"/>
    <row r="97" s="9" customFormat="1" ht="15" customHeight="1"/>
    <row r="98" s="9" customFormat="1" ht="15" customHeight="1"/>
    <row r="99" s="9" customFormat="1" ht="15" customHeight="1"/>
    <row r="100" s="9" customFormat="1" ht="15" customHeight="1"/>
    <row r="101" s="9" customFormat="1" ht="15" customHeight="1"/>
    <row r="102" s="9" customFormat="1" ht="15" customHeight="1"/>
    <row r="103" s="9" customFormat="1" ht="15" customHeight="1"/>
    <row r="104" s="9" customFormat="1" ht="15" customHeight="1"/>
    <row r="105" s="9" customFormat="1" ht="15" customHeight="1"/>
    <row r="106" s="9" customFormat="1" ht="15" customHeight="1"/>
    <row r="107" s="9" customFormat="1" ht="15" customHeight="1"/>
    <row r="108" s="9" customFormat="1" ht="15" customHeight="1"/>
    <row r="109" s="9" customFormat="1" ht="15" customHeight="1"/>
    <row r="110" s="9" customFormat="1" ht="15" customHeight="1"/>
    <row r="111" s="9" customFormat="1" ht="15" customHeight="1"/>
    <row r="112" s="9" customFormat="1" ht="15" customHeight="1"/>
    <row r="113" s="9" customFormat="1" ht="15" customHeight="1"/>
    <row r="114" s="9" customFormat="1" ht="15" customHeight="1"/>
    <row r="115" s="9" customFormat="1" ht="15" customHeight="1"/>
    <row r="116" s="9" customFormat="1" ht="15" customHeight="1"/>
    <row r="117" s="9" customFormat="1" ht="15" customHeight="1"/>
    <row r="118" s="9" customFormat="1" ht="15" customHeight="1"/>
    <row r="119" s="9" customFormat="1" ht="15" customHeight="1"/>
    <row r="120" s="9" customFormat="1" ht="15" customHeight="1"/>
    <row r="121" s="9" customFormat="1" ht="15" customHeight="1"/>
    <row r="122" s="9" customFormat="1" ht="15" customHeight="1"/>
    <row r="123" s="9" customFormat="1" ht="15" customHeight="1"/>
    <row r="124" s="9" customFormat="1" ht="15" customHeight="1"/>
    <row r="125" s="9" customFormat="1" ht="15" customHeight="1"/>
    <row r="126" s="9" customFormat="1" ht="15" customHeight="1"/>
    <row r="127" s="9" customFormat="1" ht="15" customHeight="1"/>
    <row r="128" s="9" customFormat="1" ht="15" customHeight="1"/>
    <row r="129" s="9" customFormat="1" ht="15" customHeight="1"/>
    <row r="130" s="9" customFormat="1" ht="15" customHeight="1"/>
    <row r="131" s="9" customFormat="1" ht="15" customHeight="1"/>
    <row r="132" s="9" customFormat="1" ht="15" customHeight="1"/>
    <row r="133" s="9" customFormat="1" ht="15" customHeight="1"/>
    <row r="134" s="9" customFormat="1" ht="15" customHeight="1"/>
    <row r="135" s="9" customFormat="1" ht="15" customHeight="1"/>
    <row r="136" s="9" customFormat="1" ht="15" customHeight="1"/>
    <row r="137" s="9" customFormat="1" ht="15" customHeight="1"/>
    <row r="138" s="9" customFormat="1" ht="15" customHeight="1"/>
    <row r="139" s="9" customFormat="1" ht="15" customHeight="1"/>
    <row r="140" s="9" customFormat="1" ht="15" customHeight="1"/>
    <row r="141" s="9" customFormat="1" ht="15" customHeight="1"/>
    <row r="142" s="9" customFormat="1" ht="15" customHeight="1"/>
    <row r="143" s="9" customFormat="1" ht="15" customHeight="1"/>
    <row r="144" s="9" customFormat="1" ht="15" customHeight="1"/>
    <row r="145" s="9" customFormat="1" ht="15" customHeight="1"/>
    <row r="146" s="9" customFormat="1" ht="15" customHeight="1"/>
    <row r="147" s="9" customFormat="1" ht="15" customHeight="1"/>
    <row r="148" s="9" customFormat="1" ht="15" customHeight="1"/>
    <row r="149" s="9" customFormat="1" ht="15" customHeight="1"/>
    <row r="150" s="9" customFormat="1" ht="15" customHeight="1"/>
    <row r="151" s="9" customFormat="1" ht="15" customHeight="1"/>
    <row r="152" s="9" customFormat="1" ht="15" customHeight="1"/>
    <row r="153" s="9" customFormat="1" ht="15" customHeight="1"/>
    <row r="154" s="9" customFormat="1" ht="15" customHeight="1"/>
    <row r="155" s="9" customFormat="1" ht="15" customHeight="1"/>
    <row r="156" s="9" customFormat="1" ht="15" customHeight="1"/>
    <row r="157" s="9" customFormat="1" ht="15" customHeight="1"/>
    <row r="158" s="9" customFormat="1" ht="15" customHeight="1"/>
    <row r="159" s="9" customFormat="1" ht="15" customHeight="1"/>
    <row r="160" s="9" customFormat="1" ht="15" customHeight="1"/>
    <row r="161" s="9" customFormat="1" ht="15" customHeight="1"/>
    <row r="162" s="9" customFormat="1" ht="15" customHeight="1"/>
    <row r="163" s="9" customFormat="1" ht="15" customHeight="1"/>
    <row r="164" s="9" customFormat="1" ht="15" customHeight="1"/>
    <row r="165" s="9" customFormat="1" ht="15" customHeight="1"/>
    <row r="166" s="9" customFormat="1" ht="15" customHeight="1"/>
    <row r="167" s="9" customFormat="1" ht="15" customHeight="1"/>
    <row r="168" s="9" customFormat="1" ht="15" customHeight="1"/>
    <row r="169" s="9" customFormat="1" ht="15" customHeight="1"/>
    <row r="170" s="9" customFormat="1" ht="15" customHeight="1"/>
    <row r="171" s="9" customFormat="1" ht="15" customHeight="1"/>
    <row r="172" s="9" customFormat="1" ht="15" customHeight="1"/>
    <row r="173" s="9" customFormat="1" ht="15" customHeight="1"/>
    <row r="174" s="9" customFormat="1" ht="15" customHeight="1"/>
    <row r="175" s="9" customFormat="1" ht="15" customHeight="1"/>
    <row r="176" s="9" customFormat="1" ht="15" customHeight="1"/>
    <row r="177" s="9" customFormat="1" ht="15" customHeight="1"/>
    <row r="178" s="9" customFormat="1" ht="15" customHeight="1"/>
    <row r="179" s="9" customFormat="1" ht="15" customHeight="1"/>
    <row r="180" s="9" customFormat="1" ht="15" customHeight="1"/>
    <row r="181" s="9" customFormat="1" ht="15" customHeight="1"/>
    <row r="182" s="9" customFormat="1" ht="15" customHeight="1"/>
    <row r="183" s="9" customFormat="1" ht="15" customHeight="1"/>
    <row r="184" s="9" customFormat="1" ht="15" customHeight="1"/>
    <row r="185" s="9" customFormat="1" ht="15" customHeight="1"/>
    <row r="186" s="9" customFormat="1" ht="15" customHeight="1"/>
    <row r="187" s="9" customFormat="1" ht="15" customHeight="1"/>
    <row r="188" s="9" customFormat="1" ht="15" customHeight="1"/>
    <row r="189" s="9" customFormat="1" ht="15" customHeight="1"/>
    <row r="190" s="9" customFormat="1" ht="15" customHeight="1"/>
    <row r="191" s="9" customFormat="1" ht="15" customHeight="1"/>
    <row r="192" s="9" customFormat="1" ht="15" customHeight="1"/>
    <row r="193" s="9" customFormat="1" ht="15" customHeight="1"/>
    <row r="194" s="9" customFormat="1" ht="15" customHeight="1"/>
    <row r="195" s="9" customFormat="1" ht="15" customHeight="1"/>
    <row r="196" s="9" customFormat="1" ht="15" customHeight="1"/>
    <row r="197" s="9" customFormat="1" ht="15" customHeight="1"/>
    <row r="198" s="9" customFormat="1" ht="15" customHeight="1"/>
    <row r="199" s="9" customFormat="1" ht="15" customHeight="1"/>
    <row r="200" s="9" customFormat="1" ht="15" customHeight="1"/>
    <row r="201" s="9" customFormat="1" ht="15" customHeight="1"/>
    <row r="202" s="9" customFormat="1" ht="15" customHeight="1"/>
    <row r="203" s="9" customFormat="1" ht="15" customHeight="1"/>
    <row r="204" s="9" customFormat="1" ht="15" customHeight="1"/>
    <row r="205" s="9" customFormat="1" ht="15" customHeight="1"/>
    <row r="206" s="9" customFormat="1" ht="15" customHeight="1"/>
    <row r="207" s="9" customFormat="1" ht="15" customHeight="1"/>
    <row r="208" s="9" customFormat="1" ht="15" customHeight="1"/>
    <row r="209" s="9" customFormat="1" ht="15" customHeight="1"/>
    <row r="210" s="9" customFormat="1" ht="15" customHeight="1"/>
    <row r="211" s="9" customFormat="1" ht="15" customHeight="1"/>
    <row r="212" s="9" customFormat="1" ht="15" customHeight="1"/>
    <row r="213" s="9" customFormat="1" ht="15" customHeight="1"/>
    <row r="214" s="9" customFormat="1" ht="15" customHeight="1"/>
    <row r="215" s="9" customFormat="1" ht="15" customHeight="1"/>
    <row r="216" s="9" customFormat="1" ht="15" customHeight="1"/>
    <row r="217" s="9" customFormat="1" ht="15" customHeight="1"/>
    <row r="218" s="9" customFormat="1" ht="15" customHeight="1"/>
    <row r="219" s="9" customFormat="1" ht="15" customHeight="1"/>
    <row r="220" s="9" customFormat="1" ht="15" customHeight="1"/>
    <row r="221" s="9" customFormat="1" ht="15" customHeight="1"/>
    <row r="222" s="9" customFormat="1" ht="15" customHeight="1"/>
    <row r="223" s="9" customFormat="1" ht="15" customHeight="1"/>
    <row r="224" s="9" customFormat="1" ht="15" customHeight="1"/>
    <row r="225" s="9" customFormat="1" ht="15" customHeight="1"/>
    <row r="226" s="9" customFormat="1" ht="15" customHeight="1"/>
    <row r="227" s="9" customFormat="1" ht="15" customHeight="1"/>
    <row r="228" s="9" customFormat="1" ht="15" customHeight="1"/>
    <row r="229" s="9" customFormat="1" ht="15" customHeight="1"/>
    <row r="230" s="9" customFormat="1" ht="15" customHeight="1"/>
    <row r="231" s="9" customFormat="1" ht="15" customHeight="1"/>
    <row r="232" s="9" customFormat="1" ht="15" customHeight="1"/>
    <row r="233" s="9" customFormat="1" ht="15" customHeight="1"/>
    <row r="234" s="9" customFormat="1" ht="15" customHeight="1"/>
    <row r="235" s="9" customFormat="1" ht="15" customHeight="1"/>
    <row r="236" s="9" customFormat="1" ht="15" customHeight="1"/>
    <row r="237" s="9" customFormat="1" ht="15" customHeight="1"/>
    <row r="238" s="9" customFormat="1" ht="15" customHeight="1"/>
    <row r="239" s="9" customFormat="1" ht="15" customHeight="1"/>
    <row r="240" s="9" customFormat="1" ht="15" customHeight="1"/>
    <row r="241" s="9" customFormat="1" ht="15" customHeight="1"/>
    <row r="242" s="9" customFormat="1" ht="15" customHeight="1"/>
    <row r="243" s="9" customFormat="1" ht="15" customHeight="1"/>
    <row r="244" s="9" customFormat="1" ht="15" customHeight="1"/>
    <row r="245" s="9" customFormat="1" ht="15" customHeight="1"/>
    <row r="246" s="9" customFormat="1" ht="15" customHeight="1"/>
    <row r="247" s="9" customFormat="1" ht="15" customHeight="1"/>
    <row r="248" s="9" customFormat="1" ht="15" customHeight="1"/>
    <row r="249" s="9" customFormat="1" ht="15" customHeight="1"/>
    <row r="250" s="9" customFormat="1" ht="15" customHeight="1"/>
    <row r="251" s="9" customFormat="1" ht="15" customHeight="1"/>
    <row r="252" s="9" customFormat="1" ht="15" customHeight="1"/>
    <row r="253" s="9" customFormat="1" ht="15" customHeight="1"/>
    <row r="254" s="9" customFormat="1" ht="15" customHeight="1"/>
    <row r="255" s="9" customFormat="1" ht="15" customHeight="1"/>
    <row r="256" s="9" customFormat="1" ht="15" customHeight="1"/>
    <row r="257" s="9" customFormat="1" ht="15" customHeight="1"/>
    <row r="258" s="9" customFormat="1" ht="15" customHeight="1"/>
    <row r="259" s="9" customFormat="1" ht="15" customHeight="1"/>
    <row r="260" s="9" customFormat="1" ht="15" customHeight="1"/>
    <row r="261" s="9" customFormat="1" ht="15" customHeight="1"/>
    <row r="262" s="9" customFormat="1" ht="15" customHeight="1"/>
    <row r="263" s="9" customFormat="1" ht="15" customHeight="1"/>
    <row r="264" s="9" customFormat="1" ht="15" customHeight="1"/>
    <row r="265" s="9" customFormat="1" ht="15" customHeight="1"/>
    <row r="266" s="9" customFormat="1" ht="15" customHeight="1"/>
    <row r="267" s="9" customFormat="1" ht="15" customHeight="1"/>
    <row r="268" s="9" customFormat="1" ht="15" customHeight="1"/>
    <row r="269" s="9" customFormat="1" ht="15" customHeight="1"/>
    <row r="270" s="9" customFormat="1" ht="15" customHeight="1"/>
    <row r="271" s="9" customFormat="1" ht="15" customHeight="1"/>
    <row r="272" s="9" customFormat="1" ht="15" customHeight="1"/>
    <row r="273" s="9" customFormat="1" ht="15" customHeight="1"/>
    <row r="274" s="9" customFormat="1" ht="15" customHeight="1"/>
    <row r="275" s="9" customFormat="1" ht="15" customHeight="1"/>
    <row r="276" s="9" customFormat="1" ht="15" customHeight="1"/>
    <row r="277" s="9" customFormat="1" ht="15" customHeight="1"/>
    <row r="278" s="9" customFormat="1" ht="15" customHeight="1"/>
    <row r="279" s="9" customFormat="1" ht="15" customHeight="1"/>
    <row r="280" s="9" customFormat="1" ht="15" customHeight="1"/>
    <row r="281" s="9" customFormat="1" ht="15" customHeight="1"/>
    <row r="282" s="9" customFormat="1" ht="15" customHeight="1"/>
    <row r="283" s="9" customFormat="1" ht="15" customHeight="1"/>
    <row r="284" s="9" customFormat="1" ht="15" customHeight="1"/>
    <row r="285" s="9" customFormat="1" ht="15" customHeight="1"/>
    <row r="286" s="9" customFormat="1" ht="15" customHeight="1"/>
    <row r="287" s="9" customFormat="1" ht="15" customHeight="1"/>
    <row r="288" s="9" customFormat="1" ht="15" customHeight="1"/>
    <row r="289" s="9" customFormat="1" ht="15" customHeight="1"/>
    <row r="290" s="9" customFormat="1" ht="15" customHeight="1"/>
    <row r="291" s="9" customFormat="1" ht="15" customHeight="1"/>
    <row r="292" s="9" customFormat="1" ht="15" customHeight="1"/>
    <row r="293" s="9" customFormat="1" ht="15" customHeight="1"/>
    <row r="294" s="9" customFormat="1" ht="15" customHeight="1"/>
    <row r="295" s="9" customFormat="1" ht="15" customHeight="1"/>
    <row r="296" s="9" customFormat="1" ht="15" customHeight="1"/>
    <row r="297" s="9" customFormat="1" ht="15" customHeight="1"/>
    <row r="298" s="9" customFormat="1" ht="15" customHeight="1"/>
    <row r="299" s="9" customFormat="1" ht="15" customHeight="1"/>
    <row r="300" s="9" customFormat="1" ht="15" customHeight="1"/>
    <row r="301" s="9" customFormat="1" ht="15" customHeight="1"/>
    <row r="302" s="9" customFormat="1" ht="15" customHeight="1"/>
    <row r="303" s="9" customFormat="1" ht="15" customHeight="1"/>
    <row r="304" s="9" customFormat="1" ht="15" customHeight="1"/>
    <row r="305" s="9" customFormat="1" ht="15" customHeight="1"/>
    <row r="306" s="9" customFormat="1" ht="15" customHeight="1"/>
    <row r="307" s="9" customFormat="1" ht="15" customHeight="1"/>
    <row r="308" s="9" customFormat="1" ht="15" customHeight="1"/>
    <row r="309" s="9" customFormat="1" ht="15" customHeight="1"/>
    <row r="310" s="9" customFormat="1" ht="15" customHeight="1"/>
    <row r="311" s="9" customFormat="1" ht="15" customHeight="1"/>
    <row r="312" s="9" customFormat="1" ht="15" customHeight="1"/>
    <row r="313" s="9" customFormat="1" ht="15" customHeight="1"/>
    <row r="314" s="9" customFormat="1" ht="15" customHeight="1"/>
    <row r="315" s="9" customFormat="1" ht="15" customHeight="1"/>
    <row r="316" s="9" customFormat="1" ht="15" customHeight="1"/>
    <row r="317" s="9" customFormat="1" ht="15" customHeight="1"/>
    <row r="318" s="9" customFormat="1" ht="15" customHeight="1"/>
    <row r="319" s="9" customFormat="1" ht="15" customHeight="1"/>
    <row r="320" s="9" customFormat="1" ht="15" customHeight="1"/>
    <row r="321" s="9" customFormat="1" ht="15" customHeight="1"/>
    <row r="322" s="9" customFormat="1" ht="15" customHeight="1"/>
    <row r="323" s="9" customFormat="1" ht="15" customHeight="1"/>
    <row r="324" s="9" customFormat="1" ht="15" customHeight="1"/>
    <row r="325" s="9" customFormat="1" ht="15" customHeight="1"/>
    <row r="326" s="9" customFormat="1" ht="15" customHeight="1"/>
    <row r="327" s="9" customFormat="1" ht="15" customHeight="1"/>
    <row r="328" s="9" customFormat="1" ht="15" customHeight="1"/>
    <row r="329" s="9" customFormat="1" ht="15" customHeight="1"/>
    <row r="330" s="9" customFormat="1" ht="15" customHeight="1"/>
    <row r="331" s="9" customFormat="1" ht="15" customHeight="1"/>
    <row r="332" s="9" customFormat="1" ht="15" customHeight="1"/>
    <row r="333" s="9" customFormat="1" ht="15" customHeight="1"/>
    <row r="334" s="9" customFormat="1" ht="15" customHeight="1"/>
    <row r="335" s="9" customFormat="1" ht="15" customHeight="1"/>
    <row r="336" s="9" customFormat="1" ht="15" customHeight="1"/>
    <row r="337" s="9" customFormat="1" ht="15" customHeight="1"/>
    <row r="338" s="9" customFormat="1" ht="15" customHeight="1"/>
    <row r="339" s="9" customFormat="1" ht="15" customHeight="1"/>
    <row r="340" s="9" customFormat="1" ht="15" customHeight="1"/>
    <row r="341" s="9" customFormat="1" ht="15" customHeight="1"/>
    <row r="342" s="9" customFormat="1" ht="15" customHeight="1"/>
    <row r="343" s="9" customFormat="1" ht="15" customHeight="1"/>
    <row r="344" s="9" customFormat="1" ht="15" customHeight="1"/>
    <row r="345" s="9" customFormat="1" ht="15" customHeight="1"/>
    <row r="346" s="9" customFormat="1" ht="15" customHeight="1"/>
    <row r="347" s="9" customFormat="1" ht="15" customHeight="1"/>
    <row r="348" s="9" customFormat="1" ht="15" customHeight="1"/>
    <row r="349" s="9" customFormat="1" ht="15" customHeight="1"/>
    <row r="350" s="9" customFormat="1" ht="15" customHeight="1"/>
    <row r="351" s="9" customFormat="1" ht="15" customHeight="1"/>
    <row r="352" s="9" customFormat="1" ht="15" customHeight="1"/>
    <row r="353" s="9" customFormat="1" ht="15" customHeight="1"/>
    <row r="354" s="9" customFormat="1" ht="15" customHeight="1"/>
    <row r="355" s="9" customFormat="1" ht="15" customHeight="1"/>
    <row r="356" s="9" customFormat="1" ht="15" customHeight="1"/>
    <row r="357" s="9" customFormat="1" ht="15" customHeight="1"/>
    <row r="358" s="9" customFormat="1" ht="15" customHeight="1"/>
    <row r="359" s="9" customFormat="1" ht="15" customHeight="1"/>
    <row r="360" s="9" customFormat="1" ht="15" customHeight="1"/>
    <row r="361" s="9" customFormat="1" ht="15" customHeight="1"/>
    <row r="362" s="9" customFormat="1" ht="15" customHeight="1"/>
    <row r="363" s="9" customFormat="1" ht="15" customHeight="1"/>
    <row r="364" s="9" customFormat="1" ht="15" customHeight="1"/>
    <row r="365" s="9" customFormat="1" ht="15" customHeight="1"/>
    <row r="366" s="9" customFormat="1" ht="15" customHeight="1"/>
    <row r="367" s="9" customFormat="1" ht="15" customHeight="1"/>
    <row r="368" s="9" customFormat="1" ht="15" customHeight="1"/>
    <row r="369" s="9" customFormat="1" ht="15" customHeight="1"/>
    <row r="370" s="9" customFormat="1" ht="15" customHeight="1"/>
    <row r="371" s="9" customFormat="1" ht="15" customHeight="1"/>
    <row r="372" s="9" customFormat="1" ht="15" customHeight="1"/>
    <row r="373" s="9" customFormat="1" ht="15" customHeight="1"/>
    <row r="374" s="9" customFormat="1" ht="15" customHeight="1"/>
    <row r="375" s="9" customFormat="1" ht="15" customHeight="1"/>
    <row r="376" s="9" customFormat="1" ht="15" customHeight="1"/>
    <row r="377" s="9" customFormat="1" ht="15" customHeight="1"/>
    <row r="378" s="9" customFormat="1" ht="15" customHeight="1"/>
    <row r="379" s="9" customFormat="1" ht="15" customHeight="1"/>
    <row r="380" s="9" customFormat="1" ht="15" customHeight="1"/>
    <row r="381" s="9" customFormat="1" ht="15" customHeight="1"/>
    <row r="382" s="9" customFormat="1" ht="15" customHeight="1"/>
    <row r="383" s="9" customFormat="1" ht="15" customHeight="1"/>
    <row r="384" s="9" customFormat="1" ht="15" customHeight="1"/>
    <row r="385" s="9" customFormat="1" ht="15" customHeight="1"/>
    <row r="386" s="9" customFormat="1" ht="15" customHeight="1"/>
    <row r="387" s="9" customFormat="1" ht="15" customHeight="1"/>
    <row r="388" s="9" customFormat="1" ht="15" customHeight="1"/>
    <row r="389" s="9" customFormat="1" ht="15" customHeight="1"/>
    <row r="390" s="9" customFormat="1" ht="15" customHeight="1"/>
    <row r="391" s="9" customFormat="1" ht="15" customHeight="1"/>
    <row r="392" s="9" customFormat="1" ht="15" customHeight="1"/>
    <row r="393" s="9" customFormat="1" ht="15" customHeight="1"/>
    <row r="394" s="9" customFormat="1" ht="15" customHeight="1"/>
    <row r="395" s="9" customFormat="1" ht="15" customHeight="1"/>
    <row r="396" s="9" customFormat="1" ht="15" customHeight="1"/>
    <row r="397" s="9" customFormat="1" ht="15" customHeight="1"/>
    <row r="398" s="9" customFormat="1" ht="15" customHeight="1"/>
    <row r="399" s="9" customFormat="1" ht="15" customHeight="1"/>
    <row r="400" s="9" customFormat="1" ht="15" customHeight="1"/>
    <row r="401" s="9" customFormat="1" ht="15" customHeight="1"/>
    <row r="402" s="9" customFormat="1" ht="15" customHeight="1"/>
    <row r="403" s="9" customFormat="1" ht="15" customHeight="1"/>
    <row r="404" s="9" customFormat="1" ht="15" customHeight="1"/>
    <row r="405" s="9" customFormat="1" ht="15" customHeight="1"/>
    <row r="406" s="9" customFormat="1" ht="15" customHeight="1"/>
    <row r="407" s="9" customFormat="1" ht="15" customHeight="1"/>
    <row r="408" s="9" customFormat="1" ht="15" customHeight="1"/>
    <row r="409" s="9" customFormat="1" ht="15" customHeight="1"/>
    <row r="410" s="9" customFormat="1" ht="15" customHeight="1"/>
    <row r="411" s="9" customFormat="1" ht="15" customHeight="1"/>
    <row r="412" s="9" customFormat="1" ht="15" customHeight="1"/>
    <row r="413" s="9" customFormat="1" ht="15" customHeight="1"/>
    <row r="414" s="9" customFormat="1" ht="15" customHeight="1"/>
    <row r="415" s="9" customFormat="1" ht="15" customHeight="1"/>
    <row r="416" s="9" customFormat="1" ht="15" customHeight="1"/>
    <row r="417" s="9" customFormat="1" ht="15" customHeight="1"/>
    <row r="418" s="9" customFormat="1" ht="15" customHeight="1"/>
    <row r="419" s="9" customFormat="1" ht="15" customHeight="1"/>
    <row r="420" s="9" customFormat="1" ht="15" customHeight="1"/>
    <row r="421" s="9" customFormat="1" ht="15" customHeight="1"/>
    <row r="422" s="9" customFormat="1" ht="15" customHeight="1"/>
    <row r="423" s="9" customFormat="1" ht="15" customHeight="1"/>
    <row r="424" s="9" customFormat="1" ht="15" customHeight="1"/>
    <row r="425" s="9" customFormat="1" ht="15" customHeight="1"/>
    <row r="426" s="9" customFormat="1" ht="15" customHeight="1"/>
    <row r="427" s="9" customFormat="1" ht="15" customHeight="1"/>
    <row r="428" s="9" customFormat="1" ht="15" customHeight="1"/>
    <row r="429" s="9" customFormat="1" ht="15" customHeight="1"/>
    <row r="430" s="9" customFormat="1" ht="15" customHeight="1"/>
    <row r="431" s="9" customFormat="1" ht="15" customHeight="1"/>
    <row r="432" s="9" customFormat="1" ht="15" customHeight="1"/>
    <row r="433" s="9" customFormat="1" ht="15" customHeight="1"/>
    <row r="434" s="9" customFormat="1" ht="15" customHeight="1"/>
    <row r="435" s="9" customFormat="1" ht="15" customHeight="1"/>
    <row r="436" s="9" customFormat="1" ht="15" customHeight="1"/>
    <row r="437" s="9" customFormat="1" ht="15" customHeight="1"/>
    <row r="438" s="9" customFormat="1" ht="15" customHeight="1"/>
    <row r="439" s="9" customFormat="1" ht="15" customHeight="1"/>
    <row r="440" s="9" customFormat="1" ht="15" customHeight="1"/>
    <row r="441" s="9" customFormat="1" ht="15" customHeight="1"/>
    <row r="442" s="9" customFormat="1" ht="15" customHeight="1"/>
    <row r="443" s="9" customFormat="1" ht="15" customHeight="1"/>
    <row r="444" s="9" customFormat="1" ht="15" customHeight="1"/>
    <row r="445" s="9" customFormat="1" ht="15" customHeight="1"/>
    <row r="446" s="9" customFormat="1" ht="15" customHeight="1"/>
    <row r="447" s="9" customFormat="1" ht="15" customHeight="1"/>
    <row r="448" s="9" customFormat="1" ht="15" customHeight="1"/>
    <row r="449" s="9" customFormat="1" ht="15" customHeight="1"/>
    <row r="450" s="9" customFormat="1" ht="15" customHeight="1"/>
    <row r="451" s="9" customFormat="1" ht="15" customHeight="1"/>
    <row r="452" s="9" customFormat="1" ht="15" customHeight="1"/>
    <row r="453" s="9" customFormat="1" ht="15" customHeight="1"/>
    <row r="454" s="9" customFormat="1" ht="15" customHeight="1"/>
    <row r="455" s="9" customFormat="1" ht="15" customHeight="1"/>
    <row r="456" s="9" customFormat="1" ht="15" customHeight="1"/>
    <row r="457" s="9" customFormat="1" ht="15" customHeight="1"/>
    <row r="458" s="9" customFormat="1" ht="15" customHeight="1"/>
    <row r="459" s="9" customFormat="1" ht="15" customHeight="1"/>
    <row r="460" s="9" customFormat="1" ht="15" customHeight="1"/>
    <row r="461" s="9" customFormat="1" ht="15" customHeight="1"/>
    <row r="462" s="9" customFormat="1" ht="15" customHeight="1"/>
    <row r="463" s="9" customFormat="1" ht="15" customHeight="1"/>
    <row r="464" s="9" customFormat="1" ht="15" customHeight="1"/>
    <row r="465" s="9" customFormat="1" ht="15" customHeight="1"/>
    <row r="466" s="9" customFormat="1" ht="15" customHeight="1"/>
    <row r="467" s="9" customFormat="1" ht="15" customHeight="1"/>
    <row r="468" s="9" customFormat="1" ht="15" customHeight="1"/>
    <row r="469" s="9" customFormat="1" ht="15" customHeight="1"/>
    <row r="470" s="9" customFormat="1" ht="15" customHeight="1"/>
    <row r="471" s="9" customFormat="1" ht="15" customHeight="1"/>
    <row r="472" s="9" customFormat="1" ht="15" customHeight="1"/>
    <row r="473" s="9" customFormat="1" ht="15" customHeight="1"/>
    <row r="474" s="9" customFormat="1" ht="15" customHeight="1"/>
    <row r="475" s="9" customFormat="1" ht="15" customHeight="1"/>
    <row r="476" s="9" customFormat="1" ht="15" customHeight="1"/>
    <row r="477" s="9" customFormat="1" ht="15" customHeight="1"/>
    <row r="478" s="9" customFormat="1" ht="15" customHeight="1"/>
    <row r="479" s="9" customFormat="1" ht="15" customHeight="1"/>
    <row r="480" s="9" customFormat="1" ht="15" customHeight="1"/>
    <row r="481" s="9" customFormat="1" ht="15" customHeight="1"/>
    <row r="482" s="9" customFormat="1" ht="15" customHeight="1"/>
    <row r="483" s="9" customFormat="1" ht="15" customHeight="1"/>
    <row r="484" s="9" customFormat="1" ht="15" customHeight="1"/>
    <row r="485" s="9" customFormat="1" ht="15" customHeight="1"/>
    <row r="486" s="9" customFormat="1" ht="15" customHeight="1"/>
    <row r="487" s="9" customFormat="1" ht="15" customHeight="1"/>
    <row r="488" s="9" customFormat="1" ht="15" customHeight="1"/>
    <row r="489" s="9" customFormat="1" ht="15" customHeight="1"/>
    <row r="490" s="9" customFormat="1" ht="15" customHeight="1"/>
    <row r="491" s="9" customFormat="1" ht="15" customHeight="1"/>
    <row r="492" s="9" customFormat="1" ht="15" customHeight="1"/>
    <row r="493" s="9" customFormat="1" ht="15" customHeight="1"/>
    <row r="494" s="9" customFormat="1" ht="15" customHeight="1"/>
    <row r="495" s="9" customFormat="1" ht="15" customHeight="1"/>
    <row r="496" s="9" customFormat="1" ht="15" customHeight="1"/>
    <row r="497" s="9" customFormat="1" ht="15" customHeight="1"/>
    <row r="498" s="9" customFormat="1" ht="15" customHeight="1"/>
    <row r="499" s="9" customFormat="1" ht="15" customHeight="1"/>
    <row r="500" s="9" customFormat="1" ht="15" customHeight="1"/>
    <row r="501" s="9" customFormat="1" ht="15" customHeight="1"/>
    <row r="502" s="9" customFormat="1" ht="15" customHeight="1"/>
    <row r="503" s="9" customFormat="1" ht="15" customHeight="1"/>
    <row r="504" s="9" customFormat="1" ht="15" customHeight="1"/>
    <row r="505" s="9" customFormat="1" ht="15" customHeight="1"/>
    <row r="506" s="9" customFormat="1" ht="15" customHeight="1"/>
    <row r="507" s="9" customFormat="1" ht="15" customHeight="1"/>
    <row r="508" s="9" customFormat="1" ht="15" customHeight="1"/>
    <row r="509" s="9" customFormat="1" ht="15" customHeight="1"/>
    <row r="510" s="9" customFormat="1" ht="15" customHeight="1"/>
    <row r="511" s="9" customFormat="1" ht="15" customHeight="1"/>
    <row r="512" s="9" customFormat="1" ht="15" customHeight="1"/>
    <row r="513" s="9" customFormat="1" ht="15" customHeight="1"/>
    <row r="514" s="9" customFormat="1" ht="15" customHeight="1"/>
    <row r="515" s="9" customFormat="1" ht="15" customHeight="1"/>
    <row r="516" s="9" customFormat="1" ht="15" customHeight="1"/>
    <row r="517" s="9" customFormat="1" ht="15" customHeight="1"/>
    <row r="518" s="9" customFormat="1" ht="15" customHeight="1"/>
    <row r="519" s="9" customFormat="1" ht="15" customHeight="1"/>
    <row r="520" s="9" customFormat="1" ht="15" customHeight="1"/>
    <row r="521" s="9" customFormat="1" ht="15" customHeight="1"/>
    <row r="522" s="9" customFormat="1" ht="15" customHeight="1"/>
    <row r="523" s="9" customFormat="1" ht="15" customHeight="1"/>
    <row r="524" s="9" customFormat="1" ht="15" customHeight="1"/>
    <row r="525" s="9" customFormat="1" ht="15" customHeight="1"/>
    <row r="526" s="9" customFormat="1" ht="15" customHeight="1"/>
    <row r="527" s="9" customFormat="1" ht="15" customHeight="1"/>
    <row r="528" s="9" customFormat="1" ht="15" customHeight="1"/>
    <row r="529" s="9" customFormat="1" ht="15" customHeight="1"/>
    <row r="530" s="9" customFormat="1" ht="15" customHeight="1"/>
    <row r="531" s="9" customFormat="1" ht="15" customHeight="1"/>
    <row r="532" s="9" customFormat="1" ht="15" customHeight="1"/>
    <row r="533" s="9" customFormat="1" ht="15" customHeight="1"/>
    <row r="534" s="9" customFormat="1" ht="15" customHeight="1"/>
    <row r="535" s="9" customFormat="1" ht="15" customHeight="1"/>
    <row r="536" s="9" customFormat="1" ht="15" customHeight="1"/>
    <row r="537" s="9" customFormat="1" ht="15" customHeight="1"/>
    <row r="538" s="9" customFormat="1" ht="15" customHeight="1"/>
    <row r="539" s="9" customFormat="1" ht="15" customHeight="1"/>
    <row r="540" s="9" customFormat="1" ht="15" customHeight="1"/>
    <row r="541" s="9" customFormat="1" ht="15" customHeight="1"/>
    <row r="542" s="9" customFormat="1" ht="15" customHeight="1"/>
    <row r="543" s="9" customFormat="1" ht="15" customHeight="1"/>
    <row r="544" s="9" customFormat="1" ht="15" customHeight="1"/>
    <row r="545" s="9" customFormat="1" ht="15" customHeight="1"/>
    <row r="546" s="9" customFormat="1" ht="15" customHeight="1"/>
    <row r="547" s="9" customFormat="1" ht="15" customHeight="1"/>
    <row r="548" s="9" customFormat="1" ht="15" customHeight="1"/>
    <row r="549" s="9" customFormat="1" ht="15" customHeight="1"/>
    <row r="550" s="9" customFormat="1" ht="15" customHeight="1"/>
    <row r="551" s="9" customFormat="1" ht="15" customHeight="1"/>
    <row r="552" s="9" customFormat="1" ht="15" customHeight="1"/>
    <row r="553" s="9" customFormat="1" ht="15" customHeight="1"/>
    <row r="554" s="9" customFormat="1" ht="15" customHeight="1"/>
    <row r="555" s="9" customFormat="1" ht="15" customHeight="1"/>
    <row r="556" s="9" customFormat="1" ht="15" customHeight="1"/>
    <row r="557" s="9" customFormat="1" ht="15" customHeight="1"/>
    <row r="558" s="9" customFormat="1" ht="15" customHeight="1"/>
    <row r="559" s="9" customFormat="1" ht="15" customHeight="1"/>
    <row r="560" s="9" customFormat="1" ht="15" customHeight="1"/>
    <row r="561" s="9" customFormat="1" ht="15" customHeight="1"/>
    <row r="562" s="9" customFormat="1" ht="15" customHeight="1"/>
    <row r="563" s="9" customFormat="1" ht="15" customHeight="1"/>
    <row r="564" s="9" customFormat="1" ht="15" customHeight="1"/>
    <row r="565" s="9" customFormat="1" ht="15" customHeight="1"/>
    <row r="566" s="9" customFormat="1" ht="15" customHeight="1"/>
    <row r="567" s="9" customFormat="1" ht="15" customHeight="1"/>
    <row r="568" s="9" customFormat="1" ht="15" customHeight="1"/>
    <row r="569" s="9" customFormat="1" ht="15" customHeight="1"/>
    <row r="570" s="9" customFormat="1" ht="15" customHeight="1"/>
    <row r="571" s="9" customFormat="1" ht="15" customHeight="1"/>
    <row r="572" s="9" customFormat="1" ht="15" customHeight="1"/>
    <row r="573" s="9" customFormat="1" ht="15" customHeight="1"/>
    <row r="574" s="9" customFormat="1" ht="15" customHeight="1"/>
    <row r="575" s="9" customFormat="1" ht="15" customHeight="1"/>
    <row r="576" s="9" customFormat="1" ht="15" customHeight="1"/>
    <row r="577" s="9" customFormat="1" ht="15" customHeight="1"/>
    <row r="578" s="9" customFormat="1" ht="15" customHeight="1"/>
    <row r="579" s="9" customFormat="1" ht="15" customHeight="1"/>
    <row r="580" s="9" customFormat="1" ht="15" customHeight="1"/>
    <row r="581" s="9" customFormat="1" ht="15" customHeight="1"/>
    <row r="582" s="9" customFormat="1" ht="15" customHeight="1"/>
    <row r="583" s="9" customFormat="1" ht="15" customHeight="1"/>
    <row r="584" s="9" customFormat="1" ht="15" customHeight="1"/>
    <row r="585" s="9" customFormat="1" ht="15" customHeight="1"/>
    <row r="586" s="9" customFormat="1" ht="15" customHeight="1"/>
    <row r="587" s="9" customFormat="1" ht="15" customHeight="1"/>
    <row r="588" s="9" customFormat="1" ht="15" customHeight="1"/>
    <row r="589" s="9" customFormat="1" ht="15" customHeight="1"/>
    <row r="590" s="9" customFormat="1" ht="15" customHeight="1"/>
    <row r="591" s="9" customFormat="1" ht="15" customHeight="1"/>
    <row r="592" s="9" customFormat="1" ht="15" customHeight="1"/>
    <row r="593" s="9" customFormat="1" ht="15" customHeight="1"/>
    <row r="594" s="9" customFormat="1" ht="15" customHeight="1"/>
    <row r="595" s="9" customFormat="1" ht="15" customHeight="1"/>
    <row r="596" s="9" customFormat="1" ht="15" customHeight="1"/>
    <row r="597" s="9" customFormat="1" ht="15" customHeight="1"/>
    <row r="598" s="9" customFormat="1" ht="15" customHeight="1"/>
    <row r="599" s="9" customFormat="1" ht="15" customHeight="1"/>
    <row r="600" s="9" customFormat="1" ht="15" customHeight="1"/>
    <row r="601" s="9" customFormat="1" ht="15" customHeight="1"/>
    <row r="602" s="9" customFormat="1" ht="15" customHeight="1"/>
    <row r="603" s="9" customFormat="1" ht="15" customHeight="1"/>
    <row r="604" s="9" customFormat="1" ht="15" customHeight="1"/>
    <row r="605" s="9" customFormat="1" ht="15" customHeight="1"/>
    <row r="606" s="9" customFormat="1" ht="15" customHeight="1"/>
    <row r="607" s="9" customFormat="1" ht="15" customHeight="1"/>
    <row r="608" s="9" customFormat="1" ht="15" customHeight="1"/>
    <row r="609" s="9" customFormat="1" ht="15" customHeight="1"/>
    <row r="610" s="9" customFormat="1" ht="15" customHeight="1"/>
    <row r="611" s="9" customFormat="1" ht="15" customHeight="1"/>
    <row r="612" s="9" customFormat="1" ht="15" customHeight="1"/>
    <row r="613" s="9" customFormat="1" ht="15" customHeight="1"/>
    <row r="614" s="9" customFormat="1" ht="15" customHeight="1"/>
    <row r="615" s="9" customFormat="1" ht="15" customHeight="1"/>
    <row r="616" s="9" customFormat="1" ht="15" customHeight="1"/>
    <row r="617" s="9" customFormat="1" ht="15" customHeight="1"/>
    <row r="618" s="9" customFormat="1" ht="15" customHeight="1"/>
    <row r="619" s="9" customFormat="1" ht="15" customHeight="1"/>
    <row r="620" s="9" customFormat="1" ht="15" customHeight="1"/>
    <row r="621" s="9" customFormat="1" ht="15" customHeight="1"/>
    <row r="622" s="9" customFormat="1" ht="15" customHeight="1"/>
    <row r="623" s="9" customFormat="1" ht="15" customHeight="1"/>
    <row r="624" s="9" customFormat="1" ht="15" customHeight="1"/>
    <row r="625" s="9" customFormat="1" ht="15" customHeight="1"/>
    <row r="626" s="9" customFormat="1" ht="15" customHeight="1"/>
    <row r="627" s="9" customFormat="1" ht="15" customHeight="1"/>
    <row r="628" s="9" customFormat="1" ht="15" customHeight="1"/>
    <row r="629" s="9" customFormat="1" ht="15" customHeight="1"/>
    <row r="630" s="9" customFormat="1" ht="15" customHeight="1"/>
    <row r="631" s="9" customFormat="1" ht="15" customHeight="1"/>
    <row r="632" s="9" customFormat="1" ht="15" customHeight="1"/>
    <row r="633" s="9" customFormat="1" ht="15" customHeight="1"/>
    <row r="634" s="9" customFormat="1" ht="15" customHeight="1"/>
    <row r="635" s="9" customFormat="1" ht="15" customHeight="1"/>
    <row r="636" s="9" customFormat="1" ht="15" customHeight="1"/>
    <row r="637" s="9" customFormat="1" ht="15" customHeight="1"/>
    <row r="638" s="9" customFormat="1" ht="15" customHeight="1"/>
    <row r="639" s="9" customFormat="1" ht="15" customHeight="1"/>
    <row r="640" s="9" customFormat="1" ht="15" customHeight="1"/>
    <row r="641" s="9" customFormat="1" ht="15" customHeight="1"/>
    <row r="642" s="9" customFormat="1" ht="15" customHeight="1"/>
    <row r="643" s="9" customFormat="1" ht="15" customHeight="1"/>
    <row r="644" s="9" customFormat="1" ht="15" customHeight="1"/>
    <row r="645" s="9" customFormat="1" ht="15" customHeight="1"/>
    <row r="646" s="9" customFormat="1" ht="15" customHeight="1"/>
    <row r="647" s="9" customFormat="1" ht="15" customHeight="1"/>
    <row r="648" s="9" customFormat="1" ht="15" customHeight="1"/>
    <row r="649" s="9" customFormat="1" ht="15" customHeight="1"/>
    <row r="650" s="9" customFormat="1" ht="15" customHeight="1"/>
    <row r="651" s="9" customFormat="1" ht="15" customHeight="1"/>
    <row r="652" s="9" customFormat="1" ht="15" customHeight="1"/>
    <row r="653" s="9" customFormat="1" ht="15" customHeight="1"/>
    <row r="654" s="9" customFormat="1" ht="15" customHeight="1"/>
    <row r="655" s="9" customFormat="1" ht="15" customHeight="1"/>
    <row r="656" s="9" customFormat="1" ht="15" customHeight="1"/>
    <row r="657" s="9" customFormat="1" ht="15" customHeight="1"/>
    <row r="658" s="9" customFormat="1" ht="15" customHeight="1"/>
    <row r="659" s="9" customFormat="1" ht="15" customHeight="1"/>
    <row r="660" s="9" customFormat="1" ht="15" customHeight="1"/>
    <row r="661" s="9" customFormat="1" ht="15" customHeight="1"/>
    <row r="662" s="9" customFormat="1" ht="15" customHeight="1"/>
    <row r="663" s="9" customFormat="1" ht="15" customHeight="1"/>
    <row r="664" s="9" customFormat="1" ht="15" customHeight="1"/>
    <row r="665" s="9" customFormat="1" ht="15" customHeight="1"/>
    <row r="666" s="9" customFormat="1" ht="15" customHeight="1"/>
    <row r="667" s="9" customFormat="1" ht="15" customHeight="1"/>
    <row r="668" s="9" customFormat="1" ht="15" customHeight="1"/>
    <row r="669" s="9" customFormat="1" ht="15" customHeight="1"/>
    <row r="670" s="9" customFormat="1" ht="15" customHeight="1"/>
    <row r="671" s="9" customFormat="1" ht="15" customHeight="1"/>
    <row r="672" s="9" customFormat="1" ht="15" customHeight="1"/>
    <row r="673" s="9" customFormat="1" ht="15" customHeight="1"/>
    <row r="674" s="9" customFormat="1" ht="15" customHeight="1"/>
    <row r="675" s="9" customFormat="1" ht="15" customHeight="1"/>
    <row r="676" s="9" customFormat="1" ht="15" customHeight="1"/>
    <row r="677" s="9" customFormat="1" ht="15" customHeight="1"/>
    <row r="678" s="9" customFormat="1" ht="15" customHeight="1"/>
    <row r="679" s="9" customFormat="1" ht="15" customHeight="1"/>
    <row r="680" s="9" customFormat="1" ht="15" customHeight="1"/>
    <row r="681" s="9" customFormat="1" ht="15" customHeight="1"/>
    <row r="682" s="9" customFormat="1" ht="15" customHeight="1"/>
    <row r="683" s="9" customFormat="1" ht="15" customHeight="1"/>
    <row r="684" s="9" customFormat="1" ht="15" customHeight="1"/>
    <row r="685" s="9" customFormat="1" ht="15" customHeight="1"/>
    <row r="686" s="9" customFormat="1" ht="15" customHeight="1"/>
    <row r="687" s="9" customFormat="1" ht="15" customHeight="1"/>
    <row r="688" s="9" customFormat="1" ht="15" customHeight="1"/>
    <row r="689" s="9" customFormat="1" ht="15" customHeight="1"/>
    <row r="690" s="9" customFormat="1" ht="15" customHeight="1"/>
    <row r="691" s="9" customFormat="1" ht="15" customHeight="1"/>
    <row r="692" s="9" customFormat="1" ht="15" customHeight="1"/>
    <row r="693" s="9" customFormat="1" ht="15" customHeight="1"/>
    <row r="694" s="9" customFormat="1" ht="15" customHeight="1"/>
    <row r="695" s="9" customFormat="1" ht="15" customHeight="1"/>
    <row r="696" s="9" customFormat="1" ht="15" customHeight="1"/>
    <row r="697" s="9" customFormat="1" ht="15" customHeight="1"/>
    <row r="698" s="9" customFormat="1" ht="15" customHeight="1"/>
    <row r="699" s="9" customFormat="1" ht="15" customHeight="1"/>
    <row r="700" s="9" customFormat="1" ht="15" customHeight="1"/>
    <row r="701" s="9" customFormat="1" ht="15" customHeight="1"/>
    <row r="702" s="9" customFormat="1" ht="15" customHeight="1"/>
    <row r="703" s="9" customFormat="1" ht="15" customHeight="1"/>
    <row r="704" s="9" customFormat="1" ht="15" customHeight="1"/>
    <row r="705" s="9" customFormat="1" ht="15" customHeight="1"/>
    <row r="706" s="9" customFormat="1" ht="15" customHeight="1"/>
    <row r="707" s="9" customFormat="1" ht="15" customHeight="1"/>
    <row r="708" s="9" customFormat="1" ht="15" customHeight="1"/>
    <row r="709" s="9" customFormat="1" ht="15" customHeight="1"/>
    <row r="710" s="9" customFormat="1" ht="15" customHeight="1"/>
    <row r="711" s="9" customFormat="1" ht="15" customHeight="1"/>
    <row r="712" s="9" customFormat="1" ht="15" customHeight="1"/>
    <row r="713" s="9" customFormat="1" ht="15" customHeight="1"/>
    <row r="714" s="9" customFormat="1" ht="15" customHeight="1"/>
    <row r="715" s="9" customFormat="1" ht="15" customHeight="1"/>
    <row r="716" s="9" customFormat="1" ht="15" customHeight="1"/>
    <row r="717" s="9" customFormat="1" ht="15" customHeight="1"/>
    <row r="718" s="9" customFormat="1" ht="15" customHeight="1"/>
    <row r="719" s="9" customFormat="1" ht="15" customHeight="1"/>
    <row r="720" s="9" customFormat="1" ht="15" customHeight="1"/>
    <row r="721" s="9" customFormat="1" ht="15" customHeight="1"/>
    <row r="722" s="9" customFormat="1" ht="15" customHeight="1"/>
    <row r="723" s="9" customFormat="1" ht="15" customHeight="1"/>
    <row r="724" s="9" customFormat="1" ht="15" customHeight="1"/>
    <row r="725" s="9" customFormat="1" ht="15" customHeight="1"/>
    <row r="726" s="9" customFormat="1" ht="15" customHeight="1"/>
    <row r="727" s="9" customFormat="1" ht="15" customHeight="1"/>
    <row r="728" s="9" customFormat="1" ht="15" customHeight="1"/>
    <row r="729" s="9" customFormat="1" ht="15" customHeight="1"/>
    <row r="730" s="9" customFormat="1" ht="15" customHeight="1"/>
    <row r="731" s="9" customFormat="1" ht="15" customHeight="1"/>
    <row r="732" s="9" customFormat="1" ht="15" customHeight="1"/>
    <row r="733" s="9" customFormat="1" ht="15" customHeight="1"/>
    <row r="734" s="9" customFormat="1" ht="15" customHeight="1"/>
    <row r="735" s="9" customFormat="1" ht="15" customHeight="1"/>
    <row r="736" s="9" customFormat="1" ht="15" customHeight="1"/>
    <row r="737" s="9" customFormat="1" ht="15" customHeight="1"/>
    <row r="738" s="9" customFormat="1" ht="15" customHeight="1"/>
    <row r="739" s="9" customFormat="1" ht="15" customHeight="1"/>
    <row r="740" s="9" customFormat="1" ht="15" customHeight="1"/>
    <row r="741" s="9" customFormat="1" ht="15" customHeight="1"/>
    <row r="742" s="9" customFormat="1" ht="15" customHeight="1"/>
    <row r="743" s="9" customFormat="1" ht="15" customHeight="1"/>
    <row r="744" s="9" customFormat="1" ht="15" customHeight="1"/>
    <row r="745" s="9" customFormat="1" ht="15" customHeight="1"/>
    <row r="746" s="9" customFormat="1" ht="15" customHeight="1"/>
    <row r="747" s="9" customFormat="1" ht="15" customHeight="1"/>
    <row r="748" s="9" customFormat="1" ht="15" customHeight="1"/>
    <row r="749" s="9" customFormat="1" ht="15" customHeight="1"/>
    <row r="750" s="9" customFormat="1" ht="15" customHeight="1"/>
    <row r="751" s="9" customFormat="1" ht="15" customHeight="1"/>
    <row r="752" s="9" customFormat="1" ht="15" customHeight="1"/>
    <row r="753" s="9" customFormat="1" ht="15" customHeight="1"/>
    <row r="754" s="9" customFormat="1" ht="15" customHeight="1"/>
    <row r="755" s="9" customFormat="1" ht="15" customHeight="1"/>
    <row r="756" s="9" customFormat="1" ht="15" customHeight="1"/>
    <row r="757" s="9" customFormat="1" ht="15" customHeight="1"/>
    <row r="758" s="9" customFormat="1" ht="15" customHeight="1"/>
    <row r="759" s="9" customFormat="1" ht="15" customHeight="1"/>
    <row r="760" s="9" customFormat="1" ht="15" customHeight="1"/>
    <row r="761" s="9" customFormat="1" ht="15" customHeight="1"/>
    <row r="762" s="9" customFormat="1" ht="15" customHeight="1"/>
    <row r="763" s="9" customFormat="1" ht="15" customHeight="1"/>
    <row r="764" s="9" customFormat="1" ht="15" customHeight="1"/>
    <row r="765" s="9" customFormat="1" ht="15" customHeight="1"/>
    <row r="766" s="9" customFormat="1" ht="15" customHeight="1"/>
    <row r="767" s="9" customFormat="1" ht="15" customHeight="1"/>
    <row r="768" s="9" customFormat="1" ht="15" customHeight="1"/>
    <row r="769" s="9" customFormat="1" ht="15" customHeight="1"/>
    <row r="770" s="9" customFormat="1" ht="15" customHeight="1"/>
    <row r="771" s="9" customFormat="1" ht="15" customHeight="1"/>
    <row r="772" s="9" customFormat="1" ht="15" customHeight="1"/>
    <row r="773" s="9" customFormat="1" ht="15" customHeight="1"/>
    <row r="774" s="9" customFormat="1" ht="15" customHeight="1"/>
    <row r="775" s="9" customFormat="1" ht="15" customHeight="1"/>
    <row r="776" s="9" customFormat="1" ht="15" customHeight="1"/>
    <row r="777" s="9" customFormat="1" ht="15" customHeight="1"/>
    <row r="778" s="9" customFormat="1" ht="15" customHeight="1"/>
    <row r="779" s="9" customFormat="1" ht="15" customHeight="1"/>
    <row r="780" s="9" customFormat="1" ht="15" customHeight="1"/>
    <row r="781" s="9" customFormat="1" ht="15" customHeight="1"/>
    <row r="782" s="9" customFormat="1" ht="15" customHeight="1"/>
    <row r="783" s="9" customFormat="1" ht="15" customHeight="1"/>
    <row r="784" s="9" customFormat="1" ht="15" customHeight="1"/>
    <row r="785" s="9" customFormat="1" ht="15" customHeight="1"/>
    <row r="786" s="9" customFormat="1" ht="15" customHeight="1"/>
    <row r="787" s="9" customFormat="1" ht="15" customHeight="1"/>
    <row r="788" s="9" customFormat="1" ht="15" customHeight="1"/>
    <row r="789" s="9" customFormat="1" ht="15" customHeight="1"/>
    <row r="790" s="9" customFormat="1" ht="15" customHeight="1"/>
    <row r="791" s="9" customFormat="1" ht="15" customHeight="1"/>
    <row r="792" s="9" customFormat="1" ht="15" customHeight="1"/>
    <row r="793" s="9" customFormat="1" ht="15" customHeight="1"/>
    <row r="794" s="9" customFormat="1" ht="15" customHeight="1"/>
    <row r="795" s="9" customFormat="1" ht="15" customHeight="1"/>
    <row r="796" s="9" customFormat="1" ht="15" customHeight="1"/>
    <row r="797" s="9" customFormat="1" ht="15" customHeight="1"/>
    <row r="798" s="9" customFormat="1" ht="15" customHeight="1"/>
    <row r="799" s="9" customFormat="1" ht="15" customHeight="1"/>
    <row r="800" s="9" customFormat="1" ht="15" customHeight="1"/>
    <row r="801" s="9" customFormat="1" ht="15" customHeight="1"/>
    <row r="802" s="9" customFormat="1" ht="15" customHeight="1"/>
    <row r="803" s="9" customFormat="1" ht="15" customHeight="1"/>
    <row r="804" s="9" customFormat="1" ht="15" customHeight="1"/>
    <row r="805" s="9" customFormat="1" ht="15" customHeight="1"/>
    <row r="806" s="9" customFormat="1" ht="15" customHeight="1"/>
    <row r="807" s="9" customFormat="1" ht="15" customHeight="1"/>
    <row r="808" s="9" customFormat="1" ht="15" customHeight="1"/>
    <row r="809" s="9" customFormat="1" ht="15" customHeight="1"/>
    <row r="810" s="9" customFormat="1" ht="15" customHeight="1"/>
    <row r="811" s="9" customFormat="1" ht="15" customHeight="1"/>
    <row r="812" s="9" customFormat="1" ht="15" customHeight="1"/>
    <row r="813" s="9" customFormat="1" ht="15" customHeight="1"/>
    <row r="814" s="9" customFormat="1" ht="15" customHeight="1"/>
    <row r="815" s="9" customFormat="1" ht="15" customHeight="1"/>
    <row r="816" s="9" customFormat="1" ht="15" customHeight="1"/>
    <row r="817" s="9" customFormat="1" ht="15" customHeight="1"/>
    <row r="818" s="9" customFormat="1" ht="15" customHeight="1"/>
    <row r="819" s="9" customFormat="1" ht="15" customHeight="1"/>
    <row r="820" s="9" customFormat="1" ht="15" customHeight="1"/>
    <row r="821" s="9" customFormat="1" ht="15" customHeight="1"/>
    <row r="822" s="9" customFormat="1" ht="15" customHeight="1"/>
    <row r="823" s="9" customFormat="1" ht="15" customHeight="1"/>
    <row r="824" s="9" customFormat="1" ht="15" customHeight="1"/>
    <row r="825" s="9" customFormat="1" ht="15" customHeight="1"/>
    <row r="826" s="9" customFormat="1" ht="15" customHeight="1"/>
    <row r="827" s="9" customFormat="1" ht="15" customHeight="1"/>
    <row r="828" s="9" customFormat="1" ht="15" customHeight="1"/>
    <row r="829" s="9" customFormat="1" ht="15" customHeight="1"/>
    <row r="830" s="9" customFormat="1" ht="15" customHeight="1"/>
    <row r="831" s="9" customFormat="1" ht="15" customHeight="1"/>
    <row r="832" s="9" customFormat="1" ht="15" customHeight="1"/>
    <row r="833" s="9" customFormat="1" ht="15" customHeight="1"/>
    <row r="834" s="9" customFormat="1" ht="15" customHeight="1"/>
    <row r="835" s="9" customFormat="1" ht="15" customHeight="1"/>
    <row r="836" s="9" customFormat="1" ht="15" customHeight="1"/>
    <row r="837" s="9" customFormat="1" ht="15" customHeight="1"/>
    <row r="838" s="9" customFormat="1" ht="15" customHeight="1"/>
    <row r="839" s="9" customFormat="1" ht="15" customHeight="1"/>
    <row r="840" s="9" customFormat="1" ht="15" customHeight="1"/>
    <row r="841" s="9" customFormat="1" ht="15" customHeight="1"/>
    <row r="842" s="9" customFormat="1" ht="15" customHeight="1"/>
    <row r="843" s="9" customFormat="1" ht="15" customHeight="1"/>
    <row r="844" s="9" customFormat="1" ht="15" customHeight="1"/>
    <row r="845" s="9" customFormat="1" ht="15" customHeight="1"/>
    <row r="846" s="9" customFormat="1" ht="15" customHeight="1"/>
    <row r="847" s="9" customFormat="1" ht="15" customHeight="1"/>
    <row r="848" s="9" customFormat="1" ht="15" customHeight="1"/>
    <row r="849" s="9" customFormat="1" ht="15" customHeight="1"/>
    <row r="850" s="9" customFormat="1" ht="15" customHeight="1"/>
    <row r="851" s="9" customFormat="1" ht="15" customHeight="1"/>
    <row r="852" s="9" customFormat="1" ht="15" customHeight="1"/>
    <row r="853" s="9" customFormat="1" ht="15" customHeight="1"/>
    <row r="854" s="9" customFormat="1" ht="15" customHeight="1"/>
    <row r="855" s="9" customFormat="1" ht="15" customHeight="1"/>
    <row r="856" s="9" customFormat="1" ht="15" customHeight="1"/>
    <row r="857" s="9" customFormat="1" ht="15" customHeight="1"/>
    <row r="858" s="9" customFormat="1" ht="15" customHeight="1"/>
    <row r="859" s="9" customFormat="1" ht="15" customHeight="1"/>
    <row r="860" s="9" customFormat="1" ht="15" customHeight="1"/>
    <row r="861" s="9" customFormat="1" ht="15" customHeight="1"/>
    <row r="862" s="9" customFormat="1" ht="15" customHeight="1"/>
    <row r="863" s="9" customFormat="1" ht="15" customHeight="1"/>
    <row r="864" s="9" customFormat="1" ht="15" customHeight="1"/>
    <row r="865" s="9" customFormat="1" ht="15" customHeight="1"/>
    <row r="866" s="9" customFormat="1" ht="15" customHeight="1"/>
    <row r="867" s="9" customFormat="1" ht="15" customHeight="1"/>
    <row r="868" s="9" customFormat="1" ht="15" customHeight="1"/>
    <row r="869" s="9" customFormat="1" ht="15" customHeight="1"/>
    <row r="870" s="9" customFormat="1" ht="15" customHeight="1"/>
    <row r="871" s="9" customFormat="1" ht="15" customHeight="1"/>
    <row r="872" s="9" customFormat="1" ht="15" customHeight="1"/>
    <row r="873" s="9" customFormat="1" ht="15" customHeight="1"/>
    <row r="874" s="9" customFormat="1" ht="15" customHeight="1"/>
    <row r="875" s="9" customFormat="1" ht="15" customHeight="1"/>
    <row r="876" s="9" customFormat="1" ht="15" customHeight="1"/>
    <row r="877" s="9" customFormat="1" ht="15" customHeight="1"/>
    <row r="878" s="9" customFormat="1" ht="15" customHeight="1"/>
    <row r="879" s="9" customFormat="1" ht="15" customHeight="1"/>
    <row r="880" s="9" customFormat="1" ht="15" customHeight="1"/>
    <row r="881" s="9" customFormat="1" ht="15" customHeight="1"/>
    <row r="882" s="9" customFormat="1" ht="15" customHeight="1"/>
    <row r="883" s="9" customFormat="1" ht="15" customHeight="1"/>
    <row r="884" s="9" customFormat="1" ht="15" customHeight="1"/>
    <row r="885" s="9" customFormat="1" ht="15" customHeight="1"/>
    <row r="886" s="9" customFormat="1" ht="15" customHeight="1"/>
    <row r="887" s="9" customFormat="1" ht="15" customHeight="1"/>
    <row r="888" s="9" customFormat="1" ht="15" customHeight="1"/>
    <row r="889" s="9" customFormat="1" ht="15" customHeight="1"/>
    <row r="890" s="9" customFormat="1" ht="15" customHeight="1"/>
    <row r="891" s="9" customFormat="1" ht="15" customHeight="1"/>
    <row r="892" s="9" customFormat="1" ht="15" customHeight="1"/>
    <row r="893" s="9" customFormat="1" ht="15" customHeight="1"/>
    <row r="894" s="9" customFormat="1" ht="15" customHeight="1"/>
    <row r="895" s="9" customFormat="1" ht="15" customHeight="1"/>
    <row r="896" s="9" customFormat="1" ht="15" customHeight="1"/>
    <row r="897" s="9" customFormat="1" ht="15" customHeight="1"/>
    <row r="898" s="9" customFormat="1" ht="15" customHeight="1"/>
    <row r="899" s="9" customFormat="1" ht="15" customHeight="1"/>
    <row r="900" s="9" customFormat="1" ht="15" customHeight="1"/>
    <row r="901" s="9" customFormat="1" ht="15" customHeight="1"/>
    <row r="902" s="9" customFormat="1" ht="15" customHeight="1"/>
    <row r="903" s="9" customFormat="1" ht="15" customHeight="1"/>
    <row r="904" s="9" customFormat="1" ht="15" customHeight="1"/>
    <row r="905" s="9" customFormat="1" ht="15" customHeight="1"/>
    <row r="906" s="9" customFormat="1" ht="15" customHeight="1"/>
    <row r="907" s="9" customFormat="1" ht="15" customHeight="1"/>
    <row r="908" s="9" customFormat="1" ht="15" customHeight="1"/>
    <row r="909" s="9" customFormat="1" ht="15" customHeight="1"/>
    <row r="910" s="9" customFormat="1" ht="15" customHeight="1"/>
    <row r="911" s="9" customFormat="1" ht="15" customHeight="1"/>
    <row r="912" s="9" customFormat="1" ht="15" customHeight="1"/>
    <row r="913" s="9" customFormat="1" ht="15" customHeight="1"/>
    <row r="914" s="9" customFormat="1" ht="15" customHeight="1"/>
    <row r="915" s="9" customFormat="1" ht="15" customHeight="1"/>
    <row r="916" s="9" customFormat="1" ht="15" customHeight="1"/>
    <row r="917" s="9" customFormat="1" ht="15" customHeight="1"/>
    <row r="918" s="9" customFormat="1" ht="15" customHeight="1"/>
    <row r="919" s="9" customFormat="1" ht="15" customHeight="1"/>
    <row r="920" s="9" customFormat="1" ht="15" customHeight="1"/>
    <row r="921" s="9" customFormat="1" ht="15" customHeight="1"/>
    <row r="922" s="9" customFormat="1" ht="15" customHeight="1"/>
    <row r="923" s="9" customFormat="1" ht="15" customHeight="1"/>
    <row r="924" s="9" customFormat="1" ht="15" customHeight="1"/>
    <row r="925" s="9" customFormat="1" ht="15" customHeight="1"/>
    <row r="926" s="9" customFormat="1" ht="15" customHeight="1"/>
    <row r="927" s="9" customFormat="1" ht="15" customHeight="1"/>
  </sheetData>
  <hyperlinks>
    <hyperlink ref="A1" location="'Start-Experte'!A1" display="zurück" xr:uid="{00000000-0004-0000-25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4" operator="greaterThan" id="{608CF81F-9D13-43B6-A37B-519FC5DDA0B0}">
            <xm:f>ControlPanel!$D$59-1</xm:f>
            <x14:dxf>
              <font>
                <color rgb="FF9C6500"/>
              </font>
              <fill>
                <patternFill>
                  <bgColor rgb="FFFFEB9C"/>
                </patternFill>
              </fill>
            </x14:dxf>
          </x14:cfRule>
          <x14:cfRule type="cellIs" priority="5" operator="lessThan" id="{983DB754-506B-4A89-841A-701182F4987A}">
            <xm:f>ControlPanel!$D$59</xm:f>
            <x14:dxf>
              <font>
                <color rgb="FF006100"/>
              </font>
              <fill>
                <patternFill>
                  <bgColor rgb="FFC6EFCE"/>
                </patternFill>
              </fill>
            </x14:dxf>
          </x14:cfRule>
          <x14:cfRule type="cellIs" priority="6" operator="lessThan" id="{64CD73E7-E82C-4BF1-8E08-D2CA5C523A59}">
            <xm:f>ControlPanel!$D$59+1</xm:f>
            <x14:dxf>
              <font>
                <color rgb="FF006100"/>
              </font>
              <fill>
                <patternFill>
                  <fgColor indexed="64"/>
                  <bgColor rgb="FFC6EFCE"/>
                </patternFill>
              </fill>
            </x14:dxf>
          </x14:cfRule>
          <xm:sqref>G4:AF4</xm:sqref>
        </x14:conditionalFormatting>
        <x14:conditionalFormatting xmlns:xm="http://schemas.microsoft.com/office/excel/2006/main">
          <x14:cfRule type="cellIs" priority="1" operator="greaterThan" id="{8C158A97-AA17-4684-8203-0ACD78D3AD39}">
            <xm:f>ControlPanel!$D$59-1</xm:f>
            <x14:dxf>
              <font>
                <color rgb="FF9C6500"/>
              </font>
              <fill>
                <patternFill>
                  <bgColor rgb="FFFFEB9C"/>
                </patternFill>
              </fill>
            </x14:dxf>
          </x14:cfRule>
          <x14:cfRule type="cellIs" priority="2" operator="lessThan" id="{992B7BAB-F4A1-4196-8224-848D2848A885}">
            <xm:f>ControlPanel!$D$59</xm:f>
            <x14:dxf>
              <font>
                <color rgb="FF006100"/>
              </font>
              <fill>
                <patternFill>
                  <bgColor rgb="FFC6EFCE"/>
                </patternFill>
              </fill>
            </x14:dxf>
          </x14:cfRule>
          <x14:cfRule type="cellIs" priority="3" operator="lessThan" id="{181B352B-1FC4-4A2C-8322-E8F0277552B4}">
            <xm:f>ControlPanel!$D$59+1</xm:f>
            <x14:dxf>
              <font>
                <color rgb="FF006100"/>
              </font>
              <fill>
                <patternFill>
                  <fgColor indexed="64"/>
                  <bgColor rgb="FFC6EFCE"/>
                </patternFill>
              </fill>
            </x14:dxf>
          </x14:cfRule>
          <xm:sqref>G17:AF17</xm:sqref>
        </x14:conditionalFormatting>
      </x14:conditionalFormatting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Tabelle41">
    <tabColor theme="9" tint="-0.499984740745262"/>
  </sheetPr>
  <dimension ref="A1:AF952"/>
  <sheetViews>
    <sheetView zoomScaleNormal="100" workbookViewId="0">
      <selection activeCell="E15" sqref="E15"/>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4" width="8.6640625" style="9" customWidth="1"/>
    <col min="15" max="32" width="8.6640625" style="9" customWidth="1" outlineLevel="1"/>
    <col min="33" max="16384" width="11.5546875" style="9"/>
  </cols>
  <sheetData>
    <row r="1" spans="1:32">
      <c r="A1" s="41" t="s">
        <v>74</v>
      </c>
      <c r="B1" s="61" t="s">
        <v>932</v>
      </c>
      <c r="C1" s="61"/>
      <c r="D1" s="19"/>
      <c r="E1" s="19"/>
      <c r="F1" s="19"/>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17</v>
      </c>
      <c r="H5" s="323" t="s">
        <v>17</v>
      </c>
      <c r="I5" s="323" t="s">
        <v>17</v>
      </c>
      <c r="J5" s="323" t="s">
        <v>17</v>
      </c>
      <c r="K5" s="323" t="s">
        <v>17</v>
      </c>
      <c r="L5" s="323" t="s">
        <v>17</v>
      </c>
      <c r="M5" s="323" t="s">
        <v>17</v>
      </c>
      <c r="N5" s="323" t="s">
        <v>17</v>
      </c>
      <c r="O5" s="323" t="s">
        <v>17</v>
      </c>
      <c r="P5" s="323" t="s">
        <v>17</v>
      </c>
      <c r="Q5" s="323" t="s">
        <v>17</v>
      </c>
      <c r="R5" s="323" t="s">
        <v>17</v>
      </c>
      <c r="S5" s="323" t="s">
        <v>17</v>
      </c>
      <c r="T5" s="323" t="s">
        <v>17</v>
      </c>
      <c r="U5" s="323" t="s">
        <v>17</v>
      </c>
      <c r="V5" s="323" t="s">
        <v>17</v>
      </c>
      <c r="W5" s="323" t="s">
        <v>17</v>
      </c>
      <c r="X5" s="323" t="s">
        <v>17</v>
      </c>
      <c r="Y5" s="323" t="s">
        <v>17</v>
      </c>
      <c r="Z5" s="323" t="s">
        <v>17</v>
      </c>
      <c r="AA5" s="323" t="s">
        <v>17</v>
      </c>
      <c r="AB5" s="323" t="s">
        <v>17</v>
      </c>
      <c r="AC5" s="323" t="s">
        <v>17</v>
      </c>
      <c r="AD5" s="323" t="s">
        <v>17</v>
      </c>
      <c r="AE5" s="323" t="s">
        <v>17</v>
      </c>
      <c r="AF5" s="323" t="s">
        <v>17</v>
      </c>
    </row>
    <row r="6" spans="1:32" ht="15" customHeight="1" thickBot="1">
      <c r="B6" s="166" t="s">
        <v>529</v>
      </c>
      <c r="C6" s="175" t="s">
        <v>846</v>
      </c>
      <c r="D6" s="15" t="s">
        <v>300</v>
      </c>
      <c r="E6" s="15" t="s">
        <v>933</v>
      </c>
      <c r="F6" s="529"/>
      <c r="G6" s="14">
        <v>76.040000000000006</v>
      </c>
      <c r="H6" s="14">
        <v>78.580579248126398</v>
      </c>
      <c r="I6" s="14">
        <v>85.426349075311549</v>
      </c>
      <c r="J6" s="14">
        <v>84.973326885251481</v>
      </c>
      <c r="K6" s="14">
        <v>93.580358696572972</v>
      </c>
      <c r="L6" s="14">
        <v>90.888126814616172</v>
      </c>
      <c r="M6" s="14">
        <v>94.021995549816509</v>
      </c>
      <c r="N6" s="14">
        <v>95.471944662181755</v>
      </c>
      <c r="O6" s="14">
        <v>93.257752565695739</v>
      </c>
      <c r="P6" s="14">
        <v>94.128858532452895</v>
      </c>
      <c r="Q6" s="14">
        <v>94.824277922477592</v>
      </c>
      <c r="R6" s="14">
        <v>96.066608000039679</v>
      </c>
      <c r="S6" s="14">
        <v>0</v>
      </c>
      <c r="T6" s="14">
        <v>0</v>
      </c>
      <c r="U6" s="14">
        <v>0</v>
      </c>
      <c r="V6" s="14">
        <v>0</v>
      </c>
      <c r="W6" s="14">
        <v>0</v>
      </c>
      <c r="X6" s="14">
        <v>0</v>
      </c>
      <c r="Y6" s="14">
        <v>0</v>
      </c>
      <c r="Z6" s="14">
        <v>0</v>
      </c>
      <c r="AA6" s="14">
        <v>0</v>
      </c>
      <c r="AB6" s="14">
        <v>0</v>
      </c>
      <c r="AC6" s="14">
        <v>0</v>
      </c>
      <c r="AD6" s="14">
        <v>0</v>
      </c>
      <c r="AE6" s="14">
        <v>0</v>
      </c>
      <c r="AF6" s="14">
        <v>0</v>
      </c>
    </row>
    <row r="7" spans="1:32" ht="15" customHeight="1" thickBot="1">
      <c r="B7" s="165" t="s">
        <v>349</v>
      </c>
      <c r="C7" s="175" t="s">
        <v>846</v>
      </c>
      <c r="D7" s="15" t="s">
        <v>300</v>
      </c>
      <c r="E7" s="15" t="s">
        <v>933</v>
      </c>
      <c r="F7" s="529"/>
      <c r="G7" s="14">
        <v>70.59</v>
      </c>
      <c r="H7" s="14">
        <v>70.623810216707398</v>
      </c>
      <c r="I7" s="14">
        <v>72.333594863809779</v>
      </c>
      <c r="J7" s="14">
        <v>75.078609851750898</v>
      </c>
      <c r="K7" s="14">
        <v>80.301227083888492</v>
      </c>
      <c r="L7" s="14">
        <v>69.689921182911647</v>
      </c>
      <c r="M7" s="14">
        <v>70.331521816935805</v>
      </c>
      <c r="N7" s="14">
        <v>69.72914314608407</v>
      </c>
      <c r="O7" s="14">
        <v>69.58740425505863</v>
      </c>
      <c r="P7" s="14">
        <v>71.700386816033742</v>
      </c>
      <c r="Q7" s="14">
        <v>69.098674383868556</v>
      </c>
      <c r="R7" s="14">
        <v>71.292092493824555</v>
      </c>
      <c r="S7" s="14">
        <v>0</v>
      </c>
      <c r="T7" s="14">
        <v>0</v>
      </c>
      <c r="U7" s="14">
        <v>0</v>
      </c>
      <c r="V7" s="14">
        <v>0</v>
      </c>
      <c r="W7" s="14">
        <v>0</v>
      </c>
      <c r="X7" s="14">
        <v>0</v>
      </c>
      <c r="Y7" s="14">
        <v>0</v>
      </c>
      <c r="Z7" s="14">
        <v>0</v>
      </c>
      <c r="AA7" s="14">
        <v>0</v>
      </c>
      <c r="AB7" s="14">
        <v>0</v>
      </c>
      <c r="AC7" s="14">
        <v>0</v>
      </c>
      <c r="AD7" s="14">
        <v>0</v>
      </c>
      <c r="AE7" s="14">
        <v>0</v>
      </c>
      <c r="AF7" s="14">
        <v>0</v>
      </c>
    </row>
    <row r="8" spans="1:32" ht="15" customHeight="1" thickBot="1">
      <c r="B8" s="165" t="s">
        <v>11</v>
      </c>
      <c r="C8" s="175" t="s">
        <v>846</v>
      </c>
      <c r="D8" s="15" t="s">
        <v>300</v>
      </c>
      <c r="E8" s="15" t="s">
        <v>933</v>
      </c>
      <c r="F8" s="529"/>
      <c r="G8" s="38">
        <v>150.44</v>
      </c>
      <c r="H8" s="38">
        <v>174.78292585554749</v>
      </c>
      <c r="I8" s="38">
        <v>171.71219457964042</v>
      </c>
      <c r="J8" s="38">
        <v>182.43185910801026</v>
      </c>
      <c r="K8" s="38">
        <v>184.3941182048568</v>
      </c>
      <c r="L8" s="38">
        <v>185.81088443376183</v>
      </c>
      <c r="M8" s="38">
        <v>187.10187197631356</v>
      </c>
      <c r="N8" s="38">
        <v>188.59316836578836</v>
      </c>
      <c r="O8" s="38">
        <v>191.10109988815023</v>
      </c>
      <c r="P8" s="14">
        <v>196.13070462077062</v>
      </c>
      <c r="Q8" s="14">
        <v>192.3639566092275</v>
      </c>
      <c r="R8" s="38">
        <v>197.60807852307477</v>
      </c>
      <c r="S8" s="38">
        <v>0</v>
      </c>
      <c r="T8" s="38">
        <v>0</v>
      </c>
      <c r="U8" s="38">
        <v>0</v>
      </c>
      <c r="V8" s="38">
        <v>0</v>
      </c>
      <c r="W8" s="38">
        <v>0</v>
      </c>
      <c r="X8" s="38">
        <v>0</v>
      </c>
      <c r="Y8" s="38">
        <v>0</v>
      </c>
      <c r="Z8" s="38">
        <v>0</v>
      </c>
      <c r="AA8" s="38">
        <v>0</v>
      </c>
      <c r="AB8" s="38">
        <v>0</v>
      </c>
      <c r="AC8" s="38">
        <v>0</v>
      </c>
      <c r="AD8" s="38">
        <v>0</v>
      </c>
      <c r="AE8" s="38">
        <v>0</v>
      </c>
      <c r="AF8" s="38">
        <v>0</v>
      </c>
    </row>
    <row r="9" spans="1:32" ht="15" customHeight="1" thickBot="1">
      <c r="B9" s="165" t="s">
        <v>10</v>
      </c>
      <c r="C9" s="175" t="s">
        <v>846</v>
      </c>
      <c r="D9" s="15" t="s">
        <v>300</v>
      </c>
      <c r="E9" s="15" t="s">
        <v>933</v>
      </c>
      <c r="F9" s="529"/>
      <c r="G9" s="14">
        <v>150</v>
      </c>
      <c r="H9" s="14">
        <v>212.46439005388561</v>
      </c>
      <c r="I9" s="14">
        <v>221.27270328235733</v>
      </c>
      <c r="J9" s="14">
        <v>235.75585040650407</v>
      </c>
      <c r="K9" s="14">
        <v>243.3346397049238</v>
      </c>
      <c r="L9" s="14">
        <v>245.37903027629881</v>
      </c>
      <c r="M9" s="14">
        <v>243.88965712257979</v>
      </c>
      <c r="N9" s="14">
        <v>247.41502395474978</v>
      </c>
      <c r="O9" s="14">
        <v>241.0595654539801</v>
      </c>
      <c r="P9" s="14">
        <v>251.13132613734075</v>
      </c>
      <c r="Q9" s="14">
        <v>245.91407182317226</v>
      </c>
      <c r="R9" s="14">
        <v>248.65452372169901</v>
      </c>
      <c r="S9" s="14">
        <v>0</v>
      </c>
      <c r="T9" s="14">
        <v>0</v>
      </c>
      <c r="U9" s="14">
        <v>0</v>
      </c>
      <c r="V9" s="14">
        <v>0</v>
      </c>
      <c r="W9" s="14">
        <v>0</v>
      </c>
      <c r="X9" s="14">
        <v>0</v>
      </c>
      <c r="Y9" s="14">
        <v>0</v>
      </c>
      <c r="Z9" s="14">
        <v>0</v>
      </c>
      <c r="AA9" s="14">
        <v>0</v>
      </c>
      <c r="AB9" s="14">
        <v>0</v>
      </c>
      <c r="AC9" s="14">
        <v>0</v>
      </c>
      <c r="AD9" s="14">
        <v>0</v>
      </c>
      <c r="AE9" s="14">
        <v>0</v>
      </c>
      <c r="AF9" s="14">
        <v>0</v>
      </c>
    </row>
    <row r="10" spans="1:32" ht="15" customHeight="1" thickBot="1">
      <c r="B10" s="165" t="s">
        <v>339</v>
      </c>
      <c r="C10" s="175" t="s">
        <v>846</v>
      </c>
      <c r="D10" s="15" t="s">
        <v>300</v>
      </c>
      <c r="E10" s="15" t="s">
        <v>933</v>
      </c>
      <c r="F10" s="529"/>
      <c r="G10" s="14">
        <v>87.77</v>
      </c>
      <c r="H10" s="14">
        <v>88.470056975207314</v>
      </c>
      <c r="I10" s="14">
        <v>89.579894563937472</v>
      </c>
      <c r="J10" s="14">
        <v>97.55029244575941</v>
      </c>
      <c r="K10" s="14">
        <v>100.74631823317601</v>
      </c>
      <c r="L10" s="14">
        <v>92.874953538580655</v>
      </c>
      <c r="M10" s="14">
        <v>91.555496018812718</v>
      </c>
      <c r="N10" s="14">
        <v>88.105159748659176</v>
      </c>
      <c r="O10" s="14">
        <v>85.970286785170643</v>
      </c>
      <c r="P10" s="14">
        <v>88.681513062623281</v>
      </c>
      <c r="Q10" s="14">
        <v>84.943185603231001</v>
      </c>
      <c r="R10" s="14">
        <v>87.658156173485565</v>
      </c>
      <c r="S10" s="14">
        <v>0</v>
      </c>
      <c r="T10" s="14">
        <v>0</v>
      </c>
      <c r="U10" s="14">
        <v>0</v>
      </c>
      <c r="V10" s="14">
        <v>0</v>
      </c>
      <c r="W10" s="14">
        <v>0</v>
      </c>
      <c r="X10" s="14">
        <v>0</v>
      </c>
      <c r="Y10" s="14">
        <v>0</v>
      </c>
      <c r="Z10" s="14">
        <v>0</v>
      </c>
      <c r="AA10" s="14">
        <v>0</v>
      </c>
      <c r="AB10" s="14">
        <v>0</v>
      </c>
      <c r="AC10" s="14">
        <v>0</v>
      </c>
      <c r="AD10" s="14">
        <v>0</v>
      </c>
      <c r="AE10" s="14">
        <v>0</v>
      </c>
      <c r="AF10" s="14">
        <v>0</v>
      </c>
    </row>
    <row r="11" spans="1:32" ht="15" customHeight="1" thickBot="1">
      <c r="B11" s="165" t="s">
        <v>340</v>
      </c>
      <c r="C11" s="175" t="s">
        <v>846</v>
      </c>
      <c r="D11" s="15" t="s">
        <v>300</v>
      </c>
      <c r="E11" s="15" t="s">
        <v>933</v>
      </c>
      <c r="F11" s="529"/>
      <c r="G11" s="14">
        <v>150</v>
      </c>
      <c r="H11" s="14">
        <v>150.00002964794805</v>
      </c>
      <c r="I11" s="14">
        <v>159.55374326447114</v>
      </c>
      <c r="J11" s="14">
        <v>189.09737949685689</v>
      </c>
      <c r="K11" s="14">
        <v>191.11269267192381</v>
      </c>
      <c r="L11" s="14">
        <v>182.24269170072949</v>
      </c>
      <c r="M11" s="14">
        <v>183.62361985504901</v>
      </c>
      <c r="N11" s="14">
        <v>181.73716679008584</v>
      </c>
      <c r="O11" s="14">
        <v>185.91972037730574</v>
      </c>
      <c r="P11" s="14">
        <v>187.42134928446933</v>
      </c>
      <c r="Q11" s="14">
        <v>184.61609509608459</v>
      </c>
      <c r="R11" s="14">
        <v>185.38314339176773</v>
      </c>
      <c r="S11" s="14">
        <v>0</v>
      </c>
      <c r="T11" s="14">
        <v>0</v>
      </c>
      <c r="U11" s="14">
        <v>0</v>
      </c>
      <c r="V11" s="14">
        <v>0</v>
      </c>
      <c r="W11" s="14">
        <v>0</v>
      </c>
      <c r="X11" s="14">
        <v>0</v>
      </c>
      <c r="Y11" s="14">
        <v>0</v>
      </c>
      <c r="Z11" s="14">
        <v>0</v>
      </c>
      <c r="AA11" s="14">
        <v>0</v>
      </c>
      <c r="AB11" s="14">
        <v>0</v>
      </c>
      <c r="AC11" s="14">
        <v>0</v>
      </c>
      <c r="AD11" s="14">
        <v>0</v>
      </c>
      <c r="AE11" s="14">
        <v>0</v>
      </c>
      <c r="AF11" s="14">
        <v>0</v>
      </c>
    </row>
    <row r="12" spans="1:32" ht="15" customHeight="1" thickBot="1">
      <c r="B12" s="167" t="s">
        <v>530</v>
      </c>
      <c r="C12" s="175" t="s">
        <v>846</v>
      </c>
      <c r="D12" s="15" t="s">
        <v>300</v>
      </c>
      <c r="E12" s="15" t="s">
        <v>933</v>
      </c>
      <c r="F12" s="529"/>
      <c r="G12" s="14">
        <v>468.01</v>
      </c>
      <c r="H12" s="14">
        <v>413.44926826434391</v>
      </c>
      <c r="I12" s="14">
        <v>371.1522047462546</v>
      </c>
      <c r="J12" s="14">
        <v>315.53756947644092</v>
      </c>
      <c r="K12" s="14">
        <v>313.88797913696925</v>
      </c>
      <c r="L12" s="14">
        <v>316.55085116684148</v>
      </c>
      <c r="M12" s="14">
        <v>306.12648368500913</v>
      </c>
      <c r="N12" s="14">
        <v>292.27348099233154</v>
      </c>
      <c r="O12" s="14">
        <v>288.19142295217864</v>
      </c>
      <c r="P12" s="14">
        <v>273.54643342384685</v>
      </c>
      <c r="Q12" s="14">
        <v>264.37474625040585</v>
      </c>
      <c r="R12" s="14">
        <v>249.07864310282855</v>
      </c>
      <c r="S12" s="14">
        <v>0</v>
      </c>
      <c r="T12" s="14">
        <v>0</v>
      </c>
      <c r="U12" s="14">
        <v>0</v>
      </c>
      <c r="V12" s="14">
        <v>0</v>
      </c>
      <c r="W12" s="14">
        <v>0</v>
      </c>
      <c r="X12" s="14">
        <v>0</v>
      </c>
      <c r="Y12" s="14">
        <v>0</v>
      </c>
      <c r="Z12" s="14">
        <v>0</v>
      </c>
      <c r="AA12" s="14">
        <v>0</v>
      </c>
      <c r="AB12" s="14">
        <v>0</v>
      </c>
      <c r="AC12" s="14">
        <v>0</v>
      </c>
      <c r="AD12" s="14">
        <v>0</v>
      </c>
      <c r="AE12" s="14">
        <v>0</v>
      </c>
      <c r="AF12" s="14">
        <v>0</v>
      </c>
    </row>
    <row r="13" spans="1:32" ht="15" customHeight="1">
      <c r="O13" s="549"/>
    </row>
    <row r="14" spans="1:32" ht="15" customHeight="1"/>
    <row r="15" spans="1:32" ht="15" customHeight="1"/>
    <row r="16" spans="1:32" ht="15" customHeight="1"/>
    <row r="17" spans="8:8" ht="15" customHeight="1"/>
    <row r="18" spans="8:8" ht="15" customHeight="1"/>
    <row r="19" spans="8:8" ht="15" customHeight="1">
      <c r="H19" s="466"/>
    </row>
    <row r="20" spans="8:8" ht="15" customHeight="1">
      <c r="H20" s="466"/>
    </row>
    <row r="21" spans="8:8" ht="15" customHeight="1">
      <c r="H21" s="466"/>
    </row>
    <row r="22" spans="8:8" ht="15" customHeight="1">
      <c r="H22" s="466"/>
    </row>
    <row r="23" spans="8:8" ht="15" customHeight="1">
      <c r="H23" s="466"/>
    </row>
    <row r="24" spans="8:8" ht="15" customHeight="1">
      <c r="H24" s="466"/>
    </row>
    <row r="25" spans="8:8" ht="15" customHeight="1">
      <c r="H25" s="466"/>
    </row>
    <row r="26" spans="8:8" ht="15" customHeight="1"/>
    <row r="27" spans="8:8" ht="15" customHeight="1"/>
    <row r="28" spans="8:8" ht="15" customHeight="1"/>
    <row r="29" spans="8:8" ht="15" customHeight="1"/>
    <row r="30" spans="8:8" ht="15" customHeight="1"/>
    <row r="31" spans="8:8" ht="15" customHeight="1"/>
    <row r="32" spans="8: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sheetData>
  <hyperlinks>
    <hyperlink ref="A1" location="'Start-Experte'!A1" display="zurück" xr:uid="{00000000-0004-0000-2600-000000000000}"/>
  </hyperlinks>
  <pageMargins left="0.78740157480314965" right="0.78740157480314965" top="0.98425196850393704" bottom="0.98425196850393704" header="0.59055118110236227" footer="0.59055118110236227"/>
  <pageSetup paperSize="9" scale="58" orientation="landscape" cellComments="atEnd" horizontalDpi="4294967293" verticalDpi="1200" r:id="rId1"/>
  <headerFooter scaleWithDoc="0">
    <oddHeader>&amp;C&amp;"Arial,Fett"&amp;18&amp;HEEG Calculator</oddHeader>
    <oddFooter>&amp;LDatendokumentation&amp;C&amp;H&amp;F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32" operator="greaterThan" id="{00000000-0000-0000-0000-000000000000}">
            <xm:f>ControlPanel!$D$59-1</xm:f>
            <x14:dxf>
              <font>
                <color rgb="FF9C6500"/>
              </font>
              <fill>
                <patternFill>
                  <fgColor indexed="64"/>
                  <bgColor rgb="FFFFEB9C"/>
                </patternFill>
              </fill>
            </x14:dxf>
          </x14:cfRule>
          <x14:cfRule type="cellIs" priority="733" operator="lessThan" id="{00000000-0000-0000-0000-000000000000}">
            <xm:f>ControlPanel!$D$59</xm:f>
            <x14:dxf>
              <font>
                <color rgb="FF006100"/>
              </font>
              <fill>
                <patternFill>
                  <fgColor indexed="64"/>
                  <bgColor rgb="FFC6EFCE"/>
                </patternFill>
              </fill>
            </x14:dxf>
          </x14:cfRule>
          <x14:cfRule type="cellIs" priority="734" operator="lessThan" id="{00000000-0000-0000-0000-000000000000}">
            <xm:f>ControlPanel!$D$59+1</xm:f>
            <x14:dxf>
              <font>
                <color rgb="FF006100"/>
              </font>
              <fill>
                <patternFill>
                  <fgColor indexed="64"/>
                  <bgColor rgb="FFC6EFCE"/>
                </patternFill>
              </fill>
            </x14:dxf>
          </x14:cfRule>
          <xm:sqref>G4:AF4</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Tabelle26">
    <tabColor theme="9" tint="-0.499984740745262"/>
  </sheetPr>
  <dimension ref="A1:AE1340"/>
  <sheetViews>
    <sheetView zoomScaleNormal="100" workbookViewId="0">
      <selection activeCell="D17" sqref="D17"/>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64" t="s">
        <v>934</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44</v>
      </c>
      <c r="G5" s="323" t="s">
        <v>44</v>
      </c>
      <c r="H5" s="323" t="s">
        <v>44</v>
      </c>
      <c r="I5" s="323" t="s">
        <v>44</v>
      </c>
      <c r="J5" s="323" t="s">
        <v>44</v>
      </c>
      <c r="K5" s="323" t="s">
        <v>44</v>
      </c>
      <c r="L5" s="323" t="s">
        <v>44</v>
      </c>
      <c r="M5" s="323" t="s">
        <v>44</v>
      </c>
      <c r="N5" s="323" t="s">
        <v>44</v>
      </c>
      <c r="O5" s="323" t="s">
        <v>44</v>
      </c>
      <c r="P5" s="323" t="s">
        <v>44</v>
      </c>
      <c r="Q5" s="323" t="s">
        <v>44</v>
      </c>
      <c r="R5" s="323" t="s">
        <v>44</v>
      </c>
      <c r="S5" s="323" t="s">
        <v>44</v>
      </c>
      <c r="T5" s="323" t="s">
        <v>44</v>
      </c>
      <c r="U5" s="323" t="s">
        <v>44</v>
      </c>
      <c r="V5" s="323" t="s">
        <v>44</v>
      </c>
      <c r="W5" s="323" t="s">
        <v>44</v>
      </c>
      <c r="X5" s="323" t="s">
        <v>44</v>
      </c>
      <c r="Y5" s="323" t="s">
        <v>44</v>
      </c>
      <c r="Z5" s="323" t="s">
        <v>44</v>
      </c>
      <c r="AA5" s="323" t="s">
        <v>44</v>
      </c>
      <c r="AB5" s="323" t="s">
        <v>44</v>
      </c>
      <c r="AC5" s="323" t="s">
        <v>44</v>
      </c>
      <c r="AD5" s="323" t="s">
        <v>44</v>
      </c>
      <c r="AE5" s="323" t="s">
        <v>44</v>
      </c>
    </row>
    <row r="6" spans="1:31" ht="15" customHeight="1" thickBot="1">
      <c r="B6" s="170" t="s">
        <v>846</v>
      </c>
      <c r="C6" s="15" t="s">
        <v>300</v>
      </c>
      <c r="D6" s="15" t="s">
        <v>930</v>
      </c>
      <c r="E6" s="529"/>
      <c r="F6" s="14">
        <v>0</v>
      </c>
      <c r="G6" s="14">
        <v>-1.11629894236</v>
      </c>
      <c r="H6" s="14">
        <v>-0.71124112144000007</v>
      </c>
      <c r="I6" s="14">
        <v>-2.5889139132900003</v>
      </c>
      <c r="J6" s="14">
        <v>-2.1969250054800002</v>
      </c>
      <c r="K6" s="14">
        <v>1.38074493721</v>
      </c>
      <c r="L6" s="14">
        <v>2.5211899999999998</v>
      </c>
      <c r="M6" s="14">
        <v>1.9478101488699999</v>
      </c>
      <c r="N6" s="14">
        <v>3.3292301430700002</v>
      </c>
      <c r="O6" s="14">
        <v>3.6518353547200002</v>
      </c>
      <c r="P6" s="14">
        <v>2.19040541733</v>
      </c>
      <c r="Q6" s="14">
        <v>-4.0803942770500008</v>
      </c>
      <c r="R6" s="14"/>
      <c r="S6" s="14"/>
      <c r="T6" s="14"/>
      <c r="U6" s="14"/>
      <c r="V6" s="14"/>
      <c r="W6" s="14"/>
      <c r="X6" s="14"/>
      <c r="Y6" s="14"/>
      <c r="Z6" s="14"/>
      <c r="AA6" s="14"/>
      <c r="AB6" s="14"/>
      <c r="AC6" s="14"/>
      <c r="AD6" s="14"/>
      <c r="AE6" s="14"/>
    </row>
    <row r="7" spans="1:31" ht="15" customHeight="1">
      <c r="B7" s="66"/>
      <c r="C7" s="18"/>
      <c r="D7" s="18"/>
      <c r="E7" s="18"/>
      <c r="F7" s="17"/>
      <c r="G7" s="17"/>
      <c r="H7" s="17"/>
      <c r="I7" s="17"/>
      <c r="J7" s="17"/>
      <c r="K7" s="17"/>
      <c r="L7" s="17"/>
      <c r="M7" s="17"/>
      <c r="N7" s="549"/>
      <c r="O7" s="17"/>
      <c r="P7" s="17"/>
      <c r="Q7" s="17"/>
      <c r="R7" s="17"/>
      <c r="S7" s="17"/>
      <c r="T7" s="17"/>
      <c r="U7" s="17"/>
      <c r="V7" s="17"/>
      <c r="W7" s="17"/>
      <c r="X7" s="17"/>
      <c r="Y7" s="17"/>
      <c r="Z7" s="17"/>
      <c r="AA7" s="17"/>
      <c r="AB7" s="17"/>
      <c r="AC7" s="17"/>
      <c r="AD7" s="17"/>
      <c r="AE7" s="17"/>
    </row>
    <row r="8" spans="1:31" ht="15" customHeight="1"/>
    <row r="9" spans="1:31" ht="15" customHeight="1"/>
    <row r="10" spans="1:31" ht="15" customHeight="1"/>
    <row r="11" spans="1:31" ht="15" customHeight="1"/>
    <row r="12" spans="1:31" ht="15" customHeight="1"/>
    <row r="13" spans="1:31" ht="15" customHeight="1"/>
    <row r="14" spans="1:31" ht="15" customHeight="1"/>
    <row r="15" spans="1:31" ht="15" customHeight="1"/>
    <row r="16" spans="1:31"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sheetData>
  <hyperlinks>
    <hyperlink ref="A1" location="'Start-Experte'!A1" display="zurück" xr:uid="{00000000-0004-0000-2700-000000000000}"/>
  </hyperlinks>
  <pageMargins left="0.78740157480314965" right="0.78740157480314965" top="0.98425196850393704" bottom="0.98425196850393704" header="0.59055118110236227" footer="0.59055118110236227"/>
  <pageSetup paperSize="9" scale="58" orientation="landscape" cellComments="atEnd" horizontalDpi="4294967293" verticalDpi="1200" r:id="rId1"/>
  <headerFooter scaleWithDoc="0">
    <oddHeader>&amp;C&amp;"Arial,Fett"&amp;18&amp;HEEG Calculator</oddHeader>
    <oddFooter>&amp;LDatendokumentation&amp;C&amp;H&amp;F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41" operator="greaterThan" id="{00000000-0000-0000-0000-000000000000}">
            <xm:f>ControlPanel!$D$59-1</xm:f>
            <x14:dxf>
              <font>
                <color rgb="FF9C6500"/>
              </font>
              <fill>
                <patternFill>
                  <fgColor indexed="64"/>
                  <bgColor rgb="FFFFEB9C"/>
                </patternFill>
              </fill>
            </x14:dxf>
          </x14:cfRule>
          <x14:cfRule type="cellIs" priority="742" operator="lessThan" id="{00000000-0000-0000-0000-000000000000}">
            <xm:f>ControlPanel!$D$59</xm:f>
            <x14:dxf>
              <font>
                <color rgb="FF006100"/>
              </font>
              <fill>
                <patternFill>
                  <fgColor indexed="64"/>
                  <bgColor rgb="FFC6EFCE"/>
                </patternFill>
              </fill>
            </x14:dxf>
          </x14:cfRule>
          <xm:sqref>F4:AE4</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Tabelle64">
    <tabColor theme="9" tint="-0.499984740745262"/>
  </sheetPr>
  <dimension ref="A1:AF917"/>
  <sheetViews>
    <sheetView zoomScaleNormal="100" workbookViewId="0">
      <selection activeCell="F7" sqref="F7"/>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1" width="8.6640625" style="9" customWidth="1" outlineLevel="1"/>
    <col min="12" max="15" width="9.6640625" style="9" bestFit="1" customWidth="1"/>
    <col min="16" max="32" width="9.6640625" style="9" bestFit="1" customWidth="1" outlineLevel="1"/>
    <col min="33" max="16384" width="11.5546875" style="9"/>
  </cols>
  <sheetData>
    <row r="1" spans="1:32">
      <c r="A1" s="41" t="s">
        <v>74</v>
      </c>
      <c r="B1" s="61" t="s">
        <v>935</v>
      </c>
      <c r="C1" s="61"/>
      <c r="D1" s="19"/>
      <c r="E1" s="19"/>
      <c r="F1" s="19"/>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34</v>
      </c>
      <c r="H5" s="323" t="s">
        <v>34</v>
      </c>
      <c r="I5" s="323" t="s">
        <v>34</v>
      </c>
      <c r="J5" s="323" t="s">
        <v>34</v>
      </c>
      <c r="K5" s="323" t="s">
        <v>34</v>
      </c>
      <c r="L5" s="323" t="s">
        <v>34</v>
      </c>
      <c r="M5" s="323" t="s">
        <v>34</v>
      </c>
      <c r="N5" s="323" t="s">
        <v>34</v>
      </c>
      <c r="O5" s="323" t="s">
        <v>34</v>
      </c>
      <c r="P5" s="323" t="s">
        <v>34</v>
      </c>
      <c r="Q5" s="323" t="s">
        <v>34</v>
      </c>
      <c r="R5" s="323" t="s">
        <v>34</v>
      </c>
      <c r="S5" s="323" t="s">
        <v>34</v>
      </c>
      <c r="T5" s="323" t="s">
        <v>34</v>
      </c>
      <c r="U5" s="323" t="s">
        <v>34</v>
      </c>
      <c r="V5" s="323" t="s">
        <v>34</v>
      </c>
      <c r="W5" s="323" t="s">
        <v>34</v>
      </c>
      <c r="X5" s="323" t="s">
        <v>34</v>
      </c>
      <c r="Y5" s="323" t="s">
        <v>34</v>
      </c>
      <c r="Z5" s="323" t="s">
        <v>34</v>
      </c>
      <c r="AA5" s="323" t="s">
        <v>34</v>
      </c>
      <c r="AB5" s="323" t="s">
        <v>34</v>
      </c>
      <c r="AC5" s="323" t="s">
        <v>34</v>
      </c>
      <c r="AD5" s="323" t="s">
        <v>34</v>
      </c>
      <c r="AE5" s="323" t="s">
        <v>34</v>
      </c>
      <c r="AF5" s="323" t="s">
        <v>34</v>
      </c>
    </row>
    <row r="6" spans="1:32" ht="58.5" customHeight="1" thickBot="1">
      <c r="B6" s="166" t="s">
        <v>529</v>
      </c>
      <c r="C6" s="175" t="s">
        <v>846</v>
      </c>
      <c r="D6" s="15" t="s">
        <v>48</v>
      </c>
      <c r="E6" s="15" t="s">
        <v>936</v>
      </c>
      <c r="F6" s="594" t="s">
        <v>937</v>
      </c>
      <c r="G6" s="14"/>
      <c r="H6" s="14"/>
      <c r="I6" s="14"/>
      <c r="J6" s="14"/>
      <c r="K6" s="239">
        <v>1.5617438099999998</v>
      </c>
      <c r="L6" s="547">
        <v>1.5617438099999998</v>
      </c>
      <c r="M6" s="547">
        <v>1.5617438099999998</v>
      </c>
      <c r="N6" s="547">
        <v>1.5617438099999998</v>
      </c>
      <c r="O6" s="547">
        <v>1.5617438099999998</v>
      </c>
      <c r="P6" s="547">
        <v>1.5617438099999998</v>
      </c>
      <c r="Q6" s="547">
        <v>1.5617438099999998</v>
      </c>
      <c r="R6" s="547">
        <v>1.5617438099999998</v>
      </c>
      <c r="S6" s="547">
        <v>1.5617438099999998</v>
      </c>
      <c r="T6" s="547">
        <v>1.5617438099999998</v>
      </c>
      <c r="U6" s="547">
        <v>1.5617438099999998</v>
      </c>
      <c r="V6" s="547">
        <v>1.5617438099999998</v>
      </c>
      <c r="W6" s="547">
        <v>1.5617438099999998</v>
      </c>
      <c r="X6" s="547">
        <v>1.5617438099999998</v>
      </c>
      <c r="Y6" s="547">
        <v>1.5617438099999998</v>
      </c>
      <c r="Z6" s="547">
        <v>1.5617438099999998</v>
      </c>
      <c r="AA6" s="547">
        <v>1.45086618</v>
      </c>
      <c r="AB6" s="547">
        <v>1.3595179899999998</v>
      </c>
      <c r="AC6" s="547">
        <v>1.2860902400000001</v>
      </c>
      <c r="AD6" s="547">
        <v>1.2395648899999998</v>
      </c>
      <c r="AE6" s="547">
        <v>1.1316575499999999</v>
      </c>
      <c r="AF6" s="547">
        <v>1.1188063499999998</v>
      </c>
    </row>
    <row r="7" spans="1:32" ht="58.5" customHeight="1" thickBot="1">
      <c r="B7" s="165" t="s">
        <v>349</v>
      </c>
      <c r="C7" s="175" t="s">
        <v>846</v>
      </c>
      <c r="D7" s="15" t="s">
        <v>48</v>
      </c>
      <c r="E7" s="15" t="s">
        <v>936</v>
      </c>
      <c r="F7" s="594" t="s">
        <v>938</v>
      </c>
      <c r="G7" s="14"/>
      <c r="H7" s="14"/>
      <c r="I7" s="14"/>
      <c r="J7" s="14"/>
      <c r="K7" s="239">
        <v>0.50447248999999994</v>
      </c>
      <c r="L7" s="547">
        <v>0.50447248999999994</v>
      </c>
      <c r="M7" s="547">
        <v>0.50447248999999994</v>
      </c>
      <c r="N7" s="547">
        <v>0.50447248999999994</v>
      </c>
      <c r="O7" s="547">
        <v>0.50447248999999994</v>
      </c>
      <c r="P7" s="547">
        <v>0.50447248999999994</v>
      </c>
      <c r="Q7" s="547">
        <v>0.50447248999999994</v>
      </c>
      <c r="R7" s="547">
        <v>0.32682229000000002</v>
      </c>
      <c r="S7" s="547">
        <v>0.27378529000000001</v>
      </c>
      <c r="T7" s="547">
        <v>0.21108429000000001</v>
      </c>
      <c r="U7" s="547">
        <v>0.13316929</v>
      </c>
      <c r="V7" s="547">
        <v>6.6771990000000003E-2</v>
      </c>
      <c r="W7" s="547">
        <v>5.3154990000000006E-2</v>
      </c>
      <c r="X7" s="547">
        <v>4.4618990000000004E-2</v>
      </c>
      <c r="Y7" s="547">
        <v>3.6103990000000002E-2</v>
      </c>
      <c r="Z7" s="547">
        <v>3.0399990000000002E-2</v>
      </c>
      <c r="AA7" s="547">
        <v>2.0893000000000005E-2</v>
      </c>
      <c r="AB7" s="547">
        <v>1.7971000000000004E-2</v>
      </c>
      <c r="AC7" s="547">
        <v>8.7540000000000014E-3</v>
      </c>
      <c r="AD7" s="547">
        <v>6.9640000000000006E-3</v>
      </c>
      <c r="AE7" s="547">
        <v>5.836E-3</v>
      </c>
      <c r="AF7" s="547">
        <v>0</v>
      </c>
    </row>
    <row r="8" spans="1:32" ht="58.5" customHeight="1" thickBot="1">
      <c r="B8" s="165" t="s">
        <v>11</v>
      </c>
      <c r="C8" s="175" t="s">
        <v>846</v>
      </c>
      <c r="D8" s="15" t="s">
        <v>48</v>
      </c>
      <c r="E8" s="15" t="s">
        <v>936</v>
      </c>
      <c r="F8" s="594" t="s">
        <v>938</v>
      </c>
      <c r="G8" s="38"/>
      <c r="H8" s="38"/>
      <c r="I8" s="38"/>
      <c r="J8" s="38"/>
      <c r="K8" s="240">
        <v>7.0343045899999996</v>
      </c>
      <c r="L8" s="547">
        <v>7.0343045899999996</v>
      </c>
      <c r="M8" s="547">
        <v>7.0343045899999996</v>
      </c>
      <c r="N8" s="547">
        <v>7.0343045899999996</v>
      </c>
      <c r="O8" s="547">
        <v>7.0343045899999996</v>
      </c>
      <c r="P8" s="547">
        <v>7.0343045899999996</v>
      </c>
      <c r="Q8" s="547">
        <v>7.0343045899999996</v>
      </c>
      <c r="R8" s="547">
        <v>6.6231892300000004</v>
      </c>
      <c r="S8" s="547">
        <v>6.4349554299999987</v>
      </c>
      <c r="T8" s="547">
        <v>6.2947062699999998</v>
      </c>
      <c r="U8" s="547">
        <v>6.0627479199999996</v>
      </c>
      <c r="V8" s="547">
        <v>5.4902409299999997</v>
      </c>
      <c r="W8" s="547">
        <v>4.7945024299999996</v>
      </c>
      <c r="X8" s="547">
        <v>3.9465003999999988</v>
      </c>
      <c r="Y8" s="547">
        <v>3.3060079999999994</v>
      </c>
      <c r="Z8" s="547">
        <v>2.9487315999999995</v>
      </c>
      <c r="AA8" s="547">
        <v>2.4935236000000001</v>
      </c>
      <c r="AB8" s="547">
        <v>1.8564320000000003</v>
      </c>
      <c r="AC8" s="547">
        <v>0.80025794000000006</v>
      </c>
      <c r="AD8" s="547">
        <v>0.46639323999999999</v>
      </c>
      <c r="AE8" s="547">
        <v>0.21003932999999994</v>
      </c>
      <c r="AF8" s="547">
        <v>0</v>
      </c>
    </row>
    <row r="9" spans="1:32" ht="58.5" customHeight="1" thickBot="1">
      <c r="B9" s="165" t="s">
        <v>10</v>
      </c>
      <c r="C9" s="175" t="s">
        <v>846</v>
      </c>
      <c r="D9" s="15" t="s">
        <v>48</v>
      </c>
      <c r="E9" s="15" t="s">
        <v>936</v>
      </c>
      <c r="F9" s="594" t="s">
        <v>938</v>
      </c>
      <c r="G9" s="14"/>
      <c r="H9" s="14"/>
      <c r="I9" s="14"/>
      <c r="J9" s="14"/>
      <c r="K9" s="1084">
        <v>3.3985000000000001E-2</v>
      </c>
      <c r="L9" s="547">
        <v>3.3985000000000001E-2</v>
      </c>
      <c r="M9" s="547">
        <v>3.3985000000000001E-2</v>
      </c>
      <c r="N9" s="547">
        <v>3.3985000000000001E-2</v>
      </c>
      <c r="O9" s="547">
        <v>3.3985000000000001E-2</v>
      </c>
      <c r="P9" s="547">
        <v>3.3985000000000001E-2</v>
      </c>
      <c r="Q9" s="547">
        <v>3.3985000000000001E-2</v>
      </c>
      <c r="R9" s="547">
        <v>3.3985000000000001E-2</v>
      </c>
      <c r="S9" s="547">
        <v>3.3985000000000001E-2</v>
      </c>
      <c r="T9" s="547">
        <v>3.3985000000000001E-2</v>
      </c>
      <c r="U9" s="547">
        <v>3.3985000000000001E-2</v>
      </c>
      <c r="V9" s="547">
        <v>3.3765000000000003E-2</v>
      </c>
      <c r="W9" s="547">
        <v>3.3765000000000003E-2</v>
      </c>
      <c r="X9" s="547">
        <v>3.3765000000000003E-2</v>
      </c>
      <c r="Y9" s="547">
        <v>3.0765000000000001E-2</v>
      </c>
      <c r="Z9" s="547">
        <v>3.0765000000000001E-2</v>
      </c>
      <c r="AA9" s="547">
        <v>2.6615000000000003E-2</v>
      </c>
      <c r="AB9" s="547">
        <v>2.6615000000000003E-2</v>
      </c>
      <c r="AC9" s="547">
        <v>2.6615000000000003E-2</v>
      </c>
      <c r="AD9" s="547">
        <v>1.4815E-2</v>
      </c>
      <c r="AE9" s="547">
        <v>3.5000000000000001E-3</v>
      </c>
      <c r="AF9" s="547">
        <v>0</v>
      </c>
    </row>
    <row r="10" spans="1:32" ht="58.5" customHeight="1" thickBot="1">
      <c r="B10" s="165" t="s">
        <v>339</v>
      </c>
      <c r="C10" s="175" t="s">
        <v>846</v>
      </c>
      <c r="D10" s="15" t="s">
        <v>48</v>
      </c>
      <c r="E10" s="15" t="s">
        <v>936</v>
      </c>
      <c r="F10" s="594" t="s">
        <v>938</v>
      </c>
      <c r="G10" s="14">
        <v>0</v>
      </c>
      <c r="H10" s="14">
        <v>0</v>
      </c>
      <c r="I10" s="14">
        <v>0</v>
      </c>
      <c r="J10" s="14">
        <v>0</v>
      </c>
      <c r="K10" s="239">
        <v>37.464569480000002</v>
      </c>
      <c r="L10" s="547">
        <v>37.464569480000002</v>
      </c>
      <c r="M10" s="547">
        <v>37.164569479999997</v>
      </c>
      <c r="N10" s="547">
        <v>36.764569479999999</v>
      </c>
      <c r="O10" s="547">
        <v>36.264569479999999</v>
      </c>
      <c r="P10" s="547">
        <v>35.664569479999997</v>
      </c>
      <c r="Q10" s="547">
        <v>34.964569480000002</v>
      </c>
      <c r="R10" s="547">
        <v>33.158776369999998</v>
      </c>
      <c r="S10" s="547">
        <v>30.565102570000001</v>
      </c>
      <c r="T10" s="547">
        <v>27.51489948</v>
      </c>
      <c r="U10" s="547">
        <v>24.797031480000001</v>
      </c>
      <c r="V10" s="547">
        <v>22.74326048</v>
      </c>
      <c r="W10" s="547">
        <v>20.92921698</v>
      </c>
      <c r="X10" s="547">
        <v>18.699378980000002</v>
      </c>
      <c r="Y10" s="547">
        <v>17.013132779999999</v>
      </c>
      <c r="Z10" s="547">
        <v>16.241268779999999</v>
      </c>
      <c r="AA10" s="547">
        <v>13.541928859999999</v>
      </c>
      <c r="AB10" s="547">
        <v>12.115269209999999</v>
      </c>
      <c r="AC10" s="547">
        <v>10.238786949999998</v>
      </c>
      <c r="AD10" s="547">
        <v>7.8176624199999987</v>
      </c>
      <c r="AE10" s="547">
        <v>4.7852306299999992</v>
      </c>
      <c r="AF10" s="547">
        <v>0</v>
      </c>
    </row>
    <row r="11" spans="1:32" ht="58.5" customHeight="1" thickBot="1">
      <c r="B11" s="165" t="s">
        <v>340</v>
      </c>
      <c r="C11" s="175" t="s">
        <v>846</v>
      </c>
      <c r="D11" s="15" t="s">
        <v>48</v>
      </c>
      <c r="E11" s="15" t="s">
        <v>936</v>
      </c>
      <c r="F11" s="594" t="s">
        <v>938</v>
      </c>
      <c r="G11" s="14"/>
      <c r="H11" s="14"/>
      <c r="I11" s="14"/>
      <c r="J11" s="14"/>
      <c r="K11" s="239">
        <v>0.99719999999999998</v>
      </c>
      <c r="L11" s="547">
        <v>0.99719999999999998</v>
      </c>
      <c r="M11" s="547">
        <v>0.99719999999999998</v>
      </c>
      <c r="N11" s="547">
        <v>0.99719999999999998</v>
      </c>
      <c r="O11" s="547">
        <v>0.99719999999999998</v>
      </c>
      <c r="P11" s="547">
        <v>0.99719999999999998</v>
      </c>
      <c r="Q11" s="547">
        <v>0.99719999999999998</v>
      </c>
      <c r="R11" s="547">
        <v>0.99719999999999998</v>
      </c>
      <c r="S11" s="547">
        <v>0.99719999999999998</v>
      </c>
      <c r="T11" s="547">
        <v>0.99719999999999998</v>
      </c>
      <c r="U11" s="547">
        <v>0.99719999999999998</v>
      </c>
      <c r="V11" s="547">
        <v>0.99719999999999998</v>
      </c>
      <c r="W11" s="547">
        <v>0.99719999999999998</v>
      </c>
      <c r="X11" s="547">
        <v>0.99719999999999998</v>
      </c>
      <c r="Y11" s="547">
        <v>0.99719999999999998</v>
      </c>
      <c r="Z11" s="547">
        <v>0.99719999999999998</v>
      </c>
      <c r="AA11" s="547">
        <v>0.96219999999999994</v>
      </c>
      <c r="AB11" s="547">
        <v>0.9171999999999999</v>
      </c>
      <c r="AC11" s="547">
        <v>0.80889999999999995</v>
      </c>
      <c r="AD11" s="547">
        <v>0.72889999999999999</v>
      </c>
      <c r="AE11" s="547">
        <v>0.4889</v>
      </c>
      <c r="AF11" s="547">
        <v>0</v>
      </c>
    </row>
    <row r="12" spans="1:32" ht="58.5" customHeight="1" thickBot="1">
      <c r="B12" s="165" t="s">
        <v>530</v>
      </c>
      <c r="C12" s="177" t="s">
        <v>846</v>
      </c>
      <c r="D12" s="15" t="s">
        <v>48</v>
      </c>
      <c r="E12" s="15" t="s">
        <v>936</v>
      </c>
      <c r="F12" s="594" t="s">
        <v>938</v>
      </c>
      <c r="G12" s="14"/>
      <c r="H12" s="14"/>
      <c r="I12" s="14"/>
      <c r="J12" s="14"/>
      <c r="K12" s="239">
        <v>37.849889986000065</v>
      </c>
      <c r="L12" s="547">
        <v>37.849889986000065</v>
      </c>
      <c r="M12" s="547">
        <v>37.849889986000065</v>
      </c>
      <c r="N12" s="547">
        <v>37.849889986000065</v>
      </c>
      <c r="O12" s="547">
        <v>37.849889986000065</v>
      </c>
      <c r="P12" s="547">
        <v>37.849889986000065</v>
      </c>
      <c r="Q12" s="547">
        <v>37.849889986000065</v>
      </c>
      <c r="R12" s="547">
        <v>37.776027506000062</v>
      </c>
      <c r="S12" s="547">
        <v>37.667388816000063</v>
      </c>
      <c r="T12" s="547">
        <v>37.557167266000064</v>
      </c>
      <c r="U12" s="547">
        <v>37.414720716000062</v>
      </c>
      <c r="V12" s="547">
        <v>36.758691416000062</v>
      </c>
      <c r="W12" s="547">
        <v>35.834089356000064</v>
      </c>
      <c r="X12" s="547">
        <v>34.989494406000063</v>
      </c>
      <c r="Y12" s="547">
        <v>33.735743280000058</v>
      </c>
      <c r="Z12" s="547">
        <v>31.75620017000006</v>
      </c>
      <c r="AA12" s="547">
        <v>27.317740330000046</v>
      </c>
      <c r="AB12" s="547">
        <v>19.723863990000012</v>
      </c>
      <c r="AC12" s="547">
        <v>11.723473930000008</v>
      </c>
      <c r="AD12" s="547">
        <v>4.8811800499999842</v>
      </c>
      <c r="AE12" s="547">
        <v>1.7455592899999977</v>
      </c>
      <c r="AF12" s="547">
        <v>0</v>
      </c>
    </row>
    <row r="13" spans="1:32" ht="15" customHeight="1">
      <c r="B13" s="315"/>
      <c r="C13" s="10"/>
      <c r="D13" s="26"/>
      <c r="E13" s="26"/>
      <c r="F13" s="26"/>
      <c r="G13" s="349"/>
      <c r="H13" s="349"/>
      <c r="I13" s="349"/>
      <c r="J13" s="349"/>
      <c r="K13" s="349"/>
      <c r="L13" s="349"/>
      <c r="M13" s="349"/>
      <c r="N13" s="349"/>
      <c r="O13" s="349"/>
      <c r="P13" s="349"/>
      <c r="Q13" s="349"/>
      <c r="R13" s="349"/>
      <c r="S13" s="349"/>
      <c r="T13" s="349"/>
      <c r="U13" s="349"/>
      <c r="V13" s="349"/>
      <c r="W13" s="349"/>
      <c r="X13" s="349"/>
      <c r="Y13" s="349"/>
      <c r="Z13" s="349"/>
      <c r="AA13" s="349"/>
      <c r="AB13" s="349"/>
      <c r="AC13" s="349"/>
      <c r="AD13" s="349"/>
      <c r="AE13" s="349"/>
      <c r="AF13" s="349"/>
    </row>
    <row r="14" spans="1:32" ht="15" customHeight="1">
      <c r="D14" s="9"/>
      <c r="E14" s="9"/>
      <c r="F14" s="9"/>
    </row>
    <row r="15" spans="1:32" ht="15" customHeight="1">
      <c r="D15" s="9"/>
      <c r="E15" s="9"/>
      <c r="F15" s="9"/>
    </row>
    <row r="16" spans="1:32" ht="15" customHeight="1">
      <c r="D16" s="9"/>
      <c r="E16" s="9"/>
      <c r="F16" s="9"/>
    </row>
    <row r="17" s="9" customFormat="1" ht="15" customHeight="1"/>
    <row r="18" s="9" customFormat="1" ht="15" customHeight="1"/>
    <row r="19" s="9" customFormat="1" ht="15" customHeight="1"/>
    <row r="20" s="9" customFormat="1" ht="15" customHeight="1"/>
    <row r="21" s="9" customFormat="1" ht="15" customHeight="1"/>
    <row r="22" s="9" customFormat="1" ht="15" customHeight="1"/>
    <row r="23" s="9" customFormat="1" ht="15" customHeight="1"/>
    <row r="24" s="9" customFormat="1" ht="15" customHeight="1"/>
    <row r="25" s="9" customFormat="1" ht="15" customHeight="1"/>
    <row r="26" s="9" customFormat="1" ht="15" customHeight="1"/>
    <row r="27" s="9" customFormat="1" ht="15" customHeight="1"/>
    <row r="28" s="9" customFormat="1" ht="15" customHeight="1"/>
    <row r="29" s="9" customFormat="1" ht="15" customHeight="1"/>
    <row r="30" s="9" customFormat="1" ht="15" customHeight="1"/>
    <row r="31" s="9" customFormat="1" ht="15" customHeight="1"/>
    <row r="32" s="9" customFormat="1" ht="15" customHeight="1"/>
    <row r="33" s="9" customFormat="1" ht="15" customHeight="1"/>
    <row r="34" s="9" customFormat="1" ht="15" customHeight="1"/>
    <row r="35" s="9" customFormat="1" ht="15" customHeight="1"/>
    <row r="36" s="9" customFormat="1" ht="15" customHeight="1"/>
    <row r="37" s="9" customFormat="1" ht="15" customHeight="1"/>
    <row r="38" s="9" customFormat="1" ht="15" customHeight="1"/>
    <row r="39" s="9" customFormat="1" ht="15" customHeight="1"/>
    <row r="40" s="9" customFormat="1" ht="15" customHeight="1"/>
    <row r="41" s="9" customFormat="1" ht="15" customHeight="1"/>
    <row r="42" s="9" customFormat="1" ht="15" customHeight="1"/>
    <row r="43" s="9" customFormat="1" ht="15" customHeight="1"/>
    <row r="44" s="9" customFormat="1" ht="15" customHeight="1"/>
    <row r="45" s="9" customFormat="1" ht="15" customHeight="1"/>
    <row r="46" s="9" customFormat="1" ht="15" customHeight="1"/>
    <row r="47" s="9" customFormat="1" ht="15" customHeight="1"/>
    <row r="48" s="9" customFormat="1" ht="15" customHeight="1"/>
    <row r="49" s="9" customFormat="1" ht="15" customHeight="1"/>
    <row r="50" s="9" customFormat="1" ht="15" customHeight="1"/>
    <row r="51" s="9" customFormat="1" ht="15" customHeight="1"/>
    <row r="52" s="9" customFormat="1" ht="15" customHeight="1"/>
    <row r="53" s="9" customFormat="1" ht="15" customHeight="1"/>
    <row r="54" s="9" customFormat="1" ht="15" customHeight="1"/>
    <row r="55" s="9" customFormat="1" ht="15" customHeight="1"/>
    <row r="56" s="9" customFormat="1" ht="15" customHeight="1"/>
    <row r="57" s="9" customFormat="1" ht="15" customHeight="1"/>
    <row r="58" s="9" customFormat="1" ht="15" customHeight="1"/>
    <row r="59" s="9" customFormat="1" ht="15" customHeight="1"/>
    <row r="60" s="9" customFormat="1" ht="15" customHeight="1"/>
    <row r="61" s="9" customFormat="1" ht="15" customHeight="1"/>
    <row r="62" s="9" customFormat="1" ht="15" customHeight="1"/>
    <row r="63" s="9" customFormat="1" ht="15" customHeight="1"/>
    <row r="64" s="9" customFormat="1" ht="15" customHeight="1"/>
    <row r="65" s="9" customFormat="1" ht="15" customHeight="1"/>
    <row r="66" s="9" customFormat="1" ht="15" customHeight="1"/>
    <row r="67" s="9" customFormat="1" ht="15" customHeight="1"/>
    <row r="68" s="9" customFormat="1" ht="15" customHeight="1"/>
    <row r="69" s="9" customFormat="1" ht="15" customHeight="1"/>
    <row r="70" s="9" customFormat="1" ht="15" customHeight="1"/>
    <row r="71" s="9" customFormat="1" ht="15" customHeight="1"/>
    <row r="72" s="9" customFormat="1" ht="15" customHeight="1"/>
    <row r="73" s="9" customFormat="1" ht="15" customHeight="1"/>
    <row r="74" s="9" customFormat="1" ht="15" customHeight="1"/>
    <row r="75" s="9" customFormat="1" ht="15" customHeight="1"/>
    <row r="76" s="9" customFormat="1" ht="15" customHeight="1"/>
    <row r="77" s="9" customFormat="1" ht="15" customHeight="1"/>
    <row r="78" s="9" customFormat="1" ht="15" customHeight="1"/>
    <row r="79" s="9" customFormat="1" ht="15" customHeight="1"/>
    <row r="80" s="9" customFormat="1" ht="15" customHeight="1"/>
    <row r="81" s="9" customFormat="1" ht="15" customHeight="1"/>
    <row r="82" s="9" customFormat="1" ht="15" customHeight="1"/>
    <row r="83" s="9" customFormat="1" ht="15" customHeight="1"/>
    <row r="84" s="9" customFormat="1" ht="15" customHeight="1"/>
    <row r="85" s="9" customFormat="1" ht="15" customHeight="1"/>
    <row r="86" s="9" customFormat="1" ht="15" customHeight="1"/>
    <row r="87" s="9" customFormat="1" ht="15" customHeight="1"/>
    <row r="88" s="9" customFormat="1" ht="15" customHeight="1"/>
    <row r="89" s="9" customFormat="1" ht="15" customHeight="1"/>
    <row r="90" s="9" customFormat="1" ht="15" customHeight="1"/>
    <row r="91" s="9" customFormat="1" ht="15" customHeight="1"/>
    <row r="92" s="9" customFormat="1" ht="15" customHeight="1"/>
    <row r="93" s="9" customFormat="1" ht="15" customHeight="1"/>
    <row r="94" s="9" customFormat="1" ht="15" customHeight="1"/>
    <row r="95" s="9" customFormat="1" ht="15" customHeight="1"/>
    <row r="96" s="9" customFormat="1" ht="15" customHeight="1"/>
    <row r="97" s="9" customFormat="1" ht="15" customHeight="1"/>
    <row r="98" s="9" customFormat="1" ht="15" customHeight="1"/>
    <row r="99" s="9" customFormat="1" ht="15" customHeight="1"/>
    <row r="100" s="9" customFormat="1" ht="15" customHeight="1"/>
    <row r="101" s="9" customFormat="1" ht="15" customHeight="1"/>
    <row r="102" s="9" customFormat="1" ht="15" customHeight="1"/>
    <row r="103" s="9" customFormat="1" ht="15" customHeight="1"/>
    <row r="104" s="9" customFormat="1" ht="15" customHeight="1"/>
    <row r="105" s="9" customFormat="1" ht="15" customHeight="1"/>
    <row r="106" s="9" customFormat="1" ht="15" customHeight="1"/>
    <row r="107" s="9" customFormat="1" ht="15" customHeight="1"/>
    <row r="108" s="9" customFormat="1" ht="15" customHeight="1"/>
    <row r="109" s="9" customFormat="1" ht="15" customHeight="1"/>
    <row r="110" s="9" customFormat="1" ht="15" customHeight="1"/>
    <row r="111" s="9" customFormat="1" ht="15" customHeight="1"/>
    <row r="112" s="9" customFormat="1" ht="15" customHeight="1"/>
    <row r="113" s="9" customFormat="1" ht="15" customHeight="1"/>
    <row r="114" s="9" customFormat="1" ht="15" customHeight="1"/>
    <row r="115" s="9" customFormat="1" ht="15" customHeight="1"/>
    <row r="116" s="9" customFormat="1" ht="15" customHeight="1"/>
    <row r="117" s="9" customFormat="1" ht="15" customHeight="1"/>
    <row r="118" s="9" customFormat="1" ht="15" customHeight="1"/>
    <row r="119" s="9" customFormat="1" ht="15" customHeight="1"/>
    <row r="120" s="9" customFormat="1" ht="15" customHeight="1"/>
    <row r="121" s="9" customFormat="1" ht="15" customHeight="1"/>
    <row r="122" s="9" customFormat="1" ht="15" customHeight="1"/>
    <row r="123" s="9" customFormat="1" ht="15" customHeight="1"/>
    <row r="124" s="9" customFormat="1" ht="15" customHeight="1"/>
    <row r="125" s="9" customFormat="1" ht="15" customHeight="1"/>
    <row r="126" s="9" customFormat="1" ht="15" customHeight="1"/>
    <row r="127" s="9" customFormat="1" ht="15" customHeight="1"/>
    <row r="128" s="9" customFormat="1" ht="15" customHeight="1"/>
    <row r="129" s="9" customFormat="1" ht="15" customHeight="1"/>
    <row r="130" s="9" customFormat="1" ht="15" customHeight="1"/>
    <row r="131" s="9" customFormat="1" ht="15" customHeight="1"/>
    <row r="132" s="9" customFormat="1" ht="15" customHeight="1"/>
    <row r="133" s="9" customFormat="1" ht="15" customHeight="1"/>
    <row r="134" s="9" customFormat="1" ht="15" customHeight="1"/>
    <row r="135" s="9" customFormat="1" ht="15" customHeight="1"/>
    <row r="136" s="9" customFormat="1" ht="15" customHeight="1"/>
    <row r="137" s="9" customFormat="1" ht="15" customHeight="1"/>
    <row r="138" s="9" customFormat="1" ht="15" customHeight="1"/>
    <row r="139" s="9" customFormat="1" ht="15" customHeight="1"/>
    <row r="140" s="9" customFormat="1" ht="15" customHeight="1"/>
    <row r="141" s="9" customFormat="1" ht="15" customHeight="1"/>
    <row r="142" s="9" customFormat="1" ht="15" customHeight="1"/>
    <row r="143" s="9" customFormat="1" ht="15" customHeight="1"/>
    <row r="144" s="9" customFormat="1" ht="15" customHeight="1"/>
    <row r="145" s="9" customFormat="1" ht="15" customHeight="1"/>
    <row r="146" s="9" customFormat="1" ht="15" customHeight="1"/>
    <row r="147" s="9" customFormat="1" ht="15" customHeight="1"/>
    <row r="148" s="9" customFormat="1" ht="15" customHeight="1"/>
    <row r="149" s="9" customFormat="1" ht="15" customHeight="1"/>
    <row r="150" s="9" customFormat="1" ht="15" customHeight="1"/>
    <row r="151" s="9" customFormat="1" ht="15" customHeight="1"/>
    <row r="152" s="9" customFormat="1" ht="15" customHeight="1"/>
    <row r="153" s="9" customFormat="1" ht="15" customHeight="1"/>
    <row r="154" s="9" customFormat="1" ht="15" customHeight="1"/>
    <row r="155" s="9" customFormat="1" ht="15" customHeight="1"/>
    <row r="156" s="9" customFormat="1" ht="15" customHeight="1"/>
    <row r="157" s="9" customFormat="1" ht="15" customHeight="1"/>
    <row r="158" s="9" customFormat="1" ht="15" customHeight="1"/>
    <row r="159" s="9" customFormat="1" ht="15" customHeight="1"/>
    <row r="160" s="9" customFormat="1" ht="15" customHeight="1"/>
    <row r="161" s="9" customFormat="1" ht="15" customHeight="1"/>
    <row r="162" s="9" customFormat="1" ht="15" customHeight="1"/>
    <row r="163" s="9" customFormat="1" ht="15" customHeight="1"/>
    <row r="164" s="9" customFormat="1" ht="15" customHeight="1"/>
    <row r="165" s="9" customFormat="1" ht="15" customHeight="1"/>
    <row r="166" s="9" customFormat="1" ht="15" customHeight="1"/>
    <row r="167" s="9" customFormat="1" ht="15" customHeight="1"/>
    <row r="168" s="9" customFormat="1" ht="15" customHeight="1"/>
    <row r="169" s="9" customFormat="1" ht="15" customHeight="1"/>
    <row r="170" s="9" customFormat="1" ht="15" customHeight="1"/>
    <row r="171" s="9" customFormat="1" ht="15" customHeight="1"/>
    <row r="172" s="9" customFormat="1" ht="15" customHeight="1"/>
    <row r="173" s="9" customFormat="1" ht="15" customHeight="1"/>
    <row r="174" s="9" customFormat="1" ht="15" customHeight="1"/>
    <row r="175" s="9" customFormat="1" ht="15" customHeight="1"/>
    <row r="176" s="9" customFormat="1" ht="15" customHeight="1"/>
    <row r="177" s="9" customFormat="1" ht="15" customHeight="1"/>
    <row r="178" s="9" customFormat="1" ht="15" customHeight="1"/>
    <row r="179" s="9" customFormat="1" ht="15" customHeight="1"/>
    <row r="180" s="9" customFormat="1" ht="15" customHeight="1"/>
    <row r="181" s="9" customFormat="1" ht="15" customHeight="1"/>
    <row r="182" s="9" customFormat="1" ht="15" customHeight="1"/>
    <row r="183" s="9" customFormat="1" ht="15" customHeight="1"/>
    <row r="184" s="9" customFormat="1" ht="15" customHeight="1"/>
    <row r="185" s="9" customFormat="1" ht="15" customHeight="1"/>
    <row r="186" s="9" customFormat="1" ht="15" customHeight="1"/>
    <row r="187" s="9" customFormat="1" ht="15" customHeight="1"/>
    <row r="188" s="9" customFormat="1" ht="15" customHeight="1"/>
    <row r="189" s="9" customFormat="1" ht="15" customHeight="1"/>
    <row r="190" s="9" customFormat="1" ht="15" customHeight="1"/>
    <row r="191" s="9" customFormat="1" ht="15" customHeight="1"/>
    <row r="192" s="9" customFormat="1" ht="15" customHeight="1"/>
    <row r="193" s="9" customFormat="1" ht="15" customHeight="1"/>
    <row r="194" s="9" customFormat="1" ht="15" customHeight="1"/>
    <row r="195" s="9" customFormat="1" ht="15" customHeight="1"/>
    <row r="196" s="9" customFormat="1" ht="15" customHeight="1"/>
    <row r="197" s="9" customFormat="1" ht="15" customHeight="1"/>
    <row r="198" s="9" customFormat="1" ht="15" customHeight="1"/>
    <row r="199" s="9" customFormat="1" ht="15" customHeight="1"/>
    <row r="200" s="9" customFormat="1" ht="15" customHeight="1"/>
    <row r="201" s="9" customFormat="1" ht="15" customHeight="1"/>
    <row r="202" s="9" customFormat="1" ht="15" customHeight="1"/>
    <row r="203" s="9" customFormat="1" ht="15" customHeight="1"/>
    <row r="204" s="9" customFormat="1" ht="15" customHeight="1"/>
    <row r="205" s="9" customFormat="1" ht="15" customHeight="1"/>
    <row r="206" s="9" customFormat="1" ht="15" customHeight="1"/>
    <row r="207" s="9" customFormat="1" ht="15" customHeight="1"/>
    <row r="208" s="9" customFormat="1" ht="15" customHeight="1"/>
    <row r="209" s="9" customFormat="1" ht="15" customHeight="1"/>
    <row r="210" s="9" customFormat="1" ht="15" customHeight="1"/>
    <row r="211" s="9" customFormat="1" ht="15" customHeight="1"/>
    <row r="212" s="9" customFormat="1" ht="15" customHeight="1"/>
    <row r="213" s="9" customFormat="1" ht="15" customHeight="1"/>
    <row r="214" s="9" customFormat="1" ht="15" customHeight="1"/>
    <row r="215" s="9" customFormat="1" ht="15" customHeight="1"/>
    <row r="216" s="9" customFormat="1" ht="15" customHeight="1"/>
    <row r="217" s="9" customFormat="1" ht="15" customHeight="1"/>
    <row r="218" s="9" customFormat="1" ht="15" customHeight="1"/>
    <row r="219" s="9" customFormat="1" ht="15" customHeight="1"/>
    <row r="220" s="9" customFormat="1" ht="15" customHeight="1"/>
    <row r="221" s="9" customFormat="1" ht="15" customHeight="1"/>
    <row r="222" s="9" customFormat="1" ht="15" customHeight="1"/>
    <row r="223" s="9" customFormat="1" ht="15" customHeight="1"/>
    <row r="224" s="9" customFormat="1" ht="15" customHeight="1"/>
    <row r="225" s="9" customFormat="1" ht="15" customHeight="1"/>
    <row r="226" s="9" customFormat="1" ht="15" customHeight="1"/>
    <row r="227" s="9" customFormat="1" ht="15" customHeight="1"/>
    <row r="228" s="9" customFormat="1" ht="15" customHeight="1"/>
    <row r="229" s="9" customFormat="1" ht="15" customHeight="1"/>
    <row r="230" s="9" customFormat="1" ht="15" customHeight="1"/>
    <row r="231" s="9" customFormat="1" ht="15" customHeight="1"/>
    <row r="232" s="9" customFormat="1" ht="15" customHeight="1"/>
    <row r="233" s="9" customFormat="1" ht="15" customHeight="1"/>
    <row r="234" s="9" customFormat="1" ht="15" customHeight="1"/>
    <row r="235" s="9" customFormat="1" ht="15" customHeight="1"/>
    <row r="236" s="9" customFormat="1" ht="15" customHeight="1"/>
    <row r="237" s="9" customFormat="1" ht="15" customHeight="1"/>
    <row r="238" s="9" customFormat="1" ht="15" customHeight="1"/>
    <row r="239" s="9" customFormat="1" ht="15" customHeight="1"/>
    <row r="240" s="9" customFormat="1" ht="15" customHeight="1"/>
    <row r="241" s="9" customFormat="1" ht="15" customHeight="1"/>
    <row r="242" s="9" customFormat="1" ht="15" customHeight="1"/>
    <row r="243" s="9" customFormat="1" ht="15" customHeight="1"/>
    <row r="244" s="9" customFormat="1" ht="15" customHeight="1"/>
    <row r="245" s="9" customFormat="1" ht="15" customHeight="1"/>
    <row r="246" s="9" customFormat="1" ht="15" customHeight="1"/>
    <row r="247" s="9" customFormat="1" ht="15" customHeight="1"/>
    <row r="248" s="9" customFormat="1" ht="15" customHeight="1"/>
    <row r="249" s="9" customFormat="1" ht="15" customHeight="1"/>
    <row r="250" s="9" customFormat="1" ht="15" customHeight="1"/>
    <row r="251" s="9" customFormat="1" ht="15" customHeight="1"/>
    <row r="252" s="9" customFormat="1" ht="15" customHeight="1"/>
    <row r="253" s="9" customFormat="1" ht="15" customHeight="1"/>
    <row r="254" s="9" customFormat="1" ht="15" customHeight="1"/>
    <row r="255" s="9" customFormat="1" ht="15" customHeight="1"/>
    <row r="256" s="9" customFormat="1" ht="15" customHeight="1"/>
    <row r="257" s="9" customFormat="1" ht="15" customHeight="1"/>
    <row r="258" s="9" customFormat="1" ht="15" customHeight="1"/>
    <row r="259" s="9" customFormat="1" ht="15" customHeight="1"/>
    <row r="260" s="9" customFormat="1" ht="15" customHeight="1"/>
    <row r="261" s="9" customFormat="1" ht="15" customHeight="1"/>
    <row r="262" s="9" customFormat="1" ht="15" customHeight="1"/>
    <row r="263" s="9" customFormat="1" ht="15" customHeight="1"/>
    <row r="264" s="9" customFormat="1" ht="15" customHeight="1"/>
    <row r="265" s="9" customFormat="1" ht="15" customHeight="1"/>
    <row r="266" s="9" customFormat="1" ht="15" customHeight="1"/>
    <row r="267" s="9" customFormat="1" ht="15" customHeight="1"/>
    <row r="268" s="9" customFormat="1" ht="15" customHeight="1"/>
    <row r="269" s="9" customFormat="1" ht="15" customHeight="1"/>
    <row r="270" s="9" customFormat="1" ht="15" customHeight="1"/>
    <row r="271" s="9" customFormat="1" ht="15" customHeight="1"/>
    <row r="272" s="9" customFormat="1" ht="15" customHeight="1"/>
    <row r="273" s="9" customFormat="1" ht="15" customHeight="1"/>
    <row r="274" s="9" customFormat="1" ht="15" customHeight="1"/>
    <row r="275" s="9" customFormat="1" ht="15" customHeight="1"/>
    <row r="276" s="9" customFormat="1" ht="15" customHeight="1"/>
    <row r="277" s="9" customFormat="1" ht="15" customHeight="1"/>
    <row r="278" s="9" customFormat="1" ht="15" customHeight="1"/>
    <row r="279" s="9" customFormat="1" ht="15" customHeight="1"/>
    <row r="280" s="9" customFormat="1" ht="15" customHeight="1"/>
    <row r="281" s="9" customFormat="1" ht="15" customHeight="1"/>
    <row r="282" s="9" customFormat="1" ht="15" customHeight="1"/>
    <row r="283" s="9" customFormat="1" ht="15" customHeight="1"/>
    <row r="284" s="9" customFormat="1" ht="15" customHeight="1"/>
    <row r="285" s="9" customFormat="1" ht="15" customHeight="1"/>
    <row r="286" s="9" customFormat="1" ht="15" customHeight="1"/>
    <row r="287" s="9" customFormat="1" ht="15" customHeight="1"/>
    <row r="288" s="9" customFormat="1" ht="15" customHeight="1"/>
    <row r="289" s="9" customFormat="1" ht="15" customHeight="1"/>
    <row r="290" s="9" customFormat="1" ht="15" customHeight="1"/>
    <row r="291" s="9" customFormat="1" ht="15" customHeight="1"/>
    <row r="292" s="9" customFormat="1" ht="15" customHeight="1"/>
    <row r="293" s="9" customFormat="1" ht="15" customHeight="1"/>
    <row r="294" s="9" customFormat="1" ht="15" customHeight="1"/>
    <row r="295" s="9" customFormat="1" ht="15" customHeight="1"/>
    <row r="296" s="9" customFormat="1" ht="15" customHeight="1"/>
    <row r="297" s="9" customFormat="1" ht="15" customHeight="1"/>
    <row r="298" s="9" customFormat="1" ht="15" customHeight="1"/>
    <row r="299" s="9" customFormat="1" ht="15" customHeight="1"/>
    <row r="300" s="9" customFormat="1" ht="15" customHeight="1"/>
    <row r="301" s="9" customFormat="1" ht="15" customHeight="1"/>
    <row r="302" s="9" customFormat="1" ht="15" customHeight="1"/>
    <row r="303" s="9" customFormat="1" ht="15" customHeight="1"/>
    <row r="304" s="9" customFormat="1" ht="15" customHeight="1"/>
    <row r="305" s="9" customFormat="1" ht="15" customHeight="1"/>
    <row r="306" s="9" customFormat="1" ht="15" customHeight="1"/>
    <row r="307" s="9" customFormat="1" ht="15" customHeight="1"/>
    <row r="308" s="9" customFormat="1" ht="15" customHeight="1"/>
    <row r="309" s="9" customFormat="1" ht="15" customHeight="1"/>
    <row r="310" s="9" customFormat="1" ht="15" customHeight="1"/>
    <row r="311" s="9" customFormat="1" ht="15" customHeight="1"/>
    <row r="312" s="9" customFormat="1" ht="15" customHeight="1"/>
    <row r="313" s="9" customFormat="1" ht="15" customHeight="1"/>
    <row r="314" s="9" customFormat="1" ht="15" customHeight="1"/>
    <row r="315" s="9" customFormat="1" ht="15" customHeight="1"/>
    <row r="316" s="9" customFormat="1" ht="15" customHeight="1"/>
    <row r="317" s="9" customFormat="1" ht="15" customHeight="1"/>
    <row r="318" s="9" customFormat="1" ht="15" customHeight="1"/>
    <row r="319" s="9" customFormat="1" ht="15" customHeight="1"/>
    <row r="320" s="9" customFormat="1" ht="15" customHeight="1"/>
    <row r="321" s="9" customFormat="1" ht="15" customHeight="1"/>
    <row r="322" s="9" customFormat="1" ht="15" customHeight="1"/>
    <row r="323" s="9" customFormat="1" ht="15" customHeight="1"/>
    <row r="324" s="9" customFormat="1" ht="15" customHeight="1"/>
    <row r="325" s="9" customFormat="1" ht="15" customHeight="1"/>
    <row r="326" s="9" customFormat="1" ht="15" customHeight="1"/>
    <row r="327" s="9" customFormat="1" ht="15" customHeight="1"/>
    <row r="328" s="9" customFormat="1" ht="15" customHeight="1"/>
    <row r="329" s="9" customFormat="1" ht="15" customHeight="1"/>
    <row r="330" s="9" customFormat="1" ht="15" customHeight="1"/>
    <row r="331" s="9" customFormat="1" ht="15" customHeight="1"/>
    <row r="332" s="9" customFormat="1" ht="15" customHeight="1"/>
    <row r="333" s="9" customFormat="1" ht="15" customHeight="1"/>
    <row r="334" s="9" customFormat="1" ht="15" customHeight="1"/>
    <row r="335" s="9" customFormat="1" ht="15" customHeight="1"/>
    <row r="336" s="9" customFormat="1" ht="15" customHeight="1"/>
    <row r="337" s="9" customFormat="1" ht="15" customHeight="1"/>
    <row r="338" s="9" customFormat="1" ht="15" customHeight="1"/>
    <row r="339" s="9" customFormat="1" ht="15" customHeight="1"/>
    <row r="340" s="9" customFormat="1" ht="15" customHeight="1"/>
    <row r="341" s="9" customFormat="1" ht="15" customHeight="1"/>
    <row r="342" s="9" customFormat="1" ht="15" customHeight="1"/>
    <row r="343" s="9" customFormat="1" ht="15" customHeight="1"/>
    <row r="344" s="9" customFormat="1" ht="15" customHeight="1"/>
    <row r="345" s="9" customFormat="1" ht="15" customHeight="1"/>
    <row r="346" s="9" customFormat="1" ht="15" customHeight="1"/>
    <row r="347" s="9" customFormat="1" ht="15" customHeight="1"/>
    <row r="348" s="9" customFormat="1" ht="15" customHeight="1"/>
    <row r="349" s="9" customFormat="1" ht="15" customHeight="1"/>
    <row r="350" s="9" customFormat="1" ht="15" customHeight="1"/>
    <row r="351" s="9" customFormat="1" ht="15" customHeight="1"/>
    <row r="352" s="9" customFormat="1" ht="15" customHeight="1"/>
    <row r="353" s="9" customFormat="1" ht="15" customHeight="1"/>
    <row r="354" s="9" customFormat="1" ht="15" customHeight="1"/>
    <row r="355" s="9" customFormat="1" ht="15" customHeight="1"/>
    <row r="356" s="9" customFormat="1" ht="15" customHeight="1"/>
    <row r="357" s="9" customFormat="1" ht="15" customHeight="1"/>
    <row r="358" s="9" customFormat="1" ht="15" customHeight="1"/>
    <row r="359" s="9" customFormat="1" ht="15" customHeight="1"/>
    <row r="360" s="9" customFormat="1" ht="15" customHeight="1"/>
    <row r="361" s="9" customFormat="1" ht="15" customHeight="1"/>
    <row r="362" s="9" customFormat="1" ht="15" customHeight="1"/>
    <row r="363" s="9" customFormat="1" ht="15" customHeight="1"/>
    <row r="364" s="9" customFormat="1" ht="15" customHeight="1"/>
    <row r="365" s="9" customFormat="1" ht="15" customHeight="1"/>
    <row r="366" s="9" customFormat="1" ht="15" customHeight="1"/>
    <row r="367" s="9" customFormat="1" ht="15" customHeight="1"/>
    <row r="368" s="9" customFormat="1" ht="15" customHeight="1"/>
    <row r="369" s="9" customFormat="1" ht="15" customHeight="1"/>
    <row r="370" s="9" customFormat="1" ht="15" customHeight="1"/>
    <row r="371" s="9" customFormat="1" ht="15" customHeight="1"/>
    <row r="372" s="9" customFormat="1" ht="15" customHeight="1"/>
    <row r="373" s="9" customFormat="1" ht="15" customHeight="1"/>
    <row r="374" s="9" customFormat="1" ht="15" customHeight="1"/>
    <row r="375" s="9" customFormat="1" ht="15" customHeight="1"/>
    <row r="376" s="9" customFormat="1" ht="15" customHeight="1"/>
    <row r="377" s="9" customFormat="1" ht="15" customHeight="1"/>
    <row r="378" s="9" customFormat="1" ht="15" customHeight="1"/>
    <row r="379" s="9" customFormat="1" ht="15" customHeight="1"/>
    <row r="380" s="9" customFormat="1" ht="15" customHeight="1"/>
    <row r="381" s="9" customFormat="1" ht="15" customHeight="1"/>
    <row r="382" s="9" customFormat="1" ht="15" customHeight="1"/>
    <row r="383" s="9" customFormat="1" ht="15" customHeight="1"/>
    <row r="384" s="9" customFormat="1" ht="15" customHeight="1"/>
    <row r="385" s="9" customFormat="1" ht="15" customHeight="1"/>
    <row r="386" s="9" customFormat="1" ht="15" customHeight="1"/>
    <row r="387" s="9" customFormat="1" ht="15" customHeight="1"/>
    <row r="388" s="9" customFormat="1" ht="15" customHeight="1"/>
    <row r="389" s="9" customFormat="1" ht="15" customHeight="1"/>
    <row r="390" s="9" customFormat="1" ht="15" customHeight="1"/>
    <row r="391" s="9" customFormat="1" ht="15" customHeight="1"/>
    <row r="392" s="9" customFormat="1" ht="15" customHeight="1"/>
    <row r="393" s="9" customFormat="1" ht="15" customHeight="1"/>
    <row r="394" s="9" customFormat="1" ht="15" customHeight="1"/>
    <row r="395" s="9" customFormat="1" ht="15" customHeight="1"/>
    <row r="396" s="9" customFormat="1" ht="15" customHeight="1"/>
    <row r="397" s="9" customFormat="1" ht="15" customHeight="1"/>
    <row r="398" s="9" customFormat="1" ht="15" customHeight="1"/>
    <row r="399" s="9" customFormat="1" ht="15" customHeight="1"/>
    <row r="400" s="9" customFormat="1" ht="15" customHeight="1"/>
    <row r="401" s="9" customFormat="1" ht="15" customHeight="1"/>
    <row r="402" s="9" customFormat="1" ht="15" customHeight="1"/>
    <row r="403" s="9" customFormat="1" ht="15" customHeight="1"/>
    <row r="404" s="9" customFormat="1" ht="15" customHeight="1"/>
    <row r="405" s="9" customFormat="1" ht="15" customHeight="1"/>
    <row r="406" s="9" customFormat="1" ht="15" customHeight="1"/>
    <row r="407" s="9" customFormat="1" ht="15" customHeight="1"/>
    <row r="408" s="9" customFormat="1" ht="15" customHeight="1"/>
    <row r="409" s="9" customFormat="1" ht="15" customHeight="1"/>
    <row r="410" s="9" customFormat="1" ht="15" customHeight="1"/>
    <row r="411" s="9" customFormat="1" ht="15" customHeight="1"/>
    <row r="412" s="9" customFormat="1" ht="15" customHeight="1"/>
    <row r="413" s="9" customFormat="1" ht="15" customHeight="1"/>
    <row r="414" s="9" customFormat="1" ht="15" customHeight="1"/>
    <row r="415" s="9" customFormat="1" ht="15" customHeight="1"/>
    <row r="416" s="9" customFormat="1" ht="15" customHeight="1"/>
    <row r="417" s="9" customFormat="1" ht="15" customHeight="1"/>
    <row r="418" s="9" customFormat="1" ht="15" customHeight="1"/>
    <row r="419" s="9" customFormat="1" ht="15" customHeight="1"/>
    <row r="420" s="9" customFormat="1" ht="15" customHeight="1"/>
    <row r="421" s="9" customFormat="1" ht="15" customHeight="1"/>
    <row r="422" s="9" customFormat="1" ht="15" customHeight="1"/>
    <row r="423" s="9" customFormat="1" ht="15" customHeight="1"/>
    <row r="424" s="9" customFormat="1" ht="15" customHeight="1"/>
    <row r="425" s="9" customFormat="1" ht="15" customHeight="1"/>
    <row r="426" s="9" customFormat="1" ht="15" customHeight="1"/>
    <row r="427" s="9" customFormat="1" ht="15" customHeight="1"/>
    <row r="428" s="9" customFormat="1" ht="15" customHeight="1"/>
    <row r="429" s="9" customFormat="1" ht="15" customHeight="1"/>
    <row r="430" s="9" customFormat="1" ht="15" customHeight="1"/>
    <row r="431" s="9" customFormat="1" ht="15" customHeight="1"/>
    <row r="432" s="9" customFormat="1" ht="15" customHeight="1"/>
    <row r="433" s="9" customFormat="1" ht="15" customHeight="1"/>
    <row r="434" s="9" customFormat="1" ht="15" customHeight="1"/>
    <row r="435" s="9" customFormat="1" ht="15" customHeight="1"/>
    <row r="436" s="9" customFormat="1" ht="15" customHeight="1"/>
    <row r="437" s="9" customFormat="1" ht="15" customHeight="1"/>
    <row r="438" s="9" customFormat="1" ht="15" customHeight="1"/>
    <row r="439" s="9" customFormat="1" ht="15" customHeight="1"/>
    <row r="440" s="9" customFormat="1" ht="15" customHeight="1"/>
    <row r="441" s="9" customFormat="1" ht="15" customHeight="1"/>
    <row r="442" s="9" customFormat="1" ht="15" customHeight="1"/>
    <row r="443" s="9" customFormat="1" ht="15" customHeight="1"/>
    <row r="444" s="9" customFormat="1" ht="15" customHeight="1"/>
    <row r="445" s="9" customFormat="1" ht="15" customHeight="1"/>
    <row r="446" s="9" customFormat="1" ht="15" customHeight="1"/>
    <row r="447" s="9" customFormat="1" ht="15" customHeight="1"/>
    <row r="448" s="9" customFormat="1" ht="15" customHeight="1"/>
    <row r="449" s="9" customFormat="1" ht="15" customHeight="1"/>
    <row r="450" s="9" customFormat="1" ht="15" customHeight="1"/>
    <row r="451" s="9" customFormat="1" ht="15" customHeight="1"/>
    <row r="452" s="9" customFormat="1" ht="15" customHeight="1"/>
    <row r="453" s="9" customFormat="1" ht="15" customHeight="1"/>
    <row r="454" s="9" customFormat="1" ht="15" customHeight="1"/>
    <row r="455" s="9" customFormat="1" ht="15" customHeight="1"/>
    <row r="456" s="9" customFormat="1" ht="15" customHeight="1"/>
    <row r="457" s="9" customFormat="1" ht="15" customHeight="1"/>
    <row r="458" s="9" customFormat="1" ht="15" customHeight="1"/>
    <row r="459" s="9" customFormat="1" ht="15" customHeight="1"/>
    <row r="460" s="9" customFormat="1" ht="15" customHeight="1"/>
    <row r="461" s="9" customFormat="1" ht="15" customHeight="1"/>
    <row r="462" s="9" customFormat="1" ht="15" customHeight="1"/>
    <row r="463" s="9" customFormat="1" ht="15" customHeight="1"/>
    <row r="464" s="9" customFormat="1" ht="15" customHeight="1"/>
    <row r="465" s="9" customFormat="1" ht="15" customHeight="1"/>
    <row r="466" s="9" customFormat="1" ht="15" customHeight="1"/>
    <row r="467" s="9" customFormat="1" ht="15" customHeight="1"/>
    <row r="468" s="9" customFormat="1" ht="15" customHeight="1"/>
    <row r="469" s="9" customFormat="1" ht="15" customHeight="1"/>
    <row r="470" s="9" customFormat="1" ht="15" customHeight="1"/>
    <row r="471" s="9" customFormat="1" ht="15" customHeight="1"/>
    <row r="472" s="9" customFormat="1" ht="15" customHeight="1"/>
    <row r="473" s="9" customFormat="1" ht="15" customHeight="1"/>
    <row r="474" s="9" customFormat="1" ht="15" customHeight="1"/>
    <row r="475" s="9" customFormat="1" ht="15" customHeight="1"/>
    <row r="476" s="9" customFormat="1" ht="15" customHeight="1"/>
    <row r="477" s="9" customFormat="1" ht="15" customHeight="1"/>
    <row r="478" s="9" customFormat="1" ht="15" customHeight="1"/>
    <row r="479" s="9" customFormat="1" ht="15" customHeight="1"/>
    <row r="480" s="9" customFormat="1" ht="15" customHeight="1"/>
    <row r="481" s="9" customFormat="1" ht="15" customHeight="1"/>
    <row r="482" s="9" customFormat="1" ht="15" customHeight="1"/>
    <row r="483" s="9" customFormat="1" ht="15" customHeight="1"/>
    <row r="484" s="9" customFormat="1" ht="15" customHeight="1"/>
    <row r="485" s="9" customFormat="1" ht="15" customHeight="1"/>
    <row r="486" s="9" customFormat="1" ht="15" customHeight="1"/>
    <row r="487" s="9" customFormat="1" ht="15" customHeight="1"/>
    <row r="488" s="9" customFormat="1" ht="15" customHeight="1"/>
    <row r="489" s="9" customFormat="1" ht="15" customHeight="1"/>
    <row r="490" s="9" customFormat="1" ht="15" customHeight="1"/>
    <row r="491" s="9" customFormat="1" ht="15" customHeight="1"/>
    <row r="492" s="9" customFormat="1" ht="15" customHeight="1"/>
    <row r="493" s="9" customFormat="1" ht="15" customHeight="1"/>
    <row r="494" s="9" customFormat="1" ht="15" customHeight="1"/>
    <row r="495" s="9" customFormat="1" ht="15" customHeight="1"/>
    <row r="496" s="9" customFormat="1" ht="15" customHeight="1"/>
    <row r="497" s="9" customFormat="1" ht="15" customHeight="1"/>
    <row r="498" s="9" customFormat="1" ht="15" customHeight="1"/>
    <row r="499" s="9" customFormat="1" ht="15" customHeight="1"/>
    <row r="500" s="9" customFormat="1" ht="15" customHeight="1"/>
    <row r="501" s="9" customFormat="1" ht="15" customHeight="1"/>
    <row r="502" s="9" customFormat="1" ht="15" customHeight="1"/>
    <row r="503" s="9" customFormat="1" ht="15" customHeight="1"/>
    <row r="504" s="9" customFormat="1" ht="15" customHeight="1"/>
    <row r="505" s="9" customFormat="1" ht="15" customHeight="1"/>
    <row r="506" s="9" customFormat="1" ht="15" customHeight="1"/>
    <row r="507" s="9" customFormat="1" ht="15" customHeight="1"/>
    <row r="508" s="9" customFormat="1" ht="15" customHeight="1"/>
    <row r="509" s="9" customFormat="1" ht="15" customHeight="1"/>
    <row r="510" s="9" customFormat="1" ht="15" customHeight="1"/>
    <row r="511" s="9" customFormat="1" ht="15" customHeight="1"/>
    <row r="512" s="9" customFormat="1" ht="15" customHeight="1"/>
    <row r="513" s="9" customFormat="1" ht="15" customHeight="1"/>
    <row r="514" s="9" customFormat="1" ht="15" customHeight="1"/>
    <row r="515" s="9" customFormat="1" ht="15" customHeight="1"/>
    <row r="516" s="9" customFormat="1" ht="15" customHeight="1"/>
    <row r="517" s="9" customFormat="1" ht="15" customHeight="1"/>
    <row r="518" s="9" customFormat="1" ht="15" customHeight="1"/>
    <row r="519" s="9" customFormat="1" ht="15" customHeight="1"/>
    <row r="520" s="9" customFormat="1" ht="15" customHeight="1"/>
    <row r="521" s="9" customFormat="1" ht="15" customHeight="1"/>
    <row r="522" s="9" customFormat="1" ht="15" customHeight="1"/>
    <row r="523" s="9" customFormat="1" ht="15" customHeight="1"/>
    <row r="524" s="9" customFormat="1" ht="15" customHeight="1"/>
    <row r="525" s="9" customFormat="1" ht="15" customHeight="1"/>
    <row r="526" s="9" customFormat="1" ht="15" customHeight="1"/>
    <row r="527" s="9" customFormat="1" ht="15" customHeight="1"/>
    <row r="528" s="9" customFormat="1" ht="15" customHeight="1"/>
    <row r="529" s="9" customFormat="1" ht="15" customHeight="1"/>
    <row r="530" s="9" customFormat="1" ht="15" customHeight="1"/>
    <row r="531" s="9" customFormat="1" ht="15" customHeight="1"/>
    <row r="532" s="9" customFormat="1" ht="15" customHeight="1"/>
    <row r="533" s="9" customFormat="1" ht="15" customHeight="1"/>
    <row r="534" s="9" customFormat="1" ht="15" customHeight="1"/>
    <row r="535" s="9" customFormat="1" ht="15" customHeight="1"/>
    <row r="536" s="9" customFormat="1" ht="15" customHeight="1"/>
    <row r="537" s="9" customFormat="1" ht="15" customHeight="1"/>
    <row r="538" s="9" customFormat="1" ht="15" customHeight="1"/>
    <row r="539" s="9" customFormat="1" ht="15" customHeight="1"/>
    <row r="540" s="9" customFormat="1" ht="15" customHeight="1"/>
    <row r="541" s="9" customFormat="1" ht="15" customHeight="1"/>
    <row r="542" s="9" customFormat="1" ht="15" customHeight="1"/>
    <row r="543" s="9" customFormat="1" ht="15" customHeight="1"/>
    <row r="544" s="9" customFormat="1" ht="15" customHeight="1"/>
    <row r="545" s="9" customFormat="1" ht="15" customHeight="1"/>
    <row r="546" s="9" customFormat="1" ht="15" customHeight="1"/>
    <row r="547" s="9" customFormat="1" ht="15" customHeight="1"/>
    <row r="548" s="9" customFormat="1" ht="15" customHeight="1"/>
    <row r="549" s="9" customFormat="1" ht="15" customHeight="1"/>
    <row r="550" s="9" customFormat="1" ht="15" customHeight="1"/>
    <row r="551" s="9" customFormat="1" ht="15" customHeight="1"/>
    <row r="552" s="9" customFormat="1" ht="15" customHeight="1"/>
    <row r="553" s="9" customFormat="1" ht="15" customHeight="1"/>
    <row r="554" s="9" customFormat="1" ht="15" customHeight="1"/>
    <row r="555" s="9" customFormat="1" ht="15" customHeight="1"/>
    <row r="556" s="9" customFormat="1" ht="15" customHeight="1"/>
    <row r="557" s="9" customFormat="1" ht="15" customHeight="1"/>
    <row r="558" s="9" customFormat="1" ht="15" customHeight="1"/>
    <row r="559" s="9" customFormat="1" ht="15" customHeight="1"/>
    <row r="560" s="9" customFormat="1" ht="15" customHeight="1"/>
    <row r="561" s="9" customFormat="1" ht="15" customHeight="1"/>
    <row r="562" s="9" customFormat="1" ht="15" customHeight="1"/>
    <row r="563" s="9" customFormat="1" ht="15" customHeight="1"/>
    <row r="564" s="9" customFormat="1" ht="15" customHeight="1"/>
    <row r="565" s="9" customFormat="1" ht="15" customHeight="1"/>
    <row r="566" s="9" customFormat="1" ht="15" customHeight="1"/>
    <row r="567" s="9" customFormat="1" ht="15" customHeight="1"/>
    <row r="568" s="9" customFormat="1" ht="15" customHeight="1"/>
    <row r="569" s="9" customFormat="1" ht="15" customHeight="1"/>
    <row r="570" s="9" customFormat="1" ht="15" customHeight="1"/>
    <row r="571" s="9" customFormat="1" ht="15" customHeight="1"/>
    <row r="572" s="9" customFormat="1" ht="15" customHeight="1"/>
    <row r="573" s="9" customFormat="1" ht="15" customHeight="1"/>
    <row r="574" s="9" customFormat="1" ht="15" customHeight="1"/>
    <row r="575" s="9" customFormat="1" ht="15" customHeight="1"/>
    <row r="576" s="9" customFormat="1" ht="15" customHeight="1"/>
    <row r="577" s="9" customFormat="1" ht="15" customHeight="1"/>
    <row r="578" s="9" customFormat="1" ht="15" customHeight="1"/>
    <row r="579" s="9" customFormat="1" ht="15" customHeight="1"/>
    <row r="580" s="9" customFormat="1" ht="15" customHeight="1"/>
    <row r="581" s="9" customFormat="1" ht="15" customHeight="1"/>
    <row r="582" s="9" customFormat="1" ht="15" customHeight="1"/>
    <row r="583" s="9" customFormat="1" ht="15" customHeight="1"/>
    <row r="584" s="9" customFormat="1" ht="15" customHeight="1"/>
    <row r="585" s="9" customFormat="1" ht="15" customHeight="1"/>
    <row r="586" s="9" customFormat="1" ht="15" customHeight="1"/>
    <row r="587" s="9" customFormat="1" ht="15" customHeight="1"/>
    <row r="588" s="9" customFormat="1" ht="15" customHeight="1"/>
    <row r="589" s="9" customFormat="1" ht="15" customHeight="1"/>
    <row r="590" s="9" customFormat="1" ht="15" customHeight="1"/>
    <row r="591" s="9" customFormat="1" ht="15" customHeight="1"/>
    <row r="592" s="9" customFormat="1" ht="15" customHeight="1"/>
    <row r="593" s="9" customFormat="1" ht="15" customHeight="1"/>
    <row r="594" s="9" customFormat="1" ht="15" customHeight="1"/>
    <row r="595" s="9" customFormat="1" ht="15" customHeight="1"/>
    <row r="596" s="9" customFormat="1" ht="15" customHeight="1"/>
    <row r="597" s="9" customFormat="1" ht="15" customHeight="1"/>
    <row r="598" s="9" customFormat="1" ht="15" customHeight="1"/>
    <row r="599" s="9" customFormat="1" ht="15" customHeight="1"/>
    <row r="600" s="9" customFormat="1" ht="15" customHeight="1"/>
    <row r="601" s="9" customFormat="1" ht="15" customHeight="1"/>
    <row r="602" s="9" customFormat="1" ht="15" customHeight="1"/>
    <row r="603" s="9" customFormat="1" ht="15" customHeight="1"/>
    <row r="604" s="9" customFormat="1" ht="15" customHeight="1"/>
    <row r="605" s="9" customFormat="1" ht="15" customHeight="1"/>
    <row r="606" s="9" customFormat="1" ht="15" customHeight="1"/>
    <row r="607" s="9" customFormat="1" ht="15" customHeight="1"/>
    <row r="608" s="9" customFormat="1" ht="15" customHeight="1"/>
    <row r="609" s="9" customFormat="1" ht="15" customHeight="1"/>
    <row r="610" s="9" customFormat="1" ht="15" customHeight="1"/>
    <row r="611" s="9" customFormat="1" ht="15" customHeight="1"/>
    <row r="612" s="9" customFormat="1" ht="15" customHeight="1"/>
    <row r="613" s="9" customFormat="1" ht="15" customHeight="1"/>
    <row r="614" s="9" customFormat="1" ht="15" customHeight="1"/>
    <row r="615" s="9" customFormat="1" ht="15" customHeight="1"/>
    <row r="616" s="9" customFormat="1" ht="15" customHeight="1"/>
    <row r="617" s="9" customFormat="1" ht="15" customHeight="1"/>
    <row r="618" s="9" customFormat="1" ht="15" customHeight="1"/>
    <row r="619" s="9" customFormat="1" ht="15" customHeight="1"/>
    <row r="620" s="9" customFormat="1" ht="15" customHeight="1"/>
    <row r="621" s="9" customFormat="1" ht="15" customHeight="1"/>
    <row r="622" s="9" customFormat="1" ht="15" customHeight="1"/>
    <row r="623" s="9" customFormat="1" ht="15" customHeight="1"/>
    <row r="624" s="9" customFormat="1" ht="15" customHeight="1"/>
    <row r="625" s="9" customFormat="1" ht="15" customHeight="1"/>
    <row r="626" s="9" customFormat="1" ht="15" customHeight="1"/>
    <row r="627" s="9" customFormat="1" ht="15" customHeight="1"/>
    <row r="628" s="9" customFormat="1" ht="15" customHeight="1"/>
    <row r="629" s="9" customFormat="1" ht="15" customHeight="1"/>
    <row r="630" s="9" customFormat="1" ht="15" customHeight="1"/>
    <row r="631" s="9" customFormat="1" ht="15" customHeight="1"/>
    <row r="632" s="9" customFormat="1" ht="15" customHeight="1"/>
    <row r="633" s="9" customFormat="1" ht="15" customHeight="1"/>
    <row r="634" s="9" customFormat="1" ht="15" customHeight="1"/>
    <row r="635" s="9" customFormat="1" ht="15" customHeight="1"/>
    <row r="636" s="9" customFormat="1" ht="15" customHeight="1"/>
    <row r="637" s="9" customFormat="1" ht="15" customHeight="1"/>
    <row r="638" s="9" customFormat="1" ht="15" customHeight="1"/>
    <row r="639" s="9" customFormat="1" ht="15" customHeight="1"/>
    <row r="640" s="9" customFormat="1" ht="15" customHeight="1"/>
    <row r="641" s="9" customFormat="1" ht="15" customHeight="1"/>
    <row r="642" s="9" customFormat="1" ht="15" customHeight="1"/>
    <row r="643" s="9" customFormat="1" ht="15" customHeight="1"/>
    <row r="644" s="9" customFormat="1" ht="15" customHeight="1"/>
    <row r="645" s="9" customFormat="1" ht="15" customHeight="1"/>
    <row r="646" s="9" customFormat="1" ht="15" customHeight="1"/>
    <row r="647" s="9" customFormat="1" ht="15" customHeight="1"/>
    <row r="648" s="9" customFormat="1" ht="15" customHeight="1"/>
    <row r="649" s="9" customFormat="1" ht="15" customHeight="1"/>
    <row r="650" s="9" customFormat="1" ht="15" customHeight="1"/>
    <row r="651" s="9" customFormat="1" ht="15" customHeight="1"/>
    <row r="652" s="9" customFormat="1" ht="15" customHeight="1"/>
    <row r="653" s="9" customFormat="1" ht="15" customHeight="1"/>
    <row r="654" s="9" customFormat="1" ht="15" customHeight="1"/>
    <row r="655" s="9" customFormat="1" ht="15" customHeight="1"/>
    <row r="656" s="9" customFormat="1" ht="15" customHeight="1"/>
    <row r="657" s="9" customFormat="1" ht="15" customHeight="1"/>
    <row r="658" s="9" customFormat="1" ht="15" customHeight="1"/>
    <row r="659" s="9" customFormat="1" ht="15" customHeight="1"/>
    <row r="660" s="9" customFormat="1" ht="15" customHeight="1"/>
    <row r="661" s="9" customFormat="1" ht="15" customHeight="1"/>
    <row r="662" s="9" customFormat="1" ht="15" customHeight="1"/>
    <row r="663" s="9" customFormat="1" ht="15" customHeight="1"/>
    <row r="664" s="9" customFormat="1" ht="15" customHeight="1"/>
    <row r="665" s="9" customFormat="1" ht="15" customHeight="1"/>
    <row r="666" s="9" customFormat="1" ht="15" customHeight="1"/>
    <row r="667" s="9" customFormat="1" ht="15" customHeight="1"/>
    <row r="668" s="9" customFormat="1" ht="15" customHeight="1"/>
    <row r="669" s="9" customFormat="1" ht="15" customHeight="1"/>
    <row r="670" s="9" customFormat="1" ht="15" customHeight="1"/>
    <row r="671" s="9" customFormat="1" ht="15" customHeight="1"/>
    <row r="672" s="9" customFormat="1" ht="15" customHeight="1"/>
    <row r="673" s="9" customFormat="1" ht="15" customHeight="1"/>
    <row r="674" s="9" customFormat="1" ht="15" customHeight="1"/>
    <row r="675" s="9" customFormat="1" ht="15" customHeight="1"/>
    <row r="676" s="9" customFormat="1" ht="15" customHeight="1"/>
    <row r="677" s="9" customFormat="1" ht="15" customHeight="1"/>
    <row r="678" s="9" customFormat="1" ht="15" customHeight="1"/>
    <row r="679" s="9" customFormat="1" ht="15" customHeight="1"/>
    <row r="680" s="9" customFormat="1" ht="15" customHeight="1"/>
    <row r="681" s="9" customFormat="1" ht="15" customHeight="1"/>
    <row r="682" s="9" customFormat="1" ht="15" customHeight="1"/>
    <row r="683" s="9" customFormat="1" ht="15" customHeight="1"/>
    <row r="684" s="9" customFormat="1" ht="15" customHeight="1"/>
    <row r="685" s="9" customFormat="1" ht="15" customHeight="1"/>
    <row r="686" s="9" customFormat="1" ht="15" customHeight="1"/>
    <row r="687" s="9" customFormat="1" ht="15" customHeight="1"/>
    <row r="688" s="9" customFormat="1" ht="15" customHeight="1"/>
    <row r="689" s="9" customFormat="1" ht="15" customHeight="1"/>
    <row r="690" s="9" customFormat="1" ht="15" customHeight="1"/>
    <row r="691" s="9" customFormat="1" ht="15" customHeight="1"/>
    <row r="692" s="9" customFormat="1" ht="15" customHeight="1"/>
    <row r="693" s="9" customFormat="1" ht="15" customHeight="1"/>
    <row r="694" s="9" customFormat="1" ht="15" customHeight="1"/>
    <row r="695" s="9" customFormat="1" ht="15" customHeight="1"/>
    <row r="696" s="9" customFormat="1" ht="15" customHeight="1"/>
    <row r="697" s="9" customFormat="1" ht="15" customHeight="1"/>
    <row r="698" s="9" customFormat="1" ht="15" customHeight="1"/>
    <row r="699" s="9" customFormat="1" ht="15" customHeight="1"/>
    <row r="700" s="9" customFormat="1" ht="15" customHeight="1"/>
    <row r="701" s="9" customFormat="1" ht="15" customHeight="1"/>
    <row r="702" s="9" customFormat="1" ht="15" customHeight="1"/>
    <row r="703" s="9" customFormat="1" ht="15" customHeight="1"/>
    <row r="704" s="9" customFormat="1" ht="15" customHeight="1"/>
    <row r="705" s="9" customFormat="1" ht="15" customHeight="1"/>
    <row r="706" s="9" customFormat="1" ht="15" customHeight="1"/>
    <row r="707" s="9" customFormat="1" ht="15" customHeight="1"/>
    <row r="708" s="9" customFormat="1" ht="15" customHeight="1"/>
    <row r="709" s="9" customFormat="1" ht="15" customHeight="1"/>
    <row r="710" s="9" customFormat="1" ht="15" customHeight="1"/>
    <row r="711" s="9" customFormat="1" ht="15" customHeight="1"/>
    <row r="712" s="9" customFormat="1" ht="15" customHeight="1"/>
    <row r="713" s="9" customFormat="1" ht="15" customHeight="1"/>
    <row r="714" s="9" customFormat="1" ht="15" customHeight="1"/>
    <row r="715" s="9" customFormat="1" ht="15" customHeight="1"/>
    <row r="716" s="9" customFormat="1" ht="15" customHeight="1"/>
    <row r="717" s="9" customFormat="1" ht="15" customHeight="1"/>
    <row r="718" s="9" customFormat="1" ht="15" customHeight="1"/>
    <row r="719" s="9" customFormat="1" ht="15" customHeight="1"/>
    <row r="720" s="9" customFormat="1" ht="15" customHeight="1"/>
    <row r="721" s="9" customFormat="1" ht="15" customHeight="1"/>
    <row r="722" s="9" customFormat="1" ht="15" customHeight="1"/>
    <row r="723" s="9" customFormat="1" ht="15" customHeight="1"/>
    <row r="724" s="9" customFormat="1" ht="15" customHeight="1"/>
    <row r="725" s="9" customFormat="1" ht="15" customHeight="1"/>
    <row r="726" s="9" customFormat="1" ht="15" customHeight="1"/>
    <row r="727" s="9" customFormat="1" ht="15" customHeight="1"/>
    <row r="728" s="9" customFormat="1" ht="15" customHeight="1"/>
    <row r="729" s="9" customFormat="1" ht="15" customHeight="1"/>
    <row r="730" s="9" customFormat="1" ht="15" customHeight="1"/>
    <row r="731" s="9" customFormat="1" ht="15" customHeight="1"/>
    <row r="732" s="9" customFormat="1" ht="15" customHeight="1"/>
    <row r="733" s="9" customFormat="1" ht="15" customHeight="1"/>
    <row r="734" s="9" customFormat="1" ht="15" customHeight="1"/>
    <row r="735" s="9" customFormat="1" ht="15" customHeight="1"/>
    <row r="736" s="9" customFormat="1" ht="15" customHeight="1"/>
    <row r="737" s="9" customFormat="1" ht="15" customHeight="1"/>
    <row r="738" s="9" customFormat="1" ht="15" customHeight="1"/>
    <row r="739" s="9" customFormat="1" ht="15" customHeight="1"/>
    <row r="740" s="9" customFormat="1" ht="15" customHeight="1"/>
    <row r="741" s="9" customFormat="1" ht="15" customHeight="1"/>
    <row r="742" s="9" customFormat="1" ht="15" customHeight="1"/>
    <row r="743" s="9" customFormat="1" ht="15" customHeight="1"/>
    <row r="744" s="9" customFormat="1" ht="15" customHeight="1"/>
    <row r="745" s="9" customFormat="1" ht="15" customHeight="1"/>
    <row r="746" s="9" customFormat="1" ht="15" customHeight="1"/>
    <row r="747" s="9" customFormat="1" ht="15" customHeight="1"/>
    <row r="748" s="9" customFormat="1" ht="15" customHeight="1"/>
    <row r="749" s="9" customFormat="1" ht="15" customHeight="1"/>
    <row r="750" s="9" customFormat="1" ht="15" customHeight="1"/>
    <row r="751" s="9" customFormat="1" ht="15" customHeight="1"/>
    <row r="752" s="9" customFormat="1" ht="15" customHeight="1"/>
    <row r="753" s="9" customFormat="1" ht="15" customHeight="1"/>
    <row r="754" s="9" customFormat="1" ht="15" customHeight="1"/>
    <row r="755" s="9" customFormat="1" ht="15" customHeight="1"/>
    <row r="756" s="9" customFormat="1" ht="15" customHeight="1"/>
    <row r="757" s="9" customFormat="1" ht="15" customHeight="1"/>
    <row r="758" s="9" customFormat="1" ht="15" customHeight="1"/>
    <row r="759" s="9" customFormat="1" ht="15" customHeight="1"/>
    <row r="760" s="9" customFormat="1" ht="15" customHeight="1"/>
    <row r="761" s="9" customFormat="1" ht="15" customHeight="1"/>
    <row r="762" s="9" customFormat="1" ht="15" customHeight="1"/>
    <row r="763" s="9" customFormat="1" ht="15" customHeight="1"/>
    <row r="764" s="9" customFormat="1" ht="15" customHeight="1"/>
    <row r="765" s="9" customFormat="1" ht="15" customHeight="1"/>
    <row r="766" s="9" customFormat="1" ht="15" customHeight="1"/>
    <row r="767" s="9" customFormat="1" ht="15" customHeight="1"/>
    <row r="768" s="9" customFormat="1" ht="15" customHeight="1"/>
    <row r="769" s="9" customFormat="1" ht="15" customHeight="1"/>
    <row r="770" s="9" customFormat="1" ht="15" customHeight="1"/>
    <row r="771" s="9" customFormat="1" ht="15" customHeight="1"/>
    <row r="772" s="9" customFormat="1" ht="15" customHeight="1"/>
    <row r="773" s="9" customFormat="1" ht="15" customHeight="1"/>
    <row r="774" s="9" customFormat="1" ht="15" customHeight="1"/>
    <row r="775" s="9" customFormat="1" ht="15" customHeight="1"/>
    <row r="776" s="9" customFormat="1" ht="15" customHeight="1"/>
    <row r="777" s="9" customFormat="1" ht="15" customHeight="1"/>
    <row r="778" s="9" customFormat="1" ht="15" customHeight="1"/>
    <row r="779" s="9" customFormat="1" ht="15" customHeight="1"/>
    <row r="780" s="9" customFormat="1" ht="15" customHeight="1"/>
    <row r="781" s="9" customFormat="1" ht="15" customHeight="1"/>
    <row r="782" s="9" customFormat="1" ht="15" customHeight="1"/>
    <row r="783" s="9" customFormat="1" ht="15" customHeight="1"/>
    <row r="784" s="9" customFormat="1" ht="15" customHeight="1"/>
    <row r="785" s="9" customFormat="1" ht="15" customHeight="1"/>
    <row r="786" s="9" customFormat="1" ht="15" customHeight="1"/>
    <row r="787" s="9" customFormat="1" ht="15" customHeight="1"/>
    <row r="788" s="9" customFormat="1" ht="15" customHeight="1"/>
    <row r="789" s="9" customFormat="1" ht="15" customHeight="1"/>
    <row r="790" s="9" customFormat="1" ht="15" customHeight="1"/>
    <row r="791" s="9" customFormat="1" ht="15" customHeight="1"/>
    <row r="792" s="9" customFormat="1" ht="15" customHeight="1"/>
    <row r="793" s="9" customFormat="1" ht="15" customHeight="1"/>
    <row r="794" s="9" customFormat="1" ht="15" customHeight="1"/>
    <row r="795" s="9" customFormat="1" ht="15" customHeight="1"/>
    <row r="796" s="9" customFormat="1" ht="15" customHeight="1"/>
    <row r="797" s="9" customFormat="1" ht="15" customHeight="1"/>
    <row r="798" s="9" customFormat="1" ht="15" customHeight="1"/>
    <row r="799" s="9" customFormat="1" ht="15" customHeight="1"/>
    <row r="800" s="9" customFormat="1" ht="15" customHeight="1"/>
    <row r="801" s="9" customFormat="1" ht="15" customHeight="1"/>
    <row r="802" s="9" customFormat="1" ht="15" customHeight="1"/>
    <row r="803" s="9" customFormat="1" ht="15" customHeight="1"/>
    <row r="804" s="9" customFormat="1" ht="15" customHeight="1"/>
    <row r="805" s="9" customFormat="1" ht="15" customHeight="1"/>
    <row r="806" s="9" customFormat="1" ht="15" customHeight="1"/>
    <row r="807" s="9" customFormat="1" ht="15" customHeight="1"/>
    <row r="808" s="9" customFormat="1" ht="15" customHeight="1"/>
    <row r="809" s="9" customFormat="1" ht="15" customHeight="1"/>
    <row r="810" s="9" customFormat="1" ht="15" customHeight="1"/>
    <row r="811" s="9" customFormat="1" ht="15" customHeight="1"/>
    <row r="812" s="9" customFormat="1" ht="15" customHeight="1"/>
    <row r="813" s="9" customFormat="1" ht="15" customHeight="1"/>
    <row r="814" s="9" customFormat="1" ht="15" customHeight="1"/>
    <row r="815" s="9" customFormat="1" ht="15" customHeight="1"/>
    <row r="816" s="9" customFormat="1" ht="15" customHeight="1"/>
    <row r="817" s="9" customFormat="1" ht="15" customHeight="1"/>
    <row r="818" s="9" customFormat="1" ht="15" customHeight="1"/>
    <row r="819" s="9" customFormat="1" ht="15" customHeight="1"/>
    <row r="820" s="9" customFormat="1" ht="15" customHeight="1"/>
    <row r="821" s="9" customFormat="1" ht="15" customHeight="1"/>
    <row r="822" s="9" customFormat="1" ht="15" customHeight="1"/>
    <row r="823" s="9" customFormat="1" ht="15" customHeight="1"/>
    <row r="824" s="9" customFormat="1" ht="15" customHeight="1"/>
    <row r="825" s="9" customFormat="1" ht="15" customHeight="1"/>
    <row r="826" s="9" customFormat="1" ht="15" customHeight="1"/>
    <row r="827" s="9" customFormat="1" ht="15" customHeight="1"/>
    <row r="828" s="9" customFormat="1" ht="15" customHeight="1"/>
    <row r="829" s="9" customFormat="1" ht="15" customHeight="1"/>
    <row r="830" s="9" customFormat="1" ht="15" customHeight="1"/>
    <row r="831" s="9" customFormat="1" ht="15" customHeight="1"/>
    <row r="832" s="9" customFormat="1" ht="15" customHeight="1"/>
    <row r="833" s="9" customFormat="1" ht="15" customHeight="1"/>
    <row r="834" s="9" customFormat="1" ht="15" customHeight="1"/>
    <row r="835" s="9" customFormat="1" ht="15" customHeight="1"/>
    <row r="836" s="9" customFormat="1" ht="15" customHeight="1"/>
    <row r="837" s="9" customFormat="1" ht="15" customHeight="1"/>
    <row r="838" s="9" customFormat="1" ht="15" customHeight="1"/>
    <row r="839" s="9" customFormat="1" ht="15" customHeight="1"/>
    <row r="840" s="9" customFormat="1" ht="15" customHeight="1"/>
    <row r="841" s="9" customFormat="1" ht="15" customHeight="1"/>
    <row r="842" s="9" customFormat="1" ht="15" customHeight="1"/>
    <row r="843" s="9" customFormat="1" ht="15" customHeight="1"/>
    <row r="844" s="9" customFormat="1" ht="15" customHeight="1"/>
    <row r="845" s="9" customFormat="1" ht="15" customHeight="1"/>
    <row r="846" s="9" customFormat="1" ht="15" customHeight="1"/>
    <row r="847" s="9" customFormat="1" ht="15" customHeight="1"/>
    <row r="848" s="9" customFormat="1" ht="15" customHeight="1"/>
    <row r="849" s="9" customFormat="1" ht="15" customHeight="1"/>
    <row r="850" s="9" customFormat="1" ht="15" customHeight="1"/>
    <row r="851" s="9" customFormat="1" ht="15" customHeight="1"/>
    <row r="852" s="9" customFormat="1" ht="15" customHeight="1"/>
    <row r="853" s="9" customFormat="1" ht="15" customHeight="1"/>
    <row r="854" s="9" customFormat="1" ht="15" customHeight="1"/>
    <row r="855" s="9" customFormat="1" ht="15" customHeight="1"/>
    <row r="856" s="9" customFormat="1" ht="15" customHeight="1"/>
    <row r="857" s="9" customFormat="1" ht="15" customHeight="1"/>
    <row r="858" s="9" customFormat="1" ht="15" customHeight="1"/>
    <row r="859" s="9" customFormat="1" ht="15" customHeight="1"/>
    <row r="860" s="9" customFormat="1" ht="15" customHeight="1"/>
    <row r="861" s="9" customFormat="1" ht="15" customHeight="1"/>
    <row r="862" s="9" customFormat="1" ht="15" customHeight="1"/>
    <row r="863" s="9" customFormat="1" ht="15" customHeight="1"/>
    <row r="864" s="9" customFormat="1" ht="15" customHeight="1"/>
    <row r="865" s="9" customFormat="1" ht="15" customHeight="1"/>
    <row r="866" s="9" customFormat="1" ht="15" customHeight="1"/>
    <row r="867" s="9" customFormat="1" ht="15" customHeight="1"/>
    <row r="868" s="9" customFormat="1" ht="15" customHeight="1"/>
    <row r="869" s="9" customFormat="1" ht="15" customHeight="1"/>
    <row r="870" s="9" customFormat="1" ht="15" customHeight="1"/>
    <row r="871" s="9" customFormat="1" ht="15" customHeight="1"/>
    <row r="872" s="9" customFormat="1" ht="15" customHeight="1"/>
    <row r="873" s="9" customFormat="1" ht="15" customHeight="1"/>
    <row r="874" s="9" customFormat="1" ht="15" customHeight="1"/>
    <row r="875" s="9" customFormat="1" ht="15" customHeight="1"/>
    <row r="876" s="9" customFormat="1" ht="15" customHeight="1"/>
    <row r="877" s="9" customFormat="1" ht="15" customHeight="1"/>
    <row r="878" s="9" customFormat="1" ht="15" customHeight="1"/>
    <row r="879" s="9" customFormat="1" ht="15" customHeight="1"/>
    <row r="880" s="9" customFormat="1" ht="15" customHeight="1"/>
    <row r="881" s="9" customFormat="1" ht="15" customHeight="1"/>
    <row r="882" s="9" customFormat="1" ht="15" customHeight="1"/>
    <row r="883" s="9" customFormat="1" ht="15" customHeight="1"/>
    <row r="884" s="9" customFormat="1" ht="15" customHeight="1"/>
    <row r="885" s="9" customFormat="1" ht="15" customHeight="1"/>
    <row r="886" s="9" customFormat="1" ht="15" customHeight="1"/>
    <row r="887" s="9" customFormat="1" ht="15" customHeight="1"/>
    <row r="888" s="9" customFormat="1" ht="15" customHeight="1"/>
    <row r="889" s="9" customFormat="1" ht="15" customHeight="1"/>
    <row r="890" s="9" customFormat="1" ht="15" customHeight="1"/>
    <row r="891" s="9" customFormat="1" ht="15" customHeight="1"/>
    <row r="892" s="9" customFormat="1" ht="15" customHeight="1"/>
    <row r="893" s="9" customFormat="1" ht="15" customHeight="1"/>
    <row r="894" s="9" customFormat="1" ht="15" customHeight="1"/>
    <row r="895" s="9" customFormat="1" ht="15" customHeight="1"/>
    <row r="896" s="9" customFormat="1" ht="15" customHeight="1"/>
    <row r="897" s="9" customFormat="1" ht="15" customHeight="1"/>
    <row r="898" s="9" customFormat="1" ht="15" customHeight="1"/>
    <row r="899" s="9" customFormat="1" ht="15" customHeight="1"/>
    <row r="900" s="9" customFormat="1" ht="15" customHeight="1"/>
    <row r="901" s="9" customFormat="1" ht="15" customHeight="1"/>
    <row r="902" s="9" customFormat="1" ht="15" customHeight="1"/>
    <row r="903" s="9" customFormat="1" ht="15" customHeight="1"/>
    <row r="904" s="9" customFormat="1" ht="15" customHeight="1"/>
    <row r="905" s="9" customFormat="1" ht="15" customHeight="1"/>
    <row r="906" s="9" customFormat="1" ht="15" customHeight="1"/>
    <row r="907" s="9" customFormat="1" ht="15" customHeight="1"/>
    <row r="908" s="9" customFormat="1" ht="15" customHeight="1"/>
    <row r="909" s="9" customFormat="1" ht="15" customHeight="1"/>
    <row r="910" s="9" customFormat="1" ht="15" customHeight="1"/>
    <row r="911" s="9" customFormat="1" ht="15" customHeight="1"/>
    <row r="912" s="9" customFormat="1" ht="15" customHeight="1"/>
    <row r="913" s="9" customFormat="1" ht="15" customHeight="1"/>
    <row r="914" s="9" customFormat="1" ht="15" customHeight="1"/>
    <row r="915" s="9" customFormat="1" ht="15" customHeight="1"/>
    <row r="916" s="9" customFormat="1" ht="15" customHeight="1"/>
    <row r="917" s="9" customFormat="1" ht="15" customHeight="1"/>
  </sheetData>
  <hyperlinks>
    <hyperlink ref="A1" location="'Start-Experte'!A1" display="zurück" xr:uid="{00000000-0004-0000-28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BFD936BA-07F5-4D0C-84CC-CE4DCF88FCEF}">
            <xm:f>ControlPanel!$D$59-1</xm:f>
            <x14:dxf>
              <font>
                <color rgb="FF9C6500"/>
              </font>
              <fill>
                <patternFill>
                  <bgColor rgb="FFFFEB9C"/>
                </patternFill>
              </fill>
            </x14:dxf>
          </x14:cfRule>
          <x14:cfRule type="cellIs" priority="2" operator="lessThan" id="{1BE11864-C84E-429B-A1E6-CFD7829F461C}">
            <xm:f>ControlPanel!$D$59</xm:f>
            <x14:dxf>
              <font>
                <color rgb="FF006100"/>
              </font>
              <fill>
                <patternFill>
                  <bgColor rgb="FFC6EFCE"/>
                </patternFill>
              </fill>
            </x14:dxf>
          </x14:cfRule>
          <x14:cfRule type="cellIs" priority="3" operator="lessThan" id="{5F090887-2A7E-4A9E-93AF-69E2F777AE56}">
            <xm:f>ControlPanel!$D$59+1</xm:f>
            <x14:dxf>
              <font>
                <color rgb="FF006100"/>
              </font>
              <fill>
                <patternFill>
                  <fgColor indexed="64"/>
                  <bgColor rgb="FFC6EFCE"/>
                </patternFill>
              </fill>
            </x14:dxf>
          </x14:cfRule>
          <xm:sqref>G4:AF4</xm:sqref>
        </x14:conditionalFormatting>
      </x14:conditionalFormatting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Tabelle65">
    <tabColor theme="9" tint="-0.499984740745262"/>
  </sheetPr>
  <dimension ref="A1:AF917"/>
  <sheetViews>
    <sheetView topLeftCell="A4" zoomScaleNormal="100" workbookViewId="0">
      <selection activeCell="O8" sqref="O8"/>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1" width="8.6640625" style="9" customWidth="1" outlineLevel="1"/>
    <col min="12" max="15" width="9.6640625" style="9" bestFit="1" customWidth="1"/>
    <col min="16" max="32" width="9.6640625" style="9" bestFit="1" customWidth="1" outlineLevel="1"/>
    <col min="33" max="16384" width="11.5546875" style="9"/>
  </cols>
  <sheetData>
    <row r="1" spans="1:32">
      <c r="A1" s="41" t="s">
        <v>74</v>
      </c>
      <c r="B1" s="61" t="s">
        <v>939</v>
      </c>
      <c r="C1" s="61"/>
      <c r="D1" s="19"/>
      <c r="E1" s="19"/>
      <c r="F1" s="19"/>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61</v>
      </c>
      <c r="H5" s="323" t="s">
        <v>61</v>
      </c>
      <c r="I5" s="323" t="s">
        <v>61</v>
      </c>
      <c r="J5" s="323" t="s">
        <v>61</v>
      </c>
      <c r="K5" s="323" t="s">
        <v>61</v>
      </c>
      <c r="L5" s="323" t="s">
        <v>61</v>
      </c>
      <c r="M5" s="323" t="s">
        <v>61</v>
      </c>
      <c r="N5" s="323" t="s">
        <v>61</v>
      </c>
      <c r="O5" s="323" t="s">
        <v>61</v>
      </c>
      <c r="P5" s="323" t="s">
        <v>61</v>
      </c>
      <c r="Q5" s="323" t="s">
        <v>61</v>
      </c>
      <c r="R5" s="323" t="s">
        <v>61</v>
      </c>
      <c r="S5" s="323" t="s">
        <v>61</v>
      </c>
      <c r="T5" s="323" t="s">
        <v>61</v>
      </c>
      <c r="U5" s="323" t="s">
        <v>61</v>
      </c>
      <c r="V5" s="323" t="s">
        <v>61</v>
      </c>
      <c r="W5" s="323" t="s">
        <v>61</v>
      </c>
      <c r="X5" s="323" t="s">
        <v>61</v>
      </c>
      <c r="Y5" s="323" t="s">
        <v>61</v>
      </c>
      <c r="Z5" s="323" t="s">
        <v>61</v>
      </c>
      <c r="AA5" s="323" t="s">
        <v>61</v>
      </c>
      <c r="AB5" s="323" t="s">
        <v>61</v>
      </c>
      <c r="AC5" s="323" t="s">
        <v>61</v>
      </c>
      <c r="AD5" s="323" t="s">
        <v>61</v>
      </c>
      <c r="AE5" s="323" t="s">
        <v>61</v>
      </c>
      <c r="AF5" s="323" t="s">
        <v>61</v>
      </c>
    </row>
    <row r="6" spans="1:32" ht="59.25" customHeight="1" thickBot="1">
      <c r="B6" s="166" t="s">
        <v>529</v>
      </c>
      <c r="C6" s="175" t="s">
        <v>846</v>
      </c>
      <c r="D6" s="15" t="s">
        <v>48</v>
      </c>
      <c r="E6" s="15" t="s">
        <v>936</v>
      </c>
      <c r="F6" s="594" t="s">
        <v>937</v>
      </c>
      <c r="G6" s="14"/>
      <c r="H6" s="14"/>
      <c r="I6" s="14"/>
      <c r="J6" s="14"/>
      <c r="K6" s="239">
        <v>6.3400577197004209</v>
      </c>
      <c r="L6" s="38">
        <v>6.3653839009576823</v>
      </c>
      <c r="M6" s="38">
        <v>6.3653839009576823</v>
      </c>
      <c r="N6" s="38">
        <v>6.3653839009576823</v>
      </c>
      <c r="O6" s="38">
        <v>6.3653839009576823</v>
      </c>
      <c r="P6" s="38">
        <v>6.3653839009576823</v>
      </c>
      <c r="Q6" s="38">
        <v>6.3653839009576823</v>
      </c>
      <c r="R6" s="38">
        <v>6.3653839009576823</v>
      </c>
      <c r="S6" s="38">
        <v>6.3653839009576823</v>
      </c>
      <c r="T6" s="38">
        <v>6.3653839009576823</v>
      </c>
      <c r="U6" s="38">
        <v>6.3653839009576823</v>
      </c>
      <c r="V6" s="38">
        <v>6.3653839009576823</v>
      </c>
      <c r="W6" s="38">
        <v>6.3653839009576823</v>
      </c>
      <c r="X6" s="38">
        <v>6.3653839009576823</v>
      </c>
      <c r="Y6" s="38">
        <v>6.3653839009576823</v>
      </c>
      <c r="Z6" s="38">
        <v>6.3653839009576823</v>
      </c>
      <c r="AA6" s="38">
        <v>5.8264018677620077</v>
      </c>
      <c r="AB6" s="38">
        <v>5.3606672290276043</v>
      </c>
      <c r="AC6" s="38">
        <v>5.0397223665748268</v>
      </c>
      <c r="AD6" s="38">
        <v>4.8537221589924613</v>
      </c>
      <c r="AE6" s="38">
        <v>4.2530569317466336</v>
      </c>
      <c r="AF6" s="38">
        <v>4.2024045692321126</v>
      </c>
    </row>
    <row r="7" spans="1:32" ht="59.25" customHeight="1" thickBot="1">
      <c r="B7" s="165" t="s">
        <v>349</v>
      </c>
      <c r="C7" s="175" t="s">
        <v>846</v>
      </c>
      <c r="D7" s="15" t="s">
        <v>48</v>
      </c>
      <c r="E7" s="15" t="s">
        <v>936</v>
      </c>
      <c r="F7" s="594" t="s">
        <v>937</v>
      </c>
      <c r="G7" s="14"/>
      <c r="H7" s="14"/>
      <c r="I7" s="14"/>
      <c r="J7" s="14"/>
      <c r="K7" s="239">
        <v>1.4340048917520307</v>
      </c>
      <c r="L7" s="38">
        <v>1.4380650412409677</v>
      </c>
      <c r="M7" s="38">
        <v>1.4380650412409677</v>
      </c>
      <c r="N7" s="38">
        <v>1.4380650412409677</v>
      </c>
      <c r="O7" s="38">
        <v>1.4380650412409677</v>
      </c>
      <c r="P7" s="38">
        <v>1.4380650412409677</v>
      </c>
      <c r="Q7" s="38">
        <v>1.4380650412409677</v>
      </c>
      <c r="R7" s="38">
        <v>1.1116422809573945</v>
      </c>
      <c r="S7" s="38">
        <v>1.0106083811612576</v>
      </c>
      <c r="T7" s="38">
        <v>0.74197769522039103</v>
      </c>
      <c r="U7" s="38">
        <v>0.43927686747089773</v>
      </c>
      <c r="V7" s="38">
        <v>0.15582886179697539</v>
      </c>
      <c r="W7" s="38">
        <v>0.12537230832477717</v>
      </c>
      <c r="X7" s="38">
        <v>0.10047524852672238</v>
      </c>
      <c r="Y7" s="38">
        <v>9.6752700738409095E-2</v>
      </c>
      <c r="Z7" s="38">
        <v>9.3619703214801536E-2</v>
      </c>
      <c r="AA7" s="38">
        <v>5.5079993384563354E-2</v>
      </c>
      <c r="AB7" s="38">
        <v>4.8352437199624974E-2</v>
      </c>
      <c r="AC7" s="38">
        <v>1.5104555416539968E-2</v>
      </c>
      <c r="AD7" s="38">
        <v>1.2367230452041226E-2</v>
      </c>
      <c r="AE7" s="38">
        <v>8.1202989778740627E-3</v>
      </c>
      <c r="AF7" s="38">
        <v>0</v>
      </c>
    </row>
    <row r="8" spans="1:32" ht="59.25" customHeight="1" thickBot="1">
      <c r="B8" s="165" t="s">
        <v>11</v>
      </c>
      <c r="C8" s="175" t="s">
        <v>846</v>
      </c>
      <c r="D8" s="15" t="s">
        <v>48</v>
      </c>
      <c r="E8" s="15" t="s">
        <v>936</v>
      </c>
      <c r="F8" s="594" t="s">
        <v>937</v>
      </c>
      <c r="G8" s="38"/>
      <c r="H8" s="38"/>
      <c r="I8" s="38"/>
      <c r="J8" s="38"/>
      <c r="K8" s="239">
        <v>40.915066042624225</v>
      </c>
      <c r="L8" s="38">
        <v>41.469756491772493</v>
      </c>
      <c r="M8" s="38">
        <v>41.469756491772493</v>
      </c>
      <c r="N8" s="38">
        <v>41.469756491772493</v>
      </c>
      <c r="O8" s="38">
        <v>41.469756491772493</v>
      </c>
      <c r="P8" s="38">
        <v>41.469756491772493</v>
      </c>
      <c r="Q8" s="38">
        <v>41.469756491772493</v>
      </c>
      <c r="R8" s="38">
        <v>39.812821991692502</v>
      </c>
      <c r="S8" s="38">
        <v>38.829714281829894</v>
      </c>
      <c r="T8" s="38">
        <v>38.049447462908155</v>
      </c>
      <c r="U8" s="38">
        <v>36.913188946941609</v>
      </c>
      <c r="V8" s="38">
        <v>33.879601480015921</v>
      </c>
      <c r="W8" s="38">
        <v>29.979942877482884</v>
      </c>
      <c r="X8" s="38">
        <v>24.884416561314495</v>
      </c>
      <c r="Y8" s="38">
        <v>20.958547637788435</v>
      </c>
      <c r="Z8" s="38">
        <v>18.738437533081804</v>
      </c>
      <c r="AA8" s="38">
        <v>15.850866075480793</v>
      </c>
      <c r="AB8" s="38">
        <v>11.467408760352546</v>
      </c>
      <c r="AC8" s="38">
        <v>4.2173214392664056</v>
      </c>
      <c r="AD8" s="38">
        <v>2.5538934635614163</v>
      </c>
      <c r="AE8" s="38">
        <v>1.1093808982965405</v>
      </c>
      <c r="AF8" s="38">
        <v>0</v>
      </c>
    </row>
    <row r="9" spans="1:32" ht="59.25" customHeight="1" thickBot="1">
      <c r="B9" s="165" t="s">
        <v>10</v>
      </c>
      <c r="C9" s="175" t="s">
        <v>846</v>
      </c>
      <c r="D9" s="15" t="s">
        <v>48</v>
      </c>
      <c r="E9" s="15" t="s">
        <v>936</v>
      </c>
      <c r="F9" s="594" t="s">
        <v>937</v>
      </c>
      <c r="G9" s="14"/>
      <c r="H9" s="14"/>
      <c r="I9" s="14"/>
      <c r="J9" s="14"/>
      <c r="K9" s="239">
        <v>0.14134193593954347</v>
      </c>
      <c r="L9" s="38">
        <v>0.14968884020373421</v>
      </c>
      <c r="M9" s="38">
        <v>0.14968884020373421</v>
      </c>
      <c r="N9" s="38">
        <v>0.14968884020373421</v>
      </c>
      <c r="O9" s="38">
        <v>0.14968884020373421</v>
      </c>
      <c r="P9" s="38">
        <v>0.14968884020373421</v>
      </c>
      <c r="Q9" s="38">
        <v>0.14968884020373421</v>
      </c>
      <c r="R9" s="38">
        <v>0.14968884020373421</v>
      </c>
      <c r="S9" s="38">
        <v>0.14968884020373421</v>
      </c>
      <c r="T9" s="38">
        <v>0.14968884020373421</v>
      </c>
      <c r="U9" s="38">
        <v>0.14968884020373421</v>
      </c>
      <c r="V9" s="38">
        <v>0.14968884020373421</v>
      </c>
      <c r="W9" s="38">
        <v>0.14968884020373421</v>
      </c>
      <c r="X9" s="38">
        <v>0.14968884020373421</v>
      </c>
      <c r="Y9" s="38">
        <v>0.14968884020373421</v>
      </c>
      <c r="Z9" s="38">
        <v>0.14968884020373421</v>
      </c>
      <c r="AA9" s="38">
        <v>0.14027279747116281</v>
      </c>
      <c r="AB9" s="38">
        <v>0.14027279747116281</v>
      </c>
      <c r="AC9" s="38">
        <v>0.14027279747116281</v>
      </c>
      <c r="AD9" s="38">
        <v>8.0174710482014119E-2</v>
      </c>
      <c r="AE9" s="38">
        <v>1.6693808528381489E-2</v>
      </c>
      <c r="AF9" s="38">
        <v>0</v>
      </c>
    </row>
    <row r="10" spans="1:32" ht="59.25" customHeight="1" thickBot="1">
      <c r="B10" s="165" t="s">
        <v>339</v>
      </c>
      <c r="C10" s="175" t="s">
        <v>846</v>
      </c>
      <c r="D10" s="15" t="s">
        <v>48</v>
      </c>
      <c r="E10" s="15" t="s">
        <v>936</v>
      </c>
      <c r="F10" s="594" t="s">
        <v>937</v>
      </c>
      <c r="G10" s="14">
        <v>0</v>
      </c>
      <c r="H10" s="14">
        <v>0</v>
      </c>
      <c r="I10" s="14">
        <v>0</v>
      </c>
      <c r="J10" s="14">
        <v>0</v>
      </c>
      <c r="K10" s="239">
        <v>57.653383999388126</v>
      </c>
      <c r="L10" s="38">
        <v>62.502124577836618</v>
      </c>
      <c r="M10" s="38">
        <v>62.110842784472524</v>
      </c>
      <c r="N10" s="38">
        <v>61.589133726653721</v>
      </c>
      <c r="O10" s="38">
        <v>60.936997404380229</v>
      </c>
      <c r="P10" s="38">
        <v>60.154433817652034</v>
      </c>
      <c r="Q10" s="38">
        <v>59.241442966469144</v>
      </c>
      <c r="R10" s="38">
        <v>56.886196411384716</v>
      </c>
      <c r="S10" s="38">
        <v>53.273860613123752</v>
      </c>
      <c r="T10" s="38">
        <v>48.985144127866754</v>
      </c>
      <c r="U10" s="38">
        <v>44.953859251545786</v>
      </c>
      <c r="V10" s="38">
        <v>41.695299693943618</v>
      </c>
      <c r="W10" s="38">
        <v>38.889800126336475</v>
      </c>
      <c r="X10" s="38">
        <v>35.265691742050741</v>
      </c>
      <c r="Y10" s="38">
        <v>32.453041205988214</v>
      </c>
      <c r="Z10" s="38">
        <v>31.191017671164577</v>
      </c>
      <c r="AA10" s="38">
        <v>26.534990416467974</v>
      </c>
      <c r="AB10" s="38">
        <v>23.848804711831974</v>
      </c>
      <c r="AC10" s="38">
        <v>20.453990621840415</v>
      </c>
      <c r="AD10" s="38">
        <v>15.896470455695573</v>
      </c>
      <c r="AE10" s="38">
        <v>9.6974811568969788</v>
      </c>
      <c r="AF10" s="38">
        <v>0</v>
      </c>
    </row>
    <row r="11" spans="1:32" ht="59.25" customHeight="1" thickBot="1">
      <c r="B11" s="165" t="s">
        <v>340</v>
      </c>
      <c r="C11" s="175" t="s">
        <v>846</v>
      </c>
      <c r="D11" s="15" t="s">
        <v>48</v>
      </c>
      <c r="E11" s="15" t="s">
        <v>936</v>
      </c>
      <c r="F11" s="594" t="s">
        <v>937</v>
      </c>
      <c r="G11" s="14"/>
      <c r="H11" s="14"/>
      <c r="I11" s="14"/>
      <c r="J11" s="14"/>
      <c r="K11" s="239">
        <v>3.0914397264392286</v>
      </c>
      <c r="L11" s="38">
        <v>4.110547332443411</v>
      </c>
      <c r="M11" s="38">
        <v>4.110547332443411</v>
      </c>
      <c r="N11" s="38">
        <v>4.110547332443411</v>
      </c>
      <c r="O11" s="38">
        <v>4.110547332443411</v>
      </c>
      <c r="P11" s="38">
        <v>4.110547332443411</v>
      </c>
      <c r="Q11" s="38">
        <v>4.110547332443411</v>
      </c>
      <c r="R11" s="38">
        <v>4.110547332443411</v>
      </c>
      <c r="S11" s="38">
        <v>4.110547332443411</v>
      </c>
      <c r="T11" s="38">
        <v>4.110547332443411</v>
      </c>
      <c r="U11" s="38">
        <v>4.110547332443411</v>
      </c>
      <c r="V11" s="38">
        <v>4.110547332443411</v>
      </c>
      <c r="W11" s="38">
        <v>4.110547332443411</v>
      </c>
      <c r="X11" s="38">
        <v>4.110547332443411</v>
      </c>
      <c r="Y11" s="38">
        <v>4.110547332443411</v>
      </c>
      <c r="Z11" s="38">
        <v>4.110547332443411</v>
      </c>
      <c r="AA11" s="38">
        <v>3.9601506745242956</v>
      </c>
      <c r="AB11" s="38">
        <v>3.7744742876370232</v>
      </c>
      <c r="AC11" s="38">
        <v>3.3082822149057258</v>
      </c>
      <c r="AD11" s="38">
        <v>2.9793310655848093</v>
      </c>
      <c r="AE11" s="38">
        <v>2.0382152120083648</v>
      </c>
      <c r="AF11" s="38">
        <v>0</v>
      </c>
    </row>
    <row r="12" spans="1:32" ht="59.25" customHeight="1" thickBot="1">
      <c r="B12" s="165" t="s">
        <v>530</v>
      </c>
      <c r="C12" s="175" t="s">
        <v>846</v>
      </c>
      <c r="D12" s="15" t="s">
        <v>48</v>
      </c>
      <c r="E12" s="15" t="s">
        <v>936</v>
      </c>
      <c r="F12" s="594" t="s">
        <v>937</v>
      </c>
      <c r="G12" s="14"/>
      <c r="H12" s="14"/>
      <c r="I12" s="14"/>
      <c r="J12" s="14"/>
      <c r="K12" s="239">
        <v>32.345105654434903</v>
      </c>
      <c r="L12" s="38">
        <v>33.019049930170183</v>
      </c>
      <c r="M12" s="38">
        <v>33.019049930170183</v>
      </c>
      <c r="N12" s="38">
        <v>33.019049930170183</v>
      </c>
      <c r="O12" s="38">
        <v>33.019049930170183</v>
      </c>
      <c r="P12" s="38">
        <v>33.019049930170183</v>
      </c>
      <c r="Q12" s="38">
        <v>33.019049930170183</v>
      </c>
      <c r="R12" s="38">
        <v>32.96986412434994</v>
      </c>
      <c r="S12" s="38">
        <v>32.889992363151684</v>
      </c>
      <c r="T12" s="38">
        <v>32.802643428256573</v>
      </c>
      <c r="U12" s="38">
        <v>32.682146189674363</v>
      </c>
      <c r="V12" s="38">
        <v>32.118403998686745</v>
      </c>
      <c r="W12" s="38">
        <v>31.31927480670873</v>
      </c>
      <c r="X12" s="38">
        <v>30.581886338374783</v>
      </c>
      <c r="Y12" s="38">
        <v>29.468001652940707</v>
      </c>
      <c r="Z12" s="38">
        <v>27.712738361025213</v>
      </c>
      <c r="AA12" s="38">
        <v>23.700450799975101</v>
      </c>
      <c r="AB12" s="38">
        <v>16.920444701113084</v>
      </c>
      <c r="AC12" s="38">
        <v>9.8246758626833426</v>
      </c>
      <c r="AD12" s="38">
        <v>3.8973169441729065</v>
      </c>
      <c r="AE12" s="38">
        <v>1.3478885514705552</v>
      </c>
      <c r="AF12" s="38">
        <v>0</v>
      </c>
    </row>
    <row r="13" spans="1:32" ht="15" customHeight="1">
      <c r="B13" s="315"/>
      <c r="C13" s="10"/>
      <c r="D13" s="26"/>
      <c r="E13" s="26"/>
      <c r="F13" s="26"/>
      <c r="G13" s="349"/>
      <c r="H13" s="349"/>
      <c r="I13" s="349"/>
      <c r="J13" s="349"/>
      <c r="K13" s="349"/>
      <c r="L13" s="349"/>
      <c r="M13" s="349"/>
      <c r="N13" s="349"/>
      <c r="O13" s="349"/>
      <c r="P13" s="349"/>
      <c r="Q13" s="349"/>
      <c r="R13" s="349"/>
      <c r="S13" s="349"/>
      <c r="T13" s="349"/>
      <c r="U13" s="349"/>
      <c r="V13" s="349"/>
      <c r="W13" s="349"/>
      <c r="X13" s="349"/>
      <c r="Y13" s="349"/>
      <c r="Z13" s="349"/>
      <c r="AA13" s="349"/>
      <c r="AB13" s="349"/>
      <c r="AC13" s="349"/>
      <c r="AD13" s="349"/>
      <c r="AE13" s="349"/>
      <c r="AF13" s="349"/>
    </row>
    <row r="14" spans="1:32" ht="15" customHeight="1">
      <c r="D14" s="9"/>
      <c r="E14" s="9"/>
      <c r="F14" s="9"/>
    </row>
    <row r="15" spans="1:32" ht="15" customHeight="1">
      <c r="D15" s="9"/>
      <c r="E15" s="9"/>
      <c r="F15" s="9"/>
    </row>
    <row r="16" spans="1:32" ht="15" customHeight="1">
      <c r="D16" s="9"/>
      <c r="E16" s="9"/>
      <c r="F16" s="9"/>
    </row>
    <row r="17" s="9" customFormat="1" ht="15" customHeight="1"/>
    <row r="18" s="9" customFormat="1" ht="15" customHeight="1"/>
    <row r="19" s="9" customFormat="1" ht="15" customHeight="1"/>
    <row r="20" s="9" customFormat="1" ht="15" customHeight="1"/>
    <row r="21" s="9" customFormat="1" ht="15" customHeight="1"/>
    <row r="22" s="9" customFormat="1" ht="15" customHeight="1"/>
    <row r="23" s="9" customFormat="1" ht="15" customHeight="1"/>
    <row r="24" s="9" customFormat="1" ht="15" customHeight="1"/>
    <row r="25" s="9" customFormat="1" ht="15" customHeight="1"/>
    <row r="26" s="9" customFormat="1" ht="15" customHeight="1"/>
    <row r="27" s="9" customFormat="1" ht="15" customHeight="1"/>
    <row r="28" s="9" customFormat="1" ht="15" customHeight="1"/>
    <row r="29" s="9" customFormat="1" ht="15" customHeight="1"/>
    <row r="30" s="9" customFormat="1" ht="15" customHeight="1"/>
    <row r="31" s="9" customFormat="1" ht="15" customHeight="1"/>
    <row r="32" s="9" customFormat="1" ht="15" customHeight="1"/>
    <row r="33" s="9" customFormat="1" ht="15" customHeight="1"/>
    <row r="34" s="9" customFormat="1" ht="15" customHeight="1"/>
    <row r="35" s="9" customFormat="1" ht="15" customHeight="1"/>
    <row r="36" s="9" customFormat="1" ht="15" customHeight="1"/>
    <row r="37" s="9" customFormat="1" ht="15" customHeight="1"/>
    <row r="38" s="9" customFormat="1" ht="15" customHeight="1"/>
    <row r="39" s="9" customFormat="1" ht="15" customHeight="1"/>
    <row r="40" s="9" customFormat="1" ht="15" customHeight="1"/>
    <row r="41" s="9" customFormat="1" ht="15" customHeight="1"/>
    <row r="42" s="9" customFormat="1" ht="15" customHeight="1"/>
    <row r="43" s="9" customFormat="1" ht="15" customHeight="1"/>
    <row r="44" s="9" customFormat="1" ht="15" customHeight="1"/>
    <row r="45" s="9" customFormat="1" ht="15" customHeight="1"/>
    <row r="46" s="9" customFormat="1" ht="15" customHeight="1"/>
    <row r="47" s="9" customFormat="1" ht="15" customHeight="1"/>
    <row r="48" s="9" customFormat="1" ht="15" customHeight="1"/>
    <row r="49" s="9" customFormat="1" ht="15" customHeight="1"/>
    <row r="50" s="9" customFormat="1" ht="15" customHeight="1"/>
    <row r="51" s="9" customFormat="1" ht="15" customHeight="1"/>
    <row r="52" s="9" customFormat="1" ht="15" customHeight="1"/>
    <row r="53" s="9" customFormat="1" ht="15" customHeight="1"/>
    <row r="54" s="9" customFormat="1" ht="15" customHeight="1"/>
    <row r="55" s="9" customFormat="1" ht="15" customHeight="1"/>
    <row r="56" s="9" customFormat="1" ht="15" customHeight="1"/>
    <row r="57" s="9" customFormat="1" ht="15" customHeight="1"/>
    <row r="58" s="9" customFormat="1" ht="15" customHeight="1"/>
    <row r="59" s="9" customFormat="1" ht="15" customHeight="1"/>
    <row r="60" s="9" customFormat="1" ht="15" customHeight="1"/>
    <row r="61" s="9" customFormat="1" ht="15" customHeight="1"/>
    <row r="62" s="9" customFormat="1" ht="15" customHeight="1"/>
    <row r="63" s="9" customFormat="1" ht="15" customHeight="1"/>
    <row r="64" s="9" customFormat="1" ht="15" customHeight="1"/>
    <row r="65" s="9" customFormat="1" ht="15" customHeight="1"/>
    <row r="66" s="9" customFormat="1" ht="15" customHeight="1"/>
    <row r="67" s="9" customFormat="1" ht="15" customHeight="1"/>
    <row r="68" s="9" customFormat="1" ht="15" customHeight="1"/>
    <row r="69" s="9" customFormat="1" ht="15" customHeight="1"/>
    <row r="70" s="9" customFormat="1" ht="15" customHeight="1"/>
    <row r="71" s="9" customFormat="1" ht="15" customHeight="1"/>
    <row r="72" s="9" customFormat="1" ht="15" customHeight="1"/>
    <row r="73" s="9" customFormat="1" ht="15" customHeight="1"/>
    <row r="74" s="9" customFormat="1" ht="15" customHeight="1"/>
    <row r="75" s="9" customFormat="1" ht="15" customHeight="1"/>
    <row r="76" s="9" customFormat="1" ht="15" customHeight="1"/>
    <row r="77" s="9" customFormat="1" ht="15" customHeight="1"/>
    <row r="78" s="9" customFormat="1" ht="15" customHeight="1"/>
    <row r="79" s="9" customFormat="1" ht="15" customHeight="1"/>
    <row r="80" s="9" customFormat="1" ht="15" customHeight="1"/>
    <row r="81" s="9" customFormat="1" ht="15" customHeight="1"/>
    <row r="82" s="9" customFormat="1" ht="15" customHeight="1"/>
    <row r="83" s="9" customFormat="1" ht="15" customHeight="1"/>
    <row r="84" s="9" customFormat="1" ht="15" customHeight="1"/>
    <row r="85" s="9" customFormat="1" ht="15" customHeight="1"/>
    <row r="86" s="9" customFormat="1" ht="15" customHeight="1"/>
    <row r="87" s="9" customFormat="1" ht="15" customHeight="1"/>
    <row r="88" s="9" customFormat="1" ht="15" customHeight="1"/>
    <row r="89" s="9" customFormat="1" ht="15" customHeight="1"/>
    <row r="90" s="9" customFormat="1" ht="15" customHeight="1"/>
    <row r="91" s="9" customFormat="1" ht="15" customHeight="1"/>
    <row r="92" s="9" customFormat="1" ht="15" customHeight="1"/>
    <row r="93" s="9" customFormat="1" ht="15" customHeight="1"/>
    <row r="94" s="9" customFormat="1" ht="15" customHeight="1"/>
    <row r="95" s="9" customFormat="1" ht="15" customHeight="1"/>
    <row r="96" s="9" customFormat="1" ht="15" customHeight="1"/>
    <row r="97" s="9" customFormat="1" ht="15" customHeight="1"/>
    <row r="98" s="9" customFormat="1" ht="15" customHeight="1"/>
    <row r="99" s="9" customFormat="1" ht="15" customHeight="1"/>
    <row r="100" s="9" customFormat="1" ht="15" customHeight="1"/>
    <row r="101" s="9" customFormat="1" ht="15" customHeight="1"/>
    <row r="102" s="9" customFormat="1" ht="15" customHeight="1"/>
    <row r="103" s="9" customFormat="1" ht="15" customHeight="1"/>
    <row r="104" s="9" customFormat="1" ht="15" customHeight="1"/>
    <row r="105" s="9" customFormat="1" ht="15" customHeight="1"/>
    <row r="106" s="9" customFormat="1" ht="15" customHeight="1"/>
    <row r="107" s="9" customFormat="1" ht="15" customHeight="1"/>
    <row r="108" s="9" customFormat="1" ht="15" customHeight="1"/>
    <row r="109" s="9" customFormat="1" ht="15" customHeight="1"/>
    <row r="110" s="9" customFormat="1" ht="15" customHeight="1"/>
    <row r="111" s="9" customFormat="1" ht="15" customHeight="1"/>
    <row r="112" s="9" customFormat="1" ht="15" customHeight="1"/>
    <row r="113" s="9" customFormat="1" ht="15" customHeight="1"/>
    <row r="114" s="9" customFormat="1" ht="15" customHeight="1"/>
    <row r="115" s="9" customFormat="1" ht="15" customHeight="1"/>
    <row r="116" s="9" customFormat="1" ht="15" customHeight="1"/>
    <row r="117" s="9" customFormat="1" ht="15" customHeight="1"/>
    <row r="118" s="9" customFormat="1" ht="15" customHeight="1"/>
    <row r="119" s="9" customFormat="1" ht="15" customHeight="1"/>
    <row r="120" s="9" customFormat="1" ht="15" customHeight="1"/>
    <row r="121" s="9" customFormat="1" ht="15" customHeight="1"/>
    <row r="122" s="9" customFormat="1" ht="15" customHeight="1"/>
    <row r="123" s="9" customFormat="1" ht="15" customHeight="1"/>
    <row r="124" s="9" customFormat="1" ht="15" customHeight="1"/>
    <row r="125" s="9" customFormat="1" ht="15" customHeight="1"/>
    <row r="126" s="9" customFormat="1" ht="15" customHeight="1"/>
    <row r="127" s="9" customFormat="1" ht="15" customHeight="1"/>
    <row r="128" s="9" customFormat="1" ht="15" customHeight="1"/>
    <row r="129" s="9" customFormat="1" ht="15" customHeight="1"/>
    <row r="130" s="9" customFormat="1" ht="15" customHeight="1"/>
    <row r="131" s="9" customFormat="1" ht="15" customHeight="1"/>
    <row r="132" s="9" customFormat="1" ht="15" customHeight="1"/>
    <row r="133" s="9" customFormat="1" ht="15" customHeight="1"/>
    <row r="134" s="9" customFormat="1" ht="15" customHeight="1"/>
    <row r="135" s="9" customFormat="1" ht="15" customHeight="1"/>
    <row r="136" s="9" customFormat="1" ht="15" customHeight="1"/>
    <row r="137" s="9" customFormat="1" ht="15" customHeight="1"/>
    <row r="138" s="9" customFormat="1" ht="15" customHeight="1"/>
    <row r="139" s="9" customFormat="1" ht="15" customHeight="1"/>
    <row r="140" s="9" customFormat="1" ht="15" customHeight="1"/>
    <row r="141" s="9" customFormat="1" ht="15" customHeight="1"/>
    <row r="142" s="9" customFormat="1" ht="15" customHeight="1"/>
    <row r="143" s="9" customFormat="1" ht="15" customHeight="1"/>
    <row r="144" s="9" customFormat="1" ht="15" customHeight="1"/>
    <row r="145" s="9" customFormat="1" ht="15" customHeight="1"/>
    <row r="146" s="9" customFormat="1" ht="15" customHeight="1"/>
    <row r="147" s="9" customFormat="1" ht="15" customHeight="1"/>
    <row r="148" s="9" customFormat="1" ht="15" customHeight="1"/>
    <row r="149" s="9" customFormat="1" ht="15" customHeight="1"/>
    <row r="150" s="9" customFormat="1" ht="15" customHeight="1"/>
    <row r="151" s="9" customFormat="1" ht="15" customHeight="1"/>
    <row r="152" s="9" customFormat="1" ht="15" customHeight="1"/>
    <row r="153" s="9" customFormat="1" ht="15" customHeight="1"/>
    <row r="154" s="9" customFormat="1" ht="15" customHeight="1"/>
    <row r="155" s="9" customFormat="1" ht="15" customHeight="1"/>
    <row r="156" s="9" customFormat="1" ht="15" customHeight="1"/>
    <row r="157" s="9" customFormat="1" ht="15" customHeight="1"/>
    <row r="158" s="9" customFormat="1" ht="15" customHeight="1"/>
    <row r="159" s="9" customFormat="1" ht="15" customHeight="1"/>
    <row r="160" s="9" customFormat="1" ht="15" customHeight="1"/>
    <row r="161" s="9" customFormat="1" ht="15" customHeight="1"/>
    <row r="162" s="9" customFormat="1" ht="15" customHeight="1"/>
    <row r="163" s="9" customFormat="1" ht="15" customHeight="1"/>
    <row r="164" s="9" customFormat="1" ht="15" customHeight="1"/>
    <row r="165" s="9" customFormat="1" ht="15" customHeight="1"/>
    <row r="166" s="9" customFormat="1" ht="15" customHeight="1"/>
    <row r="167" s="9" customFormat="1" ht="15" customHeight="1"/>
    <row r="168" s="9" customFormat="1" ht="15" customHeight="1"/>
    <row r="169" s="9" customFormat="1" ht="15" customHeight="1"/>
    <row r="170" s="9" customFormat="1" ht="15" customHeight="1"/>
    <row r="171" s="9" customFormat="1" ht="15" customHeight="1"/>
    <row r="172" s="9" customFormat="1" ht="15" customHeight="1"/>
    <row r="173" s="9" customFormat="1" ht="15" customHeight="1"/>
    <row r="174" s="9" customFormat="1" ht="15" customHeight="1"/>
    <row r="175" s="9" customFormat="1" ht="15" customHeight="1"/>
    <row r="176" s="9" customFormat="1" ht="15" customHeight="1"/>
    <row r="177" s="9" customFormat="1" ht="15" customHeight="1"/>
    <row r="178" s="9" customFormat="1" ht="15" customHeight="1"/>
    <row r="179" s="9" customFormat="1" ht="15" customHeight="1"/>
    <row r="180" s="9" customFormat="1" ht="15" customHeight="1"/>
    <row r="181" s="9" customFormat="1" ht="15" customHeight="1"/>
    <row r="182" s="9" customFormat="1" ht="15" customHeight="1"/>
    <row r="183" s="9" customFormat="1" ht="15" customHeight="1"/>
    <row r="184" s="9" customFormat="1" ht="15" customHeight="1"/>
    <row r="185" s="9" customFormat="1" ht="15" customHeight="1"/>
    <row r="186" s="9" customFormat="1" ht="15" customHeight="1"/>
    <row r="187" s="9" customFormat="1" ht="15" customHeight="1"/>
    <row r="188" s="9" customFormat="1" ht="15" customHeight="1"/>
    <row r="189" s="9" customFormat="1" ht="15" customHeight="1"/>
    <row r="190" s="9" customFormat="1" ht="15" customHeight="1"/>
    <row r="191" s="9" customFormat="1" ht="15" customHeight="1"/>
    <row r="192" s="9" customFormat="1" ht="15" customHeight="1"/>
    <row r="193" s="9" customFormat="1" ht="15" customHeight="1"/>
    <row r="194" s="9" customFormat="1" ht="15" customHeight="1"/>
    <row r="195" s="9" customFormat="1" ht="15" customHeight="1"/>
    <row r="196" s="9" customFormat="1" ht="15" customHeight="1"/>
    <row r="197" s="9" customFormat="1" ht="15" customHeight="1"/>
    <row r="198" s="9" customFormat="1" ht="15" customHeight="1"/>
    <row r="199" s="9" customFormat="1" ht="15" customHeight="1"/>
    <row r="200" s="9" customFormat="1" ht="15" customHeight="1"/>
    <row r="201" s="9" customFormat="1" ht="15" customHeight="1"/>
    <row r="202" s="9" customFormat="1" ht="15" customHeight="1"/>
    <row r="203" s="9" customFormat="1" ht="15" customHeight="1"/>
    <row r="204" s="9" customFormat="1" ht="15" customHeight="1"/>
    <row r="205" s="9" customFormat="1" ht="15" customHeight="1"/>
    <row r="206" s="9" customFormat="1" ht="15" customHeight="1"/>
    <row r="207" s="9" customFormat="1" ht="15" customHeight="1"/>
    <row r="208" s="9" customFormat="1" ht="15" customHeight="1"/>
    <row r="209" s="9" customFormat="1" ht="15" customHeight="1"/>
    <row r="210" s="9" customFormat="1" ht="15" customHeight="1"/>
    <row r="211" s="9" customFormat="1" ht="15" customHeight="1"/>
    <row r="212" s="9" customFormat="1" ht="15" customHeight="1"/>
    <row r="213" s="9" customFormat="1" ht="15" customHeight="1"/>
    <row r="214" s="9" customFormat="1" ht="15" customHeight="1"/>
    <row r="215" s="9" customFormat="1" ht="15" customHeight="1"/>
    <row r="216" s="9" customFormat="1" ht="15" customHeight="1"/>
    <row r="217" s="9" customFormat="1" ht="15" customHeight="1"/>
    <row r="218" s="9" customFormat="1" ht="15" customHeight="1"/>
    <row r="219" s="9" customFormat="1" ht="15" customHeight="1"/>
    <row r="220" s="9" customFormat="1" ht="15" customHeight="1"/>
    <row r="221" s="9" customFormat="1" ht="15" customHeight="1"/>
    <row r="222" s="9" customFormat="1" ht="15" customHeight="1"/>
    <row r="223" s="9" customFormat="1" ht="15" customHeight="1"/>
    <row r="224" s="9" customFormat="1" ht="15" customHeight="1"/>
    <row r="225" s="9" customFormat="1" ht="15" customHeight="1"/>
    <row r="226" s="9" customFormat="1" ht="15" customHeight="1"/>
    <row r="227" s="9" customFormat="1" ht="15" customHeight="1"/>
    <row r="228" s="9" customFormat="1" ht="15" customHeight="1"/>
    <row r="229" s="9" customFormat="1" ht="15" customHeight="1"/>
    <row r="230" s="9" customFormat="1" ht="15" customHeight="1"/>
    <row r="231" s="9" customFormat="1" ht="15" customHeight="1"/>
    <row r="232" s="9" customFormat="1" ht="15" customHeight="1"/>
    <row r="233" s="9" customFormat="1" ht="15" customHeight="1"/>
    <row r="234" s="9" customFormat="1" ht="15" customHeight="1"/>
    <row r="235" s="9" customFormat="1" ht="15" customHeight="1"/>
    <row r="236" s="9" customFormat="1" ht="15" customHeight="1"/>
    <row r="237" s="9" customFormat="1" ht="15" customHeight="1"/>
    <row r="238" s="9" customFormat="1" ht="15" customHeight="1"/>
    <row r="239" s="9" customFormat="1" ht="15" customHeight="1"/>
    <row r="240" s="9" customFormat="1" ht="15" customHeight="1"/>
    <row r="241" s="9" customFormat="1" ht="15" customHeight="1"/>
    <row r="242" s="9" customFormat="1" ht="15" customHeight="1"/>
    <row r="243" s="9" customFormat="1" ht="15" customHeight="1"/>
    <row r="244" s="9" customFormat="1" ht="15" customHeight="1"/>
    <row r="245" s="9" customFormat="1" ht="15" customHeight="1"/>
    <row r="246" s="9" customFormat="1" ht="15" customHeight="1"/>
    <row r="247" s="9" customFormat="1" ht="15" customHeight="1"/>
    <row r="248" s="9" customFormat="1" ht="15" customHeight="1"/>
    <row r="249" s="9" customFormat="1" ht="15" customHeight="1"/>
    <row r="250" s="9" customFormat="1" ht="15" customHeight="1"/>
    <row r="251" s="9" customFormat="1" ht="15" customHeight="1"/>
    <row r="252" s="9" customFormat="1" ht="15" customHeight="1"/>
    <row r="253" s="9" customFormat="1" ht="15" customHeight="1"/>
    <row r="254" s="9" customFormat="1" ht="15" customHeight="1"/>
    <row r="255" s="9" customFormat="1" ht="15" customHeight="1"/>
    <row r="256" s="9" customFormat="1" ht="15" customHeight="1"/>
    <row r="257" s="9" customFormat="1" ht="15" customHeight="1"/>
    <row r="258" s="9" customFormat="1" ht="15" customHeight="1"/>
    <row r="259" s="9" customFormat="1" ht="15" customHeight="1"/>
    <row r="260" s="9" customFormat="1" ht="15" customHeight="1"/>
    <row r="261" s="9" customFormat="1" ht="15" customHeight="1"/>
    <row r="262" s="9" customFormat="1" ht="15" customHeight="1"/>
    <row r="263" s="9" customFormat="1" ht="15" customHeight="1"/>
    <row r="264" s="9" customFormat="1" ht="15" customHeight="1"/>
    <row r="265" s="9" customFormat="1" ht="15" customHeight="1"/>
    <row r="266" s="9" customFormat="1" ht="15" customHeight="1"/>
    <row r="267" s="9" customFormat="1" ht="15" customHeight="1"/>
    <row r="268" s="9" customFormat="1" ht="15" customHeight="1"/>
    <row r="269" s="9" customFormat="1" ht="15" customHeight="1"/>
    <row r="270" s="9" customFormat="1" ht="15" customHeight="1"/>
    <row r="271" s="9" customFormat="1" ht="15" customHeight="1"/>
    <row r="272" s="9" customFormat="1" ht="15" customHeight="1"/>
    <row r="273" s="9" customFormat="1" ht="15" customHeight="1"/>
    <row r="274" s="9" customFormat="1" ht="15" customHeight="1"/>
    <row r="275" s="9" customFormat="1" ht="15" customHeight="1"/>
    <row r="276" s="9" customFormat="1" ht="15" customHeight="1"/>
    <row r="277" s="9" customFormat="1" ht="15" customHeight="1"/>
    <row r="278" s="9" customFormat="1" ht="15" customHeight="1"/>
    <row r="279" s="9" customFormat="1" ht="15" customHeight="1"/>
    <row r="280" s="9" customFormat="1" ht="15" customHeight="1"/>
    <row r="281" s="9" customFormat="1" ht="15" customHeight="1"/>
    <row r="282" s="9" customFormat="1" ht="15" customHeight="1"/>
    <row r="283" s="9" customFormat="1" ht="15" customHeight="1"/>
    <row r="284" s="9" customFormat="1" ht="15" customHeight="1"/>
    <row r="285" s="9" customFormat="1" ht="15" customHeight="1"/>
    <row r="286" s="9" customFormat="1" ht="15" customHeight="1"/>
    <row r="287" s="9" customFormat="1" ht="15" customHeight="1"/>
    <row r="288" s="9" customFormat="1" ht="15" customHeight="1"/>
    <row r="289" s="9" customFormat="1" ht="15" customHeight="1"/>
    <row r="290" s="9" customFormat="1" ht="15" customHeight="1"/>
    <row r="291" s="9" customFormat="1" ht="15" customHeight="1"/>
    <row r="292" s="9" customFormat="1" ht="15" customHeight="1"/>
    <row r="293" s="9" customFormat="1" ht="15" customHeight="1"/>
    <row r="294" s="9" customFormat="1" ht="15" customHeight="1"/>
    <row r="295" s="9" customFormat="1" ht="15" customHeight="1"/>
    <row r="296" s="9" customFormat="1" ht="15" customHeight="1"/>
    <row r="297" s="9" customFormat="1" ht="15" customHeight="1"/>
    <row r="298" s="9" customFormat="1" ht="15" customHeight="1"/>
    <row r="299" s="9" customFormat="1" ht="15" customHeight="1"/>
    <row r="300" s="9" customFormat="1" ht="15" customHeight="1"/>
    <row r="301" s="9" customFormat="1" ht="15" customHeight="1"/>
    <row r="302" s="9" customFormat="1" ht="15" customHeight="1"/>
    <row r="303" s="9" customFormat="1" ht="15" customHeight="1"/>
    <row r="304" s="9" customFormat="1" ht="15" customHeight="1"/>
    <row r="305" s="9" customFormat="1" ht="15" customHeight="1"/>
    <row r="306" s="9" customFormat="1" ht="15" customHeight="1"/>
    <row r="307" s="9" customFormat="1" ht="15" customHeight="1"/>
    <row r="308" s="9" customFormat="1" ht="15" customHeight="1"/>
    <row r="309" s="9" customFormat="1" ht="15" customHeight="1"/>
    <row r="310" s="9" customFormat="1" ht="15" customHeight="1"/>
    <row r="311" s="9" customFormat="1" ht="15" customHeight="1"/>
    <row r="312" s="9" customFormat="1" ht="15" customHeight="1"/>
    <row r="313" s="9" customFormat="1" ht="15" customHeight="1"/>
    <row r="314" s="9" customFormat="1" ht="15" customHeight="1"/>
    <row r="315" s="9" customFormat="1" ht="15" customHeight="1"/>
    <row r="316" s="9" customFormat="1" ht="15" customHeight="1"/>
    <row r="317" s="9" customFormat="1" ht="15" customHeight="1"/>
    <row r="318" s="9" customFormat="1" ht="15" customHeight="1"/>
    <row r="319" s="9" customFormat="1" ht="15" customHeight="1"/>
    <row r="320" s="9" customFormat="1" ht="15" customHeight="1"/>
    <row r="321" s="9" customFormat="1" ht="15" customHeight="1"/>
    <row r="322" s="9" customFormat="1" ht="15" customHeight="1"/>
    <row r="323" s="9" customFormat="1" ht="15" customHeight="1"/>
    <row r="324" s="9" customFormat="1" ht="15" customHeight="1"/>
    <row r="325" s="9" customFormat="1" ht="15" customHeight="1"/>
    <row r="326" s="9" customFormat="1" ht="15" customHeight="1"/>
    <row r="327" s="9" customFormat="1" ht="15" customHeight="1"/>
    <row r="328" s="9" customFormat="1" ht="15" customHeight="1"/>
    <row r="329" s="9" customFormat="1" ht="15" customHeight="1"/>
    <row r="330" s="9" customFormat="1" ht="15" customHeight="1"/>
    <row r="331" s="9" customFormat="1" ht="15" customHeight="1"/>
    <row r="332" s="9" customFormat="1" ht="15" customHeight="1"/>
    <row r="333" s="9" customFormat="1" ht="15" customHeight="1"/>
    <row r="334" s="9" customFormat="1" ht="15" customHeight="1"/>
    <row r="335" s="9" customFormat="1" ht="15" customHeight="1"/>
    <row r="336" s="9" customFormat="1" ht="15" customHeight="1"/>
    <row r="337" s="9" customFormat="1" ht="15" customHeight="1"/>
    <row r="338" s="9" customFormat="1" ht="15" customHeight="1"/>
    <row r="339" s="9" customFormat="1" ht="15" customHeight="1"/>
    <row r="340" s="9" customFormat="1" ht="15" customHeight="1"/>
    <row r="341" s="9" customFormat="1" ht="15" customHeight="1"/>
    <row r="342" s="9" customFormat="1" ht="15" customHeight="1"/>
    <row r="343" s="9" customFormat="1" ht="15" customHeight="1"/>
    <row r="344" s="9" customFormat="1" ht="15" customHeight="1"/>
    <row r="345" s="9" customFormat="1" ht="15" customHeight="1"/>
    <row r="346" s="9" customFormat="1" ht="15" customHeight="1"/>
    <row r="347" s="9" customFormat="1" ht="15" customHeight="1"/>
    <row r="348" s="9" customFormat="1" ht="15" customHeight="1"/>
    <row r="349" s="9" customFormat="1" ht="15" customHeight="1"/>
    <row r="350" s="9" customFormat="1" ht="15" customHeight="1"/>
    <row r="351" s="9" customFormat="1" ht="15" customHeight="1"/>
    <row r="352" s="9" customFormat="1" ht="15" customHeight="1"/>
    <row r="353" s="9" customFormat="1" ht="15" customHeight="1"/>
    <row r="354" s="9" customFormat="1" ht="15" customHeight="1"/>
    <row r="355" s="9" customFormat="1" ht="15" customHeight="1"/>
    <row r="356" s="9" customFormat="1" ht="15" customHeight="1"/>
    <row r="357" s="9" customFormat="1" ht="15" customHeight="1"/>
    <row r="358" s="9" customFormat="1" ht="15" customHeight="1"/>
    <row r="359" s="9" customFormat="1" ht="15" customHeight="1"/>
    <row r="360" s="9" customFormat="1" ht="15" customHeight="1"/>
    <row r="361" s="9" customFormat="1" ht="15" customHeight="1"/>
    <row r="362" s="9" customFormat="1" ht="15" customHeight="1"/>
    <row r="363" s="9" customFormat="1" ht="15" customHeight="1"/>
    <row r="364" s="9" customFormat="1" ht="15" customHeight="1"/>
    <row r="365" s="9" customFormat="1" ht="15" customHeight="1"/>
    <row r="366" s="9" customFormat="1" ht="15" customHeight="1"/>
    <row r="367" s="9" customFormat="1" ht="15" customHeight="1"/>
    <row r="368" s="9" customFormat="1" ht="15" customHeight="1"/>
    <row r="369" s="9" customFormat="1" ht="15" customHeight="1"/>
    <row r="370" s="9" customFormat="1" ht="15" customHeight="1"/>
    <row r="371" s="9" customFormat="1" ht="15" customHeight="1"/>
    <row r="372" s="9" customFormat="1" ht="15" customHeight="1"/>
    <row r="373" s="9" customFormat="1" ht="15" customHeight="1"/>
    <row r="374" s="9" customFormat="1" ht="15" customHeight="1"/>
    <row r="375" s="9" customFormat="1" ht="15" customHeight="1"/>
    <row r="376" s="9" customFormat="1" ht="15" customHeight="1"/>
    <row r="377" s="9" customFormat="1" ht="15" customHeight="1"/>
    <row r="378" s="9" customFormat="1" ht="15" customHeight="1"/>
    <row r="379" s="9" customFormat="1" ht="15" customHeight="1"/>
    <row r="380" s="9" customFormat="1" ht="15" customHeight="1"/>
    <row r="381" s="9" customFormat="1" ht="15" customHeight="1"/>
    <row r="382" s="9" customFormat="1" ht="15" customHeight="1"/>
    <row r="383" s="9" customFormat="1" ht="15" customHeight="1"/>
    <row r="384" s="9" customFormat="1" ht="15" customHeight="1"/>
    <row r="385" s="9" customFormat="1" ht="15" customHeight="1"/>
    <row r="386" s="9" customFormat="1" ht="15" customHeight="1"/>
    <row r="387" s="9" customFormat="1" ht="15" customHeight="1"/>
    <row r="388" s="9" customFormat="1" ht="15" customHeight="1"/>
    <row r="389" s="9" customFormat="1" ht="15" customHeight="1"/>
    <row r="390" s="9" customFormat="1" ht="15" customHeight="1"/>
    <row r="391" s="9" customFormat="1" ht="15" customHeight="1"/>
    <row r="392" s="9" customFormat="1" ht="15" customHeight="1"/>
    <row r="393" s="9" customFormat="1" ht="15" customHeight="1"/>
    <row r="394" s="9" customFormat="1" ht="15" customHeight="1"/>
    <row r="395" s="9" customFormat="1" ht="15" customHeight="1"/>
    <row r="396" s="9" customFormat="1" ht="15" customHeight="1"/>
    <row r="397" s="9" customFormat="1" ht="15" customHeight="1"/>
    <row r="398" s="9" customFormat="1" ht="15" customHeight="1"/>
    <row r="399" s="9" customFormat="1" ht="15" customHeight="1"/>
    <row r="400" s="9" customFormat="1" ht="15" customHeight="1"/>
    <row r="401" s="9" customFormat="1" ht="15" customHeight="1"/>
    <row r="402" s="9" customFormat="1" ht="15" customHeight="1"/>
    <row r="403" s="9" customFormat="1" ht="15" customHeight="1"/>
    <row r="404" s="9" customFormat="1" ht="15" customHeight="1"/>
    <row r="405" s="9" customFormat="1" ht="15" customHeight="1"/>
    <row r="406" s="9" customFormat="1" ht="15" customHeight="1"/>
    <row r="407" s="9" customFormat="1" ht="15" customHeight="1"/>
    <row r="408" s="9" customFormat="1" ht="15" customHeight="1"/>
    <row r="409" s="9" customFormat="1" ht="15" customHeight="1"/>
    <row r="410" s="9" customFormat="1" ht="15" customHeight="1"/>
    <row r="411" s="9" customFormat="1" ht="15" customHeight="1"/>
    <row r="412" s="9" customFormat="1" ht="15" customHeight="1"/>
    <row r="413" s="9" customFormat="1" ht="15" customHeight="1"/>
    <row r="414" s="9" customFormat="1" ht="15" customHeight="1"/>
    <row r="415" s="9" customFormat="1" ht="15" customHeight="1"/>
    <row r="416" s="9" customFormat="1" ht="15" customHeight="1"/>
    <row r="417" s="9" customFormat="1" ht="15" customHeight="1"/>
    <row r="418" s="9" customFormat="1" ht="15" customHeight="1"/>
    <row r="419" s="9" customFormat="1" ht="15" customHeight="1"/>
    <row r="420" s="9" customFormat="1" ht="15" customHeight="1"/>
    <row r="421" s="9" customFormat="1" ht="15" customHeight="1"/>
    <row r="422" s="9" customFormat="1" ht="15" customHeight="1"/>
    <row r="423" s="9" customFormat="1" ht="15" customHeight="1"/>
    <row r="424" s="9" customFormat="1" ht="15" customHeight="1"/>
    <row r="425" s="9" customFormat="1" ht="15" customHeight="1"/>
    <row r="426" s="9" customFormat="1" ht="15" customHeight="1"/>
    <row r="427" s="9" customFormat="1" ht="15" customHeight="1"/>
    <row r="428" s="9" customFormat="1" ht="15" customHeight="1"/>
    <row r="429" s="9" customFormat="1" ht="15" customHeight="1"/>
    <row r="430" s="9" customFormat="1" ht="15" customHeight="1"/>
    <row r="431" s="9" customFormat="1" ht="15" customHeight="1"/>
    <row r="432" s="9" customFormat="1" ht="15" customHeight="1"/>
    <row r="433" s="9" customFormat="1" ht="15" customHeight="1"/>
    <row r="434" s="9" customFormat="1" ht="15" customHeight="1"/>
    <row r="435" s="9" customFormat="1" ht="15" customHeight="1"/>
    <row r="436" s="9" customFormat="1" ht="15" customHeight="1"/>
    <row r="437" s="9" customFormat="1" ht="15" customHeight="1"/>
    <row r="438" s="9" customFormat="1" ht="15" customHeight="1"/>
    <row r="439" s="9" customFormat="1" ht="15" customHeight="1"/>
    <row r="440" s="9" customFormat="1" ht="15" customHeight="1"/>
    <row r="441" s="9" customFormat="1" ht="15" customHeight="1"/>
    <row r="442" s="9" customFormat="1" ht="15" customHeight="1"/>
    <row r="443" s="9" customFormat="1" ht="15" customHeight="1"/>
    <row r="444" s="9" customFormat="1" ht="15" customHeight="1"/>
    <row r="445" s="9" customFormat="1" ht="15" customHeight="1"/>
    <row r="446" s="9" customFormat="1" ht="15" customHeight="1"/>
    <row r="447" s="9" customFormat="1" ht="15" customHeight="1"/>
    <row r="448" s="9" customFormat="1" ht="15" customHeight="1"/>
    <row r="449" s="9" customFormat="1" ht="15" customHeight="1"/>
    <row r="450" s="9" customFormat="1" ht="15" customHeight="1"/>
    <row r="451" s="9" customFormat="1" ht="15" customHeight="1"/>
    <row r="452" s="9" customFormat="1" ht="15" customHeight="1"/>
    <row r="453" s="9" customFormat="1" ht="15" customHeight="1"/>
    <row r="454" s="9" customFormat="1" ht="15" customHeight="1"/>
    <row r="455" s="9" customFormat="1" ht="15" customHeight="1"/>
    <row r="456" s="9" customFormat="1" ht="15" customHeight="1"/>
    <row r="457" s="9" customFormat="1" ht="15" customHeight="1"/>
    <row r="458" s="9" customFormat="1" ht="15" customHeight="1"/>
    <row r="459" s="9" customFormat="1" ht="15" customHeight="1"/>
    <row r="460" s="9" customFormat="1" ht="15" customHeight="1"/>
    <row r="461" s="9" customFormat="1" ht="15" customHeight="1"/>
    <row r="462" s="9" customFormat="1" ht="15" customHeight="1"/>
    <row r="463" s="9" customFormat="1" ht="15" customHeight="1"/>
    <row r="464" s="9" customFormat="1" ht="15" customHeight="1"/>
    <row r="465" s="9" customFormat="1" ht="15" customHeight="1"/>
    <row r="466" s="9" customFormat="1" ht="15" customHeight="1"/>
    <row r="467" s="9" customFormat="1" ht="15" customHeight="1"/>
    <row r="468" s="9" customFormat="1" ht="15" customHeight="1"/>
    <row r="469" s="9" customFormat="1" ht="15" customHeight="1"/>
    <row r="470" s="9" customFormat="1" ht="15" customHeight="1"/>
    <row r="471" s="9" customFormat="1" ht="15" customHeight="1"/>
    <row r="472" s="9" customFormat="1" ht="15" customHeight="1"/>
    <row r="473" s="9" customFormat="1" ht="15" customHeight="1"/>
    <row r="474" s="9" customFormat="1" ht="15" customHeight="1"/>
    <row r="475" s="9" customFormat="1" ht="15" customHeight="1"/>
    <row r="476" s="9" customFormat="1" ht="15" customHeight="1"/>
    <row r="477" s="9" customFormat="1" ht="15" customHeight="1"/>
    <row r="478" s="9" customFormat="1" ht="15" customHeight="1"/>
    <row r="479" s="9" customFormat="1" ht="15" customHeight="1"/>
    <row r="480" s="9" customFormat="1" ht="15" customHeight="1"/>
    <row r="481" s="9" customFormat="1" ht="15" customHeight="1"/>
    <row r="482" s="9" customFormat="1" ht="15" customHeight="1"/>
    <row r="483" s="9" customFormat="1" ht="15" customHeight="1"/>
    <row r="484" s="9" customFormat="1" ht="15" customHeight="1"/>
    <row r="485" s="9" customFormat="1" ht="15" customHeight="1"/>
    <row r="486" s="9" customFormat="1" ht="15" customHeight="1"/>
    <row r="487" s="9" customFormat="1" ht="15" customHeight="1"/>
    <row r="488" s="9" customFormat="1" ht="15" customHeight="1"/>
    <row r="489" s="9" customFormat="1" ht="15" customHeight="1"/>
    <row r="490" s="9" customFormat="1" ht="15" customHeight="1"/>
    <row r="491" s="9" customFormat="1" ht="15" customHeight="1"/>
    <row r="492" s="9" customFormat="1" ht="15" customHeight="1"/>
    <row r="493" s="9" customFormat="1" ht="15" customHeight="1"/>
    <row r="494" s="9" customFormat="1" ht="15" customHeight="1"/>
    <row r="495" s="9" customFormat="1" ht="15" customHeight="1"/>
    <row r="496" s="9" customFormat="1" ht="15" customHeight="1"/>
    <row r="497" s="9" customFormat="1" ht="15" customHeight="1"/>
    <row r="498" s="9" customFormat="1" ht="15" customHeight="1"/>
    <row r="499" s="9" customFormat="1" ht="15" customHeight="1"/>
    <row r="500" s="9" customFormat="1" ht="15" customHeight="1"/>
    <row r="501" s="9" customFormat="1" ht="15" customHeight="1"/>
    <row r="502" s="9" customFormat="1" ht="15" customHeight="1"/>
    <row r="503" s="9" customFormat="1" ht="15" customHeight="1"/>
    <row r="504" s="9" customFormat="1" ht="15" customHeight="1"/>
    <row r="505" s="9" customFormat="1" ht="15" customHeight="1"/>
    <row r="506" s="9" customFormat="1" ht="15" customHeight="1"/>
    <row r="507" s="9" customFormat="1" ht="15" customHeight="1"/>
    <row r="508" s="9" customFormat="1" ht="15" customHeight="1"/>
    <row r="509" s="9" customFormat="1" ht="15" customHeight="1"/>
    <row r="510" s="9" customFormat="1" ht="15" customHeight="1"/>
    <row r="511" s="9" customFormat="1" ht="15" customHeight="1"/>
    <row r="512" s="9" customFormat="1" ht="15" customHeight="1"/>
    <row r="513" s="9" customFormat="1" ht="15" customHeight="1"/>
    <row r="514" s="9" customFormat="1" ht="15" customHeight="1"/>
    <row r="515" s="9" customFormat="1" ht="15" customHeight="1"/>
    <row r="516" s="9" customFormat="1" ht="15" customHeight="1"/>
    <row r="517" s="9" customFormat="1" ht="15" customHeight="1"/>
    <row r="518" s="9" customFormat="1" ht="15" customHeight="1"/>
    <row r="519" s="9" customFormat="1" ht="15" customHeight="1"/>
    <row r="520" s="9" customFormat="1" ht="15" customHeight="1"/>
    <row r="521" s="9" customFormat="1" ht="15" customHeight="1"/>
    <row r="522" s="9" customFormat="1" ht="15" customHeight="1"/>
    <row r="523" s="9" customFormat="1" ht="15" customHeight="1"/>
    <row r="524" s="9" customFormat="1" ht="15" customHeight="1"/>
    <row r="525" s="9" customFormat="1" ht="15" customHeight="1"/>
    <row r="526" s="9" customFormat="1" ht="15" customHeight="1"/>
    <row r="527" s="9" customFormat="1" ht="15" customHeight="1"/>
    <row r="528" s="9" customFormat="1" ht="15" customHeight="1"/>
    <row r="529" s="9" customFormat="1" ht="15" customHeight="1"/>
    <row r="530" s="9" customFormat="1" ht="15" customHeight="1"/>
    <row r="531" s="9" customFormat="1" ht="15" customHeight="1"/>
    <row r="532" s="9" customFormat="1" ht="15" customHeight="1"/>
    <row r="533" s="9" customFormat="1" ht="15" customHeight="1"/>
    <row r="534" s="9" customFormat="1" ht="15" customHeight="1"/>
    <row r="535" s="9" customFormat="1" ht="15" customHeight="1"/>
    <row r="536" s="9" customFormat="1" ht="15" customHeight="1"/>
    <row r="537" s="9" customFormat="1" ht="15" customHeight="1"/>
    <row r="538" s="9" customFormat="1" ht="15" customHeight="1"/>
    <row r="539" s="9" customFormat="1" ht="15" customHeight="1"/>
    <row r="540" s="9" customFormat="1" ht="15" customHeight="1"/>
    <row r="541" s="9" customFormat="1" ht="15" customHeight="1"/>
    <row r="542" s="9" customFormat="1" ht="15" customHeight="1"/>
    <row r="543" s="9" customFormat="1" ht="15" customHeight="1"/>
    <row r="544" s="9" customFormat="1" ht="15" customHeight="1"/>
    <row r="545" s="9" customFormat="1" ht="15" customHeight="1"/>
    <row r="546" s="9" customFormat="1" ht="15" customHeight="1"/>
    <row r="547" s="9" customFormat="1" ht="15" customHeight="1"/>
    <row r="548" s="9" customFormat="1" ht="15" customHeight="1"/>
    <row r="549" s="9" customFormat="1" ht="15" customHeight="1"/>
    <row r="550" s="9" customFormat="1" ht="15" customHeight="1"/>
    <row r="551" s="9" customFormat="1" ht="15" customHeight="1"/>
    <row r="552" s="9" customFormat="1" ht="15" customHeight="1"/>
    <row r="553" s="9" customFormat="1" ht="15" customHeight="1"/>
    <row r="554" s="9" customFormat="1" ht="15" customHeight="1"/>
    <row r="555" s="9" customFormat="1" ht="15" customHeight="1"/>
    <row r="556" s="9" customFormat="1" ht="15" customHeight="1"/>
    <row r="557" s="9" customFormat="1" ht="15" customHeight="1"/>
    <row r="558" s="9" customFormat="1" ht="15" customHeight="1"/>
    <row r="559" s="9" customFormat="1" ht="15" customHeight="1"/>
    <row r="560" s="9" customFormat="1" ht="15" customHeight="1"/>
    <row r="561" s="9" customFormat="1" ht="15" customHeight="1"/>
    <row r="562" s="9" customFormat="1" ht="15" customHeight="1"/>
    <row r="563" s="9" customFormat="1" ht="15" customHeight="1"/>
    <row r="564" s="9" customFormat="1" ht="15" customHeight="1"/>
    <row r="565" s="9" customFormat="1" ht="15" customHeight="1"/>
    <row r="566" s="9" customFormat="1" ht="15" customHeight="1"/>
    <row r="567" s="9" customFormat="1" ht="15" customHeight="1"/>
    <row r="568" s="9" customFormat="1" ht="15" customHeight="1"/>
    <row r="569" s="9" customFormat="1" ht="15" customHeight="1"/>
    <row r="570" s="9" customFormat="1" ht="15" customHeight="1"/>
    <row r="571" s="9" customFormat="1" ht="15" customHeight="1"/>
    <row r="572" s="9" customFormat="1" ht="15" customHeight="1"/>
    <row r="573" s="9" customFormat="1" ht="15" customHeight="1"/>
    <row r="574" s="9" customFormat="1" ht="15" customHeight="1"/>
    <row r="575" s="9" customFormat="1" ht="15" customHeight="1"/>
    <row r="576" s="9" customFormat="1" ht="15" customHeight="1"/>
    <row r="577" s="9" customFormat="1" ht="15" customHeight="1"/>
    <row r="578" s="9" customFormat="1" ht="15" customHeight="1"/>
    <row r="579" s="9" customFormat="1" ht="15" customHeight="1"/>
    <row r="580" s="9" customFormat="1" ht="15" customHeight="1"/>
    <row r="581" s="9" customFormat="1" ht="15" customHeight="1"/>
    <row r="582" s="9" customFormat="1" ht="15" customHeight="1"/>
    <row r="583" s="9" customFormat="1" ht="15" customHeight="1"/>
    <row r="584" s="9" customFormat="1" ht="15" customHeight="1"/>
    <row r="585" s="9" customFormat="1" ht="15" customHeight="1"/>
    <row r="586" s="9" customFormat="1" ht="15" customHeight="1"/>
    <row r="587" s="9" customFormat="1" ht="15" customHeight="1"/>
    <row r="588" s="9" customFormat="1" ht="15" customHeight="1"/>
    <row r="589" s="9" customFormat="1" ht="15" customHeight="1"/>
    <row r="590" s="9" customFormat="1" ht="15" customHeight="1"/>
    <row r="591" s="9" customFormat="1" ht="15" customHeight="1"/>
    <row r="592" s="9" customFormat="1" ht="15" customHeight="1"/>
    <row r="593" s="9" customFormat="1" ht="15" customHeight="1"/>
    <row r="594" s="9" customFormat="1" ht="15" customHeight="1"/>
    <row r="595" s="9" customFormat="1" ht="15" customHeight="1"/>
    <row r="596" s="9" customFormat="1" ht="15" customHeight="1"/>
    <row r="597" s="9" customFormat="1" ht="15" customHeight="1"/>
    <row r="598" s="9" customFormat="1" ht="15" customHeight="1"/>
    <row r="599" s="9" customFormat="1" ht="15" customHeight="1"/>
    <row r="600" s="9" customFormat="1" ht="15" customHeight="1"/>
    <row r="601" s="9" customFormat="1" ht="15" customHeight="1"/>
    <row r="602" s="9" customFormat="1" ht="15" customHeight="1"/>
    <row r="603" s="9" customFormat="1" ht="15" customHeight="1"/>
    <row r="604" s="9" customFormat="1" ht="15" customHeight="1"/>
    <row r="605" s="9" customFormat="1" ht="15" customHeight="1"/>
    <row r="606" s="9" customFormat="1" ht="15" customHeight="1"/>
    <row r="607" s="9" customFormat="1" ht="15" customHeight="1"/>
    <row r="608" s="9" customFormat="1" ht="15" customHeight="1"/>
    <row r="609" s="9" customFormat="1" ht="15" customHeight="1"/>
    <row r="610" s="9" customFormat="1" ht="15" customHeight="1"/>
    <row r="611" s="9" customFormat="1" ht="15" customHeight="1"/>
    <row r="612" s="9" customFormat="1" ht="15" customHeight="1"/>
    <row r="613" s="9" customFormat="1" ht="15" customHeight="1"/>
    <row r="614" s="9" customFormat="1" ht="15" customHeight="1"/>
    <row r="615" s="9" customFormat="1" ht="15" customHeight="1"/>
    <row r="616" s="9" customFormat="1" ht="15" customHeight="1"/>
    <row r="617" s="9" customFormat="1" ht="15" customHeight="1"/>
    <row r="618" s="9" customFormat="1" ht="15" customHeight="1"/>
    <row r="619" s="9" customFormat="1" ht="15" customHeight="1"/>
    <row r="620" s="9" customFormat="1" ht="15" customHeight="1"/>
    <row r="621" s="9" customFormat="1" ht="15" customHeight="1"/>
    <row r="622" s="9" customFormat="1" ht="15" customHeight="1"/>
    <row r="623" s="9" customFormat="1" ht="15" customHeight="1"/>
    <row r="624" s="9" customFormat="1" ht="15" customHeight="1"/>
    <row r="625" s="9" customFormat="1" ht="15" customHeight="1"/>
    <row r="626" s="9" customFormat="1" ht="15" customHeight="1"/>
    <row r="627" s="9" customFormat="1" ht="15" customHeight="1"/>
    <row r="628" s="9" customFormat="1" ht="15" customHeight="1"/>
    <row r="629" s="9" customFormat="1" ht="15" customHeight="1"/>
    <row r="630" s="9" customFormat="1" ht="15" customHeight="1"/>
    <row r="631" s="9" customFormat="1" ht="15" customHeight="1"/>
    <row r="632" s="9" customFormat="1" ht="15" customHeight="1"/>
    <row r="633" s="9" customFormat="1" ht="15" customHeight="1"/>
    <row r="634" s="9" customFormat="1" ht="15" customHeight="1"/>
    <row r="635" s="9" customFormat="1" ht="15" customHeight="1"/>
    <row r="636" s="9" customFormat="1" ht="15" customHeight="1"/>
    <row r="637" s="9" customFormat="1" ht="15" customHeight="1"/>
    <row r="638" s="9" customFormat="1" ht="15" customHeight="1"/>
    <row r="639" s="9" customFormat="1" ht="15" customHeight="1"/>
    <row r="640" s="9" customFormat="1" ht="15" customHeight="1"/>
    <row r="641" s="9" customFormat="1" ht="15" customHeight="1"/>
    <row r="642" s="9" customFormat="1" ht="15" customHeight="1"/>
    <row r="643" s="9" customFormat="1" ht="15" customHeight="1"/>
    <row r="644" s="9" customFormat="1" ht="15" customHeight="1"/>
    <row r="645" s="9" customFormat="1" ht="15" customHeight="1"/>
    <row r="646" s="9" customFormat="1" ht="15" customHeight="1"/>
    <row r="647" s="9" customFormat="1" ht="15" customHeight="1"/>
    <row r="648" s="9" customFormat="1" ht="15" customHeight="1"/>
    <row r="649" s="9" customFormat="1" ht="15" customHeight="1"/>
    <row r="650" s="9" customFormat="1" ht="15" customHeight="1"/>
    <row r="651" s="9" customFormat="1" ht="15" customHeight="1"/>
    <row r="652" s="9" customFormat="1" ht="15" customHeight="1"/>
    <row r="653" s="9" customFormat="1" ht="15" customHeight="1"/>
    <row r="654" s="9" customFormat="1" ht="15" customHeight="1"/>
    <row r="655" s="9" customFormat="1" ht="15" customHeight="1"/>
    <row r="656" s="9" customFormat="1" ht="15" customHeight="1"/>
    <row r="657" s="9" customFormat="1" ht="15" customHeight="1"/>
    <row r="658" s="9" customFormat="1" ht="15" customHeight="1"/>
    <row r="659" s="9" customFormat="1" ht="15" customHeight="1"/>
    <row r="660" s="9" customFormat="1" ht="15" customHeight="1"/>
    <row r="661" s="9" customFormat="1" ht="15" customHeight="1"/>
    <row r="662" s="9" customFormat="1" ht="15" customHeight="1"/>
    <row r="663" s="9" customFormat="1" ht="15" customHeight="1"/>
    <row r="664" s="9" customFormat="1" ht="15" customHeight="1"/>
    <row r="665" s="9" customFormat="1" ht="15" customHeight="1"/>
    <row r="666" s="9" customFormat="1" ht="15" customHeight="1"/>
    <row r="667" s="9" customFormat="1" ht="15" customHeight="1"/>
    <row r="668" s="9" customFormat="1" ht="15" customHeight="1"/>
    <row r="669" s="9" customFormat="1" ht="15" customHeight="1"/>
    <row r="670" s="9" customFormat="1" ht="15" customHeight="1"/>
    <row r="671" s="9" customFormat="1" ht="15" customHeight="1"/>
    <row r="672" s="9" customFormat="1" ht="15" customHeight="1"/>
    <row r="673" s="9" customFormat="1" ht="15" customHeight="1"/>
    <row r="674" s="9" customFormat="1" ht="15" customHeight="1"/>
    <row r="675" s="9" customFormat="1" ht="15" customHeight="1"/>
    <row r="676" s="9" customFormat="1" ht="15" customHeight="1"/>
    <row r="677" s="9" customFormat="1" ht="15" customHeight="1"/>
    <row r="678" s="9" customFormat="1" ht="15" customHeight="1"/>
    <row r="679" s="9" customFormat="1" ht="15" customHeight="1"/>
    <row r="680" s="9" customFormat="1" ht="15" customHeight="1"/>
    <row r="681" s="9" customFormat="1" ht="15" customHeight="1"/>
    <row r="682" s="9" customFormat="1" ht="15" customHeight="1"/>
    <row r="683" s="9" customFormat="1" ht="15" customHeight="1"/>
    <row r="684" s="9" customFormat="1" ht="15" customHeight="1"/>
    <row r="685" s="9" customFormat="1" ht="15" customHeight="1"/>
    <row r="686" s="9" customFormat="1" ht="15" customHeight="1"/>
    <row r="687" s="9" customFormat="1" ht="15" customHeight="1"/>
    <row r="688" s="9" customFormat="1" ht="15" customHeight="1"/>
    <row r="689" s="9" customFormat="1" ht="15" customHeight="1"/>
    <row r="690" s="9" customFormat="1" ht="15" customHeight="1"/>
    <row r="691" s="9" customFormat="1" ht="15" customHeight="1"/>
    <row r="692" s="9" customFormat="1" ht="15" customHeight="1"/>
    <row r="693" s="9" customFormat="1" ht="15" customHeight="1"/>
    <row r="694" s="9" customFormat="1" ht="15" customHeight="1"/>
    <row r="695" s="9" customFormat="1" ht="15" customHeight="1"/>
    <row r="696" s="9" customFormat="1" ht="15" customHeight="1"/>
    <row r="697" s="9" customFormat="1" ht="15" customHeight="1"/>
    <row r="698" s="9" customFormat="1" ht="15" customHeight="1"/>
    <row r="699" s="9" customFormat="1" ht="15" customHeight="1"/>
    <row r="700" s="9" customFormat="1" ht="15" customHeight="1"/>
    <row r="701" s="9" customFormat="1" ht="15" customHeight="1"/>
    <row r="702" s="9" customFormat="1" ht="15" customHeight="1"/>
    <row r="703" s="9" customFormat="1" ht="15" customHeight="1"/>
    <row r="704" s="9" customFormat="1" ht="15" customHeight="1"/>
    <row r="705" s="9" customFormat="1" ht="15" customHeight="1"/>
    <row r="706" s="9" customFormat="1" ht="15" customHeight="1"/>
    <row r="707" s="9" customFormat="1" ht="15" customHeight="1"/>
    <row r="708" s="9" customFormat="1" ht="15" customHeight="1"/>
    <row r="709" s="9" customFormat="1" ht="15" customHeight="1"/>
    <row r="710" s="9" customFormat="1" ht="15" customHeight="1"/>
    <row r="711" s="9" customFormat="1" ht="15" customHeight="1"/>
    <row r="712" s="9" customFormat="1" ht="15" customHeight="1"/>
    <row r="713" s="9" customFormat="1" ht="15" customHeight="1"/>
    <row r="714" s="9" customFormat="1" ht="15" customHeight="1"/>
    <row r="715" s="9" customFormat="1" ht="15" customHeight="1"/>
    <row r="716" s="9" customFormat="1" ht="15" customHeight="1"/>
    <row r="717" s="9" customFormat="1" ht="15" customHeight="1"/>
    <row r="718" s="9" customFormat="1" ht="15" customHeight="1"/>
    <row r="719" s="9" customFormat="1" ht="15" customHeight="1"/>
    <row r="720" s="9" customFormat="1" ht="15" customHeight="1"/>
    <row r="721" s="9" customFormat="1" ht="15" customHeight="1"/>
    <row r="722" s="9" customFormat="1" ht="15" customHeight="1"/>
    <row r="723" s="9" customFormat="1" ht="15" customHeight="1"/>
    <row r="724" s="9" customFormat="1" ht="15" customHeight="1"/>
    <row r="725" s="9" customFormat="1" ht="15" customHeight="1"/>
    <row r="726" s="9" customFormat="1" ht="15" customHeight="1"/>
    <row r="727" s="9" customFormat="1" ht="15" customHeight="1"/>
    <row r="728" s="9" customFormat="1" ht="15" customHeight="1"/>
    <row r="729" s="9" customFormat="1" ht="15" customHeight="1"/>
    <row r="730" s="9" customFormat="1" ht="15" customHeight="1"/>
    <row r="731" s="9" customFormat="1" ht="15" customHeight="1"/>
    <row r="732" s="9" customFormat="1" ht="15" customHeight="1"/>
    <row r="733" s="9" customFormat="1" ht="15" customHeight="1"/>
    <row r="734" s="9" customFormat="1" ht="15" customHeight="1"/>
    <row r="735" s="9" customFormat="1" ht="15" customHeight="1"/>
    <row r="736" s="9" customFormat="1" ht="15" customHeight="1"/>
    <row r="737" s="9" customFormat="1" ht="15" customHeight="1"/>
    <row r="738" s="9" customFormat="1" ht="15" customHeight="1"/>
    <row r="739" s="9" customFormat="1" ht="15" customHeight="1"/>
    <row r="740" s="9" customFormat="1" ht="15" customHeight="1"/>
    <row r="741" s="9" customFormat="1" ht="15" customHeight="1"/>
    <row r="742" s="9" customFormat="1" ht="15" customHeight="1"/>
    <row r="743" s="9" customFormat="1" ht="15" customHeight="1"/>
    <row r="744" s="9" customFormat="1" ht="15" customHeight="1"/>
    <row r="745" s="9" customFormat="1" ht="15" customHeight="1"/>
    <row r="746" s="9" customFormat="1" ht="15" customHeight="1"/>
    <row r="747" s="9" customFormat="1" ht="15" customHeight="1"/>
    <row r="748" s="9" customFormat="1" ht="15" customHeight="1"/>
    <row r="749" s="9" customFormat="1" ht="15" customHeight="1"/>
    <row r="750" s="9" customFormat="1" ht="15" customHeight="1"/>
    <row r="751" s="9" customFormat="1" ht="15" customHeight="1"/>
    <row r="752" s="9" customFormat="1" ht="15" customHeight="1"/>
    <row r="753" s="9" customFormat="1" ht="15" customHeight="1"/>
    <row r="754" s="9" customFormat="1" ht="15" customHeight="1"/>
    <row r="755" s="9" customFormat="1" ht="15" customHeight="1"/>
    <row r="756" s="9" customFormat="1" ht="15" customHeight="1"/>
    <row r="757" s="9" customFormat="1" ht="15" customHeight="1"/>
    <row r="758" s="9" customFormat="1" ht="15" customHeight="1"/>
    <row r="759" s="9" customFormat="1" ht="15" customHeight="1"/>
    <row r="760" s="9" customFormat="1" ht="15" customHeight="1"/>
    <row r="761" s="9" customFormat="1" ht="15" customHeight="1"/>
    <row r="762" s="9" customFormat="1" ht="15" customHeight="1"/>
    <row r="763" s="9" customFormat="1" ht="15" customHeight="1"/>
    <row r="764" s="9" customFormat="1" ht="15" customHeight="1"/>
    <row r="765" s="9" customFormat="1" ht="15" customHeight="1"/>
    <row r="766" s="9" customFormat="1" ht="15" customHeight="1"/>
    <row r="767" s="9" customFormat="1" ht="15" customHeight="1"/>
    <row r="768" s="9" customFormat="1" ht="15" customHeight="1"/>
    <row r="769" s="9" customFormat="1" ht="15" customHeight="1"/>
    <row r="770" s="9" customFormat="1" ht="15" customHeight="1"/>
    <row r="771" s="9" customFormat="1" ht="15" customHeight="1"/>
    <row r="772" s="9" customFormat="1" ht="15" customHeight="1"/>
    <row r="773" s="9" customFormat="1" ht="15" customHeight="1"/>
    <row r="774" s="9" customFormat="1" ht="15" customHeight="1"/>
    <row r="775" s="9" customFormat="1" ht="15" customHeight="1"/>
    <row r="776" s="9" customFormat="1" ht="15" customHeight="1"/>
    <row r="777" s="9" customFormat="1" ht="15" customHeight="1"/>
    <row r="778" s="9" customFormat="1" ht="15" customHeight="1"/>
    <row r="779" s="9" customFormat="1" ht="15" customHeight="1"/>
    <row r="780" s="9" customFormat="1" ht="15" customHeight="1"/>
    <row r="781" s="9" customFormat="1" ht="15" customHeight="1"/>
    <row r="782" s="9" customFormat="1" ht="15" customHeight="1"/>
    <row r="783" s="9" customFormat="1" ht="15" customHeight="1"/>
    <row r="784" s="9" customFormat="1" ht="15" customHeight="1"/>
    <row r="785" s="9" customFormat="1" ht="15" customHeight="1"/>
    <row r="786" s="9" customFormat="1" ht="15" customHeight="1"/>
    <row r="787" s="9" customFormat="1" ht="15" customHeight="1"/>
    <row r="788" s="9" customFormat="1" ht="15" customHeight="1"/>
    <row r="789" s="9" customFormat="1" ht="15" customHeight="1"/>
    <row r="790" s="9" customFormat="1" ht="15" customHeight="1"/>
    <row r="791" s="9" customFormat="1" ht="15" customHeight="1"/>
    <row r="792" s="9" customFormat="1" ht="15" customHeight="1"/>
    <row r="793" s="9" customFormat="1" ht="15" customHeight="1"/>
    <row r="794" s="9" customFormat="1" ht="15" customHeight="1"/>
    <row r="795" s="9" customFormat="1" ht="15" customHeight="1"/>
    <row r="796" s="9" customFormat="1" ht="15" customHeight="1"/>
    <row r="797" s="9" customFormat="1" ht="15" customHeight="1"/>
    <row r="798" s="9" customFormat="1" ht="15" customHeight="1"/>
    <row r="799" s="9" customFormat="1" ht="15" customHeight="1"/>
    <row r="800" s="9" customFormat="1" ht="15" customHeight="1"/>
    <row r="801" s="9" customFormat="1" ht="15" customHeight="1"/>
    <row r="802" s="9" customFormat="1" ht="15" customHeight="1"/>
    <row r="803" s="9" customFormat="1" ht="15" customHeight="1"/>
    <row r="804" s="9" customFormat="1" ht="15" customHeight="1"/>
    <row r="805" s="9" customFormat="1" ht="15" customHeight="1"/>
    <row r="806" s="9" customFormat="1" ht="15" customHeight="1"/>
    <row r="807" s="9" customFormat="1" ht="15" customHeight="1"/>
    <row r="808" s="9" customFormat="1" ht="15" customHeight="1"/>
    <row r="809" s="9" customFormat="1" ht="15" customHeight="1"/>
    <row r="810" s="9" customFormat="1" ht="15" customHeight="1"/>
    <row r="811" s="9" customFormat="1" ht="15" customHeight="1"/>
    <row r="812" s="9" customFormat="1" ht="15" customHeight="1"/>
    <row r="813" s="9" customFormat="1" ht="15" customHeight="1"/>
    <row r="814" s="9" customFormat="1" ht="15" customHeight="1"/>
    <row r="815" s="9" customFormat="1" ht="15" customHeight="1"/>
    <row r="816" s="9" customFormat="1" ht="15" customHeight="1"/>
    <row r="817" s="9" customFormat="1" ht="15" customHeight="1"/>
    <row r="818" s="9" customFormat="1" ht="15" customHeight="1"/>
    <row r="819" s="9" customFormat="1" ht="15" customHeight="1"/>
    <row r="820" s="9" customFormat="1" ht="15" customHeight="1"/>
    <row r="821" s="9" customFormat="1" ht="15" customHeight="1"/>
    <row r="822" s="9" customFormat="1" ht="15" customHeight="1"/>
    <row r="823" s="9" customFormat="1" ht="15" customHeight="1"/>
    <row r="824" s="9" customFormat="1" ht="15" customHeight="1"/>
    <row r="825" s="9" customFormat="1" ht="15" customHeight="1"/>
    <row r="826" s="9" customFormat="1" ht="15" customHeight="1"/>
    <row r="827" s="9" customFormat="1" ht="15" customHeight="1"/>
    <row r="828" s="9" customFormat="1" ht="15" customHeight="1"/>
    <row r="829" s="9" customFormat="1" ht="15" customHeight="1"/>
    <row r="830" s="9" customFormat="1" ht="15" customHeight="1"/>
    <row r="831" s="9" customFormat="1" ht="15" customHeight="1"/>
    <row r="832" s="9" customFormat="1" ht="15" customHeight="1"/>
    <row r="833" s="9" customFormat="1" ht="15" customHeight="1"/>
    <row r="834" s="9" customFormat="1" ht="15" customHeight="1"/>
    <row r="835" s="9" customFormat="1" ht="15" customHeight="1"/>
    <row r="836" s="9" customFormat="1" ht="15" customHeight="1"/>
    <row r="837" s="9" customFormat="1" ht="15" customHeight="1"/>
    <row r="838" s="9" customFormat="1" ht="15" customHeight="1"/>
    <row r="839" s="9" customFormat="1" ht="15" customHeight="1"/>
    <row r="840" s="9" customFormat="1" ht="15" customHeight="1"/>
    <row r="841" s="9" customFormat="1" ht="15" customHeight="1"/>
    <row r="842" s="9" customFormat="1" ht="15" customHeight="1"/>
    <row r="843" s="9" customFormat="1" ht="15" customHeight="1"/>
    <row r="844" s="9" customFormat="1" ht="15" customHeight="1"/>
    <row r="845" s="9" customFormat="1" ht="15" customHeight="1"/>
    <row r="846" s="9" customFormat="1" ht="15" customHeight="1"/>
    <row r="847" s="9" customFormat="1" ht="15" customHeight="1"/>
    <row r="848" s="9" customFormat="1" ht="15" customHeight="1"/>
    <row r="849" s="9" customFormat="1" ht="15" customHeight="1"/>
    <row r="850" s="9" customFormat="1" ht="15" customHeight="1"/>
    <row r="851" s="9" customFormat="1" ht="15" customHeight="1"/>
    <row r="852" s="9" customFormat="1" ht="15" customHeight="1"/>
    <row r="853" s="9" customFormat="1" ht="15" customHeight="1"/>
    <row r="854" s="9" customFormat="1" ht="15" customHeight="1"/>
    <row r="855" s="9" customFormat="1" ht="15" customHeight="1"/>
    <row r="856" s="9" customFormat="1" ht="15" customHeight="1"/>
    <row r="857" s="9" customFormat="1" ht="15" customHeight="1"/>
    <row r="858" s="9" customFormat="1" ht="15" customHeight="1"/>
    <row r="859" s="9" customFormat="1" ht="15" customHeight="1"/>
    <row r="860" s="9" customFormat="1" ht="15" customHeight="1"/>
    <row r="861" s="9" customFormat="1" ht="15" customHeight="1"/>
    <row r="862" s="9" customFormat="1" ht="15" customHeight="1"/>
    <row r="863" s="9" customFormat="1" ht="15" customHeight="1"/>
    <row r="864" s="9" customFormat="1" ht="15" customHeight="1"/>
    <row r="865" s="9" customFormat="1" ht="15" customHeight="1"/>
    <row r="866" s="9" customFormat="1" ht="15" customHeight="1"/>
    <row r="867" s="9" customFormat="1" ht="15" customHeight="1"/>
    <row r="868" s="9" customFormat="1" ht="15" customHeight="1"/>
    <row r="869" s="9" customFormat="1" ht="15" customHeight="1"/>
    <row r="870" s="9" customFormat="1" ht="15" customHeight="1"/>
    <row r="871" s="9" customFormat="1" ht="15" customHeight="1"/>
    <row r="872" s="9" customFormat="1" ht="15" customHeight="1"/>
    <row r="873" s="9" customFormat="1" ht="15" customHeight="1"/>
    <row r="874" s="9" customFormat="1" ht="15" customHeight="1"/>
    <row r="875" s="9" customFormat="1" ht="15" customHeight="1"/>
    <row r="876" s="9" customFormat="1" ht="15" customHeight="1"/>
    <row r="877" s="9" customFormat="1" ht="15" customHeight="1"/>
    <row r="878" s="9" customFormat="1" ht="15" customHeight="1"/>
    <row r="879" s="9" customFormat="1" ht="15" customHeight="1"/>
    <row r="880" s="9" customFormat="1" ht="15" customHeight="1"/>
    <row r="881" s="9" customFormat="1" ht="15" customHeight="1"/>
    <row r="882" s="9" customFormat="1" ht="15" customHeight="1"/>
    <row r="883" s="9" customFormat="1" ht="15" customHeight="1"/>
    <row r="884" s="9" customFormat="1" ht="15" customHeight="1"/>
    <row r="885" s="9" customFormat="1" ht="15" customHeight="1"/>
    <row r="886" s="9" customFormat="1" ht="15" customHeight="1"/>
    <row r="887" s="9" customFormat="1" ht="15" customHeight="1"/>
    <row r="888" s="9" customFormat="1" ht="15" customHeight="1"/>
    <row r="889" s="9" customFormat="1" ht="15" customHeight="1"/>
    <row r="890" s="9" customFormat="1" ht="15" customHeight="1"/>
    <row r="891" s="9" customFormat="1" ht="15" customHeight="1"/>
    <row r="892" s="9" customFormat="1" ht="15" customHeight="1"/>
    <row r="893" s="9" customFormat="1" ht="15" customHeight="1"/>
    <row r="894" s="9" customFormat="1" ht="15" customHeight="1"/>
    <row r="895" s="9" customFormat="1" ht="15" customHeight="1"/>
    <row r="896" s="9" customFormat="1" ht="15" customHeight="1"/>
    <row r="897" s="9" customFormat="1" ht="15" customHeight="1"/>
    <row r="898" s="9" customFormat="1" ht="15" customHeight="1"/>
    <row r="899" s="9" customFormat="1" ht="15" customHeight="1"/>
    <row r="900" s="9" customFormat="1" ht="15" customHeight="1"/>
    <row r="901" s="9" customFormat="1" ht="15" customHeight="1"/>
    <row r="902" s="9" customFormat="1" ht="15" customHeight="1"/>
    <row r="903" s="9" customFormat="1" ht="15" customHeight="1"/>
    <row r="904" s="9" customFormat="1" ht="15" customHeight="1"/>
    <row r="905" s="9" customFormat="1" ht="15" customHeight="1"/>
    <row r="906" s="9" customFormat="1" ht="15" customHeight="1"/>
    <row r="907" s="9" customFormat="1" ht="15" customHeight="1"/>
    <row r="908" s="9" customFormat="1" ht="15" customHeight="1"/>
    <row r="909" s="9" customFormat="1" ht="15" customHeight="1"/>
    <row r="910" s="9" customFormat="1" ht="15" customHeight="1"/>
    <row r="911" s="9" customFormat="1" ht="15" customHeight="1"/>
    <row r="912" s="9" customFormat="1" ht="15" customHeight="1"/>
    <row r="913" s="9" customFormat="1" ht="15" customHeight="1"/>
    <row r="914" s="9" customFormat="1" ht="15" customHeight="1"/>
    <row r="915" s="9" customFormat="1" ht="15" customHeight="1"/>
    <row r="916" s="9" customFormat="1" ht="15" customHeight="1"/>
    <row r="917" s="9" customFormat="1" ht="15" customHeight="1"/>
  </sheetData>
  <hyperlinks>
    <hyperlink ref="A1" location="'Start-Experte'!A1" display="zurück" xr:uid="{00000000-0004-0000-29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DD7599F3-CBA0-428C-865A-2F5D974C211C}">
            <xm:f>ControlPanel!$D$59-1</xm:f>
            <x14:dxf>
              <font>
                <color rgb="FF9C6500"/>
              </font>
              <fill>
                <patternFill>
                  <bgColor rgb="FFFFEB9C"/>
                </patternFill>
              </fill>
            </x14:dxf>
          </x14:cfRule>
          <x14:cfRule type="cellIs" priority="2" operator="lessThan" id="{5CF79FE4-298F-498E-84A6-BBCC1EEC14C7}">
            <xm:f>ControlPanel!$D$59</xm:f>
            <x14:dxf>
              <font>
                <color rgb="FF006100"/>
              </font>
              <fill>
                <patternFill>
                  <bgColor rgb="FFC6EFCE"/>
                </patternFill>
              </fill>
            </x14:dxf>
          </x14:cfRule>
          <x14:cfRule type="cellIs" priority="3" operator="lessThan" id="{98866CA3-FF8C-4ADD-A281-0BF161FB7C63}">
            <xm:f>ControlPanel!$D$59+1</xm:f>
            <x14:dxf>
              <font>
                <color rgb="FF006100"/>
              </font>
              <fill>
                <patternFill>
                  <fgColor indexed="64"/>
                  <bgColor rgb="FFC6EFCE"/>
                </patternFill>
              </fill>
            </x14:dxf>
          </x14:cfRule>
          <xm:sqref>G4:AF4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Tabelle54">
    <tabColor theme="9" tint="-0.499984740745262"/>
  </sheetPr>
  <dimension ref="A1:AF917"/>
  <sheetViews>
    <sheetView zoomScaleNormal="100" workbookViewId="0">
      <selection activeCell="V13" sqref="V13"/>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1" width="8.6640625" style="9" customWidth="1" outlineLevel="1"/>
    <col min="12" max="15" width="9.6640625" style="9" bestFit="1" customWidth="1"/>
    <col min="16" max="32" width="9.6640625" style="9" bestFit="1" customWidth="1" outlineLevel="1"/>
    <col min="33" max="16384" width="11.5546875" style="9"/>
  </cols>
  <sheetData>
    <row r="1" spans="1:32">
      <c r="A1" s="41" t="s">
        <v>74</v>
      </c>
      <c r="B1" s="61" t="s">
        <v>940</v>
      </c>
      <c r="C1" s="61"/>
      <c r="D1" s="19"/>
      <c r="E1" s="19"/>
      <c r="F1" s="19"/>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214</v>
      </c>
      <c r="H5" s="323" t="s">
        <v>214</v>
      </c>
      <c r="I5" s="323" t="s">
        <v>214</v>
      </c>
      <c r="J5" s="323" t="s">
        <v>214</v>
      </c>
      <c r="K5" s="323" t="s">
        <v>214</v>
      </c>
      <c r="L5" s="323" t="s">
        <v>214</v>
      </c>
      <c r="M5" s="323" t="s">
        <v>214</v>
      </c>
      <c r="N5" s="323" t="s">
        <v>214</v>
      </c>
      <c r="O5" s="323" t="s">
        <v>214</v>
      </c>
      <c r="P5" s="323" t="s">
        <v>214</v>
      </c>
      <c r="Q5" s="323" t="s">
        <v>214</v>
      </c>
      <c r="R5" s="323" t="s">
        <v>214</v>
      </c>
      <c r="S5" s="323" t="s">
        <v>214</v>
      </c>
      <c r="T5" s="323" t="s">
        <v>214</v>
      </c>
      <c r="U5" s="323" t="s">
        <v>214</v>
      </c>
      <c r="V5" s="323" t="s">
        <v>214</v>
      </c>
      <c r="W5" s="323" t="s">
        <v>214</v>
      </c>
      <c r="X5" s="323" t="s">
        <v>214</v>
      </c>
      <c r="Y5" s="323" t="s">
        <v>214</v>
      </c>
      <c r="Z5" s="323" t="s">
        <v>214</v>
      </c>
      <c r="AA5" s="323" t="s">
        <v>214</v>
      </c>
      <c r="AB5" s="323" t="s">
        <v>214</v>
      </c>
      <c r="AC5" s="323" t="s">
        <v>214</v>
      </c>
      <c r="AD5" s="323" t="s">
        <v>214</v>
      </c>
      <c r="AE5" s="323" t="s">
        <v>214</v>
      </c>
      <c r="AF5" s="323" t="s">
        <v>214</v>
      </c>
    </row>
    <row r="6" spans="1:32" ht="69" customHeight="1" thickBot="1">
      <c r="B6" s="166" t="s">
        <v>529</v>
      </c>
      <c r="C6" s="175" t="s">
        <v>846</v>
      </c>
      <c r="D6" s="15" t="s">
        <v>48</v>
      </c>
      <c r="E6" s="15" t="s">
        <v>936</v>
      </c>
      <c r="F6" s="594" t="s">
        <v>941</v>
      </c>
      <c r="G6" s="14"/>
      <c r="H6" s="14"/>
      <c r="I6" s="14"/>
      <c r="J6" s="14"/>
      <c r="K6" s="239">
        <v>0.59286870539361292</v>
      </c>
      <c r="L6" s="547">
        <v>0.59589834152286625</v>
      </c>
      <c r="M6" s="547">
        <v>0.59589834152286625</v>
      </c>
      <c r="N6" s="547">
        <v>0.59589834152286625</v>
      </c>
      <c r="O6" s="547">
        <v>0.59589834152286625</v>
      </c>
      <c r="P6" s="547">
        <v>0.59589834152286625</v>
      </c>
      <c r="Q6" s="547">
        <v>0.59589834152286625</v>
      </c>
      <c r="R6" s="547">
        <v>0.59589834152286625</v>
      </c>
      <c r="S6" s="547">
        <v>0.59589834152286625</v>
      </c>
      <c r="T6" s="547">
        <v>0.59589834152286625</v>
      </c>
      <c r="U6" s="547">
        <v>0.59589834152286625</v>
      </c>
      <c r="V6" s="547">
        <v>0.59589834152286625</v>
      </c>
      <c r="W6" s="547">
        <v>0.59589834152286625</v>
      </c>
      <c r="X6" s="547">
        <v>0.59589834152286625</v>
      </c>
      <c r="Y6" s="547">
        <v>0.59589834152286625</v>
      </c>
      <c r="Z6" s="547">
        <v>0.59589834152286625</v>
      </c>
      <c r="AA6" s="547">
        <v>0.54195695216777517</v>
      </c>
      <c r="AB6" s="547">
        <v>0.50533948832503828</v>
      </c>
      <c r="AC6" s="547">
        <v>0.47262537548595118</v>
      </c>
      <c r="AD6" s="547">
        <v>0.45094447604902621</v>
      </c>
      <c r="AE6" s="547">
        <v>0.4038898480789026</v>
      </c>
      <c r="AF6" s="547">
        <v>0.39783057582039583</v>
      </c>
    </row>
    <row r="7" spans="1:32" ht="69" customHeight="1" thickBot="1">
      <c r="B7" s="165" t="s">
        <v>349</v>
      </c>
      <c r="C7" s="175" t="s">
        <v>846</v>
      </c>
      <c r="D7" s="15" t="s">
        <v>48</v>
      </c>
      <c r="E7" s="15" t="s">
        <v>936</v>
      </c>
      <c r="F7" s="594" t="s">
        <v>941</v>
      </c>
      <c r="G7" s="14"/>
      <c r="H7" s="14"/>
      <c r="I7" s="14"/>
      <c r="J7" s="14"/>
      <c r="K7" s="239">
        <v>0.10088070045763398</v>
      </c>
      <c r="L7" s="547">
        <v>0.10116121574165485</v>
      </c>
      <c r="M7" s="547">
        <v>0.10116121574165485</v>
      </c>
      <c r="N7" s="547">
        <v>0.10116121574165485</v>
      </c>
      <c r="O7" s="547">
        <v>0.10116121574165485</v>
      </c>
      <c r="P7" s="547">
        <v>0.10116121574165485</v>
      </c>
      <c r="Q7" s="547">
        <v>0.10116121574165485</v>
      </c>
      <c r="R7" s="547">
        <v>7.9133545585612253E-2</v>
      </c>
      <c r="S7" s="547">
        <v>7.1727150881228011E-2</v>
      </c>
      <c r="T7" s="547">
        <v>5.2864086060311559E-2</v>
      </c>
      <c r="U7" s="547">
        <v>3.1357929537542545E-2</v>
      </c>
      <c r="V7" s="547">
        <v>1.1322285335139877E-2</v>
      </c>
      <c r="W7" s="547">
        <v>9.0650761329917826E-3</v>
      </c>
      <c r="X7" s="547">
        <v>7.2445750895866442E-3</v>
      </c>
      <c r="Y7" s="547">
        <v>6.9699990613540114E-3</v>
      </c>
      <c r="Z7" s="547">
        <v>6.741430146899088E-3</v>
      </c>
      <c r="AA7" s="547">
        <v>3.8404013457238352E-3</v>
      </c>
      <c r="AB7" s="547">
        <v>3.1931576106920346E-3</v>
      </c>
      <c r="AC7" s="547">
        <v>1.0846120363654757E-3</v>
      </c>
      <c r="AD7" s="547">
        <v>8.5736373947492247E-4</v>
      </c>
      <c r="AE7" s="547">
        <v>5.6103056804173075E-4</v>
      </c>
      <c r="AF7" s="547">
        <v>0</v>
      </c>
    </row>
    <row r="8" spans="1:32" ht="69" customHeight="1" thickBot="1">
      <c r="B8" s="165" t="s">
        <v>11</v>
      </c>
      <c r="C8" s="175" t="s">
        <v>846</v>
      </c>
      <c r="D8" s="15" t="s">
        <v>48</v>
      </c>
      <c r="E8" s="15" t="s">
        <v>936</v>
      </c>
      <c r="F8" s="594" t="s">
        <v>941</v>
      </c>
      <c r="G8" s="38"/>
      <c r="H8" s="38"/>
      <c r="I8" s="38"/>
      <c r="J8" s="38"/>
      <c r="K8" s="240">
        <v>7.8161642331714543</v>
      </c>
      <c r="L8" s="547">
        <v>7.9245390822727533</v>
      </c>
      <c r="M8" s="547">
        <v>7.9245390822727533</v>
      </c>
      <c r="N8" s="547">
        <v>7.9245390822727533</v>
      </c>
      <c r="O8" s="547">
        <v>7.9245390822727533</v>
      </c>
      <c r="P8" s="547">
        <v>7.9245390822727533</v>
      </c>
      <c r="Q8" s="547">
        <v>7.9245390822727533</v>
      </c>
      <c r="R8" s="547">
        <v>7.7040643280932235</v>
      </c>
      <c r="S8" s="547">
        <v>7.5428740510054375</v>
      </c>
      <c r="T8" s="547">
        <v>7.4288216250548311</v>
      </c>
      <c r="U8" s="547">
        <v>7.2918533006053305</v>
      </c>
      <c r="V8" s="547">
        <v>6.8725383217574079</v>
      </c>
      <c r="W8" s="547">
        <v>6.1092320442362009</v>
      </c>
      <c r="X8" s="547">
        <v>5.1199079506909477</v>
      </c>
      <c r="Y8" s="547">
        <v>4.3311546587347163</v>
      </c>
      <c r="Z8" s="547">
        <v>3.9042756106600809</v>
      </c>
      <c r="AA8" s="547">
        <v>3.3236133815912274</v>
      </c>
      <c r="AB8" s="547">
        <v>2.3853568935530132</v>
      </c>
      <c r="AC8" s="547">
        <v>0.84162987310065895</v>
      </c>
      <c r="AD8" s="547">
        <v>0.50688730032510243</v>
      </c>
      <c r="AE8" s="547">
        <v>0.21674969820259962</v>
      </c>
      <c r="AF8" s="547">
        <v>0</v>
      </c>
    </row>
    <row r="9" spans="1:32" ht="69" customHeight="1" thickBot="1">
      <c r="B9" s="165" t="s">
        <v>10</v>
      </c>
      <c r="C9" s="175" t="s">
        <v>846</v>
      </c>
      <c r="D9" s="15" t="s">
        <v>48</v>
      </c>
      <c r="E9" s="15" t="s">
        <v>936</v>
      </c>
      <c r="F9" s="594" t="s">
        <v>941</v>
      </c>
      <c r="G9" s="14"/>
      <c r="H9" s="14"/>
      <c r="I9" s="14"/>
      <c r="J9" s="14"/>
      <c r="K9" s="239">
        <v>3.5347562923361824E-2</v>
      </c>
      <c r="L9" s="547">
        <v>3.7412390998028656E-2</v>
      </c>
      <c r="M9" s="547">
        <v>3.7412390998028656E-2</v>
      </c>
      <c r="N9" s="547">
        <v>3.7412390998028656E-2</v>
      </c>
      <c r="O9" s="547">
        <v>3.7412390998028656E-2</v>
      </c>
      <c r="P9" s="547">
        <v>3.7412390998028656E-2</v>
      </c>
      <c r="Q9" s="547">
        <v>3.7412390998028656E-2</v>
      </c>
      <c r="R9" s="547">
        <v>3.7412390998028656E-2</v>
      </c>
      <c r="S9" s="547">
        <v>3.7412390998028656E-2</v>
      </c>
      <c r="T9" s="547">
        <v>3.7412390998028656E-2</v>
      </c>
      <c r="U9" s="547">
        <v>3.7412390998028656E-2</v>
      </c>
      <c r="V9" s="547">
        <v>3.7412390998028656E-2</v>
      </c>
      <c r="W9" s="547">
        <v>3.7412390998028656E-2</v>
      </c>
      <c r="X9" s="547">
        <v>3.7412390998028656E-2</v>
      </c>
      <c r="Y9" s="547">
        <v>3.7412390998028656E-2</v>
      </c>
      <c r="Z9" s="547">
        <v>3.7412390998028656E-2</v>
      </c>
      <c r="AA9" s="547">
        <v>3.5255721675931898E-2</v>
      </c>
      <c r="AB9" s="547">
        <v>3.5255721675931898E-2</v>
      </c>
      <c r="AC9" s="547">
        <v>3.5255721675931898E-2</v>
      </c>
      <c r="AD9" s="547">
        <v>2.0118844946834122E-2</v>
      </c>
      <c r="AE9" s="547">
        <v>4.1296561493336659E-3</v>
      </c>
      <c r="AF9" s="547">
        <v>0</v>
      </c>
    </row>
    <row r="10" spans="1:32" ht="69" customHeight="1" thickBot="1">
      <c r="B10" s="165" t="s">
        <v>339</v>
      </c>
      <c r="C10" s="175" t="s">
        <v>846</v>
      </c>
      <c r="D10" s="15" t="s">
        <v>48</v>
      </c>
      <c r="E10" s="15" t="s">
        <v>936</v>
      </c>
      <c r="F10" s="594" t="s">
        <v>941</v>
      </c>
      <c r="G10" s="14">
        <v>0</v>
      </c>
      <c r="H10" s="14">
        <v>0</v>
      </c>
      <c r="I10" s="14">
        <v>0</v>
      </c>
      <c r="J10" s="14">
        <v>0</v>
      </c>
      <c r="K10" s="239">
        <v>5.5361763968660895</v>
      </c>
      <c r="L10" s="547">
        <v>6.0139168669547871</v>
      </c>
      <c r="M10" s="547">
        <v>5.9784568806193468</v>
      </c>
      <c r="N10" s="547">
        <v>5.9311768988387614</v>
      </c>
      <c r="O10" s="547">
        <v>5.8720769216130293</v>
      </c>
      <c r="P10" s="547">
        <v>5.7072762129233041</v>
      </c>
      <c r="Q10" s="547">
        <v>5.5322549090503328</v>
      </c>
      <c r="R10" s="547">
        <v>5.2442237337911122</v>
      </c>
      <c r="S10" s="547">
        <v>4.8907078366197974</v>
      </c>
      <c r="T10" s="547">
        <v>4.5021302757619548</v>
      </c>
      <c r="U10" s="547">
        <v>4.1498757420585815</v>
      </c>
      <c r="V10" s="547">
        <v>3.8471909163520843</v>
      </c>
      <c r="W10" s="547">
        <v>3.6009016566231895</v>
      </c>
      <c r="X10" s="547">
        <v>3.362416669808018</v>
      </c>
      <c r="Y10" s="547">
        <v>2.9646729463510626</v>
      </c>
      <c r="Z10" s="547">
        <v>2.755600394248884</v>
      </c>
      <c r="AA10" s="547">
        <v>2.3480851114899872</v>
      </c>
      <c r="AB10" s="547">
        <v>1.9718168299157017</v>
      </c>
      <c r="AC10" s="547">
        <v>1.4793229511201422</v>
      </c>
      <c r="AD10" s="547">
        <v>0.78191609611789203</v>
      </c>
      <c r="AE10" s="547">
        <v>0.48002531726640046</v>
      </c>
      <c r="AF10" s="547">
        <v>0</v>
      </c>
    </row>
    <row r="11" spans="1:32" ht="69" customHeight="1" thickBot="1">
      <c r="B11" s="165" t="s">
        <v>340</v>
      </c>
      <c r="C11" s="175" t="s">
        <v>846</v>
      </c>
      <c r="D11" s="15" t="s">
        <v>48</v>
      </c>
      <c r="E11" s="15" t="s">
        <v>936</v>
      </c>
      <c r="F11" s="594" t="s">
        <v>941</v>
      </c>
      <c r="G11" s="14"/>
      <c r="H11" s="14"/>
      <c r="I11" s="14"/>
      <c r="J11" s="14"/>
      <c r="K11" s="239">
        <v>0.54544930183620921</v>
      </c>
      <c r="L11" s="547">
        <v>0.72095677622526411</v>
      </c>
      <c r="M11" s="547">
        <v>0.72095677622526411</v>
      </c>
      <c r="N11" s="547">
        <v>0.72095677622526411</v>
      </c>
      <c r="O11" s="547">
        <v>0.72095677622526411</v>
      </c>
      <c r="P11" s="547">
        <v>0.72095677622526411</v>
      </c>
      <c r="Q11" s="547">
        <v>0.72095677622526411</v>
      </c>
      <c r="R11" s="547">
        <v>0.70779873025242745</v>
      </c>
      <c r="S11" s="547">
        <v>0.67015409610936971</v>
      </c>
      <c r="T11" s="547">
        <v>0.5886254876290351</v>
      </c>
      <c r="U11" s="547">
        <v>0.54948030085984612</v>
      </c>
      <c r="V11" s="547">
        <v>0.41959031199187452</v>
      </c>
      <c r="W11" s="547">
        <v>0.18563002464811498</v>
      </c>
      <c r="X11" s="547">
        <v>0.13008602678610678</v>
      </c>
      <c r="Y11" s="547">
        <v>0.12996373387338628</v>
      </c>
      <c r="Z11" s="547">
        <v>0.12978628925492908</v>
      </c>
      <c r="AA11" s="547">
        <v>0.12428980987762621</v>
      </c>
      <c r="AB11" s="547">
        <v>0.1175033883274389</v>
      </c>
      <c r="AC11" s="547">
        <v>0.10084376585622522</v>
      </c>
      <c r="AD11" s="547">
        <v>8.893242401487135E-2</v>
      </c>
      <c r="AE11" s="547">
        <v>5.5540165577103229E-2</v>
      </c>
      <c r="AF11" s="547">
        <v>0</v>
      </c>
    </row>
    <row r="12" spans="1:32" ht="69" customHeight="1" thickBot="1">
      <c r="B12" s="165" t="s">
        <v>530</v>
      </c>
      <c r="C12" s="175" t="s">
        <v>846</v>
      </c>
      <c r="D12" s="15" t="s">
        <v>48</v>
      </c>
      <c r="E12" s="15" t="s">
        <v>936</v>
      </c>
      <c r="F12" s="594" t="s">
        <v>941</v>
      </c>
      <c r="G12" s="14"/>
      <c r="H12" s="14"/>
      <c r="I12" s="14"/>
      <c r="J12" s="14"/>
      <c r="K12" s="239">
        <v>9.8381674794365797</v>
      </c>
      <c r="L12" s="547">
        <v>9.8992046007707302</v>
      </c>
      <c r="M12" s="547">
        <v>9.8992046007707302</v>
      </c>
      <c r="N12" s="547">
        <v>9.8992046007707302</v>
      </c>
      <c r="O12" s="547">
        <v>9.8992046007707302</v>
      </c>
      <c r="P12" s="547">
        <v>9.8992046007707302</v>
      </c>
      <c r="Q12" s="547">
        <v>9.8992046007707302</v>
      </c>
      <c r="R12" s="547">
        <v>9.8743231184046909</v>
      </c>
      <c r="S12" s="547">
        <v>9.8339025269570541</v>
      </c>
      <c r="T12" s="547">
        <v>9.7918998861958393</v>
      </c>
      <c r="U12" s="547">
        <v>9.7368305315089039</v>
      </c>
      <c r="V12" s="547">
        <v>9.4203080911896588</v>
      </c>
      <c r="W12" s="547">
        <v>8.9956933481227033</v>
      </c>
      <c r="X12" s="547">
        <v>8.6231614633896339</v>
      </c>
      <c r="Y12" s="547">
        <v>8.0972890432583959</v>
      </c>
      <c r="Z12" s="547">
        <v>7.306332544077935</v>
      </c>
      <c r="AA12" s="547">
        <v>5.6871387273907796</v>
      </c>
      <c r="AB12" s="547">
        <v>3.344398325548267</v>
      </c>
      <c r="AC12" s="547">
        <v>1.5096140003144618</v>
      </c>
      <c r="AD12" s="547">
        <v>0.41258647705966339</v>
      </c>
      <c r="AE12" s="547">
        <v>0.12207424266830158</v>
      </c>
      <c r="AF12" s="547">
        <v>0</v>
      </c>
    </row>
    <row r="13" spans="1:32" ht="15" customHeight="1">
      <c r="B13" s="315"/>
      <c r="C13" s="10"/>
      <c r="D13" s="26"/>
      <c r="E13" s="26"/>
      <c r="F13" s="26"/>
      <c r="G13" s="349"/>
      <c r="H13" s="349"/>
      <c r="I13" s="349"/>
      <c r="J13" s="349"/>
      <c r="K13" s="349"/>
      <c r="L13" s="349"/>
      <c r="M13" s="349"/>
      <c r="N13" s="349"/>
      <c r="O13" s="349"/>
      <c r="P13" s="349"/>
      <c r="Q13" s="349"/>
      <c r="R13" s="349"/>
      <c r="S13" s="349"/>
      <c r="T13" s="349"/>
      <c r="U13" s="349"/>
      <c r="V13" s="349"/>
      <c r="W13" s="349"/>
      <c r="X13" s="349"/>
      <c r="Y13" s="349"/>
      <c r="Z13" s="349"/>
      <c r="AA13" s="349"/>
      <c r="AB13" s="349"/>
      <c r="AC13" s="349"/>
      <c r="AD13" s="349"/>
      <c r="AE13" s="349"/>
      <c r="AF13" s="349"/>
    </row>
    <row r="14" spans="1:32" ht="15" customHeight="1">
      <c r="D14" s="9"/>
      <c r="E14" s="9"/>
      <c r="F14" s="9"/>
    </row>
    <row r="15" spans="1:32" ht="15" customHeight="1">
      <c r="D15" s="9"/>
      <c r="E15" s="9"/>
      <c r="F15" s="9"/>
    </row>
    <row r="16" spans="1:32" ht="15" customHeight="1">
      <c r="D16" s="9"/>
      <c r="E16" s="9"/>
      <c r="F16" s="9"/>
    </row>
    <row r="17" s="9" customFormat="1" ht="15" customHeight="1"/>
    <row r="18" s="9" customFormat="1" ht="15" customHeight="1"/>
    <row r="19" s="9" customFormat="1" ht="15" customHeight="1"/>
    <row r="20" s="9" customFormat="1" ht="15" customHeight="1"/>
    <row r="21" s="9" customFormat="1" ht="15" customHeight="1"/>
    <row r="22" s="9" customFormat="1" ht="15" customHeight="1"/>
    <row r="23" s="9" customFormat="1" ht="15" customHeight="1"/>
    <row r="24" s="9" customFormat="1" ht="15" customHeight="1"/>
    <row r="25" s="9" customFormat="1" ht="15" customHeight="1"/>
    <row r="26" s="9" customFormat="1" ht="15" customHeight="1"/>
    <row r="27" s="9" customFormat="1" ht="15" customHeight="1"/>
    <row r="28" s="9" customFormat="1" ht="15" customHeight="1"/>
    <row r="29" s="9" customFormat="1" ht="15" customHeight="1"/>
    <row r="30" s="9" customFormat="1" ht="15" customHeight="1"/>
    <row r="31" s="9" customFormat="1" ht="15" customHeight="1"/>
    <row r="32" s="9" customFormat="1" ht="15" customHeight="1"/>
    <row r="33" s="9" customFormat="1" ht="15" customHeight="1"/>
    <row r="34" s="9" customFormat="1" ht="15" customHeight="1"/>
    <row r="35" s="9" customFormat="1" ht="15" customHeight="1"/>
    <row r="36" s="9" customFormat="1" ht="15" customHeight="1"/>
    <row r="37" s="9" customFormat="1" ht="15" customHeight="1"/>
    <row r="38" s="9" customFormat="1" ht="15" customHeight="1"/>
    <row r="39" s="9" customFormat="1" ht="15" customHeight="1"/>
    <row r="40" s="9" customFormat="1" ht="15" customHeight="1"/>
    <row r="41" s="9" customFormat="1" ht="15" customHeight="1"/>
    <row r="42" s="9" customFormat="1" ht="15" customHeight="1"/>
    <row r="43" s="9" customFormat="1" ht="15" customHeight="1"/>
    <row r="44" s="9" customFormat="1" ht="15" customHeight="1"/>
    <row r="45" s="9" customFormat="1" ht="15" customHeight="1"/>
    <row r="46" s="9" customFormat="1" ht="15" customHeight="1"/>
    <row r="47" s="9" customFormat="1" ht="15" customHeight="1"/>
    <row r="48" s="9" customFormat="1" ht="15" customHeight="1"/>
    <row r="49" s="9" customFormat="1" ht="15" customHeight="1"/>
    <row r="50" s="9" customFormat="1" ht="15" customHeight="1"/>
    <row r="51" s="9" customFormat="1" ht="15" customHeight="1"/>
    <row r="52" s="9" customFormat="1" ht="15" customHeight="1"/>
    <row r="53" s="9" customFormat="1" ht="15" customHeight="1"/>
    <row r="54" s="9" customFormat="1" ht="15" customHeight="1"/>
    <row r="55" s="9" customFormat="1" ht="15" customHeight="1"/>
    <row r="56" s="9" customFormat="1" ht="15" customHeight="1"/>
    <row r="57" s="9" customFormat="1" ht="15" customHeight="1"/>
    <row r="58" s="9" customFormat="1" ht="15" customHeight="1"/>
    <row r="59" s="9" customFormat="1" ht="15" customHeight="1"/>
    <row r="60" s="9" customFormat="1" ht="15" customHeight="1"/>
    <row r="61" s="9" customFormat="1" ht="15" customHeight="1"/>
    <row r="62" s="9" customFormat="1" ht="15" customHeight="1"/>
    <row r="63" s="9" customFormat="1" ht="15" customHeight="1"/>
    <row r="64" s="9" customFormat="1" ht="15" customHeight="1"/>
    <row r="65" s="9" customFormat="1" ht="15" customHeight="1"/>
    <row r="66" s="9" customFormat="1" ht="15" customHeight="1"/>
    <row r="67" s="9" customFormat="1" ht="15" customHeight="1"/>
    <row r="68" s="9" customFormat="1" ht="15" customHeight="1"/>
    <row r="69" s="9" customFormat="1" ht="15" customHeight="1"/>
    <row r="70" s="9" customFormat="1" ht="15" customHeight="1"/>
    <row r="71" s="9" customFormat="1" ht="15" customHeight="1"/>
    <row r="72" s="9" customFormat="1" ht="15" customHeight="1"/>
    <row r="73" s="9" customFormat="1" ht="15" customHeight="1"/>
    <row r="74" s="9" customFormat="1" ht="15" customHeight="1"/>
    <row r="75" s="9" customFormat="1" ht="15" customHeight="1"/>
    <row r="76" s="9" customFormat="1" ht="15" customHeight="1"/>
    <row r="77" s="9" customFormat="1" ht="15" customHeight="1"/>
    <row r="78" s="9" customFormat="1" ht="15" customHeight="1"/>
    <row r="79" s="9" customFormat="1" ht="15" customHeight="1"/>
    <row r="80" s="9" customFormat="1" ht="15" customHeight="1"/>
    <row r="81" s="9" customFormat="1" ht="15" customHeight="1"/>
    <row r="82" s="9" customFormat="1" ht="15" customHeight="1"/>
    <row r="83" s="9" customFormat="1" ht="15" customHeight="1"/>
    <row r="84" s="9" customFormat="1" ht="15" customHeight="1"/>
    <row r="85" s="9" customFormat="1" ht="15" customHeight="1"/>
    <row r="86" s="9" customFormat="1" ht="15" customHeight="1"/>
    <row r="87" s="9" customFormat="1" ht="15" customHeight="1"/>
    <row r="88" s="9" customFormat="1" ht="15" customHeight="1"/>
    <row r="89" s="9" customFormat="1" ht="15" customHeight="1"/>
    <row r="90" s="9" customFormat="1" ht="15" customHeight="1"/>
    <row r="91" s="9" customFormat="1" ht="15" customHeight="1"/>
    <row r="92" s="9" customFormat="1" ht="15" customHeight="1"/>
    <row r="93" s="9" customFormat="1" ht="15" customHeight="1"/>
    <row r="94" s="9" customFormat="1" ht="15" customHeight="1"/>
    <row r="95" s="9" customFormat="1" ht="15" customHeight="1"/>
    <row r="96" s="9" customFormat="1" ht="15" customHeight="1"/>
    <row r="97" s="9" customFormat="1" ht="15" customHeight="1"/>
    <row r="98" s="9" customFormat="1" ht="15" customHeight="1"/>
    <row r="99" s="9" customFormat="1" ht="15" customHeight="1"/>
    <row r="100" s="9" customFormat="1" ht="15" customHeight="1"/>
    <row r="101" s="9" customFormat="1" ht="15" customHeight="1"/>
    <row r="102" s="9" customFormat="1" ht="15" customHeight="1"/>
    <row r="103" s="9" customFormat="1" ht="15" customHeight="1"/>
    <row r="104" s="9" customFormat="1" ht="15" customHeight="1"/>
    <row r="105" s="9" customFormat="1" ht="15" customHeight="1"/>
    <row r="106" s="9" customFormat="1" ht="15" customHeight="1"/>
    <row r="107" s="9" customFormat="1" ht="15" customHeight="1"/>
    <row r="108" s="9" customFormat="1" ht="15" customHeight="1"/>
    <row r="109" s="9" customFormat="1" ht="15" customHeight="1"/>
    <row r="110" s="9" customFormat="1" ht="15" customHeight="1"/>
    <row r="111" s="9" customFormat="1" ht="15" customHeight="1"/>
    <row r="112" s="9" customFormat="1" ht="15" customHeight="1"/>
    <row r="113" s="9" customFormat="1" ht="15" customHeight="1"/>
    <row r="114" s="9" customFormat="1" ht="15" customHeight="1"/>
    <row r="115" s="9" customFormat="1" ht="15" customHeight="1"/>
    <row r="116" s="9" customFormat="1" ht="15" customHeight="1"/>
    <row r="117" s="9" customFormat="1" ht="15" customHeight="1"/>
    <row r="118" s="9" customFormat="1" ht="15" customHeight="1"/>
    <row r="119" s="9" customFormat="1" ht="15" customHeight="1"/>
    <row r="120" s="9" customFormat="1" ht="15" customHeight="1"/>
    <row r="121" s="9" customFormat="1" ht="15" customHeight="1"/>
    <row r="122" s="9" customFormat="1" ht="15" customHeight="1"/>
    <row r="123" s="9" customFormat="1" ht="15" customHeight="1"/>
    <row r="124" s="9" customFormat="1" ht="15" customHeight="1"/>
    <row r="125" s="9" customFormat="1" ht="15" customHeight="1"/>
    <row r="126" s="9" customFormat="1" ht="15" customHeight="1"/>
    <row r="127" s="9" customFormat="1" ht="15" customHeight="1"/>
    <row r="128" s="9" customFormat="1" ht="15" customHeight="1"/>
    <row r="129" s="9" customFormat="1" ht="15" customHeight="1"/>
    <row r="130" s="9" customFormat="1" ht="15" customHeight="1"/>
    <row r="131" s="9" customFormat="1" ht="15" customHeight="1"/>
    <row r="132" s="9" customFormat="1" ht="15" customHeight="1"/>
    <row r="133" s="9" customFormat="1" ht="15" customHeight="1"/>
    <row r="134" s="9" customFormat="1" ht="15" customHeight="1"/>
    <row r="135" s="9" customFormat="1" ht="15" customHeight="1"/>
    <row r="136" s="9" customFormat="1" ht="15" customHeight="1"/>
    <row r="137" s="9" customFormat="1" ht="15" customHeight="1"/>
    <row r="138" s="9" customFormat="1" ht="15" customHeight="1"/>
    <row r="139" s="9" customFormat="1" ht="15" customHeight="1"/>
    <row r="140" s="9" customFormat="1" ht="15" customHeight="1"/>
    <row r="141" s="9" customFormat="1" ht="15" customHeight="1"/>
    <row r="142" s="9" customFormat="1" ht="15" customHeight="1"/>
    <row r="143" s="9" customFormat="1" ht="15" customHeight="1"/>
    <row r="144" s="9" customFormat="1" ht="15" customHeight="1"/>
    <row r="145" s="9" customFormat="1" ht="15" customHeight="1"/>
    <row r="146" s="9" customFormat="1" ht="15" customHeight="1"/>
    <row r="147" s="9" customFormat="1" ht="15" customHeight="1"/>
    <row r="148" s="9" customFormat="1" ht="15" customHeight="1"/>
    <row r="149" s="9" customFormat="1" ht="15" customHeight="1"/>
    <row r="150" s="9" customFormat="1" ht="15" customHeight="1"/>
    <row r="151" s="9" customFormat="1" ht="15" customHeight="1"/>
    <row r="152" s="9" customFormat="1" ht="15" customHeight="1"/>
    <row r="153" s="9" customFormat="1" ht="15" customHeight="1"/>
    <row r="154" s="9" customFormat="1" ht="15" customHeight="1"/>
    <row r="155" s="9" customFormat="1" ht="15" customHeight="1"/>
    <row r="156" s="9" customFormat="1" ht="15" customHeight="1"/>
    <row r="157" s="9" customFormat="1" ht="15" customHeight="1"/>
    <row r="158" s="9" customFormat="1" ht="15" customHeight="1"/>
    <row r="159" s="9" customFormat="1" ht="15" customHeight="1"/>
    <row r="160" s="9" customFormat="1" ht="15" customHeight="1"/>
    <row r="161" s="9" customFormat="1" ht="15" customHeight="1"/>
    <row r="162" s="9" customFormat="1" ht="15" customHeight="1"/>
    <row r="163" s="9" customFormat="1" ht="15" customHeight="1"/>
    <row r="164" s="9" customFormat="1" ht="15" customHeight="1"/>
    <row r="165" s="9" customFormat="1" ht="15" customHeight="1"/>
    <row r="166" s="9" customFormat="1" ht="15" customHeight="1"/>
    <row r="167" s="9" customFormat="1" ht="15" customHeight="1"/>
    <row r="168" s="9" customFormat="1" ht="15" customHeight="1"/>
    <row r="169" s="9" customFormat="1" ht="15" customHeight="1"/>
    <row r="170" s="9" customFormat="1" ht="15" customHeight="1"/>
    <row r="171" s="9" customFormat="1" ht="15" customHeight="1"/>
    <row r="172" s="9" customFormat="1" ht="15" customHeight="1"/>
    <row r="173" s="9" customFormat="1" ht="15" customHeight="1"/>
    <row r="174" s="9" customFormat="1" ht="15" customHeight="1"/>
    <row r="175" s="9" customFormat="1" ht="15" customHeight="1"/>
    <row r="176" s="9" customFormat="1" ht="15" customHeight="1"/>
    <row r="177" s="9" customFormat="1" ht="15" customHeight="1"/>
    <row r="178" s="9" customFormat="1" ht="15" customHeight="1"/>
    <row r="179" s="9" customFormat="1" ht="15" customHeight="1"/>
    <row r="180" s="9" customFormat="1" ht="15" customHeight="1"/>
    <row r="181" s="9" customFormat="1" ht="15" customHeight="1"/>
    <row r="182" s="9" customFormat="1" ht="15" customHeight="1"/>
    <row r="183" s="9" customFormat="1" ht="15" customHeight="1"/>
    <row r="184" s="9" customFormat="1" ht="15" customHeight="1"/>
    <row r="185" s="9" customFormat="1" ht="15" customHeight="1"/>
    <row r="186" s="9" customFormat="1" ht="15" customHeight="1"/>
    <row r="187" s="9" customFormat="1" ht="15" customHeight="1"/>
    <row r="188" s="9" customFormat="1" ht="15" customHeight="1"/>
    <row r="189" s="9" customFormat="1" ht="15" customHeight="1"/>
    <row r="190" s="9" customFormat="1" ht="15" customHeight="1"/>
    <row r="191" s="9" customFormat="1" ht="15" customHeight="1"/>
    <row r="192" s="9" customFormat="1" ht="15" customHeight="1"/>
    <row r="193" s="9" customFormat="1" ht="15" customHeight="1"/>
    <row r="194" s="9" customFormat="1" ht="15" customHeight="1"/>
    <row r="195" s="9" customFormat="1" ht="15" customHeight="1"/>
    <row r="196" s="9" customFormat="1" ht="15" customHeight="1"/>
    <row r="197" s="9" customFormat="1" ht="15" customHeight="1"/>
    <row r="198" s="9" customFormat="1" ht="15" customHeight="1"/>
    <row r="199" s="9" customFormat="1" ht="15" customHeight="1"/>
    <row r="200" s="9" customFormat="1" ht="15" customHeight="1"/>
    <row r="201" s="9" customFormat="1" ht="15" customHeight="1"/>
    <row r="202" s="9" customFormat="1" ht="15" customHeight="1"/>
    <row r="203" s="9" customFormat="1" ht="15" customHeight="1"/>
    <row r="204" s="9" customFormat="1" ht="15" customHeight="1"/>
    <row r="205" s="9" customFormat="1" ht="15" customHeight="1"/>
    <row r="206" s="9" customFormat="1" ht="15" customHeight="1"/>
    <row r="207" s="9" customFormat="1" ht="15" customHeight="1"/>
    <row r="208" s="9" customFormat="1" ht="15" customHeight="1"/>
    <row r="209" s="9" customFormat="1" ht="15" customHeight="1"/>
    <row r="210" s="9" customFormat="1" ht="15" customHeight="1"/>
    <row r="211" s="9" customFormat="1" ht="15" customHeight="1"/>
    <row r="212" s="9" customFormat="1" ht="15" customHeight="1"/>
    <row r="213" s="9" customFormat="1" ht="15" customHeight="1"/>
    <row r="214" s="9" customFormat="1" ht="15" customHeight="1"/>
    <row r="215" s="9" customFormat="1" ht="15" customHeight="1"/>
    <row r="216" s="9" customFormat="1" ht="15" customHeight="1"/>
    <row r="217" s="9" customFormat="1" ht="15" customHeight="1"/>
    <row r="218" s="9" customFormat="1" ht="15" customHeight="1"/>
    <row r="219" s="9" customFormat="1" ht="15" customHeight="1"/>
    <row r="220" s="9" customFormat="1" ht="15" customHeight="1"/>
    <row r="221" s="9" customFormat="1" ht="15" customHeight="1"/>
    <row r="222" s="9" customFormat="1" ht="15" customHeight="1"/>
    <row r="223" s="9" customFormat="1" ht="15" customHeight="1"/>
    <row r="224" s="9" customFormat="1" ht="15" customHeight="1"/>
    <row r="225" s="9" customFormat="1" ht="15" customHeight="1"/>
    <row r="226" s="9" customFormat="1" ht="15" customHeight="1"/>
    <row r="227" s="9" customFormat="1" ht="15" customHeight="1"/>
    <row r="228" s="9" customFormat="1" ht="15" customHeight="1"/>
    <row r="229" s="9" customFormat="1" ht="15" customHeight="1"/>
    <row r="230" s="9" customFormat="1" ht="15" customHeight="1"/>
    <row r="231" s="9" customFormat="1" ht="15" customHeight="1"/>
    <row r="232" s="9" customFormat="1" ht="15" customHeight="1"/>
    <row r="233" s="9" customFormat="1" ht="15" customHeight="1"/>
    <row r="234" s="9" customFormat="1" ht="15" customHeight="1"/>
    <row r="235" s="9" customFormat="1" ht="15" customHeight="1"/>
    <row r="236" s="9" customFormat="1" ht="15" customHeight="1"/>
    <row r="237" s="9" customFormat="1" ht="15" customHeight="1"/>
    <row r="238" s="9" customFormat="1" ht="15" customHeight="1"/>
    <row r="239" s="9" customFormat="1" ht="15" customHeight="1"/>
    <row r="240" s="9" customFormat="1" ht="15" customHeight="1"/>
    <row r="241" s="9" customFormat="1" ht="15" customHeight="1"/>
    <row r="242" s="9" customFormat="1" ht="15" customHeight="1"/>
    <row r="243" s="9" customFormat="1" ht="15" customHeight="1"/>
    <row r="244" s="9" customFormat="1" ht="15" customHeight="1"/>
    <row r="245" s="9" customFormat="1" ht="15" customHeight="1"/>
    <row r="246" s="9" customFormat="1" ht="15" customHeight="1"/>
    <row r="247" s="9" customFormat="1" ht="15" customHeight="1"/>
    <row r="248" s="9" customFormat="1" ht="15" customHeight="1"/>
    <row r="249" s="9" customFormat="1" ht="15" customHeight="1"/>
    <row r="250" s="9" customFormat="1" ht="15" customHeight="1"/>
    <row r="251" s="9" customFormat="1" ht="15" customHeight="1"/>
    <row r="252" s="9" customFormat="1" ht="15" customHeight="1"/>
    <row r="253" s="9" customFormat="1" ht="15" customHeight="1"/>
    <row r="254" s="9" customFormat="1" ht="15" customHeight="1"/>
    <row r="255" s="9" customFormat="1" ht="15" customHeight="1"/>
    <row r="256" s="9" customFormat="1" ht="15" customHeight="1"/>
    <row r="257" s="9" customFormat="1" ht="15" customHeight="1"/>
    <row r="258" s="9" customFormat="1" ht="15" customHeight="1"/>
    <row r="259" s="9" customFormat="1" ht="15" customHeight="1"/>
    <row r="260" s="9" customFormat="1" ht="15" customHeight="1"/>
    <row r="261" s="9" customFormat="1" ht="15" customHeight="1"/>
    <row r="262" s="9" customFormat="1" ht="15" customHeight="1"/>
    <row r="263" s="9" customFormat="1" ht="15" customHeight="1"/>
    <row r="264" s="9" customFormat="1" ht="15" customHeight="1"/>
    <row r="265" s="9" customFormat="1" ht="15" customHeight="1"/>
    <row r="266" s="9" customFormat="1" ht="15" customHeight="1"/>
    <row r="267" s="9" customFormat="1" ht="15" customHeight="1"/>
    <row r="268" s="9" customFormat="1" ht="15" customHeight="1"/>
    <row r="269" s="9" customFormat="1" ht="15" customHeight="1"/>
    <row r="270" s="9" customFormat="1" ht="15" customHeight="1"/>
    <row r="271" s="9" customFormat="1" ht="15" customHeight="1"/>
    <row r="272" s="9" customFormat="1" ht="15" customHeight="1"/>
    <row r="273" s="9" customFormat="1" ht="15" customHeight="1"/>
    <row r="274" s="9" customFormat="1" ht="15" customHeight="1"/>
    <row r="275" s="9" customFormat="1" ht="15" customHeight="1"/>
    <row r="276" s="9" customFormat="1" ht="15" customHeight="1"/>
    <row r="277" s="9" customFormat="1" ht="15" customHeight="1"/>
    <row r="278" s="9" customFormat="1" ht="15" customHeight="1"/>
    <row r="279" s="9" customFormat="1" ht="15" customHeight="1"/>
    <row r="280" s="9" customFormat="1" ht="15" customHeight="1"/>
    <row r="281" s="9" customFormat="1" ht="15" customHeight="1"/>
    <row r="282" s="9" customFormat="1" ht="15" customHeight="1"/>
    <row r="283" s="9" customFormat="1" ht="15" customHeight="1"/>
    <row r="284" s="9" customFormat="1" ht="15" customHeight="1"/>
    <row r="285" s="9" customFormat="1" ht="15" customHeight="1"/>
    <row r="286" s="9" customFormat="1" ht="15" customHeight="1"/>
    <row r="287" s="9" customFormat="1" ht="15" customHeight="1"/>
    <row r="288" s="9" customFormat="1" ht="15" customHeight="1"/>
    <row r="289" s="9" customFormat="1" ht="15" customHeight="1"/>
    <row r="290" s="9" customFormat="1" ht="15" customHeight="1"/>
    <row r="291" s="9" customFormat="1" ht="15" customHeight="1"/>
    <row r="292" s="9" customFormat="1" ht="15" customHeight="1"/>
    <row r="293" s="9" customFormat="1" ht="15" customHeight="1"/>
    <row r="294" s="9" customFormat="1" ht="15" customHeight="1"/>
    <row r="295" s="9" customFormat="1" ht="15" customHeight="1"/>
    <row r="296" s="9" customFormat="1" ht="15" customHeight="1"/>
    <row r="297" s="9" customFormat="1" ht="15" customHeight="1"/>
    <row r="298" s="9" customFormat="1" ht="15" customHeight="1"/>
    <row r="299" s="9" customFormat="1" ht="15" customHeight="1"/>
    <row r="300" s="9" customFormat="1" ht="15" customHeight="1"/>
    <row r="301" s="9" customFormat="1" ht="15" customHeight="1"/>
    <row r="302" s="9" customFormat="1" ht="15" customHeight="1"/>
    <row r="303" s="9" customFormat="1" ht="15" customHeight="1"/>
    <row r="304" s="9" customFormat="1" ht="15" customHeight="1"/>
    <row r="305" s="9" customFormat="1" ht="15" customHeight="1"/>
    <row r="306" s="9" customFormat="1" ht="15" customHeight="1"/>
    <row r="307" s="9" customFormat="1" ht="15" customHeight="1"/>
    <row r="308" s="9" customFormat="1" ht="15" customHeight="1"/>
    <row r="309" s="9" customFormat="1" ht="15" customHeight="1"/>
    <row r="310" s="9" customFormat="1" ht="15" customHeight="1"/>
    <row r="311" s="9" customFormat="1" ht="15" customHeight="1"/>
    <row r="312" s="9" customFormat="1" ht="15" customHeight="1"/>
    <row r="313" s="9" customFormat="1" ht="15" customHeight="1"/>
    <row r="314" s="9" customFormat="1" ht="15" customHeight="1"/>
    <row r="315" s="9" customFormat="1" ht="15" customHeight="1"/>
    <row r="316" s="9" customFormat="1" ht="15" customHeight="1"/>
    <row r="317" s="9" customFormat="1" ht="15" customHeight="1"/>
    <row r="318" s="9" customFormat="1" ht="15" customHeight="1"/>
    <row r="319" s="9" customFormat="1" ht="15" customHeight="1"/>
    <row r="320" s="9" customFormat="1" ht="15" customHeight="1"/>
    <row r="321" s="9" customFormat="1" ht="15" customHeight="1"/>
    <row r="322" s="9" customFormat="1" ht="15" customHeight="1"/>
    <row r="323" s="9" customFormat="1" ht="15" customHeight="1"/>
    <row r="324" s="9" customFormat="1" ht="15" customHeight="1"/>
    <row r="325" s="9" customFormat="1" ht="15" customHeight="1"/>
    <row r="326" s="9" customFormat="1" ht="15" customHeight="1"/>
    <row r="327" s="9" customFormat="1" ht="15" customHeight="1"/>
    <row r="328" s="9" customFormat="1" ht="15" customHeight="1"/>
    <row r="329" s="9" customFormat="1" ht="15" customHeight="1"/>
    <row r="330" s="9" customFormat="1" ht="15" customHeight="1"/>
    <row r="331" s="9" customFormat="1" ht="15" customHeight="1"/>
    <row r="332" s="9" customFormat="1" ht="15" customHeight="1"/>
    <row r="333" s="9" customFormat="1" ht="15" customHeight="1"/>
    <row r="334" s="9" customFormat="1" ht="15" customHeight="1"/>
    <row r="335" s="9" customFormat="1" ht="15" customHeight="1"/>
    <row r="336" s="9" customFormat="1" ht="15" customHeight="1"/>
    <row r="337" s="9" customFormat="1" ht="15" customHeight="1"/>
    <row r="338" s="9" customFormat="1" ht="15" customHeight="1"/>
    <row r="339" s="9" customFormat="1" ht="15" customHeight="1"/>
    <row r="340" s="9" customFormat="1" ht="15" customHeight="1"/>
    <row r="341" s="9" customFormat="1" ht="15" customHeight="1"/>
    <row r="342" s="9" customFormat="1" ht="15" customHeight="1"/>
    <row r="343" s="9" customFormat="1" ht="15" customHeight="1"/>
    <row r="344" s="9" customFormat="1" ht="15" customHeight="1"/>
    <row r="345" s="9" customFormat="1" ht="15" customHeight="1"/>
    <row r="346" s="9" customFormat="1" ht="15" customHeight="1"/>
    <row r="347" s="9" customFormat="1" ht="15" customHeight="1"/>
    <row r="348" s="9" customFormat="1" ht="15" customHeight="1"/>
    <row r="349" s="9" customFormat="1" ht="15" customHeight="1"/>
    <row r="350" s="9" customFormat="1" ht="15" customHeight="1"/>
    <row r="351" s="9" customFormat="1" ht="15" customHeight="1"/>
    <row r="352" s="9" customFormat="1" ht="15" customHeight="1"/>
    <row r="353" s="9" customFormat="1" ht="15" customHeight="1"/>
    <row r="354" s="9" customFormat="1" ht="15" customHeight="1"/>
    <row r="355" s="9" customFormat="1" ht="15" customHeight="1"/>
    <row r="356" s="9" customFormat="1" ht="15" customHeight="1"/>
    <row r="357" s="9" customFormat="1" ht="15" customHeight="1"/>
    <row r="358" s="9" customFormat="1" ht="15" customHeight="1"/>
    <row r="359" s="9" customFormat="1" ht="15" customHeight="1"/>
    <row r="360" s="9" customFormat="1" ht="15" customHeight="1"/>
    <row r="361" s="9" customFormat="1" ht="15" customHeight="1"/>
    <row r="362" s="9" customFormat="1" ht="15" customHeight="1"/>
    <row r="363" s="9" customFormat="1" ht="15" customHeight="1"/>
    <row r="364" s="9" customFormat="1" ht="15" customHeight="1"/>
    <row r="365" s="9" customFormat="1" ht="15" customHeight="1"/>
    <row r="366" s="9" customFormat="1" ht="15" customHeight="1"/>
    <row r="367" s="9" customFormat="1" ht="15" customHeight="1"/>
    <row r="368" s="9" customFormat="1" ht="15" customHeight="1"/>
    <row r="369" s="9" customFormat="1" ht="15" customHeight="1"/>
    <row r="370" s="9" customFormat="1" ht="15" customHeight="1"/>
    <row r="371" s="9" customFormat="1" ht="15" customHeight="1"/>
    <row r="372" s="9" customFormat="1" ht="15" customHeight="1"/>
    <row r="373" s="9" customFormat="1" ht="15" customHeight="1"/>
    <row r="374" s="9" customFormat="1" ht="15" customHeight="1"/>
    <row r="375" s="9" customFormat="1" ht="15" customHeight="1"/>
    <row r="376" s="9" customFormat="1" ht="15" customHeight="1"/>
    <row r="377" s="9" customFormat="1" ht="15" customHeight="1"/>
    <row r="378" s="9" customFormat="1" ht="15" customHeight="1"/>
    <row r="379" s="9" customFormat="1" ht="15" customHeight="1"/>
    <row r="380" s="9" customFormat="1" ht="15" customHeight="1"/>
    <row r="381" s="9" customFormat="1" ht="15" customHeight="1"/>
    <row r="382" s="9" customFormat="1" ht="15" customHeight="1"/>
    <row r="383" s="9" customFormat="1" ht="15" customHeight="1"/>
    <row r="384" s="9" customFormat="1" ht="15" customHeight="1"/>
    <row r="385" s="9" customFormat="1" ht="15" customHeight="1"/>
    <row r="386" s="9" customFormat="1" ht="15" customHeight="1"/>
    <row r="387" s="9" customFormat="1" ht="15" customHeight="1"/>
    <row r="388" s="9" customFormat="1" ht="15" customHeight="1"/>
    <row r="389" s="9" customFormat="1" ht="15" customHeight="1"/>
    <row r="390" s="9" customFormat="1" ht="15" customHeight="1"/>
    <row r="391" s="9" customFormat="1" ht="15" customHeight="1"/>
    <row r="392" s="9" customFormat="1" ht="15" customHeight="1"/>
    <row r="393" s="9" customFormat="1" ht="15" customHeight="1"/>
    <row r="394" s="9" customFormat="1" ht="15" customHeight="1"/>
    <row r="395" s="9" customFormat="1" ht="15" customHeight="1"/>
    <row r="396" s="9" customFormat="1" ht="15" customHeight="1"/>
    <row r="397" s="9" customFormat="1" ht="15" customHeight="1"/>
    <row r="398" s="9" customFormat="1" ht="15" customHeight="1"/>
    <row r="399" s="9" customFormat="1" ht="15" customHeight="1"/>
    <row r="400" s="9" customFormat="1" ht="15" customHeight="1"/>
    <row r="401" s="9" customFormat="1" ht="15" customHeight="1"/>
    <row r="402" s="9" customFormat="1" ht="15" customHeight="1"/>
    <row r="403" s="9" customFormat="1" ht="15" customHeight="1"/>
    <row r="404" s="9" customFormat="1" ht="15" customHeight="1"/>
    <row r="405" s="9" customFormat="1" ht="15" customHeight="1"/>
    <row r="406" s="9" customFormat="1" ht="15" customHeight="1"/>
    <row r="407" s="9" customFormat="1" ht="15" customHeight="1"/>
    <row r="408" s="9" customFormat="1" ht="15" customHeight="1"/>
    <row r="409" s="9" customFormat="1" ht="15" customHeight="1"/>
    <row r="410" s="9" customFormat="1" ht="15" customHeight="1"/>
    <row r="411" s="9" customFormat="1" ht="15" customHeight="1"/>
    <row r="412" s="9" customFormat="1" ht="15" customHeight="1"/>
    <row r="413" s="9" customFormat="1" ht="15" customHeight="1"/>
    <row r="414" s="9" customFormat="1" ht="15" customHeight="1"/>
    <row r="415" s="9" customFormat="1" ht="15" customHeight="1"/>
    <row r="416" s="9" customFormat="1" ht="15" customHeight="1"/>
    <row r="417" s="9" customFormat="1" ht="15" customHeight="1"/>
    <row r="418" s="9" customFormat="1" ht="15" customHeight="1"/>
    <row r="419" s="9" customFormat="1" ht="15" customHeight="1"/>
    <row r="420" s="9" customFormat="1" ht="15" customHeight="1"/>
    <row r="421" s="9" customFormat="1" ht="15" customHeight="1"/>
    <row r="422" s="9" customFormat="1" ht="15" customHeight="1"/>
    <row r="423" s="9" customFormat="1" ht="15" customHeight="1"/>
    <row r="424" s="9" customFormat="1" ht="15" customHeight="1"/>
    <row r="425" s="9" customFormat="1" ht="15" customHeight="1"/>
    <row r="426" s="9" customFormat="1" ht="15" customHeight="1"/>
    <row r="427" s="9" customFormat="1" ht="15" customHeight="1"/>
    <row r="428" s="9" customFormat="1" ht="15" customHeight="1"/>
    <row r="429" s="9" customFormat="1" ht="15" customHeight="1"/>
    <row r="430" s="9" customFormat="1" ht="15" customHeight="1"/>
    <row r="431" s="9" customFormat="1" ht="15" customHeight="1"/>
    <row r="432" s="9" customFormat="1" ht="15" customHeight="1"/>
    <row r="433" s="9" customFormat="1" ht="15" customHeight="1"/>
    <row r="434" s="9" customFormat="1" ht="15" customHeight="1"/>
    <row r="435" s="9" customFormat="1" ht="15" customHeight="1"/>
    <row r="436" s="9" customFormat="1" ht="15" customHeight="1"/>
    <row r="437" s="9" customFormat="1" ht="15" customHeight="1"/>
    <row r="438" s="9" customFormat="1" ht="15" customHeight="1"/>
    <row r="439" s="9" customFormat="1" ht="15" customHeight="1"/>
    <row r="440" s="9" customFormat="1" ht="15" customHeight="1"/>
    <row r="441" s="9" customFormat="1" ht="15" customHeight="1"/>
    <row r="442" s="9" customFormat="1" ht="15" customHeight="1"/>
    <row r="443" s="9" customFormat="1" ht="15" customHeight="1"/>
    <row r="444" s="9" customFormat="1" ht="15" customHeight="1"/>
    <row r="445" s="9" customFormat="1" ht="15" customHeight="1"/>
    <row r="446" s="9" customFormat="1" ht="15" customHeight="1"/>
    <row r="447" s="9" customFormat="1" ht="15" customHeight="1"/>
    <row r="448" s="9" customFormat="1" ht="15" customHeight="1"/>
    <row r="449" s="9" customFormat="1" ht="15" customHeight="1"/>
    <row r="450" s="9" customFormat="1" ht="15" customHeight="1"/>
    <row r="451" s="9" customFormat="1" ht="15" customHeight="1"/>
    <row r="452" s="9" customFormat="1" ht="15" customHeight="1"/>
    <row r="453" s="9" customFormat="1" ht="15" customHeight="1"/>
    <row r="454" s="9" customFormat="1" ht="15" customHeight="1"/>
    <row r="455" s="9" customFormat="1" ht="15" customHeight="1"/>
    <row r="456" s="9" customFormat="1" ht="15" customHeight="1"/>
    <row r="457" s="9" customFormat="1" ht="15" customHeight="1"/>
    <row r="458" s="9" customFormat="1" ht="15" customHeight="1"/>
    <row r="459" s="9" customFormat="1" ht="15" customHeight="1"/>
    <row r="460" s="9" customFormat="1" ht="15" customHeight="1"/>
    <row r="461" s="9" customFormat="1" ht="15" customHeight="1"/>
    <row r="462" s="9" customFormat="1" ht="15" customHeight="1"/>
    <row r="463" s="9" customFormat="1" ht="15" customHeight="1"/>
    <row r="464" s="9" customFormat="1" ht="15" customHeight="1"/>
    <row r="465" s="9" customFormat="1" ht="15" customHeight="1"/>
    <row r="466" s="9" customFormat="1" ht="15" customHeight="1"/>
    <row r="467" s="9" customFormat="1" ht="15" customHeight="1"/>
    <row r="468" s="9" customFormat="1" ht="15" customHeight="1"/>
    <row r="469" s="9" customFormat="1" ht="15" customHeight="1"/>
    <row r="470" s="9" customFormat="1" ht="15" customHeight="1"/>
    <row r="471" s="9" customFormat="1" ht="15" customHeight="1"/>
    <row r="472" s="9" customFormat="1" ht="15" customHeight="1"/>
    <row r="473" s="9" customFormat="1" ht="15" customHeight="1"/>
    <row r="474" s="9" customFormat="1" ht="15" customHeight="1"/>
    <row r="475" s="9" customFormat="1" ht="15" customHeight="1"/>
    <row r="476" s="9" customFormat="1" ht="15" customHeight="1"/>
    <row r="477" s="9" customFormat="1" ht="15" customHeight="1"/>
    <row r="478" s="9" customFormat="1" ht="15" customHeight="1"/>
    <row r="479" s="9" customFormat="1" ht="15" customHeight="1"/>
    <row r="480" s="9" customFormat="1" ht="15" customHeight="1"/>
    <row r="481" s="9" customFormat="1" ht="15" customHeight="1"/>
    <row r="482" s="9" customFormat="1" ht="15" customHeight="1"/>
    <row r="483" s="9" customFormat="1" ht="15" customHeight="1"/>
    <row r="484" s="9" customFormat="1" ht="15" customHeight="1"/>
    <row r="485" s="9" customFormat="1" ht="15" customHeight="1"/>
    <row r="486" s="9" customFormat="1" ht="15" customHeight="1"/>
    <row r="487" s="9" customFormat="1" ht="15" customHeight="1"/>
    <row r="488" s="9" customFormat="1" ht="15" customHeight="1"/>
    <row r="489" s="9" customFormat="1" ht="15" customHeight="1"/>
    <row r="490" s="9" customFormat="1" ht="15" customHeight="1"/>
    <row r="491" s="9" customFormat="1" ht="15" customHeight="1"/>
    <row r="492" s="9" customFormat="1" ht="15" customHeight="1"/>
    <row r="493" s="9" customFormat="1" ht="15" customHeight="1"/>
    <row r="494" s="9" customFormat="1" ht="15" customHeight="1"/>
    <row r="495" s="9" customFormat="1" ht="15" customHeight="1"/>
    <row r="496" s="9" customFormat="1" ht="15" customHeight="1"/>
    <row r="497" s="9" customFormat="1" ht="15" customHeight="1"/>
    <row r="498" s="9" customFormat="1" ht="15" customHeight="1"/>
    <row r="499" s="9" customFormat="1" ht="15" customHeight="1"/>
    <row r="500" s="9" customFormat="1" ht="15" customHeight="1"/>
    <row r="501" s="9" customFormat="1" ht="15" customHeight="1"/>
    <row r="502" s="9" customFormat="1" ht="15" customHeight="1"/>
    <row r="503" s="9" customFormat="1" ht="15" customHeight="1"/>
    <row r="504" s="9" customFormat="1" ht="15" customHeight="1"/>
    <row r="505" s="9" customFormat="1" ht="15" customHeight="1"/>
    <row r="506" s="9" customFormat="1" ht="15" customHeight="1"/>
    <row r="507" s="9" customFormat="1" ht="15" customHeight="1"/>
    <row r="508" s="9" customFormat="1" ht="15" customHeight="1"/>
    <row r="509" s="9" customFormat="1" ht="15" customHeight="1"/>
    <row r="510" s="9" customFormat="1" ht="15" customHeight="1"/>
    <row r="511" s="9" customFormat="1" ht="15" customHeight="1"/>
    <row r="512" s="9" customFormat="1" ht="15" customHeight="1"/>
    <row r="513" s="9" customFormat="1" ht="15" customHeight="1"/>
    <row r="514" s="9" customFormat="1" ht="15" customHeight="1"/>
    <row r="515" s="9" customFormat="1" ht="15" customHeight="1"/>
    <row r="516" s="9" customFormat="1" ht="15" customHeight="1"/>
    <row r="517" s="9" customFormat="1" ht="15" customHeight="1"/>
    <row r="518" s="9" customFormat="1" ht="15" customHeight="1"/>
    <row r="519" s="9" customFormat="1" ht="15" customHeight="1"/>
    <row r="520" s="9" customFormat="1" ht="15" customHeight="1"/>
    <row r="521" s="9" customFormat="1" ht="15" customHeight="1"/>
    <row r="522" s="9" customFormat="1" ht="15" customHeight="1"/>
    <row r="523" s="9" customFormat="1" ht="15" customHeight="1"/>
    <row r="524" s="9" customFormat="1" ht="15" customHeight="1"/>
    <row r="525" s="9" customFormat="1" ht="15" customHeight="1"/>
    <row r="526" s="9" customFormat="1" ht="15" customHeight="1"/>
    <row r="527" s="9" customFormat="1" ht="15" customHeight="1"/>
    <row r="528" s="9" customFormat="1" ht="15" customHeight="1"/>
    <row r="529" s="9" customFormat="1" ht="15" customHeight="1"/>
    <row r="530" s="9" customFormat="1" ht="15" customHeight="1"/>
    <row r="531" s="9" customFormat="1" ht="15" customHeight="1"/>
    <row r="532" s="9" customFormat="1" ht="15" customHeight="1"/>
    <row r="533" s="9" customFormat="1" ht="15" customHeight="1"/>
    <row r="534" s="9" customFormat="1" ht="15" customHeight="1"/>
    <row r="535" s="9" customFormat="1" ht="15" customHeight="1"/>
    <row r="536" s="9" customFormat="1" ht="15" customHeight="1"/>
    <row r="537" s="9" customFormat="1" ht="15" customHeight="1"/>
    <row r="538" s="9" customFormat="1" ht="15" customHeight="1"/>
    <row r="539" s="9" customFormat="1" ht="15" customHeight="1"/>
    <row r="540" s="9" customFormat="1" ht="15" customHeight="1"/>
    <row r="541" s="9" customFormat="1" ht="15" customHeight="1"/>
    <row r="542" s="9" customFormat="1" ht="15" customHeight="1"/>
    <row r="543" s="9" customFormat="1" ht="15" customHeight="1"/>
    <row r="544" s="9" customFormat="1" ht="15" customHeight="1"/>
    <row r="545" s="9" customFormat="1" ht="15" customHeight="1"/>
    <row r="546" s="9" customFormat="1" ht="15" customHeight="1"/>
    <row r="547" s="9" customFormat="1" ht="15" customHeight="1"/>
    <row r="548" s="9" customFormat="1" ht="15" customHeight="1"/>
    <row r="549" s="9" customFormat="1" ht="15" customHeight="1"/>
    <row r="550" s="9" customFormat="1" ht="15" customHeight="1"/>
    <row r="551" s="9" customFormat="1" ht="15" customHeight="1"/>
    <row r="552" s="9" customFormat="1" ht="15" customHeight="1"/>
    <row r="553" s="9" customFormat="1" ht="15" customHeight="1"/>
    <row r="554" s="9" customFormat="1" ht="15" customHeight="1"/>
    <row r="555" s="9" customFormat="1" ht="15" customHeight="1"/>
    <row r="556" s="9" customFormat="1" ht="15" customHeight="1"/>
    <row r="557" s="9" customFormat="1" ht="15" customHeight="1"/>
    <row r="558" s="9" customFormat="1" ht="15" customHeight="1"/>
    <row r="559" s="9" customFormat="1" ht="15" customHeight="1"/>
    <row r="560" s="9" customFormat="1" ht="15" customHeight="1"/>
    <row r="561" s="9" customFormat="1" ht="15" customHeight="1"/>
    <row r="562" s="9" customFormat="1" ht="15" customHeight="1"/>
    <row r="563" s="9" customFormat="1" ht="15" customHeight="1"/>
    <row r="564" s="9" customFormat="1" ht="15" customHeight="1"/>
    <row r="565" s="9" customFormat="1" ht="15" customHeight="1"/>
    <row r="566" s="9" customFormat="1" ht="15" customHeight="1"/>
    <row r="567" s="9" customFormat="1" ht="15" customHeight="1"/>
    <row r="568" s="9" customFormat="1" ht="15" customHeight="1"/>
    <row r="569" s="9" customFormat="1" ht="15" customHeight="1"/>
    <row r="570" s="9" customFormat="1" ht="15" customHeight="1"/>
    <row r="571" s="9" customFormat="1" ht="15" customHeight="1"/>
    <row r="572" s="9" customFormat="1" ht="15" customHeight="1"/>
    <row r="573" s="9" customFormat="1" ht="15" customHeight="1"/>
    <row r="574" s="9" customFormat="1" ht="15" customHeight="1"/>
    <row r="575" s="9" customFormat="1" ht="15" customHeight="1"/>
    <row r="576" s="9" customFormat="1" ht="15" customHeight="1"/>
    <row r="577" s="9" customFormat="1" ht="15" customHeight="1"/>
    <row r="578" s="9" customFormat="1" ht="15" customHeight="1"/>
    <row r="579" s="9" customFormat="1" ht="15" customHeight="1"/>
    <row r="580" s="9" customFormat="1" ht="15" customHeight="1"/>
    <row r="581" s="9" customFormat="1" ht="15" customHeight="1"/>
    <row r="582" s="9" customFormat="1" ht="15" customHeight="1"/>
    <row r="583" s="9" customFormat="1" ht="15" customHeight="1"/>
    <row r="584" s="9" customFormat="1" ht="15" customHeight="1"/>
    <row r="585" s="9" customFormat="1" ht="15" customHeight="1"/>
    <row r="586" s="9" customFormat="1" ht="15" customHeight="1"/>
    <row r="587" s="9" customFormat="1" ht="15" customHeight="1"/>
    <row r="588" s="9" customFormat="1" ht="15" customHeight="1"/>
    <row r="589" s="9" customFormat="1" ht="15" customHeight="1"/>
    <row r="590" s="9" customFormat="1" ht="15" customHeight="1"/>
    <row r="591" s="9" customFormat="1" ht="15" customHeight="1"/>
    <row r="592" s="9" customFormat="1" ht="15" customHeight="1"/>
    <row r="593" s="9" customFormat="1" ht="15" customHeight="1"/>
    <row r="594" s="9" customFormat="1" ht="15" customHeight="1"/>
    <row r="595" s="9" customFormat="1" ht="15" customHeight="1"/>
    <row r="596" s="9" customFormat="1" ht="15" customHeight="1"/>
    <row r="597" s="9" customFormat="1" ht="15" customHeight="1"/>
    <row r="598" s="9" customFormat="1" ht="15" customHeight="1"/>
    <row r="599" s="9" customFormat="1" ht="15" customHeight="1"/>
    <row r="600" s="9" customFormat="1" ht="15" customHeight="1"/>
    <row r="601" s="9" customFormat="1" ht="15" customHeight="1"/>
    <row r="602" s="9" customFormat="1" ht="15" customHeight="1"/>
    <row r="603" s="9" customFormat="1" ht="15" customHeight="1"/>
    <row r="604" s="9" customFormat="1" ht="15" customHeight="1"/>
    <row r="605" s="9" customFormat="1" ht="15" customHeight="1"/>
    <row r="606" s="9" customFormat="1" ht="15" customHeight="1"/>
    <row r="607" s="9" customFormat="1" ht="15" customHeight="1"/>
    <row r="608" s="9" customFormat="1" ht="15" customHeight="1"/>
    <row r="609" s="9" customFormat="1" ht="15" customHeight="1"/>
    <row r="610" s="9" customFormat="1" ht="15" customHeight="1"/>
    <row r="611" s="9" customFormat="1" ht="15" customHeight="1"/>
    <row r="612" s="9" customFormat="1" ht="15" customHeight="1"/>
    <row r="613" s="9" customFormat="1" ht="15" customHeight="1"/>
    <row r="614" s="9" customFormat="1" ht="15" customHeight="1"/>
    <row r="615" s="9" customFormat="1" ht="15" customHeight="1"/>
    <row r="616" s="9" customFormat="1" ht="15" customHeight="1"/>
    <row r="617" s="9" customFormat="1" ht="15" customHeight="1"/>
    <row r="618" s="9" customFormat="1" ht="15" customHeight="1"/>
    <row r="619" s="9" customFormat="1" ht="15" customHeight="1"/>
    <row r="620" s="9" customFormat="1" ht="15" customHeight="1"/>
    <row r="621" s="9" customFormat="1" ht="15" customHeight="1"/>
    <row r="622" s="9" customFormat="1" ht="15" customHeight="1"/>
    <row r="623" s="9" customFormat="1" ht="15" customHeight="1"/>
    <row r="624" s="9" customFormat="1" ht="15" customHeight="1"/>
    <row r="625" s="9" customFormat="1" ht="15" customHeight="1"/>
    <row r="626" s="9" customFormat="1" ht="15" customHeight="1"/>
    <row r="627" s="9" customFormat="1" ht="15" customHeight="1"/>
    <row r="628" s="9" customFormat="1" ht="15" customHeight="1"/>
    <row r="629" s="9" customFormat="1" ht="15" customHeight="1"/>
    <row r="630" s="9" customFormat="1" ht="15" customHeight="1"/>
    <row r="631" s="9" customFormat="1" ht="15" customHeight="1"/>
    <row r="632" s="9" customFormat="1" ht="15" customHeight="1"/>
    <row r="633" s="9" customFormat="1" ht="15" customHeight="1"/>
    <row r="634" s="9" customFormat="1" ht="15" customHeight="1"/>
    <row r="635" s="9" customFormat="1" ht="15" customHeight="1"/>
    <row r="636" s="9" customFormat="1" ht="15" customHeight="1"/>
    <row r="637" s="9" customFormat="1" ht="15" customHeight="1"/>
    <row r="638" s="9" customFormat="1" ht="15" customHeight="1"/>
    <row r="639" s="9" customFormat="1" ht="15" customHeight="1"/>
    <row r="640" s="9" customFormat="1" ht="15" customHeight="1"/>
    <row r="641" s="9" customFormat="1" ht="15" customHeight="1"/>
    <row r="642" s="9" customFormat="1" ht="15" customHeight="1"/>
    <row r="643" s="9" customFormat="1" ht="15" customHeight="1"/>
    <row r="644" s="9" customFormat="1" ht="15" customHeight="1"/>
    <row r="645" s="9" customFormat="1" ht="15" customHeight="1"/>
    <row r="646" s="9" customFormat="1" ht="15" customHeight="1"/>
    <row r="647" s="9" customFormat="1" ht="15" customHeight="1"/>
    <row r="648" s="9" customFormat="1" ht="15" customHeight="1"/>
    <row r="649" s="9" customFormat="1" ht="15" customHeight="1"/>
    <row r="650" s="9" customFormat="1" ht="15" customHeight="1"/>
    <row r="651" s="9" customFormat="1" ht="15" customHeight="1"/>
    <row r="652" s="9" customFormat="1" ht="15" customHeight="1"/>
    <row r="653" s="9" customFormat="1" ht="15" customHeight="1"/>
    <row r="654" s="9" customFormat="1" ht="15" customHeight="1"/>
    <row r="655" s="9" customFormat="1" ht="15" customHeight="1"/>
    <row r="656" s="9" customFormat="1" ht="15" customHeight="1"/>
    <row r="657" s="9" customFormat="1" ht="15" customHeight="1"/>
    <row r="658" s="9" customFormat="1" ht="15" customHeight="1"/>
    <row r="659" s="9" customFormat="1" ht="15" customHeight="1"/>
    <row r="660" s="9" customFormat="1" ht="15" customHeight="1"/>
    <row r="661" s="9" customFormat="1" ht="15" customHeight="1"/>
    <row r="662" s="9" customFormat="1" ht="15" customHeight="1"/>
    <row r="663" s="9" customFormat="1" ht="15" customHeight="1"/>
    <row r="664" s="9" customFormat="1" ht="15" customHeight="1"/>
    <row r="665" s="9" customFormat="1" ht="15" customHeight="1"/>
    <row r="666" s="9" customFormat="1" ht="15" customHeight="1"/>
    <row r="667" s="9" customFormat="1" ht="15" customHeight="1"/>
    <row r="668" s="9" customFormat="1" ht="15" customHeight="1"/>
    <row r="669" s="9" customFormat="1" ht="15" customHeight="1"/>
    <row r="670" s="9" customFormat="1" ht="15" customHeight="1"/>
    <row r="671" s="9" customFormat="1" ht="15" customHeight="1"/>
    <row r="672" s="9" customFormat="1" ht="15" customHeight="1"/>
    <row r="673" s="9" customFormat="1" ht="15" customHeight="1"/>
    <row r="674" s="9" customFormat="1" ht="15" customHeight="1"/>
    <row r="675" s="9" customFormat="1" ht="15" customHeight="1"/>
    <row r="676" s="9" customFormat="1" ht="15" customHeight="1"/>
    <row r="677" s="9" customFormat="1" ht="15" customHeight="1"/>
    <row r="678" s="9" customFormat="1" ht="15" customHeight="1"/>
    <row r="679" s="9" customFormat="1" ht="15" customHeight="1"/>
    <row r="680" s="9" customFormat="1" ht="15" customHeight="1"/>
    <row r="681" s="9" customFormat="1" ht="15" customHeight="1"/>
    <row r="682" s="9" customFormat="1" ht="15" customHeight="1"/>
    <row r="683" s="9" customFormat="1" ht="15" customHeight="1"/>
    <row r="684" s="9" customFormat="1" ht="15" customHeight="1"/>
    <row r="685" s="9" customFormat="1" ht="15" customHeight="1"/>
    <row r="686" s="9" customFormat="1" ht="15" customHeight="1"/>
    <row r="687" s="9" customFormat="1" ht="15" customHeight="1"/>
    <row r="688" s="9" customFormat="1" ht="15" customHeight="1"/>
    <row r="689" s="9" customFormat="1" ht="15" customHeight="1"/>
    <row r="690" s="9" customFormat="1" ht="15" customHeight="1"/>
    <row r="691" s="9" customFormat="1" ht="15" customHeight="1"/>
    <row r="692" s="9" customFormat="1" ht="15" customHeight="1"/>
    <row r="693" s="9" customFormat="1" ht="15" customHeight="1"/>
    <row r="694" s="9" customFormat="1" ht="15" customHeight="1"/>
    <row r="695" s="9" customFormat="1" ht="15" customHeight="1"/>
    <row r="696" s="9" customFormat="1" ht="15" customHeight="1"/>
    <row r="697" s="9" customFormat="1" ht="15" customHeight="1"/>
    <row r="698" s="9" customFormat="1" ht="15" customHeight="1"/>
    <row r="699" s="9" customFormat="1" ht="15" customHeight="1"/>
    <row r="700" s="9" customFormat="1" ht="15" customHeight="1"/>
    <row r="701" s="9" customFormat="1" ht="15" customHeight="1"/>
    <row r="702" s="9" customFormat="1" ht="15" customHeight="1"/>
    <row r="703" s="9" customFormat="1" ht="15" customHeight="1"/>
    <row r="704" s="9" customFormat="1" ht="15" customHeight="1"/>
    <row r="705" s="9" customFormat="1" ht="15" customHeight="1"/>
    <row r="706" s="9" customFormat="1" ht="15" customHeight="1"/>
    <row r="707" s="9" customFormat="1" ht="15" customHeight="1"/>
    <row r="708" s="9" customFormat="1" ht="15" customHeight="1"/>
    <row r="709" s="9" customFormat="1" ht="15" customHeight="1"/>
    <row r="710" s="9" customFormat="1" ht="15" customHeight="1"/>
    <row r="711" s="9" customFormat="1" ht="15" customHeight="1"/>
    <row r="712" s="9" customFormat="1" ht="15" customHeight="1"/>
    <row r="713" s="9" customFormat="1" ht="15" customHeight="1"/>
    <row r="714" s="9" customFormat="1" ht="15" customHeight="1"/>
    <row r="715" s="9" customFormat="1" ht="15" customHeight="1"/>
    <row r="716" s="9" customFormat="1" ht="15" customHeight="1"/>
    <row r="717" s="9" customFormat="1" ht="15" customHeight="1"/>
    <row r="718" s="9" customFormat="1" ht="15" customHeight="1"/>
    <row r="719" s="9" customFormat="1" ht="15" customHeight="1"/>
    <row r="720" s="9" customFormat="1" ht="15" customHeight="1"/>
    <row r="721" s="9" customFormat="1" ht="15" customHeight="1"/>
    <row r="722" s="9" customFormat="1" ht="15" customHeight="1"/>
    <row r="723" s="9" customFormat="1" ht="15" customHeight="1"/>
    <row r="724" s="9" customFormat="1" ht="15" customHeight="1"/>
    <row r="725" s="9" customFormat="1" ht="15" customHeight="1"/>
    <row r="726" s="9" customFormat="1" ht="15" customHeight="1"/>
    <row r="727" s="9" customFormat="1" ht="15" customHeight="1"/>
    <row r="728" s="9" customFormat="1" ht="15" customHeight="1"/>
    <row r="729" s="9" customFormat="1" ht="15" customHeight="1"/>
    <row r="730" s="9" customFormat="1" ht="15" customHeight="1"/>
    <row r="731" s="9" customFormat="1" ht="15" customHeight="1"/>
    <row r="732" s="9" customFormat="1" ht="15" customHeight="1"/>
    <row r="733" s="9" customFormat="1" ht="15" customHeight="1"/>
    <row r="734" s="9" customFormat="1" ht="15" customHeight="1"/>
    <row r="735" s="9" customFormat="1" ht="15" customHeight="1"/>
    <row r="736" s="9" customFormat="1" ht="15" customHeight="1"/>
    <row r="737" s="9" customFormat="1" ht="15" customHeight="1"/>
    <row r="738" s="9" customFormat="1" ht="15" customHeight="1"/>
    <row r="739" s="9" customFormat="1" ht="15" customHeight="1"/>
    <row r="740" s="9" customFormat="1" ht="15" customHeight="1"/>
    <row r="741" s="9" customFormat="1" ht="15" customHeight="1"/>
    <row r="742" s="9" customFormat="1" ht="15" customHeight="1"/>
    <row r="743" s="9" customFormat="1" ht="15" customHeight="1"/>
    <row r="744" s="9" customFormat="1" ht="15" customHeight="1"/>
    <row r="745" s="9" customFormat="1" ht="15" customHeight="1"/>
    <row r="746" s="9" customFormat="1" ht="15" customHeight="1"/>
    <row r="747" s="9" customFormat="1" ht="15" customHeight="1"/>
    <row r="748" s="9" customFormat="1" ht="15" customHeight="1"/>
    <row r="749" s="9" customFormat="1" ht="15" customHeight="1"/>
    <row r="750" s="9" customFormat="1" ht="15" customHeight="1"/>
    <row r="751" s="9" customFormat="1" ht="15" customHeight="1"/>
    <row r="752" s="9" customFormat="1" ht="15" customHeight="1"/>
    <row r="753" s="9" customFormat="1" ht="15" customHeight="1"/>
    <row r="754" s="9" customFormat="1" ht="15" customHeight="1"/>
    <row r="755" s="9" customFormat="1" ht="15" customHeight="1"/>
    <row r="756" s="9" customFormat="1" ht="15" customHeight="1"/>
    <row r="757" s="9" customFormat="1" ht="15" customHeight="1"/>
    <row r="758" s="9" customFormat="1" ht="15" customHeight="1"/>
    <row r="759" s="9" customFormat="1" ht="15" customHeight="1"/>
    <row r="760" s="9" customFormat="1" ht="15" customHeight="1"/>
    <row r="761" s="9" customFormat="1" ht="15" customHeight="1"/>
    <row r="762" s="9" customFormat="1" ht="15" customHeight="1"/>
    <row r="763" s="9" customFormat="1" ht="15" customHeight="1"/>
    <row r="764" s="9" customFormat="1" ht="15" customHeight="1"/>
    <row r="765" s="9" customFormat="1" ht="15" customHeight="1"/>
    <row r="766" s="9" customFormat="1" ht="15" customHeight="1"/>
    <row r="767" s="9" customFormat="1" ht="15" customHeight="1"/>
    <row r="768" s="9" customFormat="1" ht="15" customHeight="1"/>
    <row r="769" s="9" customFormat="1" ht="15" customHeight="1"/>
    <row r="770" s="9" customFormat="1" ht="15" customHeight="1"/>
    <row r="771" s="9" customFormat="1" ht="15" customHeight="1"/>
    <row r="772" s="9" customFormat="1" ht="15" customHeight="1"/>
    <row r="773" s="9" customFormat="1" ht="15" customHeight="1"/>
    <row r="774" s="9" customFormat="1" ht="15" customHeight="1"/>
    <row r="775" s="9" customFormat="1" ht="15" customHeight="1"/>
    <row r="776" s="9" customFormat="1" ht="15" customHeight="1"/>
    <row r="777" s="9" customFormat="1" ht="15" customHeight="1"/>
    <row r="778" s="9" customFormat="1" ht="15" customHeight="1"/>
    <row r="779" s="9" customFormat="1" ht="15" customHeight="1"/>
    <row r="780" s="9" customFormat="1" ht="15" customHeight="1"/>
    <row r="781" s="9" customFormat="1" ht="15" customHeight="1"/>
    <row r="782" s="9" customFormat="1" ht="15" customHeight="1"/>
    <row r="783" s="9" customFormat="1" ht="15" customHeight="1"/>
    <row r="784" s="9" customFormat="1" ht="15" customHeight="1"/>
    <row r="785" s="9" customFormat="1" ht="15" customHeight="1"/>
    <row r="786" s="9" customFormat="1" ht="15" customHeight="1"/>
    <row r="787" s="9" customFormat="1" ht="15" customHeight="1"/>
    <row r="788" s="9" customFormat="1" ht="15" customHeight="1"/>
    <row r="789" s="9" customFormat="1" ht="15" customHeight="1"/>
    <row r="790" s="9" customFormat="1" ht="15" customHeight="1"/>
    <row r="791" s="9" customFormat="1" ht="15" customHeight="1"/>
    <row r="792" s="9" customFormat="1" ht="15" customHeight="1"/>
    <row r="793" s="9" customFormat="1" ht="15" customHeight="1"/>
    <row r="794" s="9" customFormat="1" ht="15" customHeight="1"/>
    <row r="795" s="9" customFormat="1" ht="15" customHeight="1"/>
    <row r="796" s="9" customFormat="1" ht="15" customHeight="1"/>
    <row r="797" s="9" customFormat="1" ht="15" customHeight="1"/>
    <row r="798" s="9" customFormat="1" ht="15" customHeight="1"/>
    <row r="799" s="9" customFormat="1" ht="15" customHeight="1"/>
    <row r="800" s="9" customFormat="1" ht="15" customHeight="1"/>
    <row r="801" s="9" customFormat="1" ht="15" customHeight="1"/>
    <row r="802" s="9" customFormat="1" ht="15" customHeight="1"/>
    <row r="803" s="9" customFormat="1" ht="15" customHeight="1"/>
    <row r="804" s="9" customFormat="1" ht="15" customHeight="1"/>
    <row r="805" s="9" customFormat="1" ht="15" customHeight="1"/>
    <row r="806" s="9" customFormat="1" ht="15" customHeight="1"/>
    <row r="807" s="9" customFormat="1" ht="15" customHeight="1"/>
    <row r="808" s="9" customFormat="1" ht="15" customHeight="1"/>
    <row r="809" s="9" customFormat="1" ht="15" customHeight="1"/>
    <row r="810" s="9" customFormat="1" ht="15" customHeight="1"/>
    <row r="811" s="9" customFormat="1" ht="15" customHeight="1"/>
    <row r="812" s="9" customFormat="1" ht="15" customHeight="1"/>
    <row r="813" s="9" customFormat="1" ht="15" customHeight="1"/>
    <row r="814" s="9" customFormat="1" ht="15" customHeight="1"/>
    <row r="815" s="9" customFormat="1" ht="15" customHeight="1"/>
    <row r="816" s="9" customFormat="1" ht="15" customHeight="1"/>
    <row r="817" s="9" customFormat="1" ht="15" customHeight="1"/>
    <row r="818" s="9" customFormat="1" ht="15" customHeight="1"/>
    <row r="819" s="9" customFormat="1" ht="15" customHeight="1"/>
    <row r="820" s="9" customFormat="1" ht="15" customHeight="1"/>
    <row r="821" s="9" customFormat="1" ht="15" customHeight="1"/>
    <row r="822" s="9" customFormat="1" ht="15" customHeight="1"/>
    <row r="823" s="9" customFormat="1" ht="15" customHeight="1"/>
    <row r="824" s="9" customFormat="1" ht="15" customHeight="1"/>
    <row r="825" s="9" customFormat="1" ht="15" customHeight="1"/>
    <row r="826" s="9" customFormat="1" ht="15" customHeight="1"/>
    <row r="827" s="9" customFormat="1" ht="15" customHeight="1"/>
    <row r="828" s="9" customFormat="1" ht="15" customHeight="1"/>
    <row r="829" s="9" customFormat="1" ht="15" customHeight="1"/>
    <row r="830" s="9" customFormat="1" ht="15" customHeight="1"/>
    <row r="831" s="9" customFormat="1" ht="15" customHeight="1"/>
    <row r="832" s="9" customFormat="1" ht="15" customHeight="1"/>
    <row r="833" s="9" customFormat="1" ht="15" customHeight="1"/>
    <row r="834" s="9" customFormat="1" ht="15" customHeight="1"/>
    <row r="835" s="9" customFormat="1" ht="15" customHeight="1"/>
    <row r="836" s="9" customFormat="1" ht="15" customHeight="1"/>
    <row r="837" s="9" customFormat="1" ht="15" customHeight="1"/>
    <row r="838" s="9" customFormat="1" ht="15" customHeight="1"/>
    <row r="839" s="9" customFormat="1" ht="15" customHeight="1"/>
    <row r="840" s="9" customFormat="1" ht="15" customHeight="1"/>
    <row r="841" s="9" customFormat="1" ht="15" customHeight="1"/>
    <row r="842" s="9" customFormat="1" ht="15" customHeight="1"/>
    <row r="843" s="9" customFormat="1" ht="15" customHeight="1"/>
    <row r="844" s="9" customFormat="1" ht="15" customHeight="1"/>
    <row r="845" s="9" customFormat="1" ht="15" customHeight="1"/>
    <row r="846" s="9" customFormat="1" ht="15" customHeight="1"/>
    <row r="847" s="9" customFormat="1" ht="15" customHeight="1"/>
    <row r="848" s="9" customFormat="1" ht="15" customHeight="1"/>
    <row r="849" s="9" customFormat="1" ht="15" customHeight="1"/>
    <row r="850" s="9" customFormat="1" ht="15" customHeight="1"/>
    <row r="851" s="9" customFormat="1" ht="15" customHeight="1"/>
    <row r="852" s="9" customFormat="1" ht="15" customHeight="1"/>
    <row r="853" s="9" customFormat="1" ht="15" customHeight="1"/>
    <row r="854" s="9" customFormat="1" ht="15" customHeight="1"/>
    <row r="855" s="9" customFormat="1" ht="15" customHeight="1"/>
    <row r="856" s="9" customFormat="1" ht="15" customHeight="1"/>
    <row r="857" s="9" customFormat="1" ht="15" customHeight="1"/>
    <row r="858" s="9" customFormat="1" ht="15" customHeight="1"/>
    <row r="859" s="9" customFormat="1" ht="15" customHeight="1"/>
    <row r="860" s="9" customFormat="1" ht="15" customHeight="1"/>
    <row r="861" s="9" customFormat="1" ht="15" customHeight="1"/>
    <row r="862" s="9" customFormat="1" ht="15" customHeight="1"/>
    <row r="863" s="9" customFormat="1" ht="15" customHeight="1"/>
    <row r="864" s="9" customFormat="1" ht="15" customHeight="1"/>
    <row r="865" s="9" customFormat="1" ht="15" customHeight="1"/>
    <row r="866" s="9" customFormat="1" ht="15" customHeight="1"/>
    <row r="867" s="9" customFormat="1" ht="15" customHeight="1"/>
    <row r="868" s="9" customFormat="1" ht="15" customHeight="1"/>
    <row r="869" s="9" customFormat="1" ht="15" customHeight="1"/>
    <row r="870" s="9" customFormat="1" ht="15" customHeight="1"/>
    <row r="871" s="9" customFormat="1" ht="15" customHeight="1"/>
    <row r="872" s="9" customFormat="1" ht="15" customHeight="1"/>
    <row r="873" s="9" customFormat="1" ht="15" customHeight="1"/>
    <row r="874" s="9" customFormat="1" ht="15" customHeight="1"/>
    <row r="875" s="9" customFormat="1" ht="15" customHeight="1"/>
    <row r="876" s="9" customFormat="1" ht="15" customHeight="1"/>
    <row r="877" s="9" customFormat="1" ht="15" customHeight="1"/>
    <row r="878" s="9" customFormat="1" ht="15" customHeight="1"/>
    <row r="879" s="9" customFormat="1" ht="15" customHeight="1"/>
    <row r="880" s="9" customFormat="1" ht="15" customHeight="1"/>
    <row r="881" s="9" customFormat="1" ht="15" customHeight="1"/>
    <row r="882" s="9" customFormat="1" ht="15" customHeight="1"/>
    <row r="883" s="9" customFormat="1" ht="15" customHeight="1"/>
    <row r="884" s="9" customFormat="1" ht="15" customHeight="1"/>
    <row r="885" s="9" customFormat="1" ht="15" customHeight="1"/>
    <row r="886" s="9" customFormat="1" ht="15" customHeight="1"/>
    <row r="887" s="9" customFormat="1" ht="15" customHeight="1"/>
    <row r="888" s="9" customFormat="1" ht="15" customHeight="1"/>
    <row r="889" s="9" customFormat="1" ht="15" customHeight="1"/>
    <row r="890" s="9" customFormat="1" ht="15" customHeight="1"/>
    <row r="891" s="9" customFormat="1" ht="15" customHeight="1"/>
    <row r="892" s="9" customFormat="1" ht="15" customHeight="1"/>
    <row r="893" s="9" customFormat="1" ht="15" customHeight="1"/>
    <row r="894" s="9" customFormat="1" ht="15" customHeight="1"/>
    <row r="895" s="9" customFormat="1" ht="15" customHeight="1"/>
    <row r="896" s="9" customFormat="1" ht="15" customHeight="1"/>
    <row r="897" s="9" customFormat="1" ht="15" customHeight="1"/>
    <row r="898" s="9" customFormat="1" ht="15" customHeight="1"/>
    <row r="899" s="9" customFormat="1" ht="15" customHeight="1"/>
    <row r="900" s="9" customFormat="1" ht="15" customHeight="1"/>
    <row r="901" s="9" customFormat="1" ht="15" customHeight="1"/>
    <row r="902" s="9" customFormat="1" ht="15" customHeight="1"/>
    <row r="903" s="9" customFormat="1" ht="15" customHeight="1"/>
    <row r="904" s="9" customFormat="1" ht="15" customHeight="1"/>
    <row r="905" s="9" customFormat="1" ht="15" customHeight="1"/>
    <row r="906" s="9" customFormat="1" ht="15" customHeight="1"/>
    <row r="907" s="9" customFormat="1" ht="15" customHeight="1"/>
    <row r="908" s="9" customFormat="1" ht="15" customHeight="1"/>
    <row r="909" s="9" customFormat="1" ht="15" customHeight="1"/>
    <row r="910" s="9" customFormat="1" ht="15" customHeight="1"/>
    <row r="911" s="9" customFormat="1" ht="15" customHeight="1"/>
    <row r="912" s="9" customFormat="1" ht="15" customHeight="1"/>
    <row r="913" s="9" customFormat="1" ht="15" customHeight="1"/>
    <row r="914" s="9" customFormat="1" ht="15" customHeight="1"/>
    <row r="915" s="9" customFormat="1" ht="15" customHeight="1"/>
    <row r="916" s="9" customFormat="1" ht="15" customHeight="1"/>
    <row r="917" s="9" customFormat="1" ht="15" customHeight="1"/>
  </sheetData>
  <hyperlinks>
    <hyperlink ref="A1" location="'Start-Experte'!A1" display="zurück" xr:uid="{00000000-0004-0000-2A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709D91A4-3530-4A64-B86E-F566904B20B7}">
            <xm:f>ControlPanel!$D$59-1</xm:f>
            <x14:dxf>
              <font>
                <color rgb="FF9C6500"/>
              </font>
              <fill>
                <patternFill>
                  <bgColor rgb="FFFFEB9C"/>
                </patternFill>
              </fill>
            </x14:dxf>
          </x14:cfRule>
          <x14:cfRule type="cellIs" priority="2" operator="lessThan" id="{98FD6C7F-A4DC-4D2B-9DD6-685E8762CACD}">
            <xm:f>ControlPanel!$D$59</xm:f>
            <x14:dxf>
              <font>
                <color rgb="FF006100"/>
              </font>
              <fill>
                <patternFill>
                  <bgColor rgb="FFC6EFCE"/>
                </patternFill>
              </fill>
            </x14:dxf>
          </x14:cfRule>
          <x14:cfRule type="cellIs" priority="3" operator="lessThan" id="{1B8AA86A-15FC-44C7-BAA6-F876DFE8536A}">
            <xm:f>ControlPanel!$D$59+1</xm:f>
            <x14:dxf>
              <font>
                <color rgb="FF006100"/>
              </font>
              <fill>
                <patternFill>
                  <fgColor indexed="64"/>
                  <bgColor rgb="FFC6EFCE"/>
                </patternFill>
              </fill>
            </x14:dxf>
          </x14:cfRule>
          <xm:sqref>G4:AF4</xm:sqref>
        </x14:conditionalFormatting>
      </x14:conditionalFormatting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Tabelle31">
    <tabColor theme="9" tint="-0.499984740745262"/>
    <pageSetUpPr fitToPage="1"/>
  </sheetPr>
  <dimension ref="A1:AE1359"/>
  <sheetViews>
    <sheetView zoomScaleNormal="100" workbookViewId="0">
      <selection activeCell="B1" sqref="B1"/>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942</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61</v>
      </c>
      <c r="G5" s="323" t="s">
        <v>61</v>
      </c>
      <c r="H5" s="323" t="s">
        <v>61</v>
      </c>
      <c r="I5" s="323" t="s">
        <v>61</v>
      </c>
      <c r="J5" s="323" t="s">
        <v>61</v>
      </c>
      <c r="K5" s="323" t="s">
        <v>61</v>
      </c>
      <c r="L5" s="323" t="s">
        <v>61</v>
      </c>
      <c r="M5" s="323" t="s">
        <v>61</v>
      </c>
      <c r="N5" s="323" t="s">
        <v>61</v>
      </c>
      <c r="O5" s="323" t="s">
        <v>61</v>
      </c>
      <c r="P5" s="323" t="s">
        <v>61</v>
      </c>
      <c r="Q5" s="323" t="s">
        <v>61</v>
      </c>
      <c r="R5" s="323" t="s">
        <v>61</v>
      </c>
      <c r="S5" s="323" t="s">
        <v>61</v>
      </c>
      <c r="T5" s="323" t="s">
        <v>61</v>
      </c>
      <c r="U5" s="323" t="s">
        <v>61</v>
      </c>
      <c r="V5" s="323" t="s">
        <v>61</v>
      </c>
      <c r="W5" s="323" t="s">
        <v>61</v>
      </c>
      <c r="X5" s="323" t="s">
        <v>61</v>
      </c>
      <c r="Y5" s="323" t="s">
        <v>61</v>
      </c>
      <c r="Z5" s="323" t="s">
        <v>61</v>
      </c>
      <c r="AA5" s="323" t="s">
        <v>61</v>
      </c>
      <c r="AB5" s="323" t="s">
        <v>61</v>
      </c>
      <c r="AC5" s="323" t="s">
        <v>61</v>
      </c>
      <c r="AD5" s="323" t="s">
        <v>61</v>
      </c>
      <c r="AE5" s="323" t="s">
        <v>61</v>
      </c>
    </row>
    <row r="6" spans="1:31" ht="15" customHeight="1">
      <c r="B6" s="172" t="s">
        <v>409</v>
      </c>
      <c r="C6" s="40" t="s">
        <v>48</v>
      </c>
      <c r="D6" s="40" t="s">
        <v>943</v>
      </c>
      <c r="E6" s="530"/>
      <c r="F6" s="104">
        <v>0</v>
      </c>
      <c r="G6" s="104">
        <v>24.664059639999998</v>
      </c>
      <c r="H6" s="104">
        <v>6.3188509999999996</v>
      </c>
      <c r="I6" s="104">
        <v>2.5983429999999998</v>
      </c>
      <c r="J6" s="1146">
        <v>5.9772400000000001</v>
      </c>
      <c r="K6" s="104">
        <v>0</v>
      </c>
      <c r="L6" s="104">
        <v>0</v>
      </c>
      <c r="M6" s="104">
        <v>0</v>
      </c>
      <c r="N6" s="104">
        <v>0</v>
      </c>
      <c r="O6" s="104"/>
      <c r="P6" s="104"/>
      <c r="Q6" s="104"/>
      <c r="R6" s="104"/>
      <c r="S6" s="104"/>
      <c r="T6" s="104"/>
      <c r="U6" s="104"/>
      <c r="V6" s="104"/>
      <c r="W6" s="104"/>
      <c r="X6" s="104"/>
      <c r="Y6" s="104"/>
      <c r="Z6" s="104"/>
      <c r="AA6" s="104"/>
      <c r="AB6" s="104"/>
      <c r="AC6" s="104"/>
      <c r="AD6" s="104"/>
      <c r="AE6" s="104"/>
    </row>
    <row r="7" spans="1:31" ht="15" customHeight="1">
      <c r="B7" s="173"/>
      <c r="C7" s="22"/>
      <c r="D7" s="35"/>
      <c r="E7" s="540"/>
      <c r="F7" s="105"/>
      <c r="G7" s="105"/>
      <c r="H7" s="105"/>
      <c r="I7" s="105"/>
      <c r="J7" s="465"/>
      <c r="K7" s="105"/>
      <c r="L7" s="23"/>
      <c r="M7" s="23"/>
      <c r="N7" s="23"/>
      <c r="O7" s="23"/>
      <c r="P7" s="23"/>
      <c r="Q7" s="23"/>
      <c r="R7" s="23"/>
      <c r="S7" s="23"/>
      <c r="T7" s="23"/>
      <c r="U7" s="23"/>
      <c r="V7" s="23"/>
      <c r="W7" s="23"/>
      <c r="X7" s="23"/>
      <c r="Y7" s="23"/>
      <c r="Z7" s="23"/>
      <c r="AA7" s="23"/>
      <c r="AB7" s="23"/>
      <c r="AC7" s="23"/>
      <c r="AD7" s="23"/>
      <c r="AE7" s="23"/>
    </row>
    <row r="8" spans="1:31" ht="15" customHeight="1">
      <c r="B8" s="16"/>
      <c r="C8" s="322"/>
      <c r="D8" s="168"/>
      <c r="E8" s="534"/>
      <c r="F8" s="465"/>
      <c r="G8" s="465"/>
      <c r="H8" s="465"/>
      <c r="I8" s="465"/>
      <c r="J8" s="465"/>
      <c r="K8" s="465"/>
      <c r="L8" s="321"/>
      <c r="M8" s="321"/>
      <c r="N8" s="321"/>
      <c r="O8" s="321"/>
      <c r="P8" s="321"/>
      <c r="Q8" s="321"/>
      <c r="R8" s="321"/>
      <c r="S8" s="321"/>
      <c r="T8" s="321"/>
      <c r="U8" s="321"/>
      <c r="V8" s="321"/>
      <c r="W8" s="321"/>
      <c r="X8" s="321"/>
      <c r="Y8" s="321"/>
      <c r="Z8" s="321"/>
      <c r="AA8" s="321"/>
      <c r="AB8" s="321"/>
      <c r="AC8" s="321"/>
      <c r="AD8" s="321"/>
      <c r="AE8" s="321"/>
    </row>
    <row r="9" spans="1:31" ht="15" customHeight="1">
      <c r="B9" s="16"/>
      <c r="C9" s="322"/>
      <c r="D9" s="168"/>
      <c r="E9" s="534"/>
      <c r="F9" s="465"/>
      <c r="G9" s="465"/>
      <c r="H9" s="465"/>
      <c r="I9" s="465"/>
      <c r="J9" s="465"/>
      <c r="K9" s="465"/>
      <c r="L9" s="321"/>
      <c r="M9" s="321"/>
      <c r="N9" s="321"/>
      <c r="O9" s="321"/>
      <c r="P9" s="321"/>
      <c r="Q9" s="321"/>
      <c r="R9" s="321"/>
      <c r="S9" s="321"/>
      <c r="T9" s="321"/>
      <c r="U9" s="321"/>
      <c r="V9" s="321"/>
      <c r="W9" s="321"/>
      <c r="X9" s="321"/>
      <c r="Y9" s="321"/>
      <c r="Z9" s="321"/>
      <c r="AA9" s="321"/>
      <c r="AB9" s="321"/>
      <c r="AC9" s="321"/>
      <c r="AD9" s="321"/>
      <c r="AE9" s="321"/>
    </row>
    <row r="10" spans="1:31" ht="15" customHeight="1">
      <c r="B10" s="16"/>
      <c r="C10" s="322"/>
      <c r="D10" s="168"/>
      <c r="E10" s="534"/>
      <c r="F10" s="465"/>
      <c r="G10" s="465"/>
      <c r="H10" s="465"/>
      <c r="I10" s="465"/>
      <c r="J10" s="465"/>
      <c r="K10" s="465"/>
      <c r="L10" s="321"/>
      <c r="M10" s="321"/>
      <c r="N10" s="321"/>
      <c r="O10" s="321"/>
      <c r="P10" s="321"/>
      <c r="Q10" s="321"/>
      <c r="R10" s="321"/>
      <c r="S10" s="321"/>
      <c r="T10" s="321"/>
      <c r="U10" s="321"/>
      <c r="V10" s="321"/>
      <c r="W10" s="321"/>
      <c r="X10" s="321"/>
      <c r="Y10" s="321"/>
      <c r="Z10" s="321"/>
      <c r="AA10" s="321"/>
      <c r="AB10" s="321"/>
      <c r="AC10" s="321"/>
      <c r="AD10" s="321"/>
      <c r="AE10" s="321"/>
    </row>
    <row r="11" spans="1:31" ht="15" customHeight="1">
      <c r="B11" s="16"/>
      <c r="C11" s="322"/>
      <c r="D11" s="11"/>
      <c r="E11" s="215"/>
      <c r="F11" s="465"/>
      <c r="G11" s="465"/>
      <c r="H11" s="465"/>
      <c r="I11" s="465"/>
      <c r="J11" s="465"/>
      <c r="K11" s="465"/>
      <c r="L11" s="321"/>
      <c r="M11" s="321"/>
      <c r="N11" s="321"/>
      <c r="O11" s="321"/>
      <c r="P11" s="321"/>
      <c r="Q11" s="321"/>
      <c r="R11" s="321"/>
      <c r="S11" s="321"/>
      <c r="T11" s="321"/>
      <c r="U11" s="321"/>
      <c r="V11" s="321"/>
      <c r="W11" s="321"/>
      <c r="X11" s="321"/>
      <c r="Y11" s="321"/>
      <c r="Z11" s="321"/>
      <c r="AA11" s="321"/>
      <c r="AB11" s="321"/>
      <c r="AC11" s="321"/>
      <c r="AD11" s="321"/>
      <c r="AE11" s="321"/>
    </row>
    <row r="12" spans="1:31" ht="15" customHeight="1">
      <c r="B12" s="16"/>
      <c r="C12" s="322"/>
      <c r="D12" s="11"/>
      <c r="E12" s="215"/>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row>
    <row r="13" spans="1:31" ht="15" customHeight="1">
      <c r="B13" s="16"/>
      <c r="C13" s="322"/>
      <c r="D13" s="11"/>
      <c r="E13" s="215"/>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row>
    <row r="14" spans="1:31" ht="15" customHeight="1">
      <c r="B14" s="16"/>
      <c r="C14" s="322"/>
      <c r="D14" s="11"/>
      <c r="E14" s="215"/>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row>
    <row r="15" spans="1:31" ht="15" customHeight="1">
      <c r="B15" s="16"/>
      <c r="C15" s="12"/>
      <c r="D15" s="11"/>
      <c r="E15" s="215"/>
      <c r="F15" s="321"/>
      <c r="G15" s="321"/>
      <c r="H15" s="321"/>
      <c r="I15" s="321"/>
      <c r="J15" s="321"/>
      <c r="K15" s="321"/>
      <c r="L15" s="321"/>
      <c r="M15" s="321"/>
      <c r="N15" s="321"/>
      <c r="O15" s="321"/>
      <c r="P15" s="321"/>
      <c r="Q15" s="321"/>
      <c r="R15" s="321"/>
      <c r="S15" s="321"/>
      <c r="T15" s="321"/>
      <c r="U15" s="321"/>
      <c r="V15" s="321"/>
      <c r="W15" s="321"/>
      <c r="X15" s="321"/>
      <c r="Y15" s="321"/>
      <c r="Z15" s="321"/>
      <c r="AA15" s="321"/>
      <c r="AB15" s="321"/>
      <c r="AC15" s="321"/>
      <c r="AD15" s="321"/>
      <c r="AE15" s="321"/>
    </row>
    <row r="16" spans="1:31" ht="15" customHeight="1">
      <c r="B16" s="16"/>
      <c r="C16" s="12"/>
      <c r="D16" s="11"/>
      <c r="E16" s="215"/>
      <c r="F16" s="321"/>
      <c r="G16" s="321"/>
      <c r="H16" s="321"/>
      <c r="I16" s="321"/>
      <c r="J16" s="321"/>
      <c r="K16" s="321"/>
      <c r="L16" s="321"/>
      <c r="M16" s="321"/>
      <c r="N16" s="321"/>
      <c r="O16" s="321"/>
      <c r="P16" s="321"/>
      <c r="Q16" s="321"/>
      <c r="R16" s="321"/>
      <c r="S16" s="321"/>
      <c r="T16" s="321"/>
      <c r="U16" s="321"/>
      <c r="V16" s="321"/>
      <c r="W16" s="321"/>
      <c r="X16" s="321"/>
      <c r="Y16" s="321"/>
      <c r="Z16" s="321"/>
      <c r="AA16" s="321"/>
      <c r="AB16" s="321"/>
      <c r="AC16" s="321"/>
      <c r="AD16" s="321"/>
      <c r="AE16" s="321"/>
    </row>
    <row r="17" spans="2:31" ht="15" customHeight="1">
      <c r="B17" s="16"/>
      <c r="C17" s="12"/>
      <c r="D17" s="11"/>
      <c r="E17" s="215"/>
      <c r="F17" s="321"/>
      <c r="G17" s="321"/>
      <c r="H17" s="321"/>
      <c r="I17" s="321"/>
      <c r="J17" s="321"/>
      <c r="K17" s="321"/>
      <c r="L17" s="321"/>
      <c r="M17" s="321"/>
      <c r="N17" s="321"/>
      <c r="O17" s="321"/>
      <c r="P17" s="321"/>
      <c r="Q17" s="321"/>
      <c r="R17" s="321"/>
      <c r="S17" s="321"/>
      <c r="T17" s="321"/>
      <c r="U17" s="321"/>
      <c r="V17" s="321"/>
      <c r="W17" s="321"/>
      <c r="X17" s="321"/>
      <c r="Y17" s="321"/>
      <c r="Z17" s="321"/>
      <c r="AA17" s="321"/>
      <c r="AB17" s="321"/>
      <c r="AC17" s="321"/>
      <c r="AD17" s="321"/>
      <c r="AE17" s="321"/>
    </row>
    <row r="18" spans="2:31" ht="15" customHeight="1">
      <c r="B18" s="16"/>
      <c r="C18" s="12"/>
      <c r="D18" s="11"/>
      <c r="E18" s="215"/>
      <c r="F18" s="321"/>
      <c r="G18" s="321"/>
      <c r="H18" s="321"/>
      <c r="I18" s="321"/>
      <c r="J18" s="321"/>
      <c r="K18" s="321"/>
      <c r="L18" s="321"/>
      <c r="M18" s="321"/>
      <c r="N18" s="321"/>
      <c r="O18" s="321"/>
      <c r="P18" s="321"/>
      <c r="Q18" s="321"/>
      <c r="R18" s="321"/>
      <c r="S18" s="321"/>
      <c r="T18" s="321"/>
      <c r="U18" s="321"/>
      <c r="V18" s="321"/>
      <c r="W18" s="321"/>
      <c r="X18" s="321"/>
      <c r="Y18" s="321"/>
      <c r="Z18" s="321"/>
      <c r="AA18" s="321"/>
      <c r="AB18" s="321"/>
      <c r="AC18" s="321"/>
      <c r="AD18" s="321"/>
      <c r="AE18" s="321"/>
    </row>
    <row r="19" spans="2:31" ht="15" customHeight="1">
      <c r="B19" s="16"/>
      <c r="C19" s="12"/>
      <c r="D19" s="11"/>
      <c r="E19" s="215"/>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row>
    <row r="20" spans="2:31" ht="15" customHeight="1">
      <c r="B20" s="16"/>
      <c r="C20" s="12"/>
      <c r="D20" s="11"/>
      <c r="E20" s="215"/>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row>
    <row r="21" spans="2:31" ht="15" customHeight="1">
      <c r="B21" s="16"/>
      <c r="C21" s="12"/>
      <c r="D21" s="11"/>
      <c r="E21" s="215"/>
      <c r="F21" s="321"/>
      <c r="G21" s="321"/>
      <c r="H21" s="321"/>
      <c r="I21" s="321"/>
      <c r="J21" s="321"/>
      <c r="K21" s="321"/>
      <c r="L21" s="321"/>
      <c r="M21" s="321"/>
      <c r="N21" s="321"/>
      <c r="O21" s="321"/>
      <c r="P21" s="321"/>
      <c r="Q21" s="321"/>
      <c r="R21" s="321"/>
      <c r="S21" s="321"/>
      <c r="T21" s="321"/>
      <c r="U21" s="321"/>
      <c r="V21" s="321"/>
      <c r="W21" s="321"/>
      <c r="X21" s="321"/>
      <c r="Y21" s="321"/>
      <c r="Z21" s="321"/>
      <c r="AA21" s="321"/>
      <c r="AB21" s="321"/>
      <c r="AC21" s="321"/>
      <c r="AD21" s="321"/>
      <c r="AE21" s="321"/>
    </row>
    <row r="22" spans="2:31" ht="15" customHeight="1">
      <c r="B22" s="16"/>
      <c r="C22" s="12"/>
      <c r="D22" s="11"/>
      <c r="E22" s="215"/>
      <c r="F22" s="321"/>
      <c r="G22" s="321"/>
      <c r="H22" s="321"/>
      <c r="I22" s="321"/>
      <c r="J22" s="321"/>
      <c r="K22" s="321"/>
      <c r="L22" s="321"/>
      <c r="M22" s="321"/>
      <c r="N22" s="321"/>
      <c r="O22" s="321"/>
      <c r="P22" s="321"/>
      <c r="Q22" s="321"/>
      <c r="R22" s="321"/>
      <c r="S22" s="321"/>
      <c r="T22" s="321"/>
      <c r="U22" s="321"/>
      <c r="V22" s="321"/>
      <c r="W22" s="321"/>
      <c r="X22" s="321"/>
      <c r="Y22" s="321"/>
      <c r="Z22" s="321"/>
      <c r="AA22" s="321"/>
      <c r="AB22" s="321"/>
      <c r="AC22" s="321"/>
      <c r="AD22" s="321"/>
      <c r="AE22" s="321"/>
    </row>
    <row r="23" spans="2:31" ht="15" customHeight="1">
      <c r="B23" s="16"/>
      <c r="C23" s="12"/>
      <c r="D23" s="11"/>
      <c r="E23" s="215"/>
      <c r="F23" s="321"/>
      <c r="G23" s="321"/>
      <c r="H23" s="321"/>
      <c r="I23" s="321"/>
      <c r="J23" s="321"/>
      <c r="K23" s="321"/>
      <c r="L23" s="321"/>
      <c r="M23" s="321"/>
      <c r="N23" s="321"/>
      <c r="O23" s="321"/>
      <c r="P23" s="321"/>
      <c r="Q23" s="321"/>
      <c r="R23" s="321"/>
      <c r="S23" s="321"/>
      <c r="T23" s="321"/>
      <c r="U23" s="321"/>
      <c r="V23" s="321"/>
      <c r="W23" s="321"/>
      <c r="X23" s="321"/>
      <c r="Y23" s="321"/>
      <c r="Z23" s="321"/>
      <c r="AA23" s="321"/>
      <c r="AB23" s="321"/>
      <c r="AC23" s="321"/>
      <c r="AD23" s="321"/>
      <c r="AE23" s="321"/>
    </row>
    <row r="24" spans="2:31" ht="15" customHeight="1">
      <c r="B24" s="16"/>
      <c r="C24" s="12"/>
      <c r="D24" s="11"/>
      <c r="E24" s="215"/>
      <c r="F24" s="321"/>
      <c r="G24" s="321"/>
      <c r="H24" s="321"/>
      <c r="I24" s="321"/>
      <c r="J24" s="321"/>
      <c r="K24" s="321"/>
      <c r="L24" s="321"/>
      <c r="M24" s="321"/>
      <c r="N24" s="321"/>
      <c r="O24" s="321"/>
      <c r="P24" s="321"/>
      <c r="Q24" s="321"/>
      <c r="R24" s="321"/>
      <c r="S24" s="321"/>
      <c r="T24" s="321"/>
      <c r="U24" s="321"/>
      <c r="V24" s="321"/>
      <c r="W24" s="321"/>
      <c r="X24" s="321"/>
      <c r="Y24" s="321"/>
      <c r="Z24" s="321"/>
      <c r="AA24" s="321"/>
      <c r="AB24" s="321"/>
      <c r="AC24" s="321"/>
      <c r="AD24" s="321"/>
      <c r="AE24" s="321"/>
    </row>
    <row r="25" spans="2:31" ht="15" customHeight="1">
      <c r="B25" s="296"/>
      <c r="C25" s="24"/>
      <c r="D25" s="461"/>
      <c r="E25" s="546"/>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2B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 &amp;R&amp;D  &amp;T</oddFooter>
  </headerFooter>
  <extLst>
    <ext xmlns:x14="http://schemas.microsoft.com/office/spreadsheetml/2009/9/main" uri="{78C0D931-6437-407d-A8EE-F0AAD7539E65}">
      <x14:conditionalFormattings>
        <x14:conditionalFormatting xmlns:xm="http://schemas.microsoft.com/office/excel/2006/main">
          <x14:cfRule type="cellIs" priority="717" operator="greaterThan" id="{00000000-0000-0000-0000-000000000000}">
            <xm:f>ControlPanel!$D$59-1</xm:f>
            <x14:dxf>
              <font>
                <color rgb="FF9C6500"/>
              </font>
              <fill>
                <patternFill>
                  <fgColor indexed="64"/>
                  <bgColor rgb="FFFFEB9C"/>
                </patternFill>
              </fill>
            </x14:dxf>
          </x14:cfRule>
          <x14:cfRule type="cellIs" priority="718" operator="lessThan" id="{00000000-0000-0000-0000-000000000000}">
            <xm:f>ControlPanel!$D$59</xm:f>
            <x14:dxf>
              <font>
                <color rgb="FF006100"/>
              </font>
              <fill>
                <patternFill>
                  <fgColor indexed="64"/>
                  <bgColor rgb="FFC6EFCE"/>
                </patternFill>
              </fill>
            </x14:dxf>
          </x14:cfRule>
          <xm:sqref>F4:AE4</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Tabelle29">
    <tabColor theme="9" tint="-0.499984740745262"/>
    <pageSetUpPr fitToPage="1"/>
  </sheetPr>
  <dimension ref="A1:AE1359"/>
  <sheetViews>
    <sheetView zoomScaleNormal="100" workbookViewId="0">
      <selection activeCell="E7" sqref="E7"/>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4" width="8.6640625" style="9" customWidth="1"/>
    <col min="15" max="31" width="8.6640625" style="9" customWidth="1" outlineLevel="1"/>
    <col min="32" max="16384" width="11.5546875" style="9"/>
  </cols>
  <sheetData>
    <row r="1" spans="1:31">
      <c r="A1" s="41" t="s">
        <v>74</v>
      </c>
      <c r="B1" s="20" t="s">
        <v>944</v>
      </c>
      <c r="C1" s="19"/>
      <c r="D1" s="19"/>
      <c r="E1" s="19"/>
    </row>
    <row r="3" spans="1:3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3.8" thickBot="1">
      <c r="B5" s="65"/>
      <c r="D5" s="16"/>
      <c r="F5" s="323" t="s">
        <v>61</v>
      </c>
      <c r="G5" s="323" t="s">
        <v>61</v>
      </c>
      <c r="H5" s="323" t="s">
        <v>61</v>
      </c>
      <c r="I5" s="323" t="s">
        <v>61</v>
      </c>
      <c r="J5" s="323" t="s">
        <v>61</v>
      </c>
      <c r="K5" s="323" t="s">
        <v>61</v>
      </c>
      <c r="L5" s="323" t="s">
        <v>61</v>
      </c>
      <c r="M5" s="323" t="s">
        <v>61</v>
      </c>
      <c r="N5" s="323" t="s">
        <v>61</v>
      </c>
      <c r="O5" s="323" t="s">
        <v>61</v>
      </c>
      <c r="P5" s="323" t="s">
        <v>61</v>
      </c>
      <c r="Q5" s="323" t="s">
        <v>61</v>
      </c>
      <c r="R5" s="323" t="s">
        <v>61</v>
      </c>
      <c r="S5" s="323" t="s">
        <v>61</v>
      </c>
      <c r="T5" s="323" t="s">
        <v>61</v>
      </c>
      <c r="U5" s="323" t="s">
        <v>61</v>
      </c>
      <c r="V5" s="323" t="s">
        <v>61</v>
      </c>
      <c r="W5" s="323" t="s">
        <v>61</v>
      </c>
      <c r="X5" s="323" t="s">
        <v>61</v>
      </c>
      <c r="Y5" s="323" t="s">
        <v>61</v>
      </c>
      <c r="Z5" s="323" t="s">
        <v>61</v>
      </c>
      <c r="AA5" s="323" t="s">
        <v>61</v>
      </c>
      <c r="AB5" s="323" t="s">
        <v>61</v>
      </c>
      <c r="AC5" s="323" t="s">
        <v>61</v>
      </c>
      <c r="AD5" s="323" t="s">
        <v>61</v>
      </c>
      <c r="AE5" s="323" t="s">
        <v>61</v>
      </c>
    </row>
    <row r="6" spans="1:31" ht="27" thickBot="1">
      <c r="B6" s="170" t="s">
        <v>409</v>
      </c>
      <c r="C6" s="15" t="s">
        <v>300</v>
      </c>
      <c r="D6" s="486" t="s">
        <v>946</v>
      </c>
      <c r="E6" s="486" t="s">
        <v>946</v>
      </c>
      <c r="F6" s="14">
        <v>66.919000000000011</v>
      </c>
      <c r="G6" s="14">
        <v>54.256241999999979</v>
      </c>
      <c r="H6" s="14">
        <v>62.173272999999973</v>
      </c>
      <c r="I6" s="14">
        <v>52.680143000000065</v>
      </c>
      <c r="J6" s="14">
        <v>44.33</v>
      </c>
      <c r="K6" s="14">
        <v>57.291305999999999</v>
      </c>
      <c r="L6" s="14">
        <v>48.547290999999994</v>
      </c>
      <c r="M6" s="14">
        <v>60.951926519999994</v>
      </c>
      <c r="N6" s="14">
        <v>61.173551851607797</v>
      </c>
      <c r="O6" s="14">
        <v>69.750429999999994</v>
      </c>
      <c r="P6" s="14">
        <v>68.086641999999998</v>
      </c>
      <c r="Q6" s="14">
        <v>60.732941999999994</v>
      </c>
      <c r="R6" s="14">
        <f t="shared" ref="R6:AE6" si="0">Q6</f>
        <v>60.732941999999994</v>
      </c>
      <c r="S6" s="14">
        <f t="shared" si="0"/>
        <v>60.732941999999994</v>
      </c>
      <c r="T6" s="14">
        <f t="shared" si="0"/>
        <v>60.732941999999994</v>
      </c>
      <c r="U6" s="14">
        <f t="shared" si="0"/>
        <v>60.732941999999994</v>
      </c>
      <c r="V6" s="14">
        <f t="shared" si="0"/>
        <v>60.732941999999994</v>
      </c>
      <c r="W6" s="14">
        <f t="shared" si="0"/>
        <v>60.732941999999994</v>
      </c>
      <c r="X6" s="14">
        <f t="shared" si="0"/>
        <v>60.732941999999994</v>
      </c>
      <c r="Y6" s="14">
        <f t="shared" si="0"/>
        <v>60.732941999999994</v>
      </c>
      <c r="Z6" s="14">
        <f t="shared" si="0"/>
        <v>60.732941999999994</v>
      </c>
      <c r="AA6" s="14">
        <f t="shared" si="0"/>
        <v>60.732941999999994</v>
      </c>
      <c r="AB6" s="14">
        <f t="shared" si="0"/>
        <v>60.732941999999994</v>
      </c>
      <c r="AC6" s="14">
        <f t="shared" si="0"/>
        <v>60.732941999999994</v>
      </c>
      <c r="AD6" s="14">
        <f t="shared" si="0"/>
        <v>60.732941999999994</v>
      </c>
      <c r="AE6" s="14">
        <f t="shared" si="0"/>
        <v>60.732941999999994</v>
      </c>
    </row>
    <row r="7" spans="1:31">
      <c r="B7" s="176"/>
      <c r="C7" s="179"/>
      <c r="D7" s="517"/>
      <c r="E7" s="537"/>
      <c r="F7" s="180"/>
      <c r="G7" s="180"/>
      <c r="H7" s="180"/>
      <c r="I7" s="180"/>
      <c r="J7" s="180"/>
      <c r="K7" s="180"/>
      <c r="L7" s="180"/>
      <c r="M7" s="180"/>
      <c r="N7" s="180"/>
      <c r="O7" s="180"/>
      <c r="P7" s="180"/>
      <c r="Q7" s="180"/>
      <c r="R7" s="180"/>
      <c r="S7" s="180"/>
      <c r="T7" s="180"/>
      <c r="U7" s="180"/>
      <c r="V7" s="180"/>
      <c r="W7" s="180"/>
      <c r="X7" s="180"/>
      <c r="Y7" s="180"/>
      <c r="Z7" s="180"/>
      <c r="AA7" s="180"/>
      <c r="AB7" s="180"/>
      <c r="AC7" s="180"/>
      <c r="AD7" s="180"/>
      <c r="AE7" s="180"/>
    </row>
    <row r="8" spans="1:31">
      <c r="B8" s="176"/>
      <c r="C8" s="162"/>
      <c r="D8" s="1185"/>
      <c r="E8" s="609"/>
      <c r="F8" s="180"/>
      <c r="G8" s="180"/>
      <c r="H8" s="180"/>
      <c r="I8" s="180"/>
      <c r="J8" s="180"/>
      <c r="K8" s="180"/>
      <c r="L8" s="180"/>
      <c r="M8" s="180"/>
      <c r="N8" s="180"/>
      <c r="O8" s="180"/>
      <c r="P8" s="180"/>
      <c r="Q8" s="180"/>
      <c r="R8" s="180"/>
      <c r="S8" s="180"/>
      <c r="T8" s="180"/>
      <c r="U8" s="180"/>
      <c r="V8" s="180"/>
      <c r="W8" s="180"/>
      <c r="X8" s="180"/>
      <c r="Y8" s="180"/>
      <c r="Z8" s="180"/>
      <c r="AA8" s="180"/>
      <c r="AB8" s="180"/>
      <c r="AC8" s="180"/>
      <c r="AD8" s="180"/>
      <c r="AE8" s="180"/>
    </row>
    <row r="9" spans="1:31">
      <c r="B9" s="176"/>
      <c r="C9" s="162"/>
      <c r="D9" s="1185"/>
      <c r="E9" s="609"/>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row>
    <row r="10" spans="1:31">
      <c r="B10" s="176"/>
      <c r="C10" s="162"/>
      <c r="D10" s="1185"/>
      <c r="E10" s="609"/>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c r="AE10" s="180"/>
    </row>
    <row r="11" spans="1:31">
      <c r="B11" s="176"/>
      <c r="C11" s="162"/>
      <c r="D11" s="1185"/>
      <c r="E11" s="609"/>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row>
    <row r="12" spans="1:31">
      <c r="B12" s="176"/>
      <c r="C12" s="162"/>
      <c r="D12" s="1185"/>
      <c r="E12" s="609"/>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row>
    <row r="13" spans="1:31">
      <c r="B13" s="176"/>
      <c r="C13" s="162"/>
      <c r="D13" s="1185"/>
      <c r="E13" s="609"/>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row>
    <row r="14" spans="1:31">
      <c r="B14" s="176"/>
      <c r="C14" s="162"/>
      <c r="D14" s="1185"/>
      <c r="E14" s="609"/>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row>
    <row r="15" spans="1:31">
      <c r="B15" s="176"/>
      <c r="C15" s="162"/>
      <c r="D15" s="1185"/>
      <c r="E15" s="609"/>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c r="B16" s="176"/>
      <c r="C16" s="179"/>
      <c r="D16" s="517"/>
      <c r="E16" s="537"/>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c r="B17" s="176"/>
      <c r="C17" s="179"/>
      <c r="D17" s="517"/>
      <c r="E17" s="537"/>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c r="B18" s="176"/>
      <c r="C18" s="179"/>
      <c r="D18" s="517"/>
      <c r="E18" s="537"/>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c r="B19" s="176"/>
      <c r="C19" s="179"/>
      <c r="D19" s="517"/>
      <c r="E19" s="537"/>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c r="B20" s="176"/>
      <c r="C20" s="179"/>
      <c r="D20" s="517"/>
      <c r="E20" s="537"/>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c r="B21" s="176"/>
      <c r="C21" s="179"/>
      <c r="D21" s="517"/>
      <c r="E21" s="537"/>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c r="B22" s="176"/>
      <c r="C22" s="179"/>
      <c r="D22" s="517"/>
      <c r="E22" s="537"/>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c r="B23" s="176"/>
      <c r="C23" s="179"/>
      <c r="D23" s="517"/>
      <c r="E23" s="537"/>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c r="B24" s="176"/>
      <c r="C24" s="179"/>
      <c r="D24" s="517"/>
      <c r="E24" s="537"/>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c r="B25" s="178"/>
      <c r="C25" s="181"/>
      <c r="D25" s="593"/>
      <c r="E25" s="1018"/>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c r="B27" s="1205" t="s">
        <v>945</v>
      </c>
    </row>
    <row r="28" spans="2:31" ht="15" customHeight="1"/>
    <row r="29" spans="2:31" ht="15" customHeight="1">
      <c r="L29" s="511"/>
      <c r="M29" s="511"/>
      <c r="N29" s="511"/>
      <c r="O29" s="511"/>
      <c r="P29" s="511"/>
      <c r="Q29" s="511"/>
      <c r="R29" s="511"/>
      <c r="S29" s="511"/>
      <c r="T29" s="511"/>
      <c r="U29" s="511"/>
      <c r="V29" s="511"/>
      <c r="W29" s="511"/>
      <c r="X29" s="511"/>
      <c r="Y29" s="511"/>
      <c r="Z29" s="511"/>
      <c r="AA29" s="511"/>
      <c r="AB29" s="511"/>
      <c r="AC29" s="511"/>
      <c r="AD29" s="511"/>
      <c r="AE29" s="511"/>
    </row>
    <row r="30" spans="2:31" ht="15" customHeight="1"/>
    <row r="31" spans="2:31" ht="15" customHeight="1">
      <c r="M31" s="1091"/>
      <c r="N31" s="647"/>
      <c r="O31" s="647"/>
      <c r="P31" s="647"/>
      <c r="Q31" s="647"/>
    </row>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2C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15" operator="greaterThan" id="{00000000-0000-0000-0000-000000000000}">
            <xm:f>ControlPanel!$D$59-1</xm:f>
            <x14:dxf>
              <font>
                <color rgb="FF9C6500"/>
              </font>
              <fill>
                <patternFill>
                  <fgColor indexed="64"/>
                  <bgColor rgb="FFFFEB9C"/>
                </patternFill>
              </fill>
            </x14:dxf>
          </x14:cfRule>
          <x14:cfRule type="cellIs" priority="716" operator="lessThan" id="{00000000-0000-0000-0000-000000000000}">
            <xm:f>ControlPanel!$D$59</xm:f>
            <x14:dxf>
              <font>
                <color rgb="FF006100"/>
              </font>
              <fill>
                <patternFill>
                  <fgColor indexed="64"/>
                  <bgColor rgb="FFC6EFCE"/>
                </patternFill>
              </fill>
            </x14:dxf>
          </x14:cfRule>
          <xm:sqref>F4:AE4</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Tabelle57">
    <tabColor theme="9" tint="-0.499984740745262"/>
    <pageSetUpPr fitToPage="1"/>
  </sheetPr>
  <dimension ref="A1:AE1359"/>
  <sheetViews>
    <sheetView zoomScaleNormal="100" workbookViewId="0">
      <selection activeCell="D7" sqref="D7"/>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947</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61</v>
      </c>
      <c r="G5" s="323" t="s">
        <v>61</v>
      </c>
      <c r="H5" s="323" t="s">
        <v>61</v>
      </c>
      <c r="I5" s="323" t="s">
        <v>61</v>
      </c>
      <c r="J5" s="323" t="s">
        <v>61</v>
      </c>
      <c r="K5" s="323" t="s">
        <v>61</v>
      </c>
      <c r="L5" s="323" t="s">
        <v>61</v>
      </c>
      <c r="M5" s="323" t="s">
        <v>61</v>
      </c>
      <c r="N5" s="323" t="s">
        <v>61</v>
      </c>
      <c r="O5" s="323" t="s">
        <v>61</v>
      </c>
      <c r="P5" s="323" t="s">
        <v>61</v>
      </c>
      <c r="Q5" s="323" t="s">
        <v>61</v>
      </c>
      <c r="R5" s="323" t="s">
        <v>61</v>
      </c>
      <c r="S5" s="323" t="s">
        <v>61</v>
      </c>
      <c r="T5" s="323" t="s">
        <v>61</v>
      </c>
      <c r="U5" s="323" t="s">
        <v>61</v>
      </c>
      <c r="V5" s="323" t="s">
        <v>61</v>
      </c>
      <c r="W5" s="323" t="s">
        <v>61</v>
      </c>
      <c r="X5" s="323" t="s">
        <v>61</v>
      </c>
      <c r="Y5" s="323" t="s">
        <v>61</v>
      </c>
      <c r="Z5" s="323" t="s">
        <v>61</v>
      </c>
      <c r="AA5" s="323" t="s">
        <v>61</v>
      </c>
      <c r="AB5" s="323" t="s">
        <v>61</v>
      </c>
      <c r="AC5" s="323" t="s">
        <v>61</v>
      </c>
      <c r="AD5" s="323" t="s">
        <v>61</v>
      </c>
      <c r="AE5" s="323" t="s">
        <v>61</v>
      </c>
    </row>
    <row r="6" spans="1:31" ht="15" customHeight="1" thickBot="1">
      <c r="B6" s="170" t="s">
        <v>409</v>
      </c>
      <c r="C6" s="15" t="s">
        <v>300</v>
      </c>
      <c r="D6" s="15" t="s">
        <v>948</v>
      </c>
      <c r="E6" s="529"/>
      <c r="F6" s="14">
        <v>0</v>
      </c>
      <c r="G6" s="14">
        <v>0</v>
      </c>
      <c r="H6" s="14">
        <v>0</v>
      </c>
      <c r="I6" s="14">
        <v>0</v>
      </c>
      <c r="J6" s="14">
        <v>0</v>
      </c>
      <c r="K6" s="14">
        <v>0</v>
      </c>
      <c r="L6" s="14">
        <v>0</v>
      </c>
      <c r="M6" s="14">
        <v>1.1745889999999999</v>
      </c>
      <c r="N6" s="14">
        <v>1.5439479999999999</v>
      </c>
      <c r="O6" s="14">
        <v>2.5107649999999997</v>
      </c>
      <c r="P6" s="14">
        <v>3.6564139999999998</v>
      </c>
      <c r="Q6" s="14">
        <v>3.8827539999999998</v>
      </c>
      <c r="R6" s="14">
        <f>Q6</f>
        <v>3.8827539999999998</v>
      </c>
      <c r="S6" s="14">
        <f t="shared" ref="S6:AE6" si="0">R6</f>
        <v>3.8827539999999998</v>
      </c>
      <c r="T6" s="14">
        <f t="shared" si="0"/>
        <v>3.8827539999999998</v>
      </c>
      <c r="U6" s="14">
        <f t="shared" si="0"/>
        <v>3.8827539999999998</v>
      </c>
      <c r="V6" s="14">
        <f t="shared" si="0"/>
        <v>3.8827539999999998</v>
      </c>
      <c r="W6" s="14">
        <f t="shared" si="0"/>
        <v>3.8827539999999998</v>
      </c>
      <c r="X6" s="14">
        <f t="shared" si="0"/>
        <v>3.8827539999999998</v>
      </c>
      <c r="Y6" s="14">
        <f t="shared" si="0"/>
        <v>3.8827539999999998</v>
      </c>
      <c r="Z6" s="14">
        <f t="shared" si="0"/>
        <v>3.8827539999999998</v>
      </c>
      <c r="AA6" s="14">
        <f t="shared" si="0"/>
        <v>3.8827539999999998</v>
      </c>
      <c r="AB6" s="14">
        <f t="shared" si="0"/>
        <v>3.8827539999999998</v>
      </c>
      <c r="AC6" s="14">
        <f t="shared" si="0"/>
        <v>3.8827539999999998</v>
      </c>
      <c r="AD6" s="14">
        <f t="shared" si="0"/>
        <v>3.8827539999999998</v>
      </c>
      <c r="AE6" s="14">
        <f t="shared" si="0"/>
        <v>3.8827539999999998</v>
      </c>
    </row>
    <row r="7" spans="1:31" ht="15" customHeight="1">
      <c r="B7" s="176"/>
      <c r="C7" s="179"/>
      <c r="D7" s="163"/>
      <c r="E7" s="532"/>
      <c r="F7" s="180"/>
      <c r="G7" s="180"/>
      <c r="H7" s="180"/>
      <c r="I7" s="180"/>
      <c r="J7" s="180"/>
      <c r="K7" s="180"/>
      <c r="L7" s="180"/>
      <c r="M7" s="180"/>
      <c r="N7" s="1199"/>
      <c r="O7" s="180"/>
      <c r="P7" s="180"/>
      <c r="Q7" s="180"/>
      <c r="R7" s="180"/>
      <c r="S7" s="180"/>
      <c r="T7" s="180"/>
      <c r="U7" s="180"/>
      <c r="V7" s="180"/>
      <c r="W7" s="180"/>
      <c r="X7" s="180"/>
      <c r="Y7" s="180"/>
      <c r="Z7" s="180"/>
      <c r="AA7" s="180"/>
      <c r="AB7" s="180"/>
      <c r="AC7" s="180"/>
      <c r="AD7" s="180"/>
      <c r="AE7" s="180"/>
    </row>
    <row r="8" spans="1:31" ht="15" customHeight="1">
      <c r="B8" s="283"/>
      <c r="C8" s="284"/>
      <c r="D8" s="285"/>
      <c r="E8" s="544"/>
      <c r="F8" s="286"/>
      <c r="G8" s="286"/>
      <c r="H8" s="286"/>
      <c r="I8" s="286"/>
      <c r="J8" s="286"/>
      <c r="K8" s="286"/>
      <c r="L8" s="286"/>
      <c r="M8" s="286"/>
      <c r="N8" s="286"/>
      <c r="O8" s="286"/>
      <c r="P8" s="286"/>
      <c r="Q8" s="286"/>
      <c r="R8" s="286"/>
      <c r="S8" s="286"/>
      <c r="T8" s="286"/>
      <c r="U8" s="286"/>
      <c r="V8" s="286"/>
      <c r="W8" s="286"/>
      <c r="X8" s="286"/>
      <c r="Y8" s="286"/>
      <c r="Z8" s="286"/>
      <c r="AA8" s="286"/>
      <c r="AB8" s="286"/>
      <c r="AC8" s="286"/>
      <c r="AD8" s="286"/>
      <c r="AE8" s="286"/>
    </row>
    <row r="9" spans="1:31" ht="15" customHeight="1">
      <c r="B9" s="283"/>
      <c r="C9" s="284"/>
      <c r="D9" s="285"/>
      <c r="E9" s="544"/>
      <c r="F9" s="286"/>
      <c r="G9" s="286"/>
      <c r="H9" s="286"/>
      <c r="I9" s="286"/>
      <c r="J9" s="286"/>
      <c r="K9" s="286"/>
      <c r="L9" s="286"/>
      <c r="M9" s="286"/>
      <c r="N9" s="286"/>
      <c r="O9" s="286"/>
      <c r="P9" s="286"/>
      <c r="Q9" s="286"/>
      <c r="R9" s="286"/>
      <c r="S9" s="286"/>
      <c r="T9" s="286"/>
      <c r="U9" s="286"/>
      <c r="V9" s="286"/>
      <c r="W9" s="286"/>
      <c r="X9" s="286"/>
      <c r="Y9" s="286"/>
      <c r="Z9" s="286"/>
      <c r="AA9" s="286"/>
      <c r="AB9" s="286"/>
      <c r="AC9" s="286"/>
      <c r="AD9" s="286"/>
      <c r="AE9" s="286"/>
    </row>
    <row r="10" spans="1:31" ht="15" customHeight="1">
      <c r="B10" s="283"/>
      <c r="C10" s="284"/>
      <c r="D10" s="285"/>
      <c r="E10" s="544"/>
      <c r="F10" s="286"/>
      <c r="G10" s="286"/>
      <c r="H10" s="286"/>
      <c r="I10" s="286"/>
      <c r="J10" s="286"/>
      <c r="K10" s="286"/>
      <c r="L10" s="286"/>
      <c r="M10" s="286"/>
      <c r="N10" s="286"/>
      <c r="O10" s="286"/>
      <c r="P10" s="286"/>
      <c r="Q10" s="286"/>
      <c r="R10" s="286"/>
      <c r="S10" s="286"/>
      <c r="T10" s="286"/>
      <c r="U10" s="286"/>
      <c r="V10" s="286"/>
      <c r="W10" s="286"/>
      <c r="X10" s="286"/>
      <c r="Y10" s="286"/>
      <c r="Z10" s="286"/>
      <c r="AA10" s="286"/>
      <c r="AB10" s="286"/>
      <c r="AC10" s="286"/>
      <c r="AD10" s="286"/>
      <c r="AE10" s="286"/>
    </row>
    <row r="11" spans="1:31" ht="15" customHeight="1">
      <c r="B11" s="283"/>
      <c r="C11" s="284"/>
      <c r="D11" s="285"/>
      <c r="E11" s="544"/>
      <c r="F11" s="286"/>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c r="AE11" s="286"/>
    </row>
    <row r="12" spans="1:31" ht="15" customHeight="1">
      <c r="B12" s="283"/>
      <c r="C12" s="284"/>
      <c r="D12" s="285"/>
      <c r="E12" s="544"/>
      <c r="F12" s="286"/>
      <c r="G12" s="286"/>
      <c r="H12" s="286"/>
      <c r="I12" s="286"/>
      <c r="J12" s="286"/>
      <c r="K12" s="286"/>
      <c r="L12" s="286"/>
      <c r="M12" s="286"/>
      <c r="N12" s="286"/>
      <c r="O12" s="286"/>
      <c r="P12" s="286"/>
      <c r="Q12" s="286"/>
      <c r="R12" s="286"/>
      <c r="S12" s="286"/>
      <c r="T12" s="286"/>
      <c r="U12" s="286"/>
      <c r="V12" s="286"/>
      <c r="W12" s="286"/>
      <c r="X12" s="286"/>
      <c r="Y12" s="286"/>
      <c r="Z12" s="286"/>
      <c r="AA12" s="286"/>
      <c r="AB12" s="286"/>
      <c r="AC12" s="286"/>
      <c r="AD12" s="286"/>
      <c r="AE12" s="286"/>
    </row>
    <row r="13" spans="1:31" ht="15" customHeight="1">
      <c r="B13" s="283"/>
      <c r="C13" s="284"/>
      <c r="D13" s="285"/>
      <c r="E13" s="544"/>
      <c r="F13" s="286"/>
      <c r="G13" s="286"/>
      <c r="H13" s="286"/>
      <c r="I13" s="286"/>
      <c r="J13" s="286"/>
      <c r="K13" s="286"/>
      <c r="L13" s="286"/>
      <c r="M13" s="286"/>
      <c r="N13" s="286"/>
      <c r="O13" s="286"/>
      <c r="P13" s="286"/>
      <c r="Q13" s="286"/>
      <c r="R13" s="286"/>
      <c r="S13" s="286"/>
      <c r="T13" s="286"/>
      <c r="U13" s="286"/>
      <c r="V13" s="286"/>
      <c r="W13" s="286"/>
      <c r="X13" s="286"/>
      <c r="Y13" s="286"/>
      <c r="Z13" s="286"/>
      <c r="AA13" s="286"/>
      <c r="AB13" s="286"/>
      <c r="AC13" s="286"/>
      <c r="AD13" s="286"/>
      <c r="AE13" s="286"/>
    </row>
    <row r="14" spans="1:31" ht="15" customHeight="1">
      <c r="B14" s="283"/>
      <c r="C14" s="284"/>
      <c r="D14" s="285"/>
      <c r="E14" s="544"/>
      <c r="F14" s="286"/>
      <c r="G14" s="286"/>
      <c r="H14" s="286"/>
      <c r="I14" s="286"/>
      <c r="J14" s="286"/>
      <c r="K14" s="286"/>
      <c r="L14" s="286"/>
      <c r="M14" s="286"/>
      <c r="N14" s="286"/>
      <c r="O14" s="286"/>
      <c r="P14" s="286"/>
      <c r="Q14" s="286"/>
      <c r="R14" s="286"/>
      <c r="S14" s="286"/>
      <c r="T14" s="286"/>
      <c r="U14" s="286"/>
      <c r="V14" s="286"/>
      <c r="W14" s="286"/>
      <c r="X14" s="286"/>
      <c r="Y14" s="286"/>
      <c r="Z14" s="286"/>
      <c r="AA14" s="286"/>
      <c r="AB14" s="286"/>
      <c r="AC14" s="286"/>
      <c r="AD14" s="286"/>
      <c r="AE14" s="286"/>
    </row>
    <row r="15" spans="1:31" ht="15" customHeight="1">
      <c r="B15" s="283"/>
      <c r="C15" s="284"/>
      <c r="D15" s="285"/>
      <c r="E15" s="544"/>
      <c r="F15" s="286"/>
      <c r="G15" s="286"/>
      <c r="H15" s="286"/>
      <c r="I15" s="286"/>
      <c r="J15" s="286"/>
      <c r="K15" s="286"/>
      <c r="L15" s="286"/>
      <c r="M15" s="286"/>
      <c r="N15" s="286"/>
      <c r="O15" s="286"/>
      <c r="P15" s="286"/>
      <c r="Q15" s="286"/>
      <c r="R15" s="286"/>
      <c r="S15" s="286"/>
      <c r="T15" s="286"/>
      <c r="U15" s="286"/>
      <c r="V15" s="286"/>
      <c r="W15" s="286"/>
      <c r="X15" s="286"/>
      <c r="Y15" s="286"/>
      <c r="Z15" s="286"/>
      <c r="AA15" s="286"/>
      <c r="AB15" s="286"/>
      <c r="AC15" s="286"/>
      <c r="AD15" s="286"/>
      <c r="AE15" s="286"/>
    </row>
    <row r="16" spans="1:31" ht="15" customHeight="1">
      <c r="B16" s="176"/>
      <c r="C16" s="179"/>
      <c r="D16" s="163"/>
      <c r="E16" s="532"/>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ht="15" customHeight="1">
      <c r="B17" s="176"/>
      <c r="C17" s="179"/>
      <c r="D17" s="163"/>
      <c r="E17" s="532"/>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ht="15" customHeight="1">
      <c r="B18" s="176"/>
      <c r="C18" s="179"/>
      <c r="D18" s="163"/>
      <c r="E18" s="532"/>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ht="15" customHeight="1">
      <c r="B19" s="176"/>
      <c r="C19" s="179"/>
      <c r="D19" s="163"/>
      <c r="E19" s="532"/>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ht="15" customHeight="1">
      <c r="B20" s="176"/>
      <c r="C20" s="179"/>
      <c r="D20" s="163"/>
      <c r="E20" s="532"/>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ht="15" customHeight="1">
      <c r="B21" s="176"/>
      <c r="C21" s="179"/>
      <c r="D21" s="163"/>
      <c r="E21" s="532"/>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ht="15" customHeight="1">
      <c r="B22" s="176"/>
      <c r="C22" s="179"/>
      <c r="D22" s="163"/>
      <c r="E22" s="532"/>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ht="15" customHeight="1">
      <c r="B23" s="176"/>
      <c r="C23" s="179"/>
      <c r="D23" s="163"/>
      <c r="E23" s="532"/>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ht="15" customHeight="1">
      <c r="B24" s="176"/>
      <c r="C24" s="179"/>
      <c r="D24" s="163"/>
      <c r="E24" s="532"/>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ht="15" customHeight="1">
      <c r="B25" s="178"/>
      <c r="C25" s="181"/>
      <c r="D25" s="182"/>
      <c r="E25" s="53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2D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33A4913F-EA98-4091-B032-55DABC1C9557}">
            <xm:f>ControlPanel!$D$59-1</xm:f>
            <x14:dxf>
              <font>
                <color rgb="FF9C6500"/>
              </font>
              <fill>
                <patternFill>
                  <fgColor indexed="64"/>
                  <bgColor rgb="FFFFEB9C"/>
                </patternFill>
              </fill>
            </x14:dxf>
          </x14:cfRule>
          <x14:cfRule type="cellIs" priority="2" operator="lessThan" id="{060B1F47-ADC6-49FD-91D5-7BD2C6773793}">
            <xm:f>ControlPanel!$D$59</xm:f>
            <x14:dxf>
              <font>
                <color rgb="FF006100"/>
              </font>
              <fill>
                <patternFill>
                  <fgColor indexed="64"/>
                  <bgColor rgb="FFC6EFCE"/>
                </patternFill>
              </fill>
            </x14:dxf>
          </x14:cfRule>
          <xm:sqref>F4:AE4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Tabelle56">
    <tabColor theme="9" tint="-0.499984740745262"/>
  </sheetPr>
  <dimension ref="A1:AF855"/>
  <sheetViews>
    <sheetView zoomScaleNormal="100" workbookViewId="0">
      <selection activeCell="F16" sqref="F16"/>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4" width="8.6640625" style="9" customWidth="1"/>
    <col min="15" max="32" width="8.6640625" style="9" customWidth="1" outlineLevel="1"/>
    <col min="33" max="16384" width="11.5546875" style="9"/>
  </cols>
  <sheetData>
    <row r="1" spans="1:32">
      <c r="A1" s="41" t="s">
        <v>74</v>
      </c>
      <c r="B1" s="61" t="s">
        <v>949</v>
      </c>
      <c r="C1" s="61"/>
      <c r="D1" s="19"/>
      <c r="E1" s="19"/>
      <c r="F1" s="19"/>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26</v>
      </c>
      <c r="H5" s="323" t="s">
        <v>26</v>
      </c>
      <c r="I5" s="323" t="s">
        <v>26</v>
      </c>
      <c r="J5" s="323" t="s">
        <v>26</v>
      </c>
      <c r="K5" s="323" t="s">
        <v>26</v>
      </c>
      <c r="L5" s="323" t="s">
        <v>26</v>
      </c>
      <c r="M5" s="323" t="s">
        <v>26</v>
      </c>
      <c r="N5" s="323" t="s">
        <v>26</v>
      </c>
      <c r="O5" s="323" t="s">
        <v>26</v>
      </c>
      <c r="P5" s="323" t="s">
        <v>26</v>
      </c>
      <c r="Q5" s="323" t="s">
        <v>26</v>
      </c>
      <c r="R5" s="323" t="s">
        <v>26</v>
      </c>
      <c r="S5" s="323" t="s">
        <v>26</v>
      </c>
      <c r="T5" s="323" t="s">
        <v>26</v>
      </c>
      <c r="U5" s="323" t="s">
        <v>26</v>
      </c>
      <c r="V5" s="323" t="s">
        <v>26</v>
      </c>
      <c r="W5" s="323" t="s">
        <v>26</v>
      </c>
      <c r="X5" s="323" t="s">
        <v>26</v>
      </c>
      <c r="Y5" s="323" t="s">
        <v>26</v>
      </c>
      <c r="Z5" s="323" t="s">
        <v>26</v>
      </c>
      <c r="AA5" s="323" t="s">
        <v>26</v>
      </c>
      <c r="AB5" s="323" t="s">
        <v>26</v>
      </c>
      <c r="AC5" s="323" t="s">
        <v>26</v>
      </c>
      <c r="AD5" s="323" t="s">
        <v>26</v>
      </c>
      <c r="AE5" s="323" t="s">
        <v>26</v>
      </c>
      <c r="AF5" s="323" t="s">
        <v>26</v>
      </c>
    </row>
    <row r="6" spans="1:32" ht="15" customHeight="1" thickBot="1">
      <c r="B6" s="166" t="s">
        <v>529</v>
      </c>
      <c r="C6" s="175" t="s">
        <v>62</v>
      </c>
      <c r="D6" s="15" t="s">
        <v>107</v>
      </c>
      <c r="E6" s="15" t="s">
        <v>930</v>
      </c>
      <c r="F6" s="529"/>
      <c r="G6" s="14">
        <v>0</v>
      </c>
      <c r="H6" s="14">
        <v>0</v>
      </c>
      <c r="I6" s="14">
        <v>0</v>
      </c>
      <c r="J6" s="14">
        <v>0</v>
      </c>
      <c r="K6" s="14">
        <v>0</v>
      </c>
      <c r="L6" s="14">
        <v>0</v>
      </c>
      <c r="M6" s="14">
        <v>0</v>
      </c>
      <c r="N6" s="14">
        <v>0</v>
      </c>
      <c r="O6" s="14">
        <v>0</v>
      </c>
      <c r="P6" s="14">
        <v>0</v>
      </c>
      <c r="Q6" s="14">
        <v>0</v>
      </c>
      <c r="R6" s="14">
        <v>0</v>
      </c>
      <c r="S6" s="14">
        <v>0</v>
      </c>
      <c r="T6" s="14">
        <v>0</v>
      </c>
      <c r="U6" s="14">
        <v>0</v>
      </c>
      <c r="V6" s="14">
        <v>0</v>
      </c>
      <c r="W6" s="14">
        <v>0</v>
      </c>
      <c r="X6" s="14">
        <v>0</v>
      </c>
      <c r="Y6" s="14">
        <v>0</v>
      </c>
      <c r="Z6" s="14">
        <v>0</v>
      </c>
      <c r="AA6" s="14">
        <v>0</v>
      </c>
      <c r="AB6" s="14">
        <v>0</v>
      </c>
      <c r="AC6" s="14">
        <v>0</v>
      </c>
      <c r="AD6" s="14">
        <v>0</v>
      </c>
      <c r="AE6" s="14">
        <v>0</v>
      </c>
      <c r="AF6" s="14">
        <v>0</v>
      </c>
    </row>
    <row r="7" spans="1:32" ht="15" customHeight="1" thickBot="1">
      <c r="B7" s="165" t="s">
        <v>349</v>
      </c>
      <c r="C7" s="175" t="s">
        <v>62</v>
      </c>
      <c r="D7" s="15" t="s">
        <v>107</v>
      </c>
      <c r="E7" s="15" t="s">
        <v>930</v>
      </c>
      <c r="F7" s="529"/>
      <c r="G7" s="14">
        <v>0</v>
      </c>
      <c r="H7" s="14">
        <v>0</v>
      </c>
      <c r="I7" s="14">
        <v>0</v>
      </c>
      <c r="J7" s="14">
        <v>0</v>
      </c>
      <c r="K7" s="14">
        <v>0</v>
      </c>
      <c r="L7" s="14">
        <v>0</v>
      </c>
      <c r="M7" s="14">
        <v>0</v>
      </c>
      <c r="N7" s="14">
        <v>0</v>
      </c>
      <c r="O7" s="14">
        <v>0</v>
      </c>
      <c r="P7" s="14">
        <v>0</v>
      </c>
      <c r="Q7" s="14">
        <v>0</v>
      </c>
      <c r="R7" s="14">
        <v>0</v>
      </c>
      <c r="S7" s="14">
        <v>0</v>
      </c>
      <c r="T7" s="14">
        <v>0</v>
      </c>
      <c r="U7" s="14">
        <v>0</v>
      </c>
      <c r="V7" s="14">
        <v>0</v>
      </c>
      <c r="W7" s="14">
        <v>0</v>
      </c>
      <c r="X7" s="14">
        <v>0</v>
      </c>
      <c r="Y7" s="14">
        <v>0</v>
      </c>
      <c r="Z7" s="14">
        <v>0</v>
      </c>
      <c r="AA7" s="14">
        <v>0</v>
      </c>
      <c r="AB7" s="14">
        <v>0</v>
      </c>
      <c r="AC7" s="14">
        <v>0</v>
      </c>
      <c r="AD7" s="14">
        <v>0</v>
      </c>
      <c r="AE7" s="14">
        <v>0</v>
      </c>
      <c r="AF7" s="14">
        <v>0</v>
      </c>
    </row>
    <row r="8" spans="1:32" ht="15" customHeight="1" thickBot="1">
      <c r="B8" s="165" t="s">
        <v>11</v>
      </c>
      <c r="C8" s="175" t="s">
        <v>62</v>
      </c>
      <c r="D8" s="15" t="s">
        <v>107</v>
      </c>
      <c r="E8" s="15" t="s">
        <v>930</v>
      </c>
      <c r="F8" s="529"/>
      <c r="G8" s="14">
        <v>0</v>
      </c>
      <c r="H8" s="14">
        <v>0</v>
      </c>
      <c r="I8" s="14">
        <v>0</v>
      </c>
      <c r="J8" s="14">
        <v>0</v>
      </c>
      <c r="K8" s="14">
        <v>0</v>
      </c>
      <c r="L8" s="14">
        <v>0</v>
      </c>
      <c r="M8" s="14">
        <v>0</v>
      </c>
      <c r="N8" s="14">
        <v>0</v>
      </c>
      <c r="O8" s="14">
        <v>0</v>
      </c>
      <c r="P8" s="14">
        <v>0</v>
      </c>
      <c r="Q8" s="14">
        <v>0</v>
      </c>
      <c r="R8" s="14">
        <v>0</v>
      </c>
      <c r="S8" s="14">
        <v>0</v>
      </c>
      <c r="T8" s="14">
        <v>0</v>
      </c>
      <c r="U8" s="14">
        <v>0</v>
      </c>
      <c r="V8" s="14">
        <v>0</v>
      </c>
      <c r="W8" s="14">
        <v>0</v>
      </c>
      <c r="X8" s="14">
        <v>0</v>
      </c>
      <c r="Y8" s="14">
        <v>0</v>
      </c>
      <c r="Z8" s="14">
        <v>0</v>
      </c>
      <c r="AA8" s="14">
        <v>0</v>
      </c>
      <c r="AB8" s="14">
        <v>0</v>
      </c>
      <c r="AC8" s="14">
        <v>0</v>
      </c>
      <c r="AD8" s="14">
        <v>0</v>
      </c>
      <c r="AE8" s="14">
        <v>0</v>
      </c>
      <c r="AF8" s="14">
        <v>0</v>
      </c>
    </row>
    <row r="9" spans="1:32" ht="15" customHeight="1" thickBot="1">
      <c r="B9" s="165" t="s">
        <v>10</v>
      </c>
      <c r="C9" s="175" t="s">
        <v>62</v>
      </c>
      <c r="D9" s="15" t="s">
        <v>107</v>
      </c>
      <c r="E9" s="15" t="s">
        <v>930</v>
      </c>
      <c r="F9" s="529"/>
      <c r="G9" s="14">
        <v>0</v>
      </c>
      <c r="H9" s="14">
        <v>0</v>
      </c>
      <c r="I9" s="14">
        <v>0</v>
      </c>
      <c r="J9" s="14">
        <v>0</v>
      </c>
      <c r="K9" s="14">
        <v>0</v>
      </c>
      <c r="L9" s="14">
        <v>0</v>
      </c>
      <c r="M9" s="14">
        <v>0</v>
      </c>
      <c r="N9" s="14">
        <v>0</v>
      </c>
      <c r="O9" s="14">
        <v>0</v>
      </c>
      <c r="P9" s="14">
        <v>0</v>
      </c>
      <c r="Q9" s="14">
        <v>0</v>
      </c>
      <c r="R9" s="14">
        <v>0</v>
      </c>
      <c r="S9" s="14">
        <v>0</v>
      </c>
      <c r="T9" s="14">
        <v>0</v>
      </c>
      <c r="U9" s="14">
        <v>0</v>
      </c>
      <c r="V9" s="14">
        <v>0</v>
      </c>
      <c r="W9" s="14">
        <v>0</v>
      </c>
      <c r="X9" s="14">
        <v>0</v>
      </c>
      <c r="Y9" s="14">
        <v>0</v>
      </c>
      <c r="Z9" s="14">
        <v>0</v>
      </c>
      <c r="AA9" s="14">
        <v>0</v>
      </c>
      <c r="AB9" s="14">
        <v>0</v>
      </c>
      <c r="AC9" s="14">
        <v>0</v>
      </c>
      <c r="AD9" s="14">
        <v>0</v>
      </c>
      <c r="AE9" s="14">
        <v>0</v>
      </c>
      <c r="AF9" s="14">
        <v>0</v>
      </c>
    </row>
    <row r="10" spans="1:32" ht="15" customHeight="1" thickBot="1">
      <c r="B10" s="165" t="s">
        <v>339</v>
      </c>
      <c r="C10" s="175" t="s">
        <v>62</v>
      </c>
      <c r="D10" s="15" t="s">
        <v>107</v>
      </c>
      <c r="E10" s="15" t="s">
        <v>930</v>
      </c>
      <c r="F10" s="529"/>
      <c r="G10" s="14">
        <v>0</v>
      </c>
      <c r="H10" s="14">
        <v>0</v>
      </c>
      <c r="I10" s="14">
        <v>0</v>
      </c>
      <c r="J10" s="14">
        <v>0</v>
      </c>
      <c r="K10" s="14">
        <v>0</v>
      </c>
      <c r="L10" s="14">
        <v>0</v>
      </c>
      <c r="M10" s="14">
        <v>0</v>
      </c>
      <c r="N10" s="14">
        <v>0</v>
      </c>
      <c r="O10" s="14">
        <v>0</v>
      </c>
      <c r="P10" s="14">
        <v>0</v>
      </c>
      <c r="Q10" s="14">
        <v>0</v>
      </c>
      <c r="R10" s="14">
        <v>0</v>
      </c>
      <c r="S10" s="14">
        <v>0</v>
      </c>
      <c r="T10" s="14">
        <v>0</v>
      </c>
      <c r="U10" s="14">
        <v>0</v>
      </c>
      <c r="V10" s="14">
        <v>0</v>
      </c>
      <c r="W10" s="14">
        <v>0</v>
      </c>
      <c r="X10" s="14">
        <v>0</v>
      </c>
      <c r="Y10" s="14">
        <v>0</v>
      </c>
      <c r="Z10" s="14">
        <v>0</v>
      </c>
      <c r="AA10" s="14">
        <v>0</v>
      </c>
      <c r="AB10" s="14">
        <v>0</v>
      </c>
      <c r="AC10" s="14">
        <v>0</v>
      </c>
      <c r="AD10" s="14">
        <v>0</v>
      </c>
      <c r="AE10" s="14">
        <v>0</v>
      </c>
      <c r="AF10" s="14">
        <v>0</v>
      </c>
    </row>
    <row r="11" spans="1:32" ht="15" customHeight="1" thickBot="1">
      <c r="B11" s="165" t="s">
        <v>340</v>
      </c>
      <c r="C11" s="175" t="s">
        <v>62</v>
      </c>
      <c r="D11" s="15" t="s">
        <v>107</v>
      </c>
      <c r="E11" s="15" t="s">
        <v>930</v>
      </c>
      <c r="F11" s="529"/>
      <c r="G11" s="14">
        <v>0</v>
      </c>
      <c r="H11" s="14">
        <v>0</v>
      </c>
      <c r="I11" s="14">
        <v>0</v>
      </c>
      <c r="J11" s="14">
        <v>0</v>
      </c>
      <c r="K11" s="14">
        <v>0</v>
      </c>
      <c r="L11" s="14">
        <v>0</v>
      </c>
      <c r="M11" s="14">
        <v>0</v>
      </c>
      <c r="N11" s="14">
        <v>0</v>
      </c>
      <c r="O11" s="14">
        <v>0</v>
      </c>
      <c r="P11" s="14">
        <v>0</v>
      </c>
      <c r="Q11" s="14">
        <v>0</v>
      </c>
      <c r="R11" s="14">
        <v>0</v>
      </c>
      <c r="S11" s="14">
        <v>0</v>
      </c>
      <c r="T11" s="14">
        <v>0</v>
      </c>
      <c r="U11" s="14">
        <v>0</v>
      </c>
      <c r="V11" s="14">
        <v>0</v>
      </c>
      <c r="W11" s="14">
        <v>0</v>
      </c>
      <c r="X11" s="14">
        <v>0</v>
      </c>
      <c r="Y11" s="14">
        <v>0</v>
      </c>
      <c r="Z11" s="14">
        <v>0</v>
      </c>
      <c r="AA11" s="14">
        <v>0</v>
      </c>
      <c r="AB11" s="14">
        <v>0</v>
      </c>
      <c r="AC11" s="14">
        <v>0</v>
      </c>
      <c r="AD11" s="14">
        <v>0</v>
      </c>
      <c r="AE11" s="14">
        <v>0</v>
      </c>
      <c r="AF11" s="14">
        <v>0</v>
      </c>
    </row>
    <row r="12" spans="1:32" ht="99.6" customHeight="1" thickBot="1">
      <c r="B12" s="167" t="s">
        <v>530</v>
      </c>
      <c r="C12" s="175" t="s">
        <v>62</v>
      </c>
      <c r="D12" s="15" t="s">
        <v>313</v>
      </c>
      <c r="E12" s="15" t="s">
        <v>930</v>
      </c>
      <c r="F12" s="594" t="s">
        <v>950</v>
      </c>
      <c r="G12" s="14">
        <v>0</v>
      </c>
      <c r="H12" s="14">
        <v>0</v>
      </c>
      <c r="I12" s="14">
        <v>0.57208800000000004</v>
      </c>
      <c r="J12" s="14">
        <v>2.3374609999999998</v>
      </c>
      <c r="K12" s="14">
        <v>2.7879685354829888</v>
      </c>
      <c r="L12" s="14">
        <v>2.0086940000000002</v>
      </c>
      <c r="M12" s="1078">
        <v>2.2527089999999999</v>
      </c>
      <c r="N12" s="1078">
        <v>1.6616164800000002</v>
      </c>
      <c r="O12" s="1078">
        <v>1.800618148392207</v>
      </c>
      <c r="P12" s="1078">
        <v>2.0329390000000003</v>
      </c>
      <c r="Q12" s="1078">
        <v>2.4753820000000002</v>
      </c>
      <c r="R12" s="38">
        <v>3.1455769999999998</v>
      </c>
      <c r="S12" s="38">
        <f>R12+R12*0.01</f>
        <v>3.1770327699999998</v>
      </c>
      <c r="T12" s="38">
        <v>2.0868880918641164</v>
      </c>
      <c r="U12" s="38">
        <v>2.0500092058269064</v>
      </c>
      <c r="V12" s="38">
        <v>1.9976632048994638</v>
      </c>
      <c r="W12" s="38">
        <v>1.9512618602287659</v>
      </c>
      <c r="X12" s="38">
        <v>1.8813020629850441</v>
      </c>
      <c r="Y12" s="38">
        <v>1.7739679916827171</v>
      </c>
      <c r="Z12" s="38">
        <v>1.5292463091134123</v>
      </c>
      <c r="AA12" s="38">
        <v>1.1231382177961986</v>
      </c>
      <c r="AB12" s="38">
        <v>0.71114051333572914</v>
      </c>
      <c r="AC12" s="38">
        <v>0.29259267837014319</v>
      </c>
      <c r="AD12" s="38">
        <v>0.11073023140455976</v>
      </c>
      <c r="AE12" s="38">
        <v>5.5428415282797027E-3</v>
      </c>
      <c r="AF12" s="38">
        <v>5.5428415282797027E-3</v>
      </c>
    </row>
    <row r="13" spans="1:32" ht="15" customHeight="1">
      <c r="Q13" s="1145"/>
      <c r="R13" s="1145"/>
      <c r="S13" s="1145"/>
      <c r="T13" s="1145"/>
      <c r="U13" s="1145"/>
      <c r="V13" s="1145"/>
      <c r="W13" s="1145"/>
      <c r="X13" s="1145"/>
      <c r="Y13" s="1145"/>
      <c r="Z13" s="1145"/>
      <c r="AA13" s="1145"/>
      <c r="AB13" s="1145"/>
      <c r="AC13" s="1145"/>
      <c r="AD13" s="1145"/>
      <c r="AE13" s="1145"/>
      <c r="AF13" s="1145"/>
    </row>
    <row r="14" spans="1:32" ht="15" customHeight="1"/>
    <row r="15" spans="1:32" ht="15" customHeight="1"/>
    <row r="16" spans="1:32" ht="15" customHeight="1"/>
    <row r="17" spans="14:14" ht="15" customHeight="1"/>
    <row r="18" spans="14:14" ht="15" customHeight="1">
      <c r="N18" s="1086"/>
    </row>
    <row r="19" spans="14:14" ht="15" customHeight="1"/>
    <row r="20" spans="14:14" ht="15" customHeight="1"/>
    <row r="21" spans="14:14" ht="15" customHeight="1"/>
    <row r="22" spans="14:14" ht="15" customHeight="1"/>
    <row r="23" spans="14:14" ht="15" customHeight="1"/>
    <row r="24" spans="14:14" ht="15" customHeight="1"/>
    <row r="25" spans="14:14" ht="15" customHeight="1"/>
    <row r="26" spans="14:14" ht="15" customHeight="1"/>
    <row r="27" spans="14:14" ht="15" customHeight="1"/>
    <row r="28" spans="14:14" ht="15" customHeight="1"/>
    <row r="29" spans="14:14" ht="15" customHeight="1"/>
    <row r="30" spans="14:14" ht="15" customHeight="1"/>
    <row r="31" spans="14:14" ht="15" customHeight="1"/>
    <row r="32" spans="14:1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sheetData>
  <hyperlinks>
    <hyperlink ref="A1" location="'Start-Experte'!A1" display="zurück" xr:uid="{00000000-0004-0000-2E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554137F9-1F19-456C-B701-A03A910DE22F}">
            <xm:f>ControlPanel!$D$59-1</xm:f>
            <x14:dxf>
              <font>
                <color rgb="FF9C6500"/>
              </font>
              <fill>
                <patternFill>
                  <fgColor indexed="64"/>
                  <bgColor rgb="FFFFEB9C"/>
                </patternFill>
              </fill>
            </x14:dxf>
          </x14:cfRule>
          <x14:cfRule type="cellIs" priority="2" operator="lessThan" id="{4A3BCF1F-5674-45CF-9218-51CAD760C074}">
            <xm:f>ControlPanel!$D$59</xm:f>
            <x14:dxf>
              <font>
                <color rgb="FF006100"/>
              </font>
              <fill>
                <patternFill>
                  <fgColor indexed="64"/>
                  <bgColor rgb="FFC6EFCE"/>
                </patternFill>
              </fill>
            </x14:dxf>
          </x14:cfRule>
          <x14:cfRule type="cellIs" priority="3" operator="lessThan" id="{668BAE20-144F-4ACF-9DDD-520A8C327259}">
            <xm:f>ControlPanel!$D$59+1</xm:f>
            <x14:dxf>
              <font>
                <color rgb="FF006100"/>
              </font>
              <fill>
                <patternFill>
                  <fgColor indexed="64"/>
                  <bgColor rgb="FFC6EFCE"/>
                </patternFill>
              </fill>
            </x14:dxf>
          </x14:cfRule>
          <xm:sqref>G4:AF4</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Tabelle34">
    <tabColor theme="9" tint="-0.499984740745262"/>
    <pageSetUpPr fitToPage="1"/>
  </sheetPr>
  <dimension ref="A1:AE1359"/>
  <sheetViews>
    <sheetView zoomScaleNormal="100" workbookViewId="0">
      <selection activeCell="D7" sqref="D7"/>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16384" width="11.5546875" style="9"/>
  </cols>
  <sheetData>
    <row r="1" spans="1:31">
      <c r="A1" s="41" t="s">
        <v>74</v>
      </c>
      <c r="B1" s="20" t="s">
        <v>951</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17</v>
      </c>
      <c r="G5" s="323" t="s">
        <v>17</v>
      </c>
      <c r="H5" s="323" t="s">
        <v>17</v>
      </c>
      <c r="I5" s="323" t="s">
        <v>17</v>
      </c>
      <c r="J5" s="323" t="s">
        <v>17</v>
      </c>
      <c r="K5" s="323" t="s">
        <v>17</v>
      </c>
      <c r="L5" s="323" t="s">
        <v>17</v>
      </c>
      <c r="M5" s="323" t="s">
        <v>17</v>
      </c>
      <c r="N5" s="323" t="s">
        <v>17</v>
      </c>
      <c r="O5" s="323" t="s">
        <v>17</v>
      </c>
      <c r="P5" s="323" t="s">
        <v>17</v>
      </c>
      <c r="Q5" s="323" t="s">
        <v>17</v>
      </c>
      <c r="R5" s="323" t="s">
        <v>17</v>
      </c>
      <c r="S5" s="323" t="s">
        <v>17</v>
      </c>
      <c r="T5" s="323" t="s">
        <v>17</v>
      </c>
      <c r="U5" s="323" t="s">
        <v>17</v>
      </c>
      <c r="V5" s="323" t="s">
        <v>17</v>
      </c>
      <c r="W5" s="323" t="s">
        <v>17</v>
      </c>
      <c r="X5" s="323" t="s">
        <v>17</v>
      </c>
      <c r="Y5" s="323" t="s">
        <v>17</v>
      </c>
      <c r="Z5" s="323" t="s">
        <v>17</v>
      </c>
      <c r="AA5" s="323" t="s">
        <v>17</v>
      </c>
      <c r="AB5" s="323" t="s">
        <v>17</v>
      </c>
      <c r="AC5" s="323" t="s">
        <v>17</v>
      </c>
      <c r="AD5" s="323" t="s">
        <v>17</v>
      </c>
      <c r="AE5" s="323" t="s">
        <v>17</v>
      </c>
    </row>
    <row r="6" spans="1:31" ht="15" customHeight="1">
      <c r="B6" s="172" t="s">
        <v>409</v>
      </c>
      <c r="C6" s="40" t="s">
        <v>48</v>
      </c>
      <c r="D6" s="40" t="s">
        <v>952</v>
      </c>
      <c r="E6" s="530"/>
      <c r="F6" s="104">
        <v>20.47</v>
      </c>
      <c r="G6" s="104">
        <v>35.31</v>
      </c>
      <c r="H6" s="104">
        <v>20</v>
      </c>
      <c r="I6" s="104">
        <v>20</v>
      </c>
      <c r="J6" s="104">
        <v>20</v>
      </c>
      <c r="K6" s="104"/>
      <c r="L6" s="104"/>
      <c r="M6" s="104"/>
      <c r="N6" s="104"/>
      <c r="O6" s="104"/>
      <c r="P6" s="104"/>
      <c r="Q6" s="104"/>
      <c r="R6" s="104"/>
      <c r="S6" s="104"/>
      <c r="T6" s="104"/>
      <c r="U6" s="104"/>
      <c r="V6" s="104"/>
      <c r="W6" s="104"/>
      <c r="X6" s="104"/>
      <c r="Y6" s="104"/>
      <c r="Z6" s="104"/>
      <c r="AA6" s="104"/>
      <c r="AB6" s="104"/>
      <c r="AC6" s="104"/>
      <c r="AD6" s="104"/>
      <c r="AE6" s="104"/>
    </row>
    <row r="7" spans="1:31" ht="15" customHeight="1">
      <c r="B7" s="173"/>
      <c r="C7" s="22"/>
      <c r="D7" s="35"/>
      <c r="E7" s="540"/>
      <c r="F7" s="23"/>
      <c r="G7" s="23"/>
      <c r="H7" s="23"/>
      <c r="I7" s="23"/>
      <c r="J7" s="23"/>
      <c r="K7" s="23"/>
      <c r="L7" s="23"/>
      <c r="M7" s="23"/>
      <c r="N7" s="23"/>
      <c r="O7" s="23"/>
      <c r="P7" s="23"/>
      <c r="Q7" s="23"/>
      <c r="R7" s="23"/>
      <c r="S7" s="23"/>
      <c r="T7" s="23"/>
      <c r="U7" s="23"/>
      <c r="V7" s="23"/>
      <c r="W7" s="23"/>
      <c r="X7" s="23"/>
      <c r="Y7" s="23"/>
      <c r="Z7" s="23"/>
      <c r="AA7" s="23"/>
      <c r="AB7" s="23"/>
      <c r="AC7" s="23"/>
      <c r="AD7" s="23"/>
      <c r="AE7" s="77"/>
    </row>
    <row r="8" spans="1:31" ht="15" customHeight="1">
      <c r="B8" s="16"/>
      <c r="C8" s="12"/>
      <c r="D8" s="11"/>
      <c r="E8" s="215"/>
      <c r="F8" s="321"/>
      <c r="G8" s="321"/>
      <c r="H8" s="321"/>
      <c r="I8" s="321"/>
      <c r="J8" s="321"/>
      <c r="K8" s="321"/>
      <c r="L8" s="321"/>
      <c r="M8" s="321"/>
      <c r="N8" s="321"/>
      <c r="O8" s="321"/>
      <c r="P8" s="321"/>
      <c r="Q8" s="321"/>
      <c r="R8" s="321"/>
      <c r="S8" s="321"/>
      <c r="T8" s="321"/>
      <c r="U8" s="321"/>
      <c r="V8" s="321"/>
      <c r="W8" s="321"/>
      <c r="X8" s="321"/>
      <c r="Y8" s="321"/>
      <c r="Z8" s="321"/>
      <c r="AA8" s="321"/>
      <c r="AB8" s="321"/>
      <c r="AC8" s="321"/>
      <c r="AD8" s="321"/>
      <c r="AE8" s="387"/>
    </row>
    <row r="9" spans="1:31" ht="15" customHeight="1">
      <c r="B9" s="16"/>
      <c r="C9" s="12"/>
      <c r="D9" s="11"/>
      <c r="E9" s="215"/>
      <c r="F9" s="321"/>
      <c r="G9" s="321"/>
      <c r="H9" s="321"/>
      <c r="I9" s="321"/>
      <c r="J9" s="321"/>
      <c r="K9" s="321"/>
      <c r="L9" s="321"/>
      <c r="M9" s="321"/>
      <c r="N9" s="321"/>
      <c r="O9" s="321"/>
      <c r="P9" s="321"/>
      <c r="Q9" s="321"/>
      <c r="R9" s="321"/>
      <c r="S9" s="321"/>
      <c r="T9" s="321"/>
      <c r="U9" s="321"/>
      <c r="V9" s="321"/>
      <c r="W9" s="321"/>
      <c r="X9" s="321"/>
      <c r="Y9" s="321"/>
      <c r="Z9" s="321"/>
      <c r="AA9" s="321"/>
      <c r="AB9" s="321"/>
      <c r="AC9" s="321"/>
      <c r="AD9" s="321"/>
      <c r="AE9" s="387"/>
    </row>
    <row r="10" spans="1:31" ht="15" customHeight="1">
      <c r="B10" s="16"/>
      <c r="C10" s="322"/>
      <c r="D10" s="11"/>
      <c r="E10" s="215"/>
      <c r="F10" s="321"/>
      <c r="G10" s="321"/>
      <c r="H10" s="321"/>
      <c r="I10" s="321"/>
      <c r="J10" s="321"/>
      <c r="K10" s="321"/>
      <c r="L10" s="321"/>
      <c r="M10" s="321"/>
      <c r="N10" s="321"/>
      <c r="O10" s="321"/>
      <c r="P10" s="321"/>
      <c r="Q10" s="321"/>
      <c r="R10" s="321"/>
      <c r="S10" s="321"/>
      <c r="T10" s="321"/>
      <c r="U10" s="321"/>
      <c r="V10" s="321"/>
      <c r="W10" s="321"/>
      <c r="X10" s="321"/>
      <c r="Y10" s="321"/>
      <c r="Z10" s="321"/>
      <c r="AA10" s="321"/>
      <c r="AB10" s="321"/>
      <c r="AC10" s="321"/>
      <c r="AD10" s="321"/>
      <c r="AE10" s="387"/>
    </row>
    <row r="11" spans="1:31" ht="15" customHeight="1">
      <c r="B11" s="16"/>
      <c r="C11" s="322"/>
      <c r="D11" s="11"/>
      <c r="E11" s="215"/>
      <c r="F11" s="321"/>
      <c r="G11" s="321"/>
      <c r="H11" s="321"/>
      <c r="I11" s="321"/>
      <c r="J11" s="321"/>
      <c r="K11" s="321"/>
      <c r="L11" s="321"/>
      <c r="M11" s="321"/>
      <c r="N11" s="321"/>
      <c r="O11" s="321"/>
      <c r="P11" s="321"/>
      <c r="Q11" s="321"/>
      <c r="R11" s="321"/>
      <c r="S11" s="321"/>
      <c r="T11" s="321"/>
      <c r="U11" s="321"/>
      <c r="V11" s="321"/>
      <c r="W11" s="321"/>
      <c r="X11" s="321"/>
      <c r="Y11" s="321"/>
      <c r="Z11" s="321"/>
      <c r="AA11" s="321"/>
      <c r="AB11" s="321"/>
      <c r="AC11" s="321"/>
      <c r="AD11" s="321"/>
      <c r="AE11" s="387"/>
    </row>
    <row r="12" spans="1:31" ht="15" customHeight="1">
      <c r="B12" s="16"/>
      <c r="C12" s="322"/>
      <c r="D12" s="11"/>
      <c r="E12" s="215"/>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87"/>
    </row>
    <row r="13" spans="1:31" ht="15" customHeight="1">
      <c r="B13" s="16"/>
      <c r="C13" s="322"/>
      <c r="D13" s="11"/>
      <c r="E13" s="215"/>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87"/>
    </row>
    <row r="14" spans="1:31" ht="15" customHeight="1">
      <c r="B14" s="16"/>
      <c r="C14" s="322"/>
      <c r="D14" s="11"/>
      <c r="E14" s="215"/>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87"/>
    </row>
    <row r="15" spans="1:31" ht="15" customHeight="1">
      <c r="B15" s="16"/>
      <c r="C15" s="12"/>
      <c r="D15" s="11"/>
      <c r="E15" s="215"/>
      <c r="F15" s="321"/>
      <c r="G15" s="321"/>
      <c r="H15" s="321"/>
      <c r="I15" s="321"/>
      <c r="J15" s="321"/>
      <c r="K15" s="321"/>
      <c r="L15" s="321"/>
      <c r="M15" s="321"/>
      <c r="N15" s="321"/>
      <c r="O15" s="321"/>
      <c r="P15" s="321"/>
      <c r="Q15" s="321"/>
      <c r="R15" s="321"/>
      <c r="S15" s="321"/>
      <c r="T15" s="321"/>
      <c r="U15" s="321"/>
      <c r="V15" s="321"/>
      <c r="W15" s="321"/>
      <c r="X15" s="321"/>
      <c r="Y15" s="321"/>
      <c r="Z15" s="321"/>
      <c r="AA15" s="321"/>
      <c r="AB15" s="321"/>
      <c r="AC15" s="321"/>
      <c r="AD15" s="321"/>
      <c r="AE15" s="387"/>
    </row>
    <row r="16" spans="1:31" ht="15" customHeight="1">
      <c r="B16" s="16"/>
      <c r="C16" s="12"/>
      <c r="D16" s="11"/>
      <c r="E16" s="215"/>
      <c r="F16" s="321"/>
      <c r="G16" s="321"/>
      <c r="H16" s="321"/>
      <c r="I16" s="321"/>
      <c r="J16" s="321"/>
      <c r="K16" s="321"/>
      <c r="L16" s="321"/>
      <c r="M16" s="321"/>
      <c r="N16" s="321"/>
      <c r="O16" s="321"/>
      <c r="P16" s="321"/>
      <c r="Q16" s="321"/>
      <c r="R16" s="321"/>
      <c r="S16" s="321"/>
      <c r="T16" s="321"/>
      <c r="U16" s="321"/>
      <c r="V16" s="321"/>
      <c r="W16" s="321"/>
      <c r="X16" s="321"/>
      <c r="Y16" s="321"/>
      <c r="Z16" s="321"/>
      <c r="AA16" s="321"/>
      <c r="AB16" s="321"/>
      <c r="AC16" s="321"/>
      <c r="AD16" s="321"/>
      <c r="AE16" s="387"/>
    </row>
    <row r="17" spans="2:31" ht="15" customHeight="1">
      <c r="B17" s="16"/>
      <c r="C17" s="12"/>
      <c r="D17" s="11"/>
      <c r="E17" s="215"/>
      <c r="F17" s="321"/>
      <c r="G17" s="321"/>
      <c r="H17" s="321"/>
      <c r="I17" s="321"/>
      <c r="J17" s="321"/>
      <c r="K17" s="321"/>
      <c r="L17" s="321"/>
      <c r="M17" s="321"/>
      <c r="N17" s="321"/>
      <c r="O17" s="321"/>
      <c r="P17" s="321"/>
      <c r="Q17" s="321"/>
      <c r="R17" s="321"/>
      <c r="S17" s="321"/>
      <c r="T17" s="321"/>
      <c r="U17" s="321"/>
      <c r="V17" s="321"/>
      <c r="W17" s="321"/>
      <c r="X17" s="321"/>
      <c r="Y17" s="321"/>
      <c r="Z17" s="321"/>
      <c r="AA17" s="321"/>
      <c r="AB17" s="321"/>
      <c r="AC17" s="321"/>
      <c r="AD17" s="321"/>
      <c r="AE17" s="387"/>
    </row>
    <row r="18" spans="2:31" ht="15" customHeight="1">
      <c r="B18" s="16"/>
      <c r="C18" s="12"/>
      <c r="D18" s="11"/>
      <c r="E18" s="215"/>
      <c r="F18" s="321"/>
      <c r="G18" s="321"/>
      <c r="H18" s="321"/>
      <c r="I18" s="321"/>
      <c r="J18" s="321"/>
      <c r="K18" s="321"/>
      <c r="L18" s="321"/>
      <c r="M18" s="321"/>
      <c r="N18" s="321"/>
      <c r="O18" s="321"/>
      <c r="P18" s="321"/>
      <c r="Q18" s="321"/>
      <c r="R18" s="321"/>
      <c r="S18" s="321"/>
      <c r="T18" s="321"/>
      <c r="U18" s="321"/>
      <c r="V18" s="321"/>
      <c r="W18" s="321"/>
      <c r="X18" s="321"/>
      <c r="Y18" s="321"/>
      <c r="Z18" s="321"/>
      <c r="AA18" s="321"/>
      <c r="AB18" s="321"/>
      <c r="AC18" s="321"/>
      <c r="AD18" s="321"/>
      <c r="AE18" s="387"/>
    </row>
    <row r="19" spans="2:31" ht="15" customHeight="1">
      <c r="B19" s="16"/>
      <c r="C19" s="12"/>
      <c r="D19" s="11"/>
      <c r="E19" s="215"/>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87"/>
    </row>
    <row r="20" spans="2:31" ht="15" customHeight="1">
      <c r="B20" s="16"/>
      <c r="C20" s="12"/>
      <c r="D20" s="11"/>
      <c r="E20" s="215"/>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87"/>
    </row>
    <row r="21" spans="2:31" ht="15" customHeight="1">
      <c r="B21" s="16"/>
      <c r="C21" s="12"/>
      <c r="D21" s="11"/>
      <c r="E21" s="215"/>
      <c r="F21" s="321"/>
      <c r="G21" s="321"/>
      <c r="H21" s="321"/>
      <c r="I21" s="321"/>
      <c r="J21" s="321"/>
      <c r="K21" s="321"/>
      <c r="L21" s="321"/>
      <c r="M21" s="321"/>
      <c r="N21" s="321"/>
      <c r="O21" s="321"/>
      <c r="P21" s="321"/>
      <c r="Q21" s="321"/>
      <c r="R21" s="321"/>
      <c r="S21" s="321"/>
      <c r="T21" s="321"/>
      <c r="U21" s="321"/>
      <c r="V21" s="321"/>
      <c r="W21" s="321"/>
      <c r="X21" s="321"/>
      <c r="Y21" s="321"/>
      <c r="Z21" s="321"/>
      <c r="AA21" s="321"/>
      <c r="AB21" s="321"/>
      <c r="AC21" s="321"/>
      <c r="AD21" s="321"/>
      <c r="AE21" s="387"/>
    </row>
    <row r="22" spans="2:31" ht="15" customHeight="1">
      <c r="B22" s="16"/>
      <c r="C22" s="12"/>
      <c r="D22" s="11"/>
      <c r="E22" s="215"/>
      <c r="F22" s="321"/>
      <c r="G22" s="321"/>
      <c r="H22" s="321"/>
      <c r="I22" s="321"/>
      <c r="J22" s="321"/>
      <c r="K22" s="321"/>
      <c r="L22" s="321"/>
      <c r="M22" s="321"/>
      <c r="N22" s="321"/>
      <c r="O22" s="321"/>
      <c r="P22" s="321"/>
      <c r="Q22" s="321"/>
      <c r="R22" s="321"/>
      <c r="S22" s="321"/>
      <c r="T22" s="321"/>
      <c r="U22" s="321"/>
      <c r="V22" s="321"/>
      <c r="W22" s="321"/>
      <c r="X22" s="321"/>
      <c r="Y22" s="321"/>
      <c r="Z22" s="321"/>
      <c r="AA22" s="321"/>
      <c r="AB22" s="321"/>
      <c r="AC22" s="321"/>
      <c r="AD22" s="321"/>
      <c r="AE22" s="387"/>
    </row>
    <row r="23" spans="2:31" ht="15" customHeight="1">
      <c r="B23" s="16"/>
      <c r="C23" s="12"/>
      <c r="D23" s="11"/>
      <c r="E23" s="215"/>
      <c r="F23" s="321"/>
      <c r="G23" s="321"/>
      <c r="H23" s="321"/>
      <c r="I23" s="321"/>
      <c r="J23" s="321"/>
      <c r="K23" s="321"/>
      <c r="L23" s="321"/>
      <c r="M23" s="321"/>
      <c r="N23" s="321"/>
      <c r="O23" s="321"/>
      <c r="P23" s="321"/>
      <c r="Q23" s="321"/>
      <c r="R23" s="321"/>
      <c r="S23" s="321"/>
      <c r="T23" s="321"/>
      <c r="U23" s="321"/>
      <c r="V23" s="321"/>
      <c r="W23" s="321"/>
      <c r="X23" s="321"/>
      <c r="Y23" s="321"/>
      <c r="Z23" s="321"/>
      <c r="AA23" s="321"/>
      <c r="AB23" s="321"/>
      <c r="AC23" s="321"/>
      <c r="AD23" s="321"/>
      <c r="AE23" s="387"/>
    </row>
    <row r="24" spans="2:31" ht="15" customHeight="1">
      <c r="B24" s="16"/>
      <c r="C24" s="12"/>
      <c r="D24" s="11"/>
      <c r="E24" s="215"/>
      <c r="F24" s="321"/>
      <c r="G24" s="321"/>
      <c r="H24" s="321"/>
      <c r="I24" s="321"/>
      <c r="J24" s="321"/>
      <c r="K24" s="321"/>
      <c r="L24" s="321"/>
      <c r="M24" s="321"/>
      <c r="N24" s="321"/>
      <c r="O24" s="321"/>
      <c r="P24" s="321"/>
      <c r="Q24" s="321"/>
      <c r="R24" s="321"/>
      <c r="S24" s="321"/>
      <c r="T24" s="321"/>
      <c r="U24" s="321"/>
      <c r="V24" s="321"/>
      <c r="W24" s="321"/>
      <c r="X24" s="321"/>
      <c r="Y24" s="321"/>
      <c r="Z24" s="321"/>
      <c r="AA24" s="321"/>
      <c r="AB24" s="321"/>
      <c r="AC24" s="321"/>
      <c r="AD24" s="321"/>
      <c r="AE24" s="387"/>
    </row>
    <row r="25" spans="2:31" ht="15" customHeight="1">
      <c r="B25" s="296"/>
      <c r="C25" s="24"/>
      <c r="D25" s="461"/>
      <c r="E25" s="546"/>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80"/>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2F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723" operator="greaterThan" id="{00000000-0000-0000-0000-000000000000}">
            <xm:f>ControlPanel!$D$59-1</xm:f>
            <x14:dxf>
              <font>
                <color rgb="FF9C6500"/>
              </font>
              <fill>
                <patternFill>
                  <fgColor indexed="64"/>
                  <bgColor rgb="FFFFEB9C"/>
                </patternFill>
              </fill>
            </x14:dxf>
          </x14:cfRule>
          <x14:cfRule type="cellIs" priority="724" operator="lessThan" id="{00000000-0000-0000-0000-000000000000}">
            <xm:f>ControlPanel!$D$59</xm:f>
            <x14:dxf>
              <font>
                <color rgb="FF006100"/>
              </font>
              <fill>
                <patternFill>
                  <fgColor indexed="64"/>
                  <bgColor rgb="FFC6EFCE"/>
                </patternFill>
              </fill>
            </x14:dxf>
          </x14:cfRule>
          <xm:sqref>F4:AE4</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Tabelle59">
    <tabColor theme="9" tint="-0.499984740745262"/>
    <pageSetUpPr fitToPage="1"/>
  </sheetPr>
  <dimension ref="A1:AF1359"/>
  <sheetViews>
    <sheetView zoomScaleNormal="100" workbookViewId="0">
      <selection activeCell="D7" sqref="D7"/>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32" width="11.5546875" style="136"/>
    <col min="33" max="16384" width="11.5546875" style="9"/>
  </cols>
  <sheetData>
    <row r="1" spans="1:31">
      <c r="A1" s="41" t="s">
        <v>74</v>
      </c>
      <c r="B1" s="20" t="s">
        <v>727</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20</v>
      </c>
      <c r="G5" s="323" t="s">
        <v>20</v>
      </c>
      <c r="H5" s="323" t="s">
        <v>20</v>
      </c>
      <c r="I5" s="323" t="s">
        <v>20</v>
      </c>
      <c r="J5" s="323" t="s">
        <v>20</v>
      </c>
      <c r="K5" s="323" t="s">
        <v>20</v>
      </c>
      <c r="L5" s="323" t="s">
        <v>20</v>
      </c>
      <c r="M5" s="323" t="s">
        <v>20</v>
      </c>
      <c r="N5" s="323" t="s">
        <v>20</v>
      </c>
      <c r="O5" s="323" t="s">
        <v>20</v>
      </c>
      <c r="P5" s="323" t="s">
        <v>20</v>
      </c>
      <c r="Q5" s="323" t="s">
        <v>20</v>
      </c>
      <c r="R5" s="323" t="s">
        <v>20</v>
      </c>
      <c r="S5" s="323" t="s">
        <v>20</v>
      </c>
      <c r="T5" s="323" t="s">
        <v>20</v>
      </c>
      <c r="U5" s="323" t="s">
        <v>20</v>
      </c>
      <c r="V5" s="323" t="s">
        <v>20</v>
      </c>
      <c r="W5" s="323" t="s">
        <v>20</v>
      </c>
      <c r="X5" s="323" t="s">
        <v>20</v>
      </c>
      <c r="Y5" s="323" t="s">
        <v>20</v>
      </c>
      <c r="Z5" s="323" t="s">
        <v>20</v>
      </c>
      <c r="AA5" s="323" t="s">
        <v>20</v>
      </c>
      <c r="AB5" s="323" t="s">
        <v>20</v>
      </c>
      <c r="AC5" s="323" t="s">
        <v>20</v>
      </c>
      <c r="AD5" s="323" t="s">
        <v>20</v>
      </c>
      <c r="AE5" s="323" t="s">
        <v>20</v>
      </c>
    </row>
    <row r="6" spans="1:31" ht="15" customHeight="1" thickBot="1">
      <c r="B6" s="170" t="s">
        <v>409</v>
      </c>
      <c r="C6" s="15" t="s">
        <v>48</v>
      </c>
      <c r="D6" s="1020" t="s">
        <v>953</v>
      </c>
      <c r="E6" s="529"/>
      <c r="F6" s="14">
        <v>0</v>
      </c>
      <c r="G6" s="14">
        <v>0</v>
      </c>
      <c r="H6" s="14">
        <v>0</v>
      </c>
      <c r="I6" s="14">
        <v>0</v>
      </c>
      <c r="J6" s="14">
        <v>0</v>
      </c>
      <c r="K6" s="14">
        <v>1</v>
      </c>
      <c r="L6" s="14">
        <v>1</v>
      </c>
      <c r="M6" s="14">
        <v>1</v>
      </c>
      <c r="N6" s="14">
        <v>1</v>
      </c>
      <c r="O6" s="14">
        <v>1</v>
      </c>
      <c r="P6" s="14">
        <v>1</v>
      </c>
      <c r="Q6" s="14">
        <v>1</v>
      </c>
      <c r="R6" s="14">
        <v>1</v>
      </c>
      <c r="S6" s="14">
        <v>1</v>
      </c>
      <c r="T6" s="14">
        <v>1</v>
      </c>
      <c r="U6" s="14">
        <v>1</v>
      </c>
      <c r="V6" s="14">
        <v>1</v>
      </c>
      <c r="W6" s="14">
        <v>1</v>
      </c>
      <c r="X6" s="14">
        <v>1</v>
      </c>
      <c r="Y6" s="14">
        <v>1</v>
      </c>
      <c r="Z6" s="14">
        <v>1</v>
      </c>
      <c r="AA6" s="14">
        <v>1</v>
      </c>
      <c r="AB6" s="14">
        <v>1</v>
      </c>
      <c r="AC6" s="14">
        <v>1</v>
      </c>
      <c r="AD6" s="14">
        <v>1</v>
      </c>
      <c r="AE6" s="14">
        <v>1</v>
      </c>
    </row>
    <row r="7" spans="1:31" ht="15" customHeight="1">
      <c r="B7" s="174"/>
      <c r="C7" s="12"/>
      <c r="D7" s="11"/>
      <c r="E7" s="215"/>
      <c r="F7" s="321"/>
      <c r="G7" s="321"/>
      <c r="H7" s="321"/>
      <c r="I7" s="321"/>
      <c r="J7" s="321"/>
      <c r="K7" s="321"/>
      <c r="L7" s="321"/>
      <c r="M7" s="321"/>
      <c r="N7" s="321"/>
      <c r="O7" s="321"/>
      <c r="P7" s="321"/>
      <c r="Q7" s="321"/>
      <c r="R7" s="321"/>
      <c r="S7" s="321"/>
      <c r="T7" s="321"/>
      <c r="U7" s="321"/>
      <c r="V7" s="321"/>
      <c r="W7" s="321"/>
      <c r="X7" s="321"/>
      <c r="Y7" s="321"/>
      <c r="Z7" s="321"/>
      <c r="AA7" s="321"/>
      <c r="AB7" s="321"/>
      <c r="AC7" s="321"/>
      <c r="AD7" s="321"/>
      <c r="AE7" s="321"/>
    </row>
    <row r="8" spans="1:31" ht="15" customHeight="1">
      <c r="B8" s="16"/>
      <c r="C8" s="12"/>
      <c r="D8" s="322"/>
      <c r="E8" s="26"/>
      <c r="F8" s="321"/>
      <c r="G8" s="321"/>
      <c r="H8" s="321"/>
      <c r="I8" s="321"/>
      <c r="J8" s="321"/>
      <c r="K8" s="321"/>
      <c r="L8" s="321"/>
      <c r="M8" s="321"/>
      <c r="N8" s="321"/>
      <c r="O8" s="321"/>
      <c r="P8" s="321"/>
      <c r="Q8" s="321"/>
      <c r="R8" s="321"/>
      <c r="S8" s="321"/>
      <c r="T8" s="321"/>
      <c r="U8" s="321"/>
      <c r="V8" s="321"/>
      <c r="W8" s="321"/>
      <c r="X8" s="321"/>
      <c r="Y8" s="321"/>
      <c r="Z8" s="321"/>
      <c r="AA8" s="321"/>
      <c r="AB8" s="321"/>
      <c r="AC8" s="321"/>
      <c r="AD8" s="321"/>
      <c r="AE8" s="321"/>
    </row>
    <row r="9" spans="1:31" ht="15" customHeight="1">
      <c r="B9" s="16"/>
      <c r="C9" s="12"/>
      <c r="D9" s="322"/>
      <c r="E9" s="26"/>
      <c r="F9" s="321"/>
      <c r="G9" s="321"/>
      <c r="H9" s="321"/>
      <c r="I9" s="321"/>
      <c r="J9" s="321"/>
      <c r="K9" s="321"/>
      <c r="L9" s="321"/>
      <c r="M9" s="321"/>
      <c r="N9" s="321"/>
      <c r="O9" s="321"/>
      <c r="P9" s="321"/>
      <c r="Q9" s="321"/>
      <c r="R9" s="321"/>
      <c r="S9" s="321"/>
      <c r="T9" s="321"/>
      <c r="U9" s="321"/>
      <c r="V9" s="321"/>
      <c r="W9" s="321"/>
      <c r="X9" s="321"/>
      <c r="Y9" s="321"/>
      <c r="Z9" s="321"/>
      <c r="AA9" s="321"/>
      <c r="AB9" s="321"/>
      <c r="AC9" s="321"/>
      <c r="AD9" s="321"/>
      <c r="AE9" s="321"/>
    </row>
    <row r="10" spans="1:31" ht="15" customHeight="1">
      <c r="B10" s="16"/>
      <c r="C10" s="12"/>
      <c r="D10" s="322"/>
      <c r="E10" s="26"/>
      <c r="F10" s="321"/>
      <c r="G10" s="321"/>
      <c r="H10" s="321"/>
      <c r="I10" s="321"/>
      <c r="J10" s="321"/>
      <c r="K10" s="321"/>
      <c r="L10" s="321"/>
      <c r="M10" s="321"/>
      <c r="N10" s="321"/>
      <c r="O10" s="321"/>
      <c r="P10" s="321"/>
      <c r="Q10" s="321"/>
      <c r="R10" s="321"/>
      <c r="S10" s="321"/>
      <c r="T10" s="321"/>
      <c r="U10" s="321"/>
      <c r="V10" s="321"/>
      <c r="W10" s="321"/>
      <c r="X10" s="321"/>
      <c r="Y10" s="321"/>
      <c r="Z10" s="321"/>
      <c r="AA10" s="321"/>
      <c r="AB10" s="321"/>
      <c r="AC10" s="321"/>
      <c r="AD10" s="321"/>
      <c r="AE10" s="321"/>
    </row>
    <row r="11" spans="1:31" ht="15" customHeight="1">
      <c r="B11" s="16"/>
      <c r="C11" s="12"/>
      <c r="D11" s="322"/>
      <c r="E11" s="26"/>
      <c r="F11" s="321"/>
      <c r="G11" s="321"/>
      <c r="H11" s="321"/>
      <c r="I11" s="321"/>
      <c r="J11" s="321"/>
      <c r="K11" s="321"/>
      <c r="L11" s="321"/>
      <c r="M11" s="321"/>
      <c r="N11" s="321"/>
      <c r="O11" s="321"/>
      <c r="P11" s="321"/>
      <c r="Q11" s="321"/>
      <c r="R11" s="321"/>
      <c r="S11" s="321"/>
      <c r="T11" s="321"/>
      <c r="U11" s="321"/>
      <c r="V11" s="321"/>
      <c r="W11" s="321"/>
      <c r="X11" s="321"/>
      <c r="Y11" s="321"/>
      <c r="Z11" s="321"/>
      <c r="AA11" s="321"/>
      <c r="AB11" s="321"/>
      <c r="AC11" s="321"/>
      <c r="AD11" s="321"/>
      <c r="AE11" s="321"/>
    </row>
    <row r="12" spans="1:31" ht="15" customHeight="1">
      <c r="B12" s="16"/>
      <c r="C12" s="12"/>
      <c r="D12" s="322"/>
      <c r="E12" s="26"/>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row>
    <row r="13" spans="1:31" ht="15" customHeight="1">
      <c r="B13" s="16"/>
      <c r="C13" s="12"/>
      <c r="D13" s="11"/>
      <c r="E13" s="215"/>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row>
    <row r="14" spans="1:31" ht="15" customHeight="1">
      <c r="B14" s="16"/>
      <c r="C14" s="12"/>
      <c r="D14" s="11"/>
      <c r="E14" s="215"/>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row>
    <row r="15" spans="1:31" ht="15" customHeight="1">
      <c r="B15" s="16"/>
      <c r="C15" s="12"/>
      <c r="D15" s="11"/>
      <c r="E15" s="215"/>
      <c r="F15" s="321"/>
      <c r="G15" s="321"/>
      <c r="H15" s="321"/>
      <c r="I15" s="321"/>
      <c r="J15" s="321"/>
      <c r="K15" s="321"/>
      <c r="L15" s="321"/>
      <c r="M15" s="321"/>
      <c r="N15" s="321"/>
      <c r="O15" s="321"/>
      <c r="P15" s="321"/>
      <c r="Q15" s="321"/>
      <c r="R15" s="321"/>
      <c r="S15" s="321"/>
      <c r="T15" s="321"/>
      <c r="U15" s="321"/>
      <c r="V15" s="321"/>
      <c r="W15" s="321"/>
      <c r="X15" s="321"/>
      <c r="Y15" s="321"/>
      <c r="Z15" s="321"/>
      <c r="AA15" s="321"/>
      <c r="AB15" s="321"/>
      <c r="AC15" s="321"/>
      <c r="AD15" s="321"/>
      <c r="AE15" s="321"/>
    </row>
    <row r="16" spans="1:31" ht="15" customHeight="1">
      <c r="B16" s="16"/>
      <c r="C16" s="12"/>
      <c r="D16" s="11"/>
      <c r="E16" s="215"/>
      <c r="F16" s="321"/>
      <c r="G16" s="321"/>
      <c r="H16" s="321"/>
      <c r="I16" s="321"/>
      <c r="J16" s="321"/>
      <c r="K16" s="321"/>
      <c r="L16" s="321"/>
      <c r="M16" s="321"/>
      <c r="N16" s="321"/>
      <c r="O16" s="321"/>
      <c r="P16" s="321"/>
      <c r="Q16" s="321"/>
      <c r="R16" s="321"/>
      <c r="S16" s="321"/>
      <c r="T16" s="321"/>
      <c r="U16" s="321"/>
      <c r="V16" s="321"/>
      <c r="W16" s="321"/>
      <c r="X16" s="321"/>
      <c r="Y16" s="321"/>
      <c r="Z16" s="321"/>
      <c r="AA16" s="321"/>
      <c r="AB16" s="321"/>
      <c r="AC16" s="321"/>
      <c r="AD16" s="321"/>
      <c r="AE16" s="321"/>
    </row>
    <row r="17" spans="2:31" ht="15" customHeight="1">
      <c r="B17" s="16"/>
      <c r="C17" s="12"/>
      <c r="D17" s="11"/>
      <c r="E17" s="215"/>
      <c r="F17" s="321"/>
      <c r="G17" s="321"/>
      <c r="H17" s="321"/>
      <c r="I17" s="321"/>
      <c r="J17" s="321"/>
      <c r="K17" s="321"/>
      <c r="L17" s="321"/>
      <c r="M17" s="321"/>
      <c r="N17" s="321"/>
      <c r="O17" s="321"/>
      <c r="P17" s="321"/>
      <c r="Q17" s="321"/>
      <c r="R17" s="321"/>
      <c r="S17" s="321"/>
      <c r="T17" s="321"/>
      <c r="U17" s="321"/>
      <c r="V17" s="321"/>
      <c r="W17" s="321"/>
      <c r="X17" s="321"/>
      <c r="Y17" s="321"/>
      <c r="Z17" s="321"/>
      <c r="AA17" s="321"/>
      <c r="AB17" s="321"/>
      <c r="AC17" s="321"/>
      <c r="AD17" s="321"/>
      <c r="AE17" s="321"/>
    </row>
    <row r="18" spans="2:31" ht="15" customHeight="1">
      <c r="B18" s="16"/>
      <c r="C18" s="12"/>
      <c r="D18" s="11"/>
      <c r="E18" s="215"/>
      <c r="F18" s="321"/>
      <c r="G18" s="321"/>
      <c r="H18" s="321"/>
      <c r="I18" s="321"/>
      <c r="J18" s="321"/>
      <c r="K18" s="321"/>
      <c r="L18" s="321"/>
      <c r="M18" s="321"/>
      <c r="N18" s="321"/>
      <c r="O18" s="321"/>
      <c r="P18" s="321"/>
      <c r="Q18" s="321"/>
      <c r="R18" s="321"/>
      <c r="S18" s="321"/>
      <c r="T18" s="321"/>
      <c r="U18" s="321"/>
      <c r="V18" s="321"/>
      <c r="W18" s="321"/>
      <c r="X18" s="321"/>
      <c r="Y18" s="321"/>
      <c r="Z18" s="321"/>
      <c r="AA18" s="321"/>
      <c r="AB18" s="321"/>
      <c r="AC18" s="321"/>
      <c r="AD18" s="321"/>
      <c r="AE18" s="321"/>
    </row>
    <row r="19" spans="2:31" ht="15" customHeight="1">
      <c r="B19" s="16"/>
      <c r="C19" s="12"/>
      <c r="D19" s="11"/>
      <c r="E19" s="215"/>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row>
    <row r="20" spans="2:31" ht="15" customHeight="1">
      <c r="B20" s="16"/>
      <c r="C20" s="12"/>
      <c r="D20" s="11"/>
      <c r="E20" s="215"/>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row>
    <row r="21" spans="2:31" ht="15" customHeight="1">
      <c r="B21" s="16"/>
      <c r="C21" s="12"/>
      <c r="D21" s="11"/>
      <c r="E21" s="215"/>
      <c r="F21" s="321"/>
      <c r="G21" s="321"/>
      <c r="H21" s="321"/>
      <c r="I21" s="321"/>
      <c r="J21" s="321"/>
      <c r="K21" s="321"/>
      <c r="L21" s="321"/>
      <c r="M21" s="321"/>
      <c r="N21" s="321"/>
      <c r="O21" s="321"/>
      <c r="P21" s="321"/>
      <c r="Q21" s="321"/>
      <c r="R21" s="321"/>
      <c r="S21" s="321"/>
      <c r="T21" s="321"/>
      <c r="U21" s="321"/>
      <c r="V21" s="321"/>
      <c r="W21" s="321"/>
      <c r="X21" s="321"/>
      <c r="Y21" s="321"/>
      <c r="Z21" s="321"/>
      <c r="AA21" s="321"/>
      <c r="AB21" s="321"/>
      <c r="AC21" s="321"/>
      <c r="AD21" s="321"/>
      <c r="AE21" s="321"/>
    </row>
    <row r="22" spans="2:31" ht="15" customHeight="1">
      <c r="B22" s="16"/>
      <c r="C22" s="12"/>
      <c r="D22" s="11"/>
      <c r="E22" s="215"/>
      <c r="F22" s="321"/>
      <c r="G22" s="321"/>
      <c r="H22" s="321"/>
      <c r="I22" s="321"/>
      <c r="J22" s="321"/>
      <c r="K22" s="321"/>
      <c r="L22" s="321"/>
      <c r="M22" s="321"/>
      <c r="N22" s="321"/>
      <c r="O22" s="321"/>
      <c r="P22" s="321"/>
      <c r="Q22" s="321"/>
      <c r="R22" s="321"/>
      <c r="S22" s="321"/>
      <c r="T22" s="321"/>
      <c r="U22" s="321"/>
      <c r="V22" s="321"/>
      <c r="W22" s="321"/>
      <c r="X22" s="321"/>
      <c r="Y22" s="321"/>
      <c r="Z22" s="321"/>
      <c r="AA22" s="321"/>
      <c r="AB22" s="321"/>
      <c r="AC22" s="321"/>
      <c r="AD22" s="321"/>
      <c r="AE22" s="321"/>
    </row>
    <row r="23" spans="2:31" ht="15" customHeight="1">
      <c r="B23" s="16"/>
      <c r="C23" s="12"/>
      <c r="D23" s="11"/>
      <c r="E23" s="215"/>
      <c r="F23" s="321"/>
      <c r="G23" s="321"/>
      <c r="H23" s="321"/>
      <c r="I23" s="321"/>
      <c r="J23" s="321"/>
      <c r="K23" s="321"/>
      <c r="L23" s="321"/>
      <c r="M23" s="321"/>
      <c r="N23" s="321"/>
      <c r="O23" s="321"/>
      <c r="P23" s="321"/>
      <c r="Q23" s="321"/>
      <c r="R23" s="321"/>
      <c r="S23" s="321"/>
      <c r="T23" s="321"/>
      <c r="U23" s="321"/>
      <c r="V23" s="321"/>
      <c r="W23" s="321"/>
      <c r="X23" s="321"/>
      <c r="Y23" s="321"/>
      <c r="Z23" s="321"/>
      <c r="AA23" s="321"/>
      <c r="AB23" s="321"/>
      <c r="AC23" s="321"/>
      <c r="AD23" s="321"/>
      <c r="AE23" s="321"/>
    </row>
    <row r="24" spans="2:31" ht="15" customHeight="1">
      <c r="B24" s="16"/>
      <c r="C24" s="12"/>
      <c r="D24" s="11"/>
      <c r="E24" s="215"/>
      <c r="F24" s="321"/>
      <c r="G24" s="321"/>
      <c r="H24" s="321"/>
      <c r="I24" s="321"/>
      <c r="J24" s="321"/>
      <c r="K24" s="321"/>
      <c r="L24" s="321"/>
      <c r="M24" s="321"/>
      <c r="N24" s="321"/>
      <c r="O24" s="321"/>
      <c r="P24" s="321"/>
      <c r="Q24" s="321"/>
      <c r="R24" s="321"/>
      <c r="S24" s="321"/>
      <c r="T24" s="321"/>
      <c r="U24" s="321"/>
      <c r="V24" s="321"/>
      <c r="W24" s="321"/>
      <c r="X24" s="321"/>
      <c r="Y24" s="321"/>
      <c r="Z24" s="321"/>
      <c r="AA24" s="321"/>
      <c r="AB24" s="321"/>
      <c r="AC24" s="321"/>
      <c r="AD24" s="321"/>
      <c r="AE24" s="321"/>
    </row>
    <row r="25" spans="2:31" ht="15" customHeight="1">
      <c r="B25" s="296"/>
      <c r="C25" s="24"/>
      <c r="D25" s="461"/>
      <c r="E25" s="546"/>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30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B98A2184-3379-4F65-92FA-7B1D51AEF6F1}">
            <xm:f>ControlPanel!$D$59-1</xm:f>
            <x14:dxf>
              <font>
                <color rgb="FF9C6500"/>
              </font>
              <fill>
                <patternFill>
                  <fgColor indexed="64"/>
                  <bgColor rgb="FFFFEB9C"/>
                </patternFill>
              </fill>
            </x14:dxf>
          </x14:cfRule>
          <x14:cfRule type="cellIs" priority="2" operator="lessThan" id="{CDAD6E27-3B0E-4BA4-BCC1-DB35D4983A21}">
            <xm:f>ControlPanel!$D$59</xm:f>
            <x14:dxf>
              <font>
                <color rgb="FF006100"/>
              </font>
              <fill>
                <patternFill>
                  <fgColor indexed="64"/>
                  <bgColor rgb="FFC6EFCE"/>
                </patternFill>
              </fill>
            </x14:dxf>
          </x14:cfRule>
          <xm:sqref>F4:AE4</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Tabelle48">
    <tabColor theme="9" tint="-0.499984740745262"/>
  </sheetPr>
  <dimension ref="A1:AF1191"/>
  <sheetViews>
    <sheetView zoomScaleNormal="100" workbookViewId="0">
      <selection activeCell="E13" sqref="E13"/>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4" width="8.6640625" style="9" customWidth="1"/>
    <col min="15" max="32" width="8.6640625" style="9" customWidth="1" outlineLevel="1"/>
    <col min="33" max="16384" width="11.5546875" style="9"/>
  </cols>
  <sheetData>
    <row r="1" spans="1:32">
      <c r="A1" s="41" t="s">
        <v>74</v>
      </c>
      <c r="B1" s="61" t="s">
        <v>954</v>
      </c>
      <c r="C1" s="61"/>
      <c r="D1" s="19"/>
      <c r="E1" s="19"/>
      <c r="F1" s="19"/>
    </row>
    <row r="2" spans="1:32">
      <c r="B2" s="37"/>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17</v>
      </c>
      <c r="H5" s="323" t="s">
        <v>17</v>
      </c>
      <c r="I5" s="323" t="s">
        <v>17</v>
      </c>
      <c r="J5" s="323" t="s">
        <v>17</v>
      </c>
      <c r="K5" s="323" t="s">
        <v>17</v>
      </c>
      <c r="L5" s="323" t="s">
        <v>17</v>
      </c>
      <c r="M5" s="323" t="s">
        <v>17</v>
      </c>
      <c r="N5" s="323" t="s">
        <v>17</v>
      </c>
      <c r="O5" s="323" t="s">
        <v>17</v>
      </c>
      <c r="P5" s="323" t="s">
        <v>17</v>
      </c>
      <c r="Q5" s="323" t="s">
        <v>17</v>
      </c>
      <c r="R5" s="323" t="s">
        <v>17</v>
      </c>
      <c r="S5" s="323" t="s">
        <v>17</v>
      </c>
      <c r="T5" s="323" t="s">
        <v>17</v>
      </c>
      <c r="U5" s="323" t="s">
        <v>17</v>
      </c>
      <c r="V5" s="323" t="s">
        <v>17</v>
      </c>
      <c r="W5" s="323" t="s">
        <v>17</v>
      </c>
      <c r="X5" s="323" t="s">
        <v>17</v>
      </c>
      <c r="Y5" s="323" t="s">
        <v>17</v>
      </c>
      <c r="Z5" s="323" t="s">
        <v>17</v>
      </c>
      <c r="AA5" s="323" t="s">
        <v>17</v>
      </c>
      <c r="AB5" s="323" t="s">
        <v>17</v>
      </c>
      <c r="AC5" s="323" t="s">
        <v>17</v>
      </c>
      <c r="AD5" s="323" t="s">
        <v>17</v>
      </c>
      <c r="AE5" s="323" t="s">
        <v>17</v>
      </c>
      <c r="AF5" s="323" t="s">
        <v>17</v>
      </c>
    </row>
    <row r="6" spans="1:32" ht="15" customHeight="1" thickBot="1">
      <c r="B6" s="166" t="s">
        <v>529</v>
      </c>
      <c r="C6" s="175" t="s">
        <v>409</v>
      </c>
      <c r="D6" s="15" t="s">
        <v>106</v>
      </c>
      <c r="E6" s="15">
        <v>0</v>
      </c>
      <c r="F6" s="529"/>
      <c r="G6" s="14">
        <v>0</v>
      </c>
      <c r="H6" s="14">
        <v>0</v>
      </c>
      <c r="I6" s="14">
        <v>0</v>
      </c>
      <c r="J6" s="14">
        <v>0</v>
      </c>
      <c r="K6" s="14">
        <v>0</v>
      </c>
      <c r="L6" s="14">
        <v>0</v>
      </c>
      <c r="M6" s="14">
        <v>0</v>
      </c>
      <c r="N6" s="14">
        <v>0</v>
      </c>
      <c r="O6" s="14">
        <v>0</v>
      </c>
      <c r="P6" s="14">
        <v>0</v>
      </c>
      <c r="Q6" s="14">
        <v>0</v>
      </c>
      <c r="R6" s="14">
        <v>0</v>
      </c>
      <c r="S6" s="14">
        <v>0</v>
      </c>
      <c r="T6" s="14">
        <v>0</v>
      </c>
      <c r="U6" s="14">
        <v>0</v>
      </c>
      <c r="V6" s="14">
        <v>0</v>
      </c>
      <c r="W6" s="14">
        <v>0</v>
      </c>
      <c r="X6" s="14">
        <v>0</v>
      </c>
      <c r="Y6" s="14">
        <v>0</v>
      </c>
      <c r="Z6" s="14">
        <v>0</v>
      </c>
      <c r="AA6" s="14">
        <v>0</v>
      </c>
      <c r="AB6" s="14">
        <v>0</v>
      </c>
      <c r="AC6" s="14">
        <v>0</v>
      </c>
      <c r="AD6" s="14">
        <v>0</v>
      </c>
      <c r="AE6" s="14">
        <v>0</v>
      </c>
      <c r="AF6" s="14">
        <v>0</v>
      </c>
    </row>
    <row r="7" spans="1:32" ht="15" customHeight="1" thickBot="1">
      <c r="B7" s="165" t="s">
        <v>349</v>
      </c>
      <c r="C7" s="175" t="s">
        <v>409</v>
      </c>
      <c r="D7" s="15" t="s">
        <v>106</v>
      </c>
      <c r="E7" s="15">
        <v>0</v>
      </c>
      <c r="F7" s="529"/>
      <c r="G7" s="14">
        <v>0</v>
      </c>
      <c r="H7" s="14">
        <v>0</v>
      </c>
      <c r="I7" s="14">
        <v>0</v>
      </c>
      <c r="J7" s="14">
        <v>0</v>
      </c>
      <c r="K7" s="14">
        <v>0</v>
      </c>
      <c r="L7" s="14">
        <v>0</v>
      </c>
      <c r="M7" s="14">
        <v>0</v>
      </c>
      <c r="N7" s="14">
        <v>0</v>
      </c>
      <c r="O7" s="14">
        <v>0</v>
      </c>
      <c r="P7" s="14">
        <v>0</v>
      </c>
      <c r="Q7" s="14">
        <v>0</v>
      </c>
      <c r="R7" s="14">
        <v>0</v>
      </c>
      <c r="S7" s="14">
        <v>0</v>
      </c>
      <c r="T7" s="14">
        <v>0</v>
      </c>
      <c r="U7" s="14">
        <v>0</v>
      </c>
      <c r="V7" s="14">
        <v>0</v>
      </c>
      <c r="W7" s="14">
        <v>0</v>
      </c>
      <c r="X7" s="14">
        <v>0</v>
      </c>
      <c r="Y7" s="14">
        <v>0</v>
      </c>
      <c r="Z7" s="14">
        <v>0</v>
      </c>
      <c r="AA7" s="14">
        <v>0</v>
      </c>
      <c r="AB7" s="14">
        <v>0</v>
      </c>
      <c r="AC7" s="14">
        <v>0</v>
      </c>
      <c r="AD7" s="14">
        <v>0</v>
      </c>
      <c r="AE7" s="14">
        <v>0</v>
      </c>
      <c r="AF7" s="14">
        <v>0</v>
      </c>
    </row>
    <row r="8" spans="1:32" ht="15" customHeight="1" thickBot="1">
      <c r="B8" s="165" t="s">
        <v>11</v>
      </c>
      <c r="C8" s="175" t="s">
        <v>409</v>
      </c>
      <c r="D8" s="15" t="s">
        <v>106</v>
      </c>
      <c r="E8" s="15">
        <v>0</v>
      </c>
      <c r="F8" s="529"/>
      <c r="G8" s="14">
        <v>0</v>
      </c>
      <c r="H8" s="14">
        <v>0</v>
      </c>
      <c r="I8" s="14">
        <v>0</v>
      </c>
      <c r="J8" s="14">
        <v>0</v>
      </c>
      <c r="K8" s="14">
        <v>0</v>
      </c>
      <c r="L8" s="14">
        <v>0</v>
      </c>
      <c r="M8" s="14">
        <v>0</v>
      </c>
      <c r="N8" s="14">
        <v>0</v>
      </c>
      <c r="O8" s="14">
        <v>0</v>
      </c>
      <c r="P8" s="14">
        <v>0</v>
      </c>
      <c r="Q8" s="14">
        <v>0</v>
      </c>
      <c r="R8" s="14">
        <v>0</v>
      </c>
      <c r="S8" s="14">
        <v>0</v>
      </c>
      <c r="T8" s="14">
        <v>0</v>
      </c>
      <c r="U8" s="14">
        <v>0</v>
      </c>
      <c r="V8" s="14">
        <v>0</v>
      </c>
      <c r="W8" s="14">
        <v>0</v>
      </c>
      <c r="X8" s="14">
        <v>0</v>
      </c>
      <c r="Y8" s="14">
        <v>0</v>
      </c>
      <c r="Z8" s="14">
        <v>0</v>
      </c>
      <c r="AA8" s="14">
        <v>0</v>
      </c>
      <c r="AB8" s="14">
        <v>0</v>
      </c>
      <c r="AC8" s="14">
        <v>0</v>
      </c>
      <c r="AD8" s="14">
        <v>0</v>
      </c>
      <c r="AE8" s="14">
        <v>0</v>
      </c>
      <c r="AF8" s="14">
        <v>0</v>
      </c>
    </row>
    <row r="9" spans="1:32" ht="15" customHeight="1" thickBot="1">
      <c r="B9" s="165" t="s">
        <v>10</v>
      </c>
      <c r="C9" s="175" t="s">
        <v>409</v>
      </c>
      <c r="D9" s="15" t="s">
        <v>106</v>
      </c>
      <c r="E9" s="15">
        <v>0</v>
      </c>
      <c r="F9" s="529"/>
      <c r="G9" s="14">
        <v>0</v>
      </c>
      <c r="H9" s="14">
        <v>0</v>
      </c>
      <c r="I9" s="14">
        <v>0</v>
      </c>
      <c r="J9" s="14">
        <v>0</v>
      </c>
      <c r="K9" s="14">
        <v>0</v>
      </c>
      <c r="L9" s="14">
        <v>0</v>
      </c>
      <c r="M9" s="14">
        <v>0</v>
      </c>
      <c r="N9" s="14">
        <v>0</v>
      </c>
      <c r="O9" s="14">
        <v>0</v>
      </c>
      <c r="P9" s="14">
        <v>0</v>
      </c>
      <c r="Q9" s="14">
        <v>0</v>
      </c>
      <c r="R9" s="14">
        <v>0</v>
      </c>
      <c r="S9" s="14">
        <v>0</v>
      </c>
      <c r="T9" s="14">
        <v>0</v>
      </c>
      <c r="U9" s="14">
        <v>0</v>
      </c>
      <c r="V9" s="14">
        <v>0</v>
      </c>
      <c r="W9" s="14">
        <v>0</v>
      </c>
      <c r="X9" s="14">
        <v>0</v>
      </c>
      <c r="Y9" s="14">
        <v>0</v>
      </c>
      <c r="Z9" s="14">
        <v>0</v>
      </c>
      <c r="AA9" s="14">
        <v>0</v>
      </c>
      <c r="AB9" s="14">
        <v>0</v>
      </c>
      <c r="AC9" s="14">
        <v>0</v>
      </c>
      <c r="AD9" s="14">
        <v>0</v>
      </c>
      <c r="AE9" s="14">
        <v>0</v>
      </c>
      <c r="AF9" s="14">
        <v>0</v>
      </c>
    </row>
    <row r="10" spans="1:32" ht="15" customHeight="1" thickBot="1">
      <c r="B10" s="165" t="s">
        <v>339</v>
      </c>
      <c r="C10" s="175" t="s">
        <v>409</v>
      </c>
      <c r="D10" s="15" t="s">
        <v>106</v>
      </c>
      <c r="E10" s="15">
        <v>0</v>
      </c>
      <c r="F10" s="529"/>
      <c r="G10" s="14">
        <v>0</v>
      </c>
      <c r="H10" s="14">
        <v>0</v>
      </c>
      <c r="I10" s="14">
        <v>0</v>
      </c>
      <c r="J10" s="14">
        <v>0</v>
      </c>
      <c r="K10" s="14">
        <v>0</v>
      </c>
      <c r="L10" s="14">
        <v>0</v>
      </c>
      <c r="M10" s="14">
        <v>0</v>
      </c>
      <c r="N10" s="14">
        <v>0</v>
      </c>
      <c r="O10" s="14">
        <v>0</v>
      </c>
      <c r="P10" s="14">
        <v>0</v>
      </c>
      <c r="Q10" s="14">
        <v>0</v>
      </c>
      <c r="R10" s="14">
        <v>0</v>
      </c>
      <c r="S10" s="14">
        <v>0</v>
      </c>
      <c r="T10" s="14">
        <v>0</v>
      </c>
      <c r="U10" s="14">
        <v>0</v>
      </c>
      <c r="V10" s="14">
        <v>0</v>
      </c>
      <c r="W10" s="14">
        <v>0</v>
      </c>
      <c r="X10" s="14">
        <v>0</v>
      </c>
      <c r="Y10" s="14">
        <v>0</v>
      </c>
      <c r="Z10" s="14">
        <v>0</v>
      </c>
      <c r="AA10" s="14">
        <v>0</v>
      </c>
      <c r="AB10" s="14">
        <v>0</v>
      </c>
      <c r="AC10" s="14">
        <v>0</v>
      </c>
      <c r="AD10" s="14">
        <v>0</v>
      </c>
      <c r="AE10" s="14">
        <v>0</v>
      </c>
      <c r="AF10" s="14">
        <v>0</v>
      </c>
    </row>
    <row r="11" spans="1:32" ht="15" customHeight="1" thickBot="1">
      <c r="B11" s="165" t="s">
        <v>340</v>
      </c>
      <c r="C11" s="175" t="s">
        <v>409</v>
      </c>
      <c r="D11" s="15" t="s">
        <v>106</v>
      </c>
      <c r="E11" s="15">
        <v>0</v>
      </c>
      <c r="F11" s="529"/>
      <c r="G11" s="14">
        <v>0</v>
      </c>
      <c r="H11" s="14">
        <v>0</v>
      </c>
      <c r="I11" s="14">
        <v>0</v>
      </c>
      <c r="J11" s="14">
        <v>0</v>
      </c>
      <c r="K11" s="14">
        <v>0</v>
      </c>
      <c r="L11" s="14">
        <v>0</v>
      </c>
      <c r="M11" s="14">
        <v>0</v>
      </c>
      <c r="N11" s="14">
        <v>0</v>
      </c>
      <c r="O11" s="14">
        <v>0</v>
      </c>
      <c r="P11" s="14">
        <v>0</v>
      </c>
      <c r="Q11" s="14">
        <v>0</v>
      </c>
      <c r="R11" s="14">
        <v>0</v>
      </c>
      <c r="S11" s="14">
        <v>0</v>
      </c>
      <c r="T11" s="14">
        <v>0</v>
      </c>
      <c r="U11" s="14">
        <v>0</v>
      </c>
      <c r="V11" s="14">
        <v>0</v>
      </c>
      <c r="W11" s="14">
        <v>0</v>
      </c>
      <c r="X11" s="14">
        <v>0</v>
      </c>
      <c r="Y11" s="14">
        <v>0</v>
      </c>
      <c r="Z11" s="14">
        <v>0</v>
      </c>
      <c r="AA11" s="14">
        <v>0</v>
      </c>
      <c r="AB11" s="14">
        <v>0</v>
      </c>
      <c r="AC11" s="14">
        <v>0</v>
      </c>
      <c r="AD11" s="14">
        <v>0</v>
      </c>
      <c r="AE11" s="14">
        <v>0</v>
      </c>
      <c r="AF11" s="14">
        <v>0</v>
      </c>
    </row>
    <row r="12" spans="1:32" ht="15" customHeight="1" thickBot="1">
      <c r="B12" s="167" t="s">
        <v>530</v>
      </c>
      <c r="C12" s="175" t="s">
        <v>409</v>
      </c>
      <c r="D12" s="15" t="s">
        <v>300</v>
      </c>
      <c r="E12" s="15" t="s">
        <v>955</v>
      </c>
      <c r="F12" s="529"/>
      <c r="G12" s="14">
        <v>0</v>
      </c>
      <c r="H12" s="14">
        <v>0</v>
      </c>
      <c r="I12" s="14">
        <v>117.34452741536268</v>
      </c>
      <c r="J12" s="14">
        <v>42.446530658693341</v>
      </c>
      <c r="K12" s="14">
        <v>42.446530658693341</v>
      </c>
      <c r="L12" s="14">
        <v>61.584873056821998</v>
      </c>
      <c r="M12" s="14">
        <v>55.353612472804969</v>
      </c>
      <c r="N12" s="14">
        <v>116.59227181465116</v>
      </c>
      <c r="O12" s="14">
        <v>56.297696752497401</v>
      </c>
      <c r="P12" s="14">
        <v>41.435472923873455</v>
      </c>
      <c r="Q12" s="14">
        <v>37.246225444316316</v>
      </c>
      <c r="R12" s="14">
        <v>28.583544616898731</v>
      </c>
      <c r="S12" s="14">
        <v>0</v>
      </c>
      <c r="T12" s="14">
        <v>0</v>
      </c>
      <c r="U12" s="14">
        <v>0</v>
      </c>
      <c r="V12" s="14">
        <v>0</v>
      </c>
      <c r="W12" s="14">
        <v>0</v>
      </c>
      <c r="X12" s="14">
        <v>0</v>
      </c>
      <c r="Y12" s="14">
        <v>0</v>
      </c>
      <c r="Z12" s="14">
        <v>0</v>
      </c>
      <c r="AA12" s="14">
        <v>0</v>
      </c>
      <c r="AB12" s="14">
        <v>0</v>
      </c>
      <c r="AC12" s="14">
        <v>0</v>
      </c>
      <c r="AD12" s="14">
        <v>0</v>
      </c>
      <c r="AE12" s="14">
        <v>0</v>
      </c>
      <c r="AF12" s="14">
        <v>0</v>
      </c>
    </row>
    <row r="13" spans="1:32" ht="15" customHeight="1">
      <c r="B13" s="315"/>
      <c r="C13" s="10"/>
      <c r="D13" s="26"/>
      <c r="E13" s="215"/>
      <c r="F13" s="215"/>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ht="15" customHeight="1">
      <c r="C14" s="10"/>
      <c r="D14" s="26"/>
      <c r="E14" s="215"/>
      <c r="F14" s="215"/>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row>
    <row r="15" spans="1:32" ht="15" customHeight="1">
      <c r="C15" s="10"/>
      <c r="D15" s="26"/>
      <c r="E15" s="215"/>
      <c r="F15" s="215"/>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row>
    <row r="16" spans="1:32" ht="15" customHeight="1">
      <c r="C16" s="10"/>
      <c r="D16" s="26"/>
      <c r="E16" s="215"/>
      <c r="F16" s="215"/>
      <c r="G16" s="203"/>
      <c r="H16" s="203"/>
      <c r="I16" s="203"/>
      <c r="J16" s="203"/>
      <c r="K16" s="203"/>
      <c r="L16" s="203"/>
      <c r="M16" s="203"/>
      <c r="N16" s="203"/>
      <c r="O16" s="203"/>
      <c r="P16" s="203"/>
      <c r="Q16" s="203"/>
      <c r="R16" s="203"/>
      <c r="S16" s="203"/>
      <c r="T16" s="203"/>
      <c r="U16" s="203"/>
      <c r="V16" s="203"/>
      <c r="W16" s="203"/>
      <c r="X16" s="203"/>
      <c r="Y16" s="203"/>
      <c r="Z16" s="203"/>
      <c r="AA16" s="203"/>
      <c r="AB16" s="203"/>
      <c r="AC16" s="203"/>
      <c r="AD16" s="203"/>
      <c r="AE16" s="203"/>
      <c r="AF16" s="203"/>
    </row>
    <row r="17" spans="3:32" ht="15" customHeight="1">
      <c r="C17" s="10"/>
      <c r="D17" s="26"/>
      <c r="E17" s="215"/>
      <c r="F17" s="215"/>
      <c r="G17" s="203"/>
      <c r="H17" s="203"/>
      <c r="I17" s="203"/>
      <c r="J17" s="203"/>
      <c r="K17" s="203"/>
      <c r="L17" s="203"/>
      <c r="M17" s="203"/>
      <c r="N17" s="203"/>
      <c r="O17" s="203"/>
      <c r="P17" s="203"/>
      <c r="Q17" s="203"/>
      <c r="R17" s="203"/>
      <c r="S17" s="203"/>
      <c r="T17" s="203"/>
      <c r="U17" s="203"/>
      <c r="V17" s="203"/>
      <c r="W17" s="203"/>
      <c r="X17" s="203"/>
      <c r="Y17" s="203"/>
      <c r="Z17" s="203"/>
      <c r="AA17" s="203"/>
      <c r="AB17" s="203"/>
      <c r="AC17" s="203"/>
      <c r="AD17" s="203"/>
      <c r="AE17" s="203"/>
      <c r="AF17" s="203"/>
    </row>
    <row r="18" spans="3:32" ht="15" customHeight="1">
      <c r="C18" s="10"/>
      <c r="D18" s="26"/>
      <c r="E18" s="215"/>
      <c r="F18" s="215"/>
      <c r="G18" s="203"/>
      <c r="H18" s="203"/>
      <c r="I18" s="20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3:32" ht="15" customHeight="1">
      <c r="C19" s="10"/>
      <c r="D19" s="26"/>
      <c r="E19" s="215"/>
      <c r="F19" s="215"/>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3:32" ht="15" customHeight="1">
      <c r="C20" s="10"/>
      <c r="D20" s="26"/>
      <c r="E20" s="215"/>
      <c r="F20" s="215"/>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3:32" ht="15" customHeight="1">
      <c r="C21" s="10"/>
      <c r="D21" s="26"/>
      <c r="E21" s="215"/>
      <c r="F21" s="215"/>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3:32" ht="15" customHeight="1">
      <c r="C22" s="10"/>
      <c r="D22" s="26"/>
      <c r="E22" s="215"/>
      <c r="F22" s="215"/>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3:32" ht="15" customHeight="1">
      <c r="C23" s="10"/>
      <c r="D23" s="26"/>
      <c r="E23" s="215"/>
      <c r="F23" s="215"/>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3:32" ht="15" customHeight="1">
      <c r="C24" s="10"/>
      <c r="D24" s="26"/>
      <c r="E24" s="215"/>
      <c r="F24" s="215"/>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3:32" ht="15" customHeight="1">
      <c r="C25" s="10"/>
      <c r="D25" s="26"/>
      <c r="E25" s="215"/>
      <c r="F25" s="215"/>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3:32" ht="15" customHeight="1">
      <c r="C26" s="10"/>
      <c r="D26" s="26"/>
      <c r="E26" s="215"/>
      <c r="F26" s="215"/>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3:32" ht="15" customHeight="1">
      <c r="C27" s="10"/>
      <c r="D27" s="26"/>
      <c r="E27" s="215"/>
      <c r="F27" s="215"/>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3:32" ht="15" customHeight="1">
      <c r="C28" s="10"/>
      <c r="D28" s="26"/>
      <c r="E28" s="215"/>
      <c r="F28" s="215"/>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3:32" ht="15" customHeight="1">
      <c r="C29" s="10"/>
      <c r="D29" s="26"/>
      <c r="E29" s="215"/>
      <c r="F29" s="215"/>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3:32" ht="15" customHeight="1">
      <c r="C30" s="10"/>
      <c r="D30" s="26"/>
      <c r="E30" s="215"/>
      <c r="F30" s="215"/>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3:32" ht="15" customHeight="1">
      <c r="C31" s="10"/>
      <c r="D31" s="26"/>
      <c r="E31" s="215"/>
      <c r="F31" s="215"/>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3:32" ht="15" customHeight="1">
      <c r="C32" s="10"/>
      <c r="D32" s="26"/>
      <c r="E32" s="215"/>
      <c r="F32" s="215"/>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2:32" ht="15" customHeight="1">
      <c r="C33" s="10"/>
      <c r="D33" s="26"/>
      <c r="E33" s="215"/>
      <c r="F33" s="215"/>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2:32" ht="15" customHeight="1">
      <c r="C34" s="10"/>
      <c r="D34" s="26"/>
      <c r="E34" s="215"/>
      <c r="F34" s="215"/>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2:32" ht="15" customHeight="1">
      <c r="C35" s="10"/>
      <c r="D35" s="26"/>
      <c r="E35" s="215"/>
      <c r="F35" s="215"/>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2:32" ht="15" customHeight="1">
      <c r="C36" s="10"/>
      <c r="D36" s="26"/>
      <c r="E36" s="215"/>
      <c r="F36" s="215"/>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2:32" ht="15" customHeight="1">
      <c r="C37" s="10"/>
      <c r="D37" s="26"/>
      <c r="E37" s="215"/>
      <c r="F37" s="215"/>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2:32" ht="15" customHeight="1">
      <c r="C38" s="10"/>
    </row>
    <row r="39" spans="2:32" ht="15" customHeight="1">
      <c r="B39" s="315"/>
      <c r="C39" s="10"/>
      <c r="D39" s="26"/>
      <c r="E39" s="215"/>
      <c r="F39" s="215"/>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2:32" ht="15" customHeight="1">
      <c r="C40" s="10"/>
      <c r="D40" s="26"/>
      <c r="E40" s="215"/>
      <c r="F40" s="215"/>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2:32" ht="15" customHeight="1">
      <c r="C41" s="10"/>
      <c r="D41" s="26"/>
      <c r="E41" s="215"/>
      <c r="F41" s="215"/>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row r="42" spans="2:32" ht="15" customHeight="1">
      <c r="C42" s="10"/>
      <c r="D42" s="26"/>
      <c r="E42" s="215"/>
      <c r="F42" s="215"/>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row>
    <row r="43" spans="2:32" ht="15" customHeight="1">
      <c r="C43" s="10"/>
      <c r="D43" s="26"/>
      <c r="E43" s="215"/>
      <c r="F43" s="215"/>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row>
    <row r="44" spans="2:32" ht="15" customHeight="1">
      <c r="C44" s="10"/>
      <c r="D44" s="26"/>
      <c r="E44" s="215"/>
      <c r="F44" s="215"/>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row>
    <row r="45" spans="2:32" ht="15" customHeight="1">
      <c r="C45" s="10"/>
      <c r="D45" s="26"/>
      <c r="E45" s="215"/>
      <c r="F45" s="215"/>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row>
    <row r="46" spans="2:32" ht="15" customHeight="1">
      <c r="C46" s="10"/>
      <c r="D46" s="26"/>
      <c r="E46" s="215"/>
      <c r="F46" s="215"/>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row>
    <row r="47" spans="2:32" ht="15" customHeight="1">
      <c r="C47" s="10"/>
      <c r="D47" s="26"/>
      <c r="E47" s="215"/>
      <c r="F47" s="215"/>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row>
    <row r="48" spans="2:32" ht="15" customHeight="1">
      <c r="C48" s="10"/>
      <c r="D48" s="26"/>
      <c r="E48" s="215"/>
      <c r="F48" s="215"/>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row>
    <row r="49" spans="3:32" ht="15" customHeight="1">
      <c r="C49" s="10"/>
      <c r="D49" s="26"/>
      <c r="E49" s="215"/>
      <c r="F49" s="215"/>
      <c r="G49" s="203"/>
      <c r="H49" s="203"/>
      <c r="I49" s="203"/>
      <c r="J49" s="203"/>
      <c r="K49" s="203"/>
      <c r="L49" s="203"/>
      <c r="M49" s="203"/>
      <c r="N49" s="203"/>
      <c r="O49" s="203"/>
      <c r="P49" s="203"/>
      <c r="Q49" s="203"/>
      <c r="R49" s="203"/>
      <c r="S49" s="203"/>
      <c r="T49" s="203"/>
      <c r="U49" s="203"/>
      <c r="V49" s="203"/>
      <c r="W49" s="203"/>
      <c r="X49" s="203"/>
      <c r="Y49" s="203"/>
      <c r="Z49" s="203"/>
      <c r="AA49" s="203"/>
      <c r="AB49" s="203"/>
      <c r="AC49" s="203"/>
      <c r="AD49" s="203"/>
      <c r="AE49" s="203"/>
      <c r="AF49" s="203"/>
    </row>
    <row r="50" spans="3:32" ht="15" customHeight="1">
      <c r="C50" s="10"/>
      <c r="D50" s="26"/>
      <c r="E50" s="215"/>
      <c r="F50" s="215"/>
      <c r="G50" s="203"/>
      <c r="H50" s="203"/>
      <c r="I50" s="203"/>
      <c r="J50" s="203"/>
      <c r="K50" s="203"/>
      <c r="L50" s="203"/>
      <c r="M50" s="203"/>
      <c r="N50" s="203"/>
      <c r="O50" s="203"/>
      <c r="P50" s="203"/>
      <c r="Q50" s="203"/>
      <c r="R50" s="203"/>
      <c r="S50" s="203"/>
      <c r="T50" s="203"/>
      <c r="U50" s="203"/>
      <c r="V50" s="203"/>
      <c r="W50" s="203"/>
      <c r="X50" s="203"/>
      <c r="Y50" s="203"/>
      <c r="Z50" s="203"/>
      <c r="AA50" s="203"/>
      <c r="AB50" s="203"/>
      <c r="AC50" s="203"/>
      <c r="AD50" s="203"/>
      <c r="AE50" s="203"/>
      <c r="AF50" s="203"/>
    </row>
    <row r="51" spans="3:32" ht="15" customHeight="1">
      <c r="C51" s="10"/>
      <c r="D51" s="26"/>
      <c r="E51" s="215"/>
      <c r="F51" s="215"/>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row>
    <row r="52" spans="3:32" ht="15" customHeight="1">
      <c r="C52" s="10"/>
      <c r="D52" s="26"/>
      <c r="E52" s="215"/>
      <c r="F52" s="215"/>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row>
    <row r="53" spans="3:32" ht="15" customHeight="1">
      <c r="C53" s="10"/>
      <c r="D53" s="26"/>
      <c r="E53" s="215"/>
      <c r="F53" s="215"/>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row>
    <row r="54" spans="3:32" ht="15" customHeight="1">
      <c r="C54" s="10"/>
      <c r="D54" s="26"/>
      <c r="E54" s="215"/>
      <c r="F54" s="215"/>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row>
    <row r="55" spans="3:32" ht="15" customHeight="1">
      <c r="C55" s="10"/>
      <c r="D55" s="26"/>
      <c r="E55" s="215"/>
      <c r="F55" s="215"/>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row>
    <row r="56" spans="3:32" ht="15" customHeight="1">
      <c r="C56" s="10"/>
      <c r="D56" s="26"/>
      <c r="E56" s="215"/>
      <c r="F56" s="215"/>
      <c r="G56" s="203"/>
      <c r="H56" s="203"/>
      <c r="I56" s="203"/>
      <c r="J56" s="203"/>
      <c r="K56" s="203"/>
      <c r="L56" s="203"/>
      <c r="M56" s="203"/>
      <c r="N56" s="203"/>
      <c r="O56" s="203"/>
      <c r="P56" s="203"/>
      <c r="Q56" s="203"/>
      <c r="R56" s="203"/>
      <c r="S56" s="203"/>
      <c r="T56" s="203"/>
      <c r="U56" s="203"/>
      <c r="V56" s="203"/>
      <c r="W56" s="203"/>
      <c r="X56" s="203"/>
      <c r="Y56" s="203"/>
      <c r="Z56" s="203"/>
      <c r="AA56" s="203"/>
      <c r="AB56" s="203"/>
      <c r="AC56" s="203"/>
      <c r="AD56" s="203"/>
      <c r="AE56" s="203"/>
      <c r="AF56" s="203"/>
    </row>
    <row r="57" spans="3:32" ht="15" customHeight="1">
      <c r="C57" s="10"/>
      <c r="D57" s="26"/>
      <c r="E57" s="215"/>
      <c r="F57" s="215"/>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row>
    <row r="58" spans="3:32" ht="15" customHeight="1">
      <c r="C58" s="10"/>
      <c r="D58" s="26"/>
      <c r="E58" s="215"/>
      <c r="F58" s="215"/>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row>
    <row r="59" spans="3:32" ht="15" customHeight="1">
      <c r="C59" s="10"/>
      <c r="D59" s="26"/>
      <c r="E59" s="215"/>
      <c r="F59" s="215"/>
      <c r="G59" s="203"/>
      <c r="H59" s="203"/>
      <c r="I59" s="203"/>
      <c r="J59" s="203"/>
      <c r="K59" s="203"/>
      <c r="L59" s="203"/>
      <c r="M59" s="203"/>
      <c r="N59" s="203"/>
      <c r="O59" s="203"/>
      <c r="P59" s="203"/>
      <c r="Q59" s="203"/>
      <c r="R59" s="203"/>
      <c r="S59" s="203"/>
      <c r="T59" s="203"/>
      <c r="U59" s="203"/>
      <c r="V59" s="203"/>
      <c r="W59" s="203"/>
      <c r="X59" s="203"/>
      <c r="Y59" s="203"/>
      <c r="Z59" s="203"/>
      <c r="AA59" s="203"/>
      <c r="AB59" s="203"/>
      <c r="AC59" s="203"/>
      <c r="AD59" s="203"/>
      <c r="AE59" s="203"/>
      <c r="AF59" s="203"/>
    </row>
    <row r="60" spans="3:32" ht="15" customHeight="1">
      <c r="C60" s="10"/>
      <c r="D60" s="26"/>
      <c r="E60" s="215"/>
      <c r="F60" s="215"/>
      <c r="G60" s="203"/>
      <c r="H60" s="203"/>
      <c r="I60" s="203"/>
      <c r="J60" s="203"/>
      <c r="K60" s="203"/>
      <c r="L60" s="203"/>
      <c r="M60" s="203"/>
      <c r="N60" s="203"/>
      <c r="O60" s="203"/>
      <c r="P60" s="203"/>
      <c r="Q60" s="203"/>
      <c r="R60" s="203"/>
      <c r="S60" s="203"/>
      <c r="T60" s="203"/>
      <c r="U60" s="203"/>
      <c r="V60" s="203"/>
      <c r="W60" s="203"/>
      <c r="X60" s="203"/>
      <c r="Y60" s="203"/>
      <c r="Z60" s="203"/>
      <c r="AA60" s="203"/>
      <c r="AB60" s="203"/>
      <c r="AC60" s="203"/>
      <c r="AD60" s="203"/>
      <c r="AE60" s="203"/>
      <c r="AF60" s="203"/>
    </row>
    <row r="61" spans="3:32" ht="15" customHeight="1">
      <c r="C61" s="10"/>
      <c r="D61" s="26"/>
      <c r="E61" s="215"/>
      <c r="F61" s="215"/>
      <c r="G61" s="203"/>
      <c r="H61" s="203"/>
      <c r="I61" s="203"/>
      <c r="J61" s="203"/>
      <c r="K61" s="203"/>
      <c r="L61" s="203"/>
      <c r="M61" s="203"/>
      <c r="N61" s="203"/>
      <c r="O61" s="203"/>
      <c r="P61" s="203"/>
      <c r="Q61" s="203"/>
      <c r="R61" s="203"/>
      <c r="S61" s="203"/>
      <c r="T61" s="203"/>
      <c r="U61" s="203"/>
      <c r="V61" s="203"/>
      <c r="W61" s="203"/>
      <c r="X61" s="203"/>
      <c r="Y61" s="203"/>
      <c r="Z61" s="203"/>
      <c r="AA61" s="203"/>
      <c r="AB61" s="203"/>
      <c r="AC61" s="203"/>
      <c r="AD61" s="203"/>
      <c r="AE61" s="203"/>
      <c r="AF61" s="203"/>
    </row>
    <row r="62" spans="3:32" ht="15" customHeight="1">
      <c r="C62" s="10"/>
      <c r="D62" s="26"/>
      <c r="E62" s="215"/>
      <c r="F62" s="215"/>
      <c r="G62" s="203"/>
      <c r="H62" s="203"/>
      <c r="I62" s="203"/>
      <c r="J62" s="203"/>
      <c r="K62" s="203"/>
      <c r="L62" s="203"/>
      <c r="M62" s="203"/>
      <c r="N62" s="203"/>
      <c r="O62" s="203"/>
      <c r="P62" s="203"/>
      <c r="Q62" s="203"/>
      <c r="R62" s="203"/>
      <c r="S62" s="203"/>
      <c r="T62" s="203"/>
      <c r="U62" s="203"/>
      <c r="V62" s="203"/>
      <c r="W62" s="203"/>
      <c r="X62" s="203"/>
      <c r="Y62" s="203"/>
      <c r="Z62" s="203"/>
      <c r="AA62" s="203"/>
      <c r="AB62" s="203"/>
      <c r="AC62" s="203"/>
      <c r="AD62" s="203"/>
      <c r="AE62" s="203"/>
      <c r="AF62" s="203"/>
    </row>
    <row r="63" spans="3:32" ht="15" customHeight="1">
      <c r="C63" s="10"/>
      <c r="D63" s="26"/>
      <c r="E63" s="215"/>
      <c r="F63" s="215"/>
      <c r="G63" s="203"/>
      <c r="H63" s="203"/>
      <c r="I63" s="203"/>
      <c r="J63" s="203"/>
      <c r="K63" s="203"/>
      <c r="L63" s="203"/>
      <c r="M63" s="203"/>
      <c r="N63" s="203"/>
      <c r="O63" s="203"/>
      <c r="P63" s="203"/>
      <c r="Q63" s="203"/>
      <c r="R63" s="203"/>
      <c r="S63" s="203"/>
      <c r="T63" s="203"/>
      <c r="U63" s="203"/>
      <c r="V63" s="203"/>
      <c r="W63" s="203"/>
      <c r="X63" s="203"/>
      <c r="Y63" s="203"/>
      <c r="Z63" s="203"/>
      <c r="AA63" s="203"/>
      <c r="AB63" s="203"/>
      <c r="AC63" s="203"/>
      <c r="AD63" s="203"/>
      <c r="AE63" s="203"/>
      <c r="AF63" s="203"/>
    </row>
    <row r="64" spans="3:32" ht="15" customHeight="1">
      <c r="C64" s="10"/>
    </row>
    <row r="65" spans="2:32" ht="15" customHeight="1">
      <c r="B65" s="315"/>
      <c r="C65" s="10"/>
      <c r="D65" s="26"/>
      <c r="E65" s="215"/>
      <c r="F65" s="215"/>
      <c r="G65" s="203"/>
      <c r="H65" s="203"/>
      <c r="I65" s="203"/>
      <c r="J65" s="203"/>
      <c r="K65" s="203"/>
      <c r="L65" s="203"/>
      <c r="M65" s="203"/>
      <c r="N65" s="203"/>
      <c r="O65" s="203"/>
      <c r="P65" s="203"/>
      <c r="Q65" s="203"/>
      <c r="R65" s="203"/>
      <c r="S65" s="203"/>
      <c r="T65" s="203"/>
      <c r="U65" s="203"/>
      <c r="V65" s="203"/>
      <c r="W65" s="203"/>
      <c r="X65" s="203"/>
      <c r="Y65" s="203"/>
      <c r="Z65" s="203"/>
      <c r="AA65" s="203"/>
      <c r="AB65" s="203"/>
      <c r="AC65" s="203"/>
      <c r="AD65" s="203"/>
      <c r="AE65" s="203"/>
      <c r="AF65" s="203"/>
    </row>
    <row r="66" spans="2:32" ht="15" customHeight="1">
      <c r="C66" s="10"/>
      <c r="D66" s="26"/>
      <c r="E66" s="215"/>
      <c r="F66" s="215"/>
      <c r="G66" s="203"/>
      <c r="H66" s="203"/>
      <c r="I66" s="203"/>
      <c r="J66" s="203"/>
      <c r="K66" s="203"/>
      <c r="L66" s="203"/>
      <c r="M66" s="203"/>
      <c r="N66" s="203"/>
      <c r="O66" s="203"/>
      <c r="P66" s="203"/>
      <c r="Q66" s="203"/>
      <c r="R66" s="203"/>
      <c r="S66" s="203"/>
      <c r="T66" s="203"/>
      <c r="U66" s="203"/>
      <c r="V66" s="203"/>
      <c r="W66" s="203"/>
      <c r="X66" s="203"/>
      <c r="Y66" s="203"/>
      <c r="Z66" s="203"/>
      <c r="AA66" s="203"/>
      <c r="AB66" s="203"/>
      <c r="AC66" s="203"/>
      <c r="AD66" s="203"/>
      <c r="AE66" s="203"/>
      <c r="AF66" s="203"/>
    </row>
    <row r="67" spans="2:32" ht="15" customHeight="1">
      <c r="C67" s="10"/>
      <c r="D67" s="26"/>
      <c r="E67" s="215"/>
      <c r="F67" s="215"/>
      <c r="G67" s="203"/>
      <c r="H67" s="203"/>
      <c r="I67" s="203"/>
      <c r="J67" s="203"/>
      <c r="K67" s="203"/>
      <c r="L67" s="203"/>
      <c r="M67" s="203"/>
      <c r="N67" s="203"/>
      <c r="O67" s="203"/>
      <c r="P67" s="203"/>
      <c r="Q67" s="203"/>
      <c r="R67" s="203"/>
      <c r="S67" s="203"/>
      <c r="T67" s="203"/>
      <c r="U67" s="203"/>
      <c r="V67" s="203"/>
      <c r="W67" s="203"/>
      <c r="X67" s="203"/>
      <c r="Y67" s="203"/>
      <c r="Z67" s="203"/>
      <c r="AA67" s="203"/>
      <c r="AB67" s="203"/>
      <c r="AC67" s="203"/>
      <c r="AD67" s="203"/>
      <c r="AE67" s="203"/>
      <c r="AF67" s="203"/>
    </row>
    <row r="68" spans="2:32" ht="15" customHeight="1">
      <c r="C68" s="10"/>
      <c r="D68" s="26"/>
      <c r="E68" s="215"/>
      <c r="F68" s="215"/>
      <c r="G68" s="203"/>
      <c r="H68" s="203"/>
      <c r="I68" s="203"/>
      <c r="J68" s="203"/>
      <c r="K68" s="203"/>
      <c r="L68" s="203"/>
      <c r="M68" s="203"/>
      <c r="N68" s="203"/>
      <c r="O68" s="203"/>
      <c r="P68" s="203"/>
      <c r="Q68" s="203"/>
      <c r="R68" s="203"/>
      <c r="S68" s="203"/>
      <c r="T68" s="203"/>
      <c r="U68" s="203"/>
      <c r="V68" s="203"/>
      <c r="W68" s="203"/>
      <c r="X68" s="203"/>
      <c r="Y68" s="203"/>
      <c r="Z68" s="203"/>
      <c r="AA68" s="203"/>
      <c r="AB68" s="203"/>
      <c r="AC68" s="203"/>
      <c r="AD68" s="203"/>
      <c r="AE68" s="203"/>
      <c r="AF68" s="203"/>
    </row>
    <row r="69" spans="2:32" ht="15" customHeight="1">
      <c r="C69" s="10"/>
      <c r="D69" s="26"/>
      <c r="E69" s="215"/>
      <c r="F69" s="215"/>
      <c r="G69" s="203"/>
      <c r="H69" s="203"/>
      <c r="I69" s="203"/>
      <c r="J69" s="203"/>
      <c r="K69" s="203"/>
      <c r="L69" s="203"/>
      <c r="M69" s="203"/>
      <c r="N69" s="203"/>
      <c r="O69" s="203"/>
      <c r="P69" s="203"/>
      <c r="Q69" s="203"/>
      <c r="R69" s="203"/>
      <c r="S69" s="203"/>
      <c r="T69" s="203"/>
      <c r="U69" s="203"/>
      <c r="V69" s="203"/>
      <c r="W69" s="203"/>
      <c r="X69" s="203"/>
      <c r="Y69" s="203"/>
      <c r="Z69" s="203"/>
      <c r="AA69" s="203"/>
      <c r="AB69" s="203"/>
      <c r="AC69" s="203"/>
      <c r="AD69" s="203"/>
      <c r="AE69" s="203"/>
      <c r="AF69" s="203"/>
    </row>
    <row r="70" spans="2:32" ht="15" customHeight="1">
      <c r="C70" s="10"/>
      <c r="D70" s="26"/>
      <c r="E70" s="215"/>
      <c r="F70" s="215"/>
      <c r="G70" s="203"/>
      <c r="H70" s="203"/>
      <c r="I70" s="203"/>
      <c r="J70" s="203"/>
      <c r="K70" s="203"/>
      <c r="L70" s="203"/>
      <c r="M70" s="203"/>
      <c r="N70" s="203"/>
      <c r="O70" s="203"/>
      <c r="P70" s="203"/>
      <c r="Q70" s="203"/>
      <c r="R70" s="203"/>
      <c r="S70" s="203"/>
      <c r="T70" s="203"/>
      <c r="U70" s="203"/>
      <c r="V70" s="203"/>
      <c r="W70" s="203"/>
      <c r="X70" s="203"/>
      <c r="Y70" s="203"/>
      <c r="Z70" s="203"/>
      <c r="AA70" s="203"/>
      <c r="AB70" s="203"/>
      <c r="AC70" s="203"/>
      <c r="AD70" s="203"/>
      <c r="AE70" s="203"/>
      <c r="AF70" s="203"/>
    </row>
    <row r="71" spans="2:32" ht="15" customHeight="1">
      <c r="C71" s="10"/>
      <c r="D71" s="26"/>
      <c r="E71" s="215"/>
      <c r="F71" s="215"/>
      <c r="G71" s="203"/>
      <c r="H71" s="203"/>
      <c r="I71" s="203"/>
      <c r="J71" s="203"/>
      <c r="K71" s="203"/>
      <c r="L71" s="203"/>
      <c r="M71" s="203"/>
      <c r="N71" s="203"/>
      <c r="O71" s="203"/>
      <c r="P71" s="203"/>
      <c r="Q71" s="203"/>
      <c r="R71" s="203"/>
      <c r="S71" s="203"/>
      <c r="T71" s="203"/>
      <c r="U71" s="203"/>
      <c r="V71" s="203"/>
      <c r="W71" s="203"/>
      <c r="X71" s="203"/>
      <c r="Y71" s="203"/>
      <c r="Z71" s="203"/>
      <c r="AA71" s="203"/>
      <c r="AB71" s="203"/>
      <c r="AC71" s="203"/>
      <c r="AD71" s="203"/>
      <c r="AE71" s="203"/>
      <c r="AF71" s="203"/>
    </row>
    <row r="72" spans="2:32" ht="15" customHeight="1">
      <c r="C72" s="10"/>
      <c r="D72" s="26"/>
      <c r="E72" s="215"/>
      <c r="F72" s="215"/>
      <c r="G72" s="203"/>
      <c r="H72" s="203"/>
      <c r="I72" s="203"/>
      <c r="J72" s="203"/>
      <c r="K72" s="203"/>
      <c r="L72" s="203"/>
      <c r="M72" s="203"/>
      <c r="N72" s="203"/>
      <c r="O72" s="203"/>
      <c r="P72" s="203"/>
      <c r="Q72" s="203"/>
      <c r="R72" s="203"/>
      <c r="S72" s="203"/>
      <c r="T72" s="203"/>
      <c r="U72" s="203"/>
      <c r="V72" s="203"/>
      <c r="W72" s="203"/>
      <c r="X72" s="203"/>
      <c r="Y72" s="203"/>
      <c r="Z72" s="203"/>
      <c r="AA72" s="203"/>
      <c r="AB72" s="203"/>
      <c r="AC72" s="203"/>
      <c r="AD72" s="203"/>
      <c r="AE72" s="203"/>
      <c r="AF72" s="203"/>
    </row>
    <row r="73" spans="2:32" ht="15" customHeight="1">
      <c r="C73" s="10"/>
      <c r="D73" s="26"/>
      <c r="E73" s="215"/>
      <c r="F73" s="215"/>
      <c r="G73" s="203"/>
      <c r="H73" s="203"/>
      <c r="I73" s="203"/>
      <c r="J73" s="203"/>
      <c r="K73" s="203"/>
      <c r="L73" s="203"/>
      <c r="M73" s="203"/>
      <c r="N73" s="203"/>
      <c r="O73" s="203"/>
      <c r="P73" s="203"/>
      <c r="Q73" s="203"/>
      <c r="R73" s="203"/>
      <c r="S73" s="203"/>
      <c r="T73" s="203"/>
      <c r="U73" s="203"/>
      <c r="V73" s="203"/>
      <c r="W73" s="203"/>
      <c r="X73" s="203"/>
      <c r="Y73" s="203"/>
      <c r="Z73" s="203"/>
      <c r="AA73" s="203"/>
      <c r="AB73" s="203"/>
      <c r="AC73" s="203"/>
      <c r="AD73" s="203"/>
      <c r="AE73" s="203"/>
      <c r="AF73" s="203"/>
    </row>
    <row r="74" spans="2:32" ht="15" customHeight="1">
      <c r="C74" s="10"/>
      <c r="D74" s="26"/>
      <c r="E74" s="215"/>
      <c r="F74" s="215"/>
      <c r="G74" s="203"/>
      <c r="H74" s="203"/>
      <c r="I74" s="203"/>
      <c r="J74" s="203"/>
      <c r="K74" s="203"/>
      <c r="L74" s="203"/>
      <c r="M74" s="203"/>
      <c r="N74" s="203"/>
      <c r="O74" s="203"/>
      <c r="P74" s="203"/>
      <c r="Q74" s="203"/>
      <c r="R74" s="203"/>
      <c r="S74" s="203"/>
      <c r="T74" s="203"/>
      <c r="U74" s="203"/>
      <c r="V74" s="203"/>
      <c r="W74" s="203"/>
      <c r="X74" s="203"/>
      <c r="Y74" s="203"/>
      <c r="Z74" s="203"/>
      <c r="AA74" s="203"/>
      <c r="AB74" s="203"/>
      <c r="AC74" s="203"/>
      <c r="AD74" s="203"/>
      <c r="AE74" s="203"/>
      <c r="AF74" s="203"/>
    </row>
    <row r="75" spans="2:32" ht="15" customHeight="1">
      <c r="C75" s="10"/>
      <c r="D75" s="26"/>
      <c r="E75" s="215"/>
      <c r="F75" s="215"/>
      <c r="G75" s="203"/>
      <c r="H75" s="203"/>
      <c r="I75" s="203"/>
      <c r="J75" s="203"/>
      <c r="K75" s="203"/>
      <c r="L75" s="203"/>
      <c r="M75" s="203"/>
      <c r="N75" s="203"/>
      <c r="O75" s="203"/>
      <c r="P75" s="203"/>
      <c r="Q75" s="203"/>
      <c r="R75" s="203"/>
      <c r="S75" s="203"/>
      <c r="T75" s="203"/>
      <c r="U75" s="203"/>
      <c r="V75" s="203"/>
      <c r="W75" s="203"/>
      <c r="X75" s="203"/>
      <c r="Y75" s="203"/>
      <c r="Z75" s="203"/>
      <c r="AA75" s="203"/>
      <c r="AB75" s="203"/>
      <c r="AC75" s="203"/>
      <c r="AD75" s="203"/>
      <c r="AE75" s="203"/>
      <c r="AF75" s="203"/>
    </row>
    <row r="76" spans="2:32" ht="15" customHeight="1">
      <c r="C76" s="10"/>
      <c r="D76" s="26"/>
      <c r="E76" s="215"/>
      <c r="F76" s="215"/>
      <c r="G76" s="203"/>
      <c r="H76" s="203"/>
      <c r="I76" s="203"/>
      <c r="J76" s="203"/>
      <c r="K76" s="203"/>
      <c r="L76" s="203"/>
      <c r="M76" s="203"/>
      <c r="N76" s="203"/>
      <c r="O76" s="203"/>
      <c r="P76" s="203"/>
      <c r="Q76" s="203"/>
      <c r="R76" s="203"/>
      <c r="S76" s="203"/>
      <c r="T76" s="203"/>
      <c r="U76" s="203"/>
      <c r="V76" s="203"/>
      <c r="W76" s="203"/>
      <c r="X76" s="203"/>
      <c r="Y76" s="203"/>
      <c r="Z76" s="203"/>
      <c r="AA76" s="203"/>
      <c r="AB76" s="203"/>
      <c r="AC76" s="203"/>
      <c r="AD76" s="203"/>
      <c r="AE76" s="203"/>
      <c r="AF76" s="203"/>
    </row>
    <row r="77" spans="2:32" ht="15" customHeight="1">
      <c r="C77" s="10"/>
      <c r="D77" s="26"/>
      <c r="E77" s="215"/>
      <c r="F77" s="215"/>
      <c r="G77" s="203"/>
      <c r="H77" s="203"/>
      <c r="I77" s="203"/>
      <c r="J77" s="203"/>
      <c r="K77" s="203"/>
      <c r="L77" s="203"/>
      <c r="M77" s="203"/>
      <c r="N77" s="203"/>
      <c r="O77" s="203"/>
      <c r="P77" s="203"/>
      <c r="Q77" s="203"/>
      <c r="R77" s="203"/>
      <c r="S77" s="203"/>
      <c r="T77" s="203"/>
      <c r="U77" s="203"/>
      <c r="V77" s="203"/>
      <c r="W77" s="203"/>
      <c r="X77" s="203"/>
      <c r="Y77" s="203"/>
      <c r="Z77" s="203"/>
      <c r="AA77" s="203"/>
      <c r="AB77" s="203"/>
      <c r="AC77" s="203"/>
      <c r="AD77" s="203"/>
      <c r="AE77" s="203"/>
      <c r="AF77" s="203"/>
    </row>
    <row r="78" spans="2:32" ht="15" customHeight="1">
      <c r="C78" s="10"/>
      <c r="D78" s="26"/>
      <c r="E78" s="215"/>
      <c r="F78" s="215"/>
      <c r="G78" s="203"/>
      <c r="H78" s="203"/>
      <c r="I78" s="203"/>
      <c r="J78" s="203"/>
      <c r="K78" s="203"/>
      <c r="L78" s="203"/>
      <c r="M78" s="203"/>
      <c r="N78" s="203"/>
      <c r="O78" s="203"/>
      <c r="P78" s="203"/>
      <c r="Q78" s="203"/>
      <c r="R78" s="203"/>
      <c r="S78" s="203"/>
      <c r="T78" s="203"/>
      <c r="U78" s="203"/>
      <c r="V78" s="203"/>
      <c r="W78" s="203"/>
      <c r="X78" s="203"/>
      <c r="Y78" s="203"/>
      <c r="Z78" s="203"/>
      <c r="AA78" s="203"/>
      <c r="AB78" s="203"/>
      <c r="AC78" s="203"/>
      <c r="AD78" s="203"/>
      <c r="AE78" s="203"/>
      <c r="AF78" s="203"/>
    </row>
    <row r="79" spans="2:32" ht="15" customHeight="1">
      <c r="C79" s="10"/>
      <c r="D79" s="26"/>
      <c r="E79" s="215"/>
      <c r="F79" s="215"/>
      <c r="G79" s="203"/>
      <c r="H79" s="203"/>
      <c r="I79" s="203"/>
      <c r="J79" s="203"/>
      <c r="K79" s="203"/>
      <c r="L79" s="203"/>
      <c r="M79" s="203"/>
      <c r="N79" s="203"/>
      <c r="O79" s="203"/>
      <c r="P79" s="203"/>
      <c r="Q79" s="203"/>
      <c r="R79" s="203"/>
      <c r="S79" s="203"/>
      <c r="T79" s="203"/>
      <c r="U79" s="203"/>
      <c r="V79" s="203"/>
      <c r="W79" s="203"/>
      <c r="X79" s="203"/>
      <c r="Y79" s="203"/>
      <c r="Z79" s="203"/>
      <c r="AA79" s="203"/>
      <c r="AB79" s="203"/>
      <c r="AC79" s="203"/>
      <c r="AD79" s="203"/>
      <c r="AE79" s="203"/>
      <c r="AF79" s="203"/>
    </row>
    <row r="80" spans="2:32" ht="15" customHeight="1">
      <c r="C80" s="10"/>
      <c r="D80" s="26"/>
      <c r="E80" s="215"/>
      <c r="F80" s="215"/>
      <c r="G80" s="203"/>
      <c r="H80" s="203"/>
      <c r="I80" s="203"/>
      <c r="J80" s="203"/>
      <c r="K80" s="203"/>
      <c r="L80" s="203"/>
      <c r="M80" s="203"/>
      <c r="N80" s="203"/>
      <c r="O80" s="203"/>
      <c r="P80" s="203"/>
      <c r="Q80" s="203"/>
      <c r="R80" s="203"/>
      <c r="S80" s="203"/>
      <c r="T80" s="203"/>
      <c r="U80" s="203"/>
      <c r="V80" s="203"/>
      <c r="W80" s="203"/>
      <c r="X80" s="203"/>
      <c r="Y80" s="203"/>
      <c r="Z80" s="203"/>
      <c r="AA80" s="203"/>
      <c r="AB80" s="203"/>
      <c r="AC80" s="203"/>
      <c r="AD80" s="203"/>
      <c r="AE80" s="203"/>
      <c r="AF80" s="203"/>
    </row>
    <row r="81" spans="2:32" ht="15" customHeight="1">
      <c r="C81" s="10"/>
      <c r="D81" s="26"/>
      <c r="E81" s="215"/>
      <c r="F81" s="215"/>
      <c r="G81" s="203"/>
      <c r="H81" s="203"/>
      <c r="I81" s="203"/>
      <c r="J81" s="203"/>
      <c r="K81" s="203"/>
      <c r="L81" s="203"/>
      <c r="M81" s="203"/>
      <c r="N81" s="203"/>
      <c r="O81" s="203"/>
      <c r="P81" s="203"/>
      <c r="Q81" s="203"/>
      <c r="R81" s="203"/>
      <c r="S81" s="203"/>
      <c r="T81" s="203"/>
      <c r="U81" s="203"/>
      <c r="V81" s="203"/>
      <c r="W81" s="203"/>
      <c r="X81" s="203"/>
      <c r="Y81" s="203"/>
      <c r="Z81" s="203"/>
      <c r="AA81" s="203"/>
      <c r="AB81" s="203"/>
      <c r="AC81" s="203"/>
      <c r="AD81" s="203"/>
      <c r="AE81" s="203"/>
      <c r="AF81" s="203"/>
    </row>
    <row r="82" spans="2:32" ht="15" customHeight="1">
      <c r="C82" s="10"/>
      <c r="D82" s="26"/>
      <c r="E82" s="215"/>
      <c r="F82" s="215"/>
      <c r="G82" s="203"/>
      <c r="H82" s="203"/>
      <c r="I82" s="203"/>
      <c r="J82" s="203"/>
      <c r="K82" s="203"/>
      <c r="L82" s="203"/>
      <c r="M82" s="203"/>
      <c r="N82" s="203"/>
      <c r="O82" s="203"/>
      <c r="P82" s="203"/>
      <c r="Q82" s="203"/>
      <c r="R82" s="203"/>
      <c r="S82" s="203"/>
      <c r="T82" s="203"/>
      <c r="U82" s="203"/>
      <c r="V82" s="203"/>
      <c r="W82" s="203"/>
      <c r="X82" s="203"/>
      <c r="Y82" s="203"/>
      <c r="Z82" s="203"/>
      <c r="AA82" s="203"/>
      <c r="AB82" s="203"/>
      <c r="AC82" s="203"/>
      <c r="AD82" s="203"/>
      <c r="AE82" s="203"/>
      <c r="AF82" s="203"/>
    </row>
    <row r="83" spans="2:32" ht="15" customHeight="1">
      <c r="C83" s="10"/>
      <c r="D83" s="26"/>
      <c r="E83" s="215"/>
      <c r="F83" s="215"/>
      <c r="G83" s="203"/>
      <c r="H83" s="203"/>
      <c r="I83" s="203"/>
      <c r="J83" s="203"/>
      <c r="K83" s="203"/>
      <c r="L83" s="203"/>
      <c r="M83" s="203"/>
      <c r="N83" s="203"/>
      <c r="O83" s="203"/>
      <c r="P83" s="203"/>
      <c r="Q83" s="203"/>
      <c r="R83" s="203"/>
      <c r="S83" s="203"/>
      <c r="T83" s="203"/>
      <c r="U83" s="203"/>
      <c r="V83" s="203"/>
      <c r="W83" s="203"/>
      <c r="X83" s="203"/>
      <c r="Y83" s="203"/>
      <c r="Z83" s="203"/>
      <c r="AA83" s="203"/>
      <c r="AB83" s="203"/>
      <c r="AC83" s="203"/>
      <c r="AD83" s="203"/>
      <c r="AE83" s="203"/>
      <c r="AF83" s="203"/>
    </row>
    <row r="84" spans="2:32" ht="15" customHeight="1">
      <c r="C84" s="10"/>
      <c r="D84" s="26"/>
      <c r="E84" s="215"/>
      <c r="F84" s="215"/>
      <c r="G84" s="203"/>
      <c r="H84" s="203"/>
      <c r="I84" s="203"/>
      <c r="J84" s="203"/>
      <c r="K84" s="203"/>
      <c r="L84" s="203"/>
      <c r="M84" s="203"/>
      <c r="N84" s="203"/>
      <c r="O84" s="203"/>
      <c r="P84" s="203"/>
      <c r="Q84" s="203"/>
      <c r="R84" s="203"/>
      <c r="S84" s="203"/>
      <c r="T84" s="203"/>
      <c r="U84" s="203"/>
      <c r="V84" s="203"/>
      <c r="W84" s="203"/>
      <c r="X84" s="203"/>
      <c r="Y84" s="203"/>
      <c r="Z84" s="203"/>
      <c r="AA84" s="203"/>
      <c r="AB84" s="203"/>
      <c r="AC84" s="203"/>
      <c r="AD84" s="203"/>
      <c r="AE84" s="203"/>
      <c r="AF84" s="203"/>
    </row>
    <row r="85" spans="2:32" ht="15" customHeight="1">
      <c r="C85" s="10"/>
      <c r="D85" s="26"/>
      <c r="E85" s="215"/>
      <c r="F85" s="215"/>
      <c r="G85" s="203"/>
      <c r="H85" s="203"/>
      <c r="I85" s="203"/>
      <c r="J85" s="203"/>
      <c r="K85" s="203"/>
      <c r="L85" s="203"/>
      <c r="M85" s="203"/>
      <c r="N85" s="203"/>
      <c r="O85" s="203"/>
      <c r="P85" s="203"/>
      <c r="Q85" s="203"/>
      <c r="R85" s="203"/>
      <c r="S85" s="203"/>
      <c r="T85" s="203"/>
      <c r="U85" s="203"/>
      <c r="V85" s="203"/>
      <c r="W85" s="203"/>
      <c r="X85" s="203"/>
      <c r="Y85" s="203"/>
      <c r="Z85" s="203"/>
      <c r="AA85" s="203"/>
      <c r="AB85" s="203"/>
      <c r="AC85" s="203"/>
      <c r="AD85" s="203"/>
      <c r="AE85" s="203"/>
      <c r="AF85" s="203"/>
    </row>
    <row r="86" spans="2:32" ht="15" customHeight="1">
      <c r="C86" s="10"/>
      <c r="D86" s="26"/>
      <c r="E86" s="215"/>
      <c r="F86" s="215"/>
      <c r="G86" s="203"/>
      <c r="H86" s="203"/>
      <c r="I86" s="203"/>
      <c r="J86" s="203"/>
      <c r="K86" s="203"/>
      <c r="L86" s="203"/>
      <c r="M86" s="203"/>
      <c r="N86" s="203"/>
      <c r="O86" s="203"/>
      <c r="P86" s="203"/>
      <c r="Q86" s="203"/>
      <c r="R86" s="203"/>
      <c r="S86" s="203"/>
      <c r="T86" s="203"/>
      <c r="U86" s="203"/>
      <c r="V86" s="203"/>
      <c r="W86" s="203"/>
      <c r="X86" s="203"/>
      <c r="Y86" s="203"/>
      <c r="Z86" s="203"/>
      <c r="AA86" s="203"/>
      <c r="AB86" s="203"/>
      <c r="AC86" s="203"/>
      <c r="AD86" s="203"/>
      <c r="AE86" s="203"/>
      <c r="AF86" s="203"/>
    </row>
    <row r="87" spans="2:32" ht="15" customHeight="1">
      <c r="C87" s="10"/>
      <c r="D87" s="26"/>
      <c r="E87" s="215"/>
      <c r="F87" s="215"/>
      <c r="G87" s="203"/>
      <c r="H87" s="203"/>
      <c r="I87" s="203"/>
      <c r="J87" s="203"/>
      <c r="K87" s="203"/>
      <c r="L87" s="203"/>
      <c r="M87" s="203"/>
      <c r="N87" s="203"/>
      <c r="O87" s="203"/>
      <c r="P87" s="203"/>
      <c r="Q87" s="203"/>
      <c r="R87" s="203"/>
      <c r="S87" s="203"/>
      <c r="T87" s="203"/>
      <c r="U87" s="203"/>
      <c r="V87" s="203"/>
      <c r="W87" s="203"/>
      <c r="X87" s="203"/>
      <c r="Y87" s="203"/>
      <c r="Z87" s="203"/>
      <c r="AA87" s="203"/>
      <c r="AB87" s="203"/>
      <c r="AC87" s="203"/>
      <c r="AD87" s="203"/>
      <c r="AE87" s="203"/>
      <c r="AF87" s="203"/>
    </row>
    <row r="88" spans="2:32" ht="15" customHeight="1">
      <c r="C88" s="10"/>
      <c r="D88" s="26"/>
      <c r="E88" s="215"/>
      <c r="F88" s="215"/>
      <c r="G88" s="203"/>
      <c r="H88" s="203"/>
      <c r="I88" s="203"/>
      <c r="J88" s="203"/>
      <c r="K88" s="203"/>
      <c r="L88" s="203"/>
      <c r="M88" s="203"/>
      <c r="N88" s="203"/>
      <c r="O88" s="203"/>
      <c r="P88" s="203"/>
      <c r="Q88" s="203"/>
      <c r="R88" s="203"/>
      <c r="S88" s="203"/>
      <c r="T88" s="203"/>
      <c r="U88" s="203"/>
      <c r="V88" s="203"/>
      <c r="W88" s="203"/>
      <c r="X88" s="203"/>
      <c r="Y88" s="203"/>
      <c r="Z88" s="203"/>
      <c r="AA88" s="203"/>
      <c r="AB88" s="203"/>
      <c r="AC88" s="203"/>
      <c r="AD88" s="203"/>
      <c r="AE88" s="203"/>
      <c r="AF88" s="203"/>
    </row>
    <row r="89" spans="2:32" ht="15" customHeight="1">
      <c r="C89" s="10"/>
      <c r="D89" s="26"/>
      <c r="E89" s="215"/>
      <c r="F89" s="215"/>
      <c r="G89" s="203"/>
      <c r="H89" s="203"/>
      <c r="I89" s="203"/>
      <c r="J89" s="203"/>
      <c r="K89" s="203"/>
      <c r="L89" s="203"/>
      <c r="M89" s="203"/>
      <c r="N89" s="203"/>
      <c r="O89" s="203"/>
      <c r="P89" s="203"/>
      <c r="Q89" s="203"/>
      <c r="R89" s="203"/>
      <c r="S89" s="203"/>
      <c r="T89" s="203"/>
      <c r="U89" s="203"/>
      <c r="V89" s="203"/>
      <c r="W89" s="203"/>
      <c r="X89" s="203"/>
      <c r="Y89" s="203"/>
      <c r="Z89" s="203"/>
      <c r="AA89" s="203"/>
      <c r="AB89" s="203"/>
      <c r="AC89" s="203"/>
      <c r="AD89" s="203"/>
      <c r="AE89" s="203"/>
      <c r="AF89" s="203"/>
    </row>
    <row r="90" spans="2:32" ht="15" customHeight="1">
      <c r="C90" s="10"/>
    </row>
    <row r="91" spans="2:32" ht="15" customHeight="1">
      <c r="B91" s="315"/>
      <c r="C91" s="10"/>
      <c r="D91" s="26"/>
      <c r="E91" s="215"/>
      <c r="F91" s="215"/>
      <c r="G91" s="203"/>
      <c r="H91" s="203"/>
      <c r="I91" s="203"/>
      <c r="J91" s="203"/>
      <c r="K91" s="203"/>
      <c r="L91" s="203"/>
      <c r="M91" s="203"/>
      <c r="N91" s="203"/>
      <c r="O91" s="203"/>
      <c r="P91" s="203"/>
      <c r="Q91" s="203"/>
      <c r="R91" s="203"/>
      <c r="S91" s="203"/>
      <c r="T91" s="203"/>
      <c r="U91" s="203"/>
      <c r="V91" s="203"/>
      <c r="W91" s="203"/>
      <c r="X91" s="203"/>
      <c r="Y91" s="203"/>
      <c r="Z91" s="203"/>
      <c r="AA91" s="203"/>
      <c r="AB91" s="203"/>
      <c r="AC91" s="203"/>
      <c r="AD91" s="203"/>
      <c r="AE91" s="203"/>
      <c r="AF91" s="203"/>
    </row>
    <row r="92" spans="2:32" ht="15" customHeight="1">
      <c r="C92" s="10"/>
      <c r="D92" s="26"/>
      <c r="E92" s="215"/>
      <c r="F92" s="215"/>
      <c r="G92" s="203"/>
      <c r="H92" s="203"/>
      <c r="I92" s="203"/>
      <c r="J92" s="203"/>
      <c r="K92" s="203"/>
      <c r="L92" s="203"/>
      <c r="M92" s="203"/>
      <c r="N92" s="203"/>
      <c r="O92" s="203"/>
      <c r="P92" s="203"/>
      <c r="Q92" s="203"/>
      <c r="R92" s="203"/>
      <c r="S92" s="203"/>
      <c r="T92" s="203"/>
      <c r="U92" s="203"/>
      <c r="V92" s="203"/>
      <c r="W92" s="203"/>
      <c r="X92" s="203"/>
      <c r="Y92" s="203"/>
      <c r="Z92" s="203"/>
      <c r="AA92" s="203"/>
      <c r="AB92" s="203"/>
      <c r="AC92" s="203"/>
      <c r="AD92" s="203"/>
      <c r="AE92" s="203"/>
      <c r="AF92" s="203"/>
    </row>
    <row r="93" spans="2:32" ht="15" customHeight="1">
      <c r="C93" s="10"/>
      <c r="D93" s="26"/>
      <c r="E93" s="215"/>
      <c r="F93" s="215"/>
      <c r="G93" s="203"/>
      <c r="H93" s="203"/>
      <c r="I93" s="203"/>
      <c r="J93" s="203"/>
      <c r="K93" s="203"/>
      <c r="L93" s="203"/>
      <c r="M93" s="203"/>
      <c r="N93" s="203"/>
      <c r="O93" s="203"/>
      <c r="P93" s="203"/>
      <c r="Q93" s="203"/>
      <c r="R93" s="203"/>
      <c r="S93" s="203"/>
      <c r="T93" s="203"/>
      <c r="U93" s="203"/>
      <c r="V93" s="203"/>
      <c r="W93" s="203"/>
      <c r="X93" s="203"/>
      <c r="Y93" s="203"/>
      <c r="Z93" s="203"/>
      <c r="AA93" s="203"/>
      <c r="AB93" s="203"/>
      <c r="AC93" s="203"/>
      <c r="AD93" s="203"/>
      <c r="AE93" s="203"/>
      <c r="AF93" s="203"/>
    </row>
    <row r="94" spans="2:32" ht="15" customHeight="1">
      <c r="C94" s="10"/>
      <c r="D94" s="26"/>
      <c r="E94" s="215"/>
      <c r="F94" s="215"/>
      <c r="G94" s="203"/>
      <c r="H94" s="203"/>
      <c r="I94" s="203"/>
      <c r="J94" s="203"/>
      <c r="K94" s="203"/>
      <c r="L94" s="203"/>
      <c r="M94" s="203"/>
      <c r="N94" s="203"/>
      <c r="O94" s="203"/>
      <c r="P94" s="203"/>
      <c r="Q94" s="203"/>
      <c r="R94" s="203"/>
      <c r="S94" s="203"/>
      <c r="T94" s="203"/>
      <c r="U94" s="203"/>
      <c r="V94" s="203"/>
      <c r="W94" s="203"/>
      <c r="X94" s="203"/>
      <c r="Y94" s="203"/>
      <c r="Z94" s="203"/>
      <c r="AA94" s="203"/>
      <c r="AB94" s="203"/>
      <c r="AC94" s="203"/>
      <c r="AD94" s="203"/>
      <c r="AE94" s="203"/>
      <c r="AF94" s="203"/>
    </row>
    <row r="95" spans="2:32" ht="15" customHeight="1">
      <c r="C95" s="10"/>
      <c r="D95" s="26"/>
      <c r="E95" s="215"/>
      <c r="F95" s="215"/>
      <c r="G95" s="203"/>
      <c r="H95" s="203"/>
      <c r="I95" s="203"/>
      <c r="J95" s="203"/>
      <c r="K95" s="203"/>
      <c r="L95" s="203"/>
      <c r="M95" s="203"/>
      <c r="N95" s="203"/>
      <c r="O95" s="203"/>
      <c r="P95" s="203"/>
      <c r="Q95" s="203"/>
      <c r="R95" s="203"/>
      <c r="S95" s="203"/>
      <c r="T95" s="203"/>
      <c r="U95" s="203"/>
      <c r="V95" s="203"/>
      <c r="W95" s="203"/>
      <c r="X95" s="203"/>
      <c r="Y95" s="203"/>
      <c r="Z95" s="203"/>
      <c r="AA95" s="203"/>
      <c r="AB95" s="203"/>
      <c r="AC95" s="203"/>
      <c r="AD95" s="203"/>
      <c r="AE95" s="203"/>
      <c r="AF95" s="203"/>
    </row>
    <row r="96" spans="2:32" ht="15" customHeight="1">
      <c r="C96" s="10"/>
      <c r="D96" s="26"/>
      <c r="E96" s="215"/>
      <c r="F96" s="215"/>
      <c r="G96" s="203"/>
      <c r="H96" s="203"/>
      <c r="I96" s="203"/>
      <c r="J96" s="203"/>
      <c r="K96" s="203"/>
      <c r="L96" s="203"/>
      <c r="M96" s="203"/>
      <c r="N96" s="203"/>
      <c r="O96" s="203"/>
      <c r="P96" s="203"/>
      <c r="Q96" s="203"/>
      <c r="R96" s="203"/>
      <c r="S96" s="203"/>
      <c r="T96" s="203"/>
      <c r="U96" s="203"/>
      <c r="V96" s="203"/>
      <c r="W96" s="203"/>
      <c r="X96" s="203"/>
      <c r="Y96" s="203"/>
      <c r="Z96" s="203"/>
      <c r="AA96" s="203"/>
      <c r="AB96" s="203"/>
      <c r="AC96" s="203"/>
      <c r="AD96" s="203"/>
      <c r="AE96" s="203"/>
      <c r="AF96" s="203"/>
    </row>
    <row r="97" spans="3:32" ht="15" customHeight="1">
      <c r="C97" s="10"/>
      <c r="D97" s="26"/>
      <c r="E97" s="215"/>
      <c r="F97" s="215"/>
      <c r="G97" s="203"/>
      <c r="H97" s="203"/>
      <c r="I97" s="203"/>
      <c r="J97" s="203"/>
      <c r="K97" s="203"/>
      <c r="L97" s="203"/>
      <c r="M97" s="203"/>
      <c r="N97" s="203"/>
      <c r="O97" s="203"/>
      <c r="P97" s="203"/>
      <c r="Q97" s="203"/>
      <c r="R97" s="203"/>
      <c r="S97" s="203"/>
      <c r="T97" s="203"/>
      <c r="U97" s="203"/>
      <c r="V97" s="203"/>
      <c r="W97" s="203"/>
      <c r="X97" s="203"/>
      <c r="Y97" s="203"/>
      <c r="Z97" s="203"/>
      <c r="AA97" s="203"/>
      <c r="AB97" s="203"/>
      <c r="AC97" s="203"/>
      <c r="AD97" s="203"/>
      <c r="AE97" s="203"/>
      <c r="AF97" s="203"/>
    </row>
    <row r="98" spans="3:32" ht="15" customHeight="1">
      <c r="C98" s="10"/>
      <c r="D98" s="26"/>
      <c r="E98" s="215"/>
      <c r="F98" s="215"/>
      <c r="G98" s="203"/>
      <c r="H98" s="203"/>
      <c r="I98" s="203"/>
      <c r="J98" s="203"/>
      <c r="K98" s="203"/>
      <c r="L98" s="203"/>
      <c r="M98" s="203"/>
      <c r="N98" s="203"/>
      <c r="O98" s="203"/>
      <c r="P98" s="203"/>
      <c r="Q98" s="203"/>
      <c r="R98" s="203"/>
      <c r="S98" s="203"/>
      <c r="T98" s="203"/>
      <c r="U98" s="203"/>
      <c r="V98" s="203"/>
      <c r="W98" s="203"/>
      <c r="X98" s="203"/>
      <c r="Y98" s="203"/>
      <c r="Z98" s="203"/>
      <c r="AA98" s="203"/>
      <c r="AB98" s="203"/>
      <c r="AC98" s="203"/>
      <c r="AD98" s="203"/>
      <c r="AE98" s="203"/>
      <c r="AF98" s="203"/>
    </row>
    <row r="99" spans="3:32" ht="15" customHeight="1">
      <c r="C99" s="10"/>
      <c r="D99" s="26"/>
      <c r="E99" s="215"/>
      <c r="F99" s="215"/>
      <c r="G99" s="203"/>
      <c r="H99" s="203"/>
      <c r="I99" s="203"/>
      <c r="J99" s="203"/>
      <c r="K99" s="203"/>
      <c r="L99" s="203"/>
      <c r="M99" s="203"/>
      <c r="N99" s="203"/>
      <c r="O99" s="203"/>
      <c r="P99" s="203"/>
      <c r="Q99" s="203"/>
      <c r="R99" s="203"/>
      <c r="S99" s="203"/>
      <c r="T99" s="203"/>
      <c r="U99" s="203"/>
      <c r="V99" s="203"/>
      <c r="W99" s="203"/>
      <c r="X99" s="203"/>
      <c r="Y99" s="203"/>
      <c r="Z99" s="203"/>
      <c r="AA99" s="203"/>
      <c r="AB99" s="203"/>
      <c r="AC99" s="203"/>
      <c r="AD99" s="203"/>
      <c r="AE99" s="203"/>
      <c r="AF99" s="203"/>
    </row>
    <row r="100" spans="3:32" ht="15" customHeight="1">
      <c r="C100" s="10"/>
      <c r="D100" s="26"/>
      <c r="E100" s="215"/>
      <c r="F100" s="215"/>
      <c r="G100" s="203"/>
      <c r="H100" s="203"/>
      <c r="I100" s="203"/>
      <c r="J100" s="203"/>
      <c r="K100" s="203"/>
      <c r="L100" s="203"/>
      <c r="M100" s="203"/>
      <c r="N100" s="203"/>
      <c r="O100" s="203"/>
      <c r="P100" s="203"/>
      <c r="Q100" s="203"/>
      <c r="R100" s="203"/>
      <c r="S100" s="203"/>
      <c r="T100" s="203"/>
      <c r="U100" s="203"/>
      <c r="V100" s="203"/>
      <c r="W100" s="203"/>
      <c r="X100" s="203"/>
      <c r="Y100" s="203"/>
      <c r="Z100" s="203"/>
      <c r="AA100" s="203"/>
      <c r="AB100" s="203"/>
      <c r="AC100" s="203"/>
      <c r="AD100" s="203"/>
      <c r="AE100" s="203"/>
      <c r="AF100" s="203"/>
    </row>
    <row r="101" spans="3:32" ht="15" customHeight="1">
      <c r="C101" s="10"/>
      <c r="D101" s="26"/>
      <c r="E101" s="215"/>
      <c r="F101" s="215"/>
      <c r="G101" s="203"/>
      <c r="H101" s="203"/>
      <c r="I101" s="203"/>
      <c r="J101" s="203"/>
      <c r="K101" s="203"/>
      <c r="L101" s="203"/>
      <c r="M101" s="203"/>
      <c r="N101" s="203"/>
      <c r="O101" s="203"/>
      <c r="P101" s="203"/>
      <c r="Q101" s="203"/>
      <c r="R101" s="203"/>
      <c r="S101" s="203"/>
      <c r="T101" s="203"/>
      <c r="U101" s="203"/>
      <c r="V101" s="203"/>
      <c r="W101" s="203"/>
      <c r="X101" s="203"/>
      <c r="Y101" s="203"/>
      <c r="Z101" s="203"/>
      <c r="AA101" s="203"/>
      <c r="AB101" s="203"/>
      <c r="AC101" s="203"/>
      <c r="AD101" s="203"/>
      <c r="AE101" s="203"/>
      <c r="AF101" s="203"/>
    </row>
    <row r="102" spans="3:32" ht="15" customHeight="1">
      <c r="C102" s="10"/>
      <c r="D102" s="26"/>
      <c r="E102" s="215"/>
      <c r="F102" s="215"/>
      <c r="G102" s="203"/>
      <c r="H102" s="203"/>
      <c r="I102" s="203"/>
      <c r="J102" s="203"/>
      <c r="K102" s="203"/>
      <c r="L102" s="203"/>
      <c r="M102" s="203"/>
      <c r="N102" s="203"/>
      <c r="O102" s="203"/>
      <c r="P102" s="203"/>
      <c r="Q102" s="203"/>
      <c r="R102" s="203"/>
      <c r="S102" s="203"/>
      <c r="T102" s="203"/>
      <c r="U102" s="203"/>
      <c r="V102" s="203"/>
      <c r="W102" s="203"/>
      <c r="X102" s="203"/>
      <c r="Y102" s="203"/>
      <c r="Z102" s="203"/>
      <c r="AA102" s="203"/>
      <c r="AB102" s="203"/>
      <c r="AC102" s="203"/>
      <c r="AD102" s="203"/>
      <c r="AE102" s="203"/>
      <c r="AF102" s="203"/>
    </row>
    <row r="103" spans="3:32" ht="15" customHeight="1">
      <c r="C103" s="10"/>
      <c r="D103" s="26"/>
      <c r="E103" s="215"/>
      <c r="F103" s="215"/>
      <c r="G103" s="203"/>
      <c r="H103" s="203"/>
      <c r="I103" s="203"/>
      <c r="J103" s="203"/>
      <c r="K103" s="203"/>
      <c r="L103" s="203"/>
      <c r="M103" s="203"/>
      <c r="N103" s="203"/>
      <c r="O103" s="203"/>
      <c r="P103" s="203"/>
      <c r="Q103" s="203"/>
      <c r="R103" s="203"/>
      <c r="S103" s="203"/>
      <c r="T103" s="203"/>
      <c r="U103" s="203"/>
      <c r="V103" s="203"/>
      <c r="W103" s="203"/>
      <c r="X103" s="203"/>
      <c r="Y103" s="203"/>
      <c r="Z103" s="203"/>
      <c r="AA103" s="203"/>
      <c r="AB103" s="203"/>
      <c r="AC103" s="203"/>
      <c r="AD103" s="203"/>
      <c r="AE103" s="203"/>
      <c r="AF103" s="203"/>
    </row>
    <row r="104" spans="3:32" ht="15" customHeight="1">
      <c r="C104" s="10"/>
      <c r="D104" s="26"/>
      <c r="E104" s="215"/>
      <c r="F104" s="215"/>
      <c r="G104" s="203"/>
      <c r="H104" s="203"/>
      <c r="I104" s="203"/>
      <c r="J104" s="203"/>
      <c r="K104" s="203"/>
      <c r="L104" s="203"/>
      <c r="M104" s="203"/>
      <c r="N104" s="203"/>
      <c r="O104" s="203"/>
      <c r="P104" s="203"/>
      <c r="Q104" s="203"/>
      <c r="R104" s="203"/>
      <c r="S104" s="203"/>
      <c r="T104" s="203"/>
      <c r="U104" s="203"/>
      <c r="V104" s="203"/>
      <c r="W104" s="203"/>
      <c r="X104" s="203"/>
      <c r="Y104" s="203"/>
      <c r="Z104" s="203"/>
      <c r="AA104" s="203"/>
      <c r="AB104" s="203"/>
      <c r="AC104" s="203"/>
      <c r="AD104" s="203"/>
      <c r="AE104" s="203"/>
      <c r="AF104" s="203"/>
    </row>
    <row r="105" spans="3:32" ht="15" customHeight="1">
      <c r="C105" s="10"/>
      <c r="D105" s="26"/>
      <c r="E105" s="215"/>
      <c r="F105" s="215"/>
      <c r="G105" s="203"/>
      <c r="H105" s="203"/>
      <c r="I105" s="203"/>
      <c r="J105" s="203"/>
      <c r="K105" s="203"/>
      <c r="L105" s="203"/>
      <c r="M105" s="203"/>
      <c r="N105" s="203"/>
      <c r="O105" s="203"/>
      <c r="P105" s="203"/>
      <c r="Q105" s="203"/>
      <c r="R105" s="203"/>
      <c r="S105" s="203"/>
      <c r="T105" s="203"/>
      <c r="U105" s="203"/>
      <c r="V105" s="203"/>
      <c r="W105" s="203"/>
      <c r="X105" s="203"/>
      <c r="Y105" s="203"/>
      <c r="Z105" s="203"/>
      <c r="AA105" s="203"/>
      <c r="AB105" s="203"/>
      <c r="AC105" s="203"/>
      <c r="AD105" s="203"/>
      <c r="AE105" s="203"/>
      <c r="AF105" s="203"/>
    </row>
    <row r="106" spans="3:32" ht="15" customHeight="1">
      <c r="C106" s="10"/>
      <c r="D106" s="26"/>
      <c r="E106" s="215"/>
      <c r="F106" s="215"/>
      <c r="G106" s="203"/>
      <c r="H106" s="203"/>
      <c r="I106" s="203"/>
      <c r="J106" s="203"/>
      <c r="K106" s="203"/>
      <c r="L106" s="203"/>
      <c r="M106" s="203"/>
      <c r="N106" s="203"/>
      <c r="O106" s="203"/>
      <c r="P106" s="203"/>
      <c r="Q106" s="203"/>
      <c r="R106" s="203"/>
      <c r="S106" s="203"/>
      <c r="T106" s="203"/>
      <c r="U106" s="203"/>
      <c r="V106" s="203"/>
      <c r="W106" s="203"/>
      <c r="X106" s="203"/>
      <c r="Y106" s="203"/>
      <c r="Z106" s="203"/>
      <c r="AA106" s="203"/>
      <c r="AB106" s="203"/>
      <c r="AC106" s="203"/>
      <c r="AD106" s="203"/>
      <c r="AE106" s="203"/>
      <c r="AF106" s="203"/>
    </row>
    <row r="107" spans="3:32" ht="15" customHeight="1">
      <c r="C107" s="10"/>
      <c r="D107" s="26"/>
      <c r="E107" s="215"/>
      <c r="F107" s="215"/>
      <c r="G107" s="203"/>
      <c r="H107" s="203"/>
      <c r="I107" s="203"/>
      <c r="J107" s="203"/>
      <c r="K107" s="203"/>
      <c r="L107" s="203"/>
      <c r="M107" s="203"/>
      <c r="N107" s="203"/>
      <c r="O107" s="203"/>
      <c r="P107" s="203"/>
      <c r="Q107" s="203"/>
      <c r="R107" s="203"/>
      <c r="S107" s="203"/>
      <c r="T107" s="203"/>
      <c r="U107" s="203"/>
      <c r="V107" s="203"/>
      <c r="W107" s="203"/>
      <c r="X107" s="203"/>
      <c r="Y107" s="203"/>
      <c r="Z107" s="203"/>
      <c r="AA107" s="203"/>
      <c r="AB107" s="203"/>
      <c r="AC107" s="203"/>
      <c r="AD107" s="203"/>
      <c r="AE107" s="203"/>
      <c r="AF107" s="203"/>
    </row>
    <row r="108" spans="3:32" ht="15" customHeight="1">
      <c r="C108" s="10"/>
      <c r="D108" s="26"/>
      <c r="E108" s="215"/>
      <c r="F108" s="215"/>
      <c r="G108" s="203"/>
      <c r="H108" s="203"/>
      <c r="I108" s="203"/>
      <c r="J108" s="203"/>
      <c r="K108" s="203"/>
      <c r="L108" s="203"/>
      <c r="M108" s="203"/>
      <c r="N108" s="203"/>
      <c r="O108" s="203"/>
      <c r="P108" s="203"/>
      <c r="Q108" s="203"/>
      <c r="R108" s="203"/>
      <c r="S108" s="203"/>
      <c r="T108" s="203"/>
      <c r="U108" s="203"/>
      <c r="V108" s="203"/>
      <c r="W108" s="203"/>
      <c r="X108" s="203"/>
      <c r="Y108" s="203"/>
      <c r="Z108" s="203"/>
      <c r="AA108" s="203"/>
      <c r="AB108" s="203"/>
      <c r="AC108" s="203"/>
      <c r="AD108" s="203"/>
      <c r="AE108" s="203"/>
      <c r="AF108" s="203"/>
    </row>
    <row r="109" spans="3:32" ht="15" customHeight="1">
      <c r="C109" s="10"/>
      <c r="D109" s="26"/>
      <c r="E109" s="215"/>
      <c r="F109" s="215"/>
      <c r="G109" s="203"/>
      <c r="H109" s="203"/>
      <c r="I109" s="203"/>
      <c r="J109" s="203"/>
      <c r="K109" s="203"/>
      <c r="L109" s="203"/>
      <c r="M109" s="203"/>
      <c r="N109" s="203"/>
      <c r="O109" s="203"/>
      <c r="P109" s="203"/>
      <c r="Q109" s="203"/>
      <c r="R109" s="203"/>
      <c r="S109" s="203"/>
      <c r="T109" s="203"/>
      <c r="U109" s="203"/>
      <c r="V109" s="203"/>
      <c r="W109" s="203"/>
      <c r="X109" s="203"/>
      <c r="Y109" s="203"/>
      <c r="Z109" s="203"/>
      <c r="AA109" s="203"/>
      <c r="AB109" s="203"/>
      <c r="AC109" s="203"/>
      <c r="AD109" s="203"/>
      <c r="AE109" s="203"/>
      <c r="AF109" s="203"/>
    </row>
    <row r="110" spans="3:32" ht="15" customHeight="1">
      <c r="C110" s="10"/>
      <c r="D110" s="26"/>
      <c r="E110" s="215"/>
      <c r="F110" s="215"/>
      <c r="G110" s="203"/>
      <c r="H110" s="203"/>
      <c r="I110" s="203"/>
      <c r="J110" s="203"/>
      <c r="K110" s="203"/>
      <c r="L110" s="203"/>
      <c r="M110" s="203"/>
      <c r="N110" s="203"/>
      <c r="O110" s="203"/>
      <c r="P110" s="203"/>
      <c r="Q110" s="203"/>
      <c r="R110" s="203"/>
      <c r="S110" s="203"/>
      <c r="T110" s="203"/>
      <c r="U110" s="203"/>
      <c r="V110" s="203"/>
      <c r="W110" s="203"/>
      <c r="X110" s="203"/>
      <c r="Y110" s="203"/>
      <c r="Z110" s="203"/>
      <c r="AA110" s="203"/>
      <c r="AB110" s="203"/>
      <c r="AC110" s="203"/>
      <c r="AD110" s="203"/>
      <c r="AE110" s="203"/>
      <c r="AF110" s="203"/>
    </row>
    <row r="111" spans="3:32" ht="15" customHeight="1">
      <c r="C111" s="10"/>
      <c r="D111" s="26"/>
      <c r="E111" s="215"/>
      <c r="F111" s="215"/>
      <c r="G111" s="203"/>
      <c r="H111" s="203"/>
      <c r="I111" s="203"/>
      <c r="J111" s="203"/>
      <c r="K111" s="203"/>
      <c r="L111" s="203"/>
      <c r="M111" s="203"/>
      <c r="N111" s="203"/>
      <c r="O111" s="203"/>
      <c r="P111" s="203"/>
      <c r="Q111" s="203"/>
      <c r="R111" s="203"/>
      <c r="S111" s="203"/>
      <c r="T111" s="203"/>
      <c r="U111" s="203"/>
      <c r="V111" s="203"/>
      <c r="W111" s="203"/>
      <c r="X111" s="203"/>
      <c r="Y111" s="203"/>
      <c r="Z111" s="203"/>
      <c r="AA111" s="203"/>
      <c r="AB111" s="203"/>
      <c r="AC111" s="203"/>
      <c r="AD111" s="203"/>
      <c r="AE111" s="203"/>
      <c r="AF111" s="203"/>
    </row>
    <row r="112" spans="3:32" ht="15" customHeight="1">
      <c r="C112" s="10"/>
      <c r="D112" s="26"/>
      <c r="E112" s="215"/>
      <c r="F112" s="215"/>
      <c r="G112" s="203"/>
      <c r="H112" s="203"/>
      <c r="I112" s="203"/>
      <c r="J112" s="203"/>
      <c r="K112" s="203"/>
      <c r="L112" s="203"/>
      <c r="M112" s="203"/>
      <c r="N112" s="203"/>
      <c r="O112" s="203"/>
      <c r="P112" s="203"/>
      <c r="Q112" s="203"/>
      <c r="R112" s="203"/>
      <c r="S112" s="203"/>
      <c r="T112" s="203"/>
      <c r="U112" s="203"/>
      <c r="V112" s="203"/>
      <c r="W112" s="203"/>
      <c r="X112" s="203"/>
      <c r="Y112" s="203"/>
      <c r="Z112" s="203"/>
      <c r="AA112" s="203"/>
      <c r="AB112" s="203"/>
      <c r="AC112" s="203"/>
      <c r="AD112" s="203"/>
      <c r="AE112" s="203"/>
      <c r="AF112" s="203"/>
    </row>
    <row r="113" spans="2:32" ht="15" customHeight="1">
      <c r="C113" s="10"/>
      <c r="D113" s="26"/>
      <c r="E113" s="215"/>
      <c r="F113" s="215"/>
      <c r="G113" s="203"/>
      <c r="H113" s="203"/>
      <c r="I113" s="203"/>
      <c r="J113" s="203"/>
      <c r="K113" s="203"/>
      <c r="L113" s="203"/>
      <c r="M113" s="203"/>
      <c r="N113" s="203"/>
      <c r="O113" s="203"/>
      <c r="P113" s="203"/>
      <c r="Q113" s="203"/>
      <c r="R113" s="203"/>
      <c r="S113" s="203"/>
      <c r="T113" s="203"/>
      <c r="U113" s="203"/>
      <c r="V113" s="203"/>
      <c r="W113" s="203"/>
      <c r="X113" s="203"/>
      <c r="Y113" s="203"/>
      <c r="Z113" s="203"/>
      <c r="AA113" s="203"/>
      <c r="AB113" s="203"/>
      <c r="AC113" s="203"/>
      <c r="AD113" s="203"/>
      <c r="AE113" s="203"/>
      <c r="AF113" s="203"/>
    </row>
    <row r="114" spans="2:32" ht="15" customHeight="1">
      <c r="C114" s="10"/>
      <c r="D114" s="26"/>
      <c r="E114" s="215"/>
      <c r="F114" s="215"/>
      <c r="G114" s="203"/>
      <c r="H114" s="203"/>
      <c r="I114" s="203"/>
      <c r="J114" s="203"/>
      <c r="K114" s="203"/>
      <c r="L114" s="203"/>
      <c r="M114" s="203"/>
      <c r="N114" s="203"/>
      <c r="O114" s="203"/>
      <c r="P114" s="203"/>
      <c r="Q114" s="203"/>
      <c r="R114" s="203"/>
      <c r="S114" s="203"/>
      <c r="T114" s="203"/>
      <c r="U114" s="203"/>
      <c r="V114" s="203"/>
      <c r="W114" s="203"/>
      <c r="X114" s="203"/>
      <c r="Y114" s="203"/>
      <c r="Z114" s="203"/>
      <c r="AA114" s="203"/>
      <c r="AB114" s="203"/>
      <c r="AC114" s="203"/>
      <c r="AD114" s="203"/>
      <c r="AE114" s="203"/>
      <c r="AF114" s="203"/>
    </row>
    <row r="115" spans="2:32" ht="15" customHeight="1">
      <c r="C115" s="10"/>
      <c r="D115" s="26"/>
      <c r="E115" s="215"/>
      <c r="F115" s="215"/>
      <c r="G115" s="203"/>
      <c r="H115" s="203"/>
      <c r="I115" s="203"/>
      <c r="J115" s="203"/>
      <c r="K115" s="203"/>
      <c r="L115" s="203"/>
      <c r="M115" s="203"/>
      <c r="N115" s="203"/>
      <c r="O115" s="203"/>
      <c r="P115" s="203"/>
      <c r="Q115" s="203"/>
      <c r="R115" s="203"/>
      <c r="S115" s="203"/>
      <c r="T115" s="203"/>
      <c r="U115" s="203"/>
      <c r="V115" s="203"/>
      <c r="W115" s="203"/>
      <c r="X115" s="203"/>
      <c r="Y115" s="203"/>
      <c r="Z115" s="203"/>
      <c r="AA115" s="203"/>
      <c r="AB115" s="203"/>
      <c r="AC115" s="203"/>
      <c r="AD115" s="203"/>
      <c r="AE115" s="203"/>
      <c r="AF115" s="203"/>
    </row>
    <row r="116" spans="2:32" ht="15" customHeight="1">
      <c r="C116" s="10"/>
    </row>
    <row r="117" spans="2:32" ht="15" customHeight="1">
      <c r="B117" s="315"/>
      <c r="C117" s="10"/>
      <c r="D117" s="26"/>
      <c r="E117" s="215"/>
      <c r="F117" s="215"/>
      <c r="G117" s="203"/>
      <c r="H117" s="203"/>
      <c r="I117" s="203"/>
      <c r="J117" s="203"/>
      <c r="K117" s="203"/>
      <c r="L117" s="203"/>
      <c r="M117" s="203"/>
      <c r="N117" s="203"/>
      <c r="O117" s="203"/>
      <c r="P117" s="203"/>
      <c r="Q117" s="203"/>
      <c r="R117" s="203"/>
      <c r="S117" s="203"/>
      <c r="T117" s="203"/>
      <c r="U117" s="203"/>
      <c r="V117" s="203"/>
      <c r="W117" s="203"/>
      <c r="X117" s="203"/>
      <c r="Y117" s="203"/>
      <c r="Z117" s="203"/>
      <c r="AA117" s="203"/>
      <c r="AB117" s="203"/>
      <c r="AC117" s="203"/>
      <c r="AD117" s="203"/>
      <c r="AE117" s="203"/>
      <c r="AF117" s="203"/>
    </row>
    <row r="118" spans="2:32" ht="15" customHeight="1">
      <c r="C118" s="10"/>
      <c r="D118" s="26"/>
      <c r="E118" s="215"/>
      <c r="F118" s="215"/>
      <c r="G118" s="203"/>
      <c r="H118" s="203"/>
      <c r="I118" s="203"/>
      <c r="J118" s="203"/>
      <c r="K118" s="203"/>
      <c r="L118" s="203"/>
      <c r="M118" s="203"/>
      <c r="N118" s="203"/>
      <c r="O118" s="203"/>
      <c r="P118" s="203"/>
      <c r="Q118" s="203"/>
      <c r="R118" s="203"/>
      <c r="S118" s="203"/>
      <c r="T118" s="203"/>
      <c r="U118" s="203"/>
      <c r="V118" s="203"/>
      <c r="W118" s="203"/>
      <c r="X118" s="203"/>
      <c r="Y118" s="203"/>
      <c r="Z118" s="203"/>
      <c r="AA118" s="203"/>
      <c r="AB118" s="203"/>
      <c r="AC118" s="203"/>
      <c r="AD118" s="203"/>
      <c r="AE118" s="203"/>
      <c r="AF118" s="203"/>
    </row>
    <row r="119" spans="2:32" ht="15" customHeight="1">
      <c r="C119" s="10"/>
      <c r="D119" s="26"/>
      <c r="E119" s="215"/>
      <c r="F119" s="215"/>
      <c r="G119" s="203"/>
      <c r="H119" s="203"/>
      <c r="I119" s="203"/>
      <c r="J119" s="203"/>
      <c r="K119" s="203"/>
      <c r="L119" s="203"/>
      <c r="M119" s="203"/>
      <c r="N119" s="203"/>
      <c r="O119" s="203"/>
      <c r="P119" s="203"/>
      <c r="Q119" s="203"/>
      <c r="R119" s="203"/>
      <c r="S119" s="203"/>
      <c r="T119" s="203"/>
      <c r="U119" s="203"/>
      <c r="V119" s="203"/>
      <c r="W119" s="203"/>
      <c r="X119" s="203"/>
      <c r="Y119" s="203"/>
      <c r="Z119" s="203"/>
      <c r="AA119" s="203"/>
      <c r="AB119" s="203"/>
      <c r="AC119" s="203"/>
      <c r="AD119" s="203"/>
      <c r="AE119" s="203"/>
      <c r="AF119" s="203"/>
    </row>
    <row r="120" spans="2:32" ht="15" customHeight="1">
      <c r="C120" s="10"/>
      <c r="D120" s="26"/>
      <c r="E120" s="215"/>
      <c r="F120" s="215"/>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row>
    <row r="121" spans="2:32" ht="15" customHeight="1">
      <c r="C121" s="10"/>
      <c r="D121" s="26"/>
      <c r="E121" s="215"/>
      <c r="F121" s="215"/>
      <c r="G121" s="203"/>
      <c r="H121" s="203"/>
      <c r="I121" s="203"/>
      <c r="J121" s="203"/>
      <c r="K121" s="203"/>
      <c r="L121" s="203"/>
      <c r="M121" s="203"/>
      <c r="N121" s="203"/>
      <c r="O121" s="203"/>
      <c r="P121" s="203"/>
      <c r="Q121" s="203"/>
      <c r="R121" s="203"/>
      <c r="S121" s="203"/>
      <c r="T121" s="203"/>
      <c r="U121" s="203"/>
      <c r="V121" s="203"/>
      <c r="W121" s="203"/>
      <c r="X121" s="203"/>
      <c r="Y121" s="203"/>
      <c r="Z121" s="203"/>
      <c r="AA121" s="203"/>
      <c r="AB121" s="203"/>
      <c r="AC121" s="203"/>
      <c r="AD121" s="203"/>
      <c r="AE121" s="203"/>
      <c r="AF121" s="203"/>
    </row>
    <row r="122" spans="2:32" ht="15" customHeight="1">
      <c r="C122" s="10"/>
      <c r="D122" s="26"/>
      <c r="E122" s="215"/>
      <c r="F122" s="215"/>
      <c r="G122" s="203"/>
      <c r="H122" s="203"/>
      <c r="I122" s="203"/>
      <c r="J122" s="203"/>
      <c r="K122" s="203"/>
      <c r="L122" s="203"/>
      <c r="M122" s="203"/>
      <c r="N122" s="203"/>
      <c r="O122" s="203"/>
      <c r="P122" s="203"/>
      <c r="Q122" s="203"/>
      <c r="R122" s="203"/>
      <c r="S122" s="203"/>
      <c r="T122" s="203"/>
      <c r="U122" s="203"/>
      <c r="V122" s="203"/>
      <c r="W122" s="203"/>
      <c r="X122" s="203"/>
      <c r="Y122" s="203"/>
      <c r="Z122" s="203"/>
      <c r="AA122" s="203"/>
      <c r="AB122" s="203"/>
      <c r="AC122" s="203"/>
      <c r="AD122" s="203"/>
      <c r="AE122" s="203"/>
      <c r="AF122" s="203"/>
    </row>
    <row r="123" spans="2:32" ht="15" customHeight="1">
      <c r="C123" s="10"/>
      <c r="D123" s="26"/>
      <c r="E123" s="215"/>
      <c r="F123" s="215"/>
      <c r="G123" s="203"/>
      <c r="H123" s="203"/>
      <c r="I123" s="203"/>
      <c r="J123" s="203"/>
      <c r="K123" s="203"/>
      <c r="L123" s="203"/>
      <c r="M123" s="203"/>
      <c r="N123" s="203"/>
      <c r="O123" s="203"/>
      <c r="P123" s="203"/>
      <c r="Q123" s="203"/>
      <c r="R123" s="203"/>
      <c r="S123" s="203"/>
      <c r="T123" s="203"/>
      <c r="U123" s="203"/>
      <c r="V123" s="203"/>
      <c r="W123" s="203"/>
      <c r="X123" s="203"/>
      <c r="Y123" s="203"/>
      <c r="Z123" s="203"/>
      <c r="AA123" s="203"/>
      <c r="AB123" s="203"/>
      <c r="AC123" s="203"/>
      <c r="AD123" s="203"/>
      <c r="AE123" s="203"/>
      <c r="AF123" s="203"/>
    </row>
    <row r="124" spans="2:32" ht="15" customHeight="1">
      <c r="C124" s="10"/>
      <c r="D124" s="26"/>
      <c r="E124" s="215"/>
      <c r="F124" s="215"/>
      <c r="G124" s="203"/>
      <c r="H124" s="203"/>
      <c r="I124" s="203"/>
      <c r="J124" s="203"/>
      <c r="K124" s="203"/>
      <c r="L124" s="203"/>
      <c r="M124" s="203"/>
      <c r="N124" s="203"/>
      <c r="O124" s="203"/>
      <c r="P124" s="203"/>
      <c r="Q124" s="203"/>
      <c r="R124" s="203"/>
      <c r="S124" s="203"/>
      <c r="T124" s="203"/>
      <c r="U124" s="203"/>
      <c r="V124" s="203"/>
      <c r="W124" s="203"/>
      <c r="X124" s="203"/>
      <c r="Y124" s="203"/>
      <c r="Z124" s="203"/>
      <c r="AA124" s="203"/>
      <c r="AB124" s="203"/>
      <c r="AC124" s="203"/>
      <c r="AD124" s="203"/>
      <c r="AE124" s="203"/>
      <c r="AF124" s="203"/>
    </row>
    <row r="125" spans="2:32" ht="15" customHeight="1">
      <c r="C125" s="10"/>
      <c r="D125" s="26"/>
      <c r="E125" s="215"/>
      <c r="F125" s="215"/>
      <c r="G125" s="203"/>
      <c r="H125" s="203"/>
      <c r="I125" s="203"/>
      <c r="J125" s="203"/>
      <c r="K125" s="203"/>
      <c r="L125" s="203"/>
      <c r="M125" s="203"/>
      <c r="N125" s="203"/>
      <c r="O125" s="203"/>
      <c r="P125" s="203"/>
      <c r="Q125" s="203"/>
      <c r="R125" s="203"/>
      <c r="S125" s="203"/>
      <c r="T125" s="203"/>
      <c r="U125" s="203"/>
      <c r="V125" s="203"/>
      <c r="W125" s="203"/>
      <c r="X125" s="203"/>
      <c r="Y125" s="203"/>
      <c r="Z125" s="203"/>
      <c r="AA125" s="203"/>
      <c r="AB125" s="203"/>
      <c r="AC125" s="203"/>
      <c r="AD125" s="203"/>
      <c r="AE125" s="203"/>
      <c r="AF125" s="203"/>
    </row>
    <row r="126" spans="2:32" ht="15" customHeight="1">
      <c r="C126" s="10"/>
      <c r="D126" s="26"/>
      <c r="E126" s="215"/>
      <c r="F126" s="215"/>
      <c r="G126" s="203"/>
      <c r="H126" s="203"/>
      <c r="I126" s="203"/>
      <c r="J126" s="203"/>
      <c r="K126" s="203"/>
      <c r="L126" s="203"/>
      <c r="M126" s="203"/>
      <c r="N126" s="203"/>
      <c r="O126" s="203"/>
      <c r="P126" s="203"/>
      <c r="Q126" s="203"/>
      <c r="R126" s="203"/>
      <c r="S126" s="203"/>
      <c r="T126" s="203"/>
      <c r="U126" s="203"/>
      <c r="V126" s="203"/>
      <c r="W126" s="203"/>
      <c r="X126" s="203"/>
      <c r="Y126" s="203"/>
      <c r="Z126" s="203"/>
      <c r="AA126" s="203"/>
      <c r="AB126" s="203"/>
      <c r="AC126" s="203"/>
      <c r="AD126" s="203"/>
      <c r="AE126" s="203"/>
      <c r="AF126" s="203"/>
    </row>
    <row r="127" spans="2:32" ht="15" customHeight="1">
      <c r="C127" s="10"/>
      <c r="D127" s="26"/>
      <c r="E127" s="215"/>
      <c r="F127" s="215"/>
      <c r="G127" s="203"/>
      <c r="H127" s="203"/>
      <c r="I127" s="203"/>
      <c r="J127" s="203"/>
      <c r="K127" s="203"/>
      <c r="L127" s="203"/>
      <c r="M127" s="203"/>
      <c r="N127" s="203"/>
      <c r="O127" s="203"/>
      <c r="P127" s="203"/>
      <c r="Q127" s="203"/>
      <c r="R127" s="203"/>
      <c r="S127" s="203"/>
      <c r="T127" s="203"/>
      <c r="U127" s="203"/>
      <c r="V127" s="203"/>
      <c r="W127" s="203"/>
      <c r="X127" s="203"/>
      <c r="Y127" s="203"/>
      <c r="Z127" s="203"/>
      <c r="AA127" s="203"/>
      <c r="AB127" s="203"/>
      <c r="AC127" s="203"/>
      <c r="AD127" s="203"/>
      <c r="AE127" s="203"/>
      <c r="AF127" s="203"/>
    </row>
    <row r="128" spans="2:32" ht="15" customHeight="1">
      <c r="C128" s="10"/>
      <c r="D128" s="26"/>
      <c r="E128" s="215"/>
      <c r="F128" s="215"/>
      <c r="G128" s="203"/>
      <c r="H128" s="203"/>
      <c r="I128" s="203"/>
      <c r="J128" s="203"/>
      <c r="K128" s="203"/>
      <c r="L128" s="203"/>
      <c r="M128" s="203"/>
      <c r="N128" s="203"/>
      <c r="O128" s="203"/>
      <c r="P128" s="203"/>
      <c r="Q128" s="203"/>
      <c r="R128" s="203"/>
      <c r="S128" s="203"/>
      <c r="T128" s="203"/>
      <c r="U128" s="203"/>
      <c r="V128" s="203"/>
      <c r="W128" s="203"/>
      <c r="X128" s="203"/>
      <c r="Y128" s="203"/>
      <c r="Z128" s="203"/>
      <c r="AA128" s="203"/>
      <c r="AB128" s="203"/>
      <c r="AC128" s="203"/>
      <c r="AD128" s="203"/>
      <c r="AE128" s="203"/>
      <c r="AF128" s="203"/>
    </row>
    <row r="129" spans="2:32" ht="15" customHeight="1">
      <c r="C129" s="10"/>
      <c r="D129" s="26"/>
      <c r="E129" s="215"/>
      <c r="F129" s="215"/>
      <c r="G129" s="203"/>
      <c r="H129" s="203"/>
      <c r="I129" s="203"/>
      <c r="J129" s="203"/>
      <c r="K129" s="203"/>
      <c r="L129" s="203"/>
      <c r="M129" s="203"/>
      <c r="N129" s="203"/>
      <c r="O129" s="203"/>
      <c r="P129" s="203"/>
      <c r="Q129" s="203"/>
      <c r="R129" s="203"/>
      <c r="S129" s="203"/>
      <c r="T129" s="203"/>
      <c r="U129" s="203"/>
      <c r="V129" s="203"/>
      <c r="W129" s="203"/>
      <c r="X129" s="203"/>
      <c r="Y129" s="203"/>
      <c r="Z129" s="203"/>
      <c r="AA129" s="203"/>
      <c r="AB129" s="203"/>
      <c r="AC129" s="203"/>
      <c r="AD129" s="203"/>
      <c r="AE129" s="203"/>
      <c r="AF129" s="203"/>
    </row>
    <row r="130" spans="2:32" ht="15" customHeight="1">
      <c r="C130" s="10"/>
      <c r="D130" s="26"/>
      <c r="E130" s="215"/>
      <c r="F130" s="215"/>
      <c r="G130" s="203"/>
      <c r="H130" s="203"/>
      <c r="I130" s="203"/>
      <c r="J130" s="203"/>
      <c r="K130" s="203"/>
      <c r="L130" s="203"/>
      <c r="M130" s="203"/>
      <c r="N130" s="203"/>
      <c r="O130" s="203"/>
      <c r="P130" s="203"/>
      <c r="Q130" s="203"/>
      <c r="R130" s="203"/>
      <c r="S130" s="203"/>
      <c r="T130" s="203"/>
      <c r="U130" s="203"/>
      <c r="V130" s="203"/>
      <c r="W130" s="203"/>
      <c r="X130" s="203"/>
      <c r="Y130" s="203"/>
      <c r="Z130" s="203"/>
      <c r="AA130" s="203"/>
      <c r="AB130" s="203"/>
      <c r="AC130" s="203"/>
      <c r="AD130" s="203"/>
      <c r="AE130" s="203"/>
      <c r="AF130" s="203"/>
    </row>
    <row r="131" spans="2:32" ht="15" customHeight="1">
      <c r="C131" s="10"/>
      <c r="D131" s="26"/>
      <c r="E131" s="215"/>
      <c r="F131" s="215"/>
      <c r="G131" s="203"/>
      <c r="H131" s="203"/>
      <c r="I131" s="203"/>
      <c r="J131" s="203"/>
      <c r="K131" s="203"/>
      <c r="L131" s="203"/>
      <c r="M131" s="203"/>
      <c r="N131" s="203"/>
      <c r="O131" s="203"/>
      <c r="P131" s="203"/>
      <c r="Q131" s="203"/>
      <c r="R131" s="203"/>
      <c r="S131" s="203"/>
      <c r="T131" s="203"/>
      <c r="U131" s="203"/>
      <c r="V131" s="203"/>
      <c r="W131" s="203"/>
      <c r="X131" s="203"/>
      <c r="Y131" s="203"/>
      <c r="Z131" s="203"/>
      <c r="AA131" s="203"/>
      <c r="AB131" s="203"/>
      <c r="AC131" s="203"/>
      <c r="AD131" s="203"/>
      <c r="AE131" s="203"/>
      <c r="AF131" s="203"/>
    </row>
    <row r="132" spans="2:32" ht="15" customHeight="1">
      <c r="C132" s="10"/>
      <c r="D132" s="26"/>
      <c r="E132" s="215"/>
      <c r="F132" s="215"/>
      <c r="G132" s="203"/>
      <c r="H132" s="203"/>
      <c r="I132" s="203"/>
      <c r="J132" s="203"/>
      <c r="K132" s="203"/>
      <c r="L132" s="203"/>
      <c r="M132" s="203"/>
      <c r="N132" s="203"/>
      <c r="O132" s="203"/>
      <c r="P132" s="203"/>
      <c r="Q132" s="203"/>
      <c r="R132" s="203"/>
      <c r="S132" s="203"/>
      <c r="T132" s="203"/>
      <c r="U132" s="203"/>
      <c r="V132" s="203"/>
      <c r="W132" s="203"/>
      <c r="X132" s="203"/>
      <c r="Y132" s="203"/>
      <c r="Z132" s="203"/>
      <c r="AA132" s="203"/>
      <c r="AB132" s="203"/>
      <c r="AC132" s="203"/>
      <c r="AD132" s="203"/>
      <c r="AE132" s="203"/>
      <c r="AF132" s="203"/>
    </row>
    <row r="133" spans="2:32" ht="15" customHeight="1">
      <c r="C133" s="10"/>
      <c r="D133" s="26"/>
      <c r="E133" s="215"/>
      <c r="F133" s="215"/>
      <c r="G133" s="203"/>
      <c r="H133" s="203"/>
      <c r="I133" s="203"/>
      <c r="J133" s="203"/>
      <c r="K133" s="203"/>
      <c r="L133" s="203"/>
      <c r="M133" s="203"/>
      <c r="N133" s="203"/>
      <c r="O133" s="203"/>
      <c r="P133" s="203"/>
      <c r="Q133" s="203"/>
      <c r="R133" s="203"/>
      <c r="S133" s="203"/>
      <c r="T133" s="203"/>
      <c r="U133" s="203"/>
      <c r="V133" s="203"/>
      <c r="W133" s="203"/>
      <c r="X133" s="203"/>
      <c r="Y133" s="203"/>
      <c r="Z133" s="203"/>
      <c r="AA133" s="203"/>
      <c r="AB133" s="203"/>
      <c r="AC133" s="203"/>
      <c r="AD133" s="203"/>
      <c r="AE133" s="203"/>
      <c r="AF133" s="203"/>
    </row>
    <row r="134" spans="2:32" ht="15" customHeight="1">
      <c r="C134" s="10"/>
      <c r="D134" s="26"/>
      <c r="E134" s="215"/>
      <c r="F134" s="215"/>
      <c r="G134" s="203"/>
      <c r="H134" s="203"/>
      <c r="I134" s="203"/>
      <c r="J134" s="203"/>
      <c r="K134" s="203"/>
      <c r="L134" s="203"/>
      <c r="M134" s="203"/>
      <c r="N134" s="203"/>
      <c r="O134" s="203"/>
      <c r="P134" s="203"/>
      <c r="Q134" s="203"/>
      <c r="R134" s="203"/>
      <c r="S134" s="203"/>
      <c r="T134" s="203"/>
      <c r="U134" s="203"/>
      <c r="V134" s="203"/>
      <c r="W134" s="203"/>
      <c r="X134" s="203"/>
      <c r="Y134" s="203"/>
      <c r="Z134" s="203"/>
      <c r="AA134" s="203"/>
      <c r="AB134" s="203"/>
      <c r="AC134" s="203"/>
      <c r="AD134" s="203"/>
      <c r="AE134" s="203"/>
      <c r="AF134" s="203"/>
    </row>
    <row r="135" spans="2:32" ht="15" customHeight="1">
      <c r="C135" s="10"/>
      <c r="D135" s="26"/>
      <c r="E135" s="215"/>
      <c r="F135" s="215"/>
      <c r="G135" s="203"/>
      <c r="H135" s="203"/>
      <c r="I135" s="203"/>
      <c r="J135" s="203"/>
      <c r="K135" s="203"/>
      <c r="L135" s="203"/>
      <c r="M135" s="203"/>
      <c r="N135" s="203"/>
      <c r="O135" s="203"/>
      <c r="P135" s="203"/>
      <c r="Q135" s="203"/>
      <c r="R135" s="203"/>
      <c r="S135" s="203"/>
      <c r="T135" s="203"/>
      <c r="U135" s="203"/>
      <c r="V135" s="203"/>
      <c r="W135" s="203"/>
      <c r="X135" s="203"/>
      <c r="Y135" s="203"/>
      <c r="Z135" s="203"/>
      <c r="AA135" s="203"/>
      <c r="AB135" s="203"/>
      <c r="AC135" s="203"/>
      <c r="AD135" s="203"/>
      <c r="AE135" s="203"/>
      <c r="AF135" s="203"/>
    </row>
    <row r="136" spans="2:32" ht="15" customHeight="1">
      <c r="C136" s="10"/>
      <c r="D136" s="26"/>
      <c r="E136" s="215"/>
      <c r="F136" s="215"/>
      <c r="G136" s="203"/>
      <c r="H136" s="203"/>
      <c r="I136" s="203"/>
      <c r="J136" s="203"/>
      <c r="K136" s="203"/>
      <c r="L136" s="203"/>
      <c r="M136" s="203"/>
      <c r="N136" s="203"/>
      <c r="O136" s="203"/>
      <c r="P136" s="203"/>
      <c r="Q136" s="203"/>
      <c r="R136" s="203"/>
      <c r="S136" s="203"/>
      <c r="T136" s="203"/>
      <c r="U136" s="203"/>
      <c r="V136" s="203"/>
      <c r="W136" s="203"/>
      <c r="X136" s="203"/>
      <c r="Y136" s="203"/>
      <c r="Z136" s="203"/>
      <c r="AA136" s="203"/>
      <c r="AB136" s="203"/>
      <c r="AC136" s="203"/>
      <c r="AD136" s="203"/>
      <c r="AE136" s="203"/>
      <c r="AF136" s="203"/>
    </row>
    <row r="137" spans="2:32" ht="15" customHeight="1">
      <c r="C137" s="10"/>
      <c r="D137" s="26"/>
      <c r="E137" s="215"/>
      <c r="F137" s="215"/>
      <c r="G137" s="203"/>
      <c r="H137" s="203"/>
      <c r="I137" s="203"/>
      <c r="J137" s="203"/>
      <c r="K137" s="203"/>
      <c r="L137" s="203"/>
      <c r="M137" s="203"/>
      <c r="N137" s="203"/>
      <c r="O137" s="203"/>
      <c r="P137" s="203"/>
      <c r="Q137" s="203"/>
      <c r="R137" s="203"/>
      <c r="S137" s="203"/>
      <c r="T137" s="203"/>
      <c r="U137" s="203"/>
      <c r="V137" s="203"/>
      <c r="W137" s="203"/>
      <c r="X137" s="203"/>
      <c r="Y137" s="203"/>
      <c r="Z137" s="203"/>
      <c r="AA137" s="203"/>
      <c r="AB137" s="203"/>
      <c r="AC137" s="203"/>
      <c r="AD137" s="203"/>
      <c r="AE137" s="203"/>
      <c r="AF137" s="203"/>
    </row>
    <row r="138" spans="2:32" ht="15" customHeight="1">
      <c r="C138" s="10"/>
      <c r="D138" s="26"/>
      <c r="E138" s="215"/>
      <c r="F138" s="215"/>
      <c r="G138" s="203"/>
      <c r="H138" s="203"/>
      <c r="I138" s="203"/>
      <c r="J138" s="203"/>
      <c r="K138" s="203"/>
      <c r="L138" s="203"/>
      <c r="M138" s="203"/>
      <c r="N138" s="203"/>
      <c r="O138" s="203"/>
      <c r="P138" s="203"/>
      <c r="Q138" s="203"/>
      <c r="R138" s="203"/>
      <c r="S138" s="203"/>
      <c r="T138" s="203"/>
      <c r="U138" s="203"/>
      <c r="V138" s="203"/>
      <c r="W138" s="203"/>
      <c r="X138" s="203"/>
      <c r="Y138" s="203"/>
      <c r="Z138" s="203"/>
      <c r="AA138" s="203"/>
      <c r="AB138" s="203"/>
      <c r="AC138" s="203"/>
      <c r="AD138" s="203"/>
      <c r="AE138" s="203"/>
      <c r="AF138" s="203"/>
    </row>
    <row r="139" spans="2:32" ht="15" customHeight="1">
      <c r="C139" s="10"/>
      <c r="D139" s="26"/>
      <c r="E139" s="215"/>
      <c r="F139" s="215"/>
      <c r="G139" s="203"/>
      <c r="H139" s="203"/>
      <c r="I139" s="203"/>
      <c r="J139" s="203"/>
      <c r="K139" s="203"/>
      <c r="L139" s="203"/>
      <c r="M139" s="203"/>
      <c r="N139" s="203"/>
      <c r="O139" s="203"/>
      <c r="P139" s="203"/>
      <c r="Q139" s="203"/>
      <c r="R139" s="203"/>
      <c r="S139" s="203"/>
      <c r="T139" s="203"/>
      <c r="U139" s="203"/>
      <c r="V139" s="203"/>
      <c r="W139" s="203"/>
      <c r="X139" s="203"/>
      <c r="Y139" s="203"/>
      <c r="Z139" s="203"/>
      <c r="AA139" s="203"/>
      <c r="AB139" s="203"/>
      <c r="AC139" s="203"/>
      <c r="AD139" s="203"/>
      <c r="AE139" s="203"/>
      <c r="AF139" s="203"/>
    </row>
    <row r="140" spans="2:32" ht="15" customHeight="1">
      <c r="C140" s="10"/>
      <c r="D140" s="26"/>
      <c r="E140" s="215"/>
      <c r="F140" s="215"/>
      <c r="G140" s="203"/>
      <c r="H140" s="203"/>
      <c r="I140" s="203"/>
      <c r="J140" s="203"/>
      <c r="K140" s="203"/>
      <c r="L140" s="203"/>
      <c r="M140" s="203"/>
      <c r="N140" s="203"/>
      <c r="O140" s="203"/>
      <c r="P140" s="203"/>
      <c r="Q140" s="203"/>
      <c r="R140" s="203"/>
      <c r="S140" s="203"/>
      <c r="T140" s="203"/>
      <c r="U140" s="203"/>
      <c r="V140" s="203"/>
      <c r="W140" s="203"/>
      <c r="X140" s="203"/>
      <c r="Y140" s="203"/>
      <c r="Z140" s="203"/>
      <c r="AA140" s="203"/>
      <c r="AB140" s="203"/>
      <c r="AC140" s="203"/>
      <c r="AD140" s="203"/>
      <c r="AE140" s="203"/>
      <c r="AF140" s="203"/>
    </row>
    <row r="141" spans="2:32" ht="15" customHeight="1">
      <c r="C141" s="10"/>
      <c r="D141" s="26"/>
      <c r="E141" s="215"/>
      <c r="F141" s="215"/>
      <c r="G141" s="203"/>
      <c r="H141" s="203"/>
      <c r="I141" s="203"/>
      <c r="J141" s="203"/>
      <c r="K141" s="203"/>
      <c r="L141" s="203"/>
      <c r="M141" s="203"/>
      <c r="N141" s="203"/>
      <c r="O141" s="203"/>
      <c r="P141" s="203"/>
      <c r="Q141" s="203"/>
      <c r="R141" s="203"/>
      <c r="S141" s="203"/>
      <c r="T141" s="203"/>
      <c r="U141" s="203"/>
      <c r="V141" s="203"/>
      <c r="W141" s="203"/>
      <c r="X141" s="203"/>
      <c r="Y141" s="203"/>
      <c r="Z141" s="203"/>
      <c r="AA141" s="203"/>
      <c r="AB141" s="203"/>
      <c r="AC141" s="203"/>
      <c r="AD141" s="203"/>
      <c r="AE141" s="203"/>
      <c r="AF141" s="203"/>
    </row>
    <row r="142" spans="2:32" ht="15" customHeight="1">
      <c r="C142" s="10"/>
    </row>
    <row r="143" spans="2:32" ht="15" customHeight="1">
      <c r="B143" s="315"/>
      <c r="C143" s="10"/>
      <c r="D143" s="26"/>
      <c r="E143" s="215"/>
      <c r="F143" s="215"/>
      <c r="G143" s="203"/>
      <c r="H143" s="203"/>
      <c r="I143" s="203"/>
      <c r="J143" s="203"/>
      <c r="K143" s="203"/>
      <c r="L143" s="203"/>
      <c r="M143" s="203"/>
      <c r="N143" s="203"/>
      <c r="O143" s="203"/>
      <c r="P143" s="203"/>
      <c r="Q143" s="203"/>
      <c r="R143" s="203"/>
      <c r="S143" s="203"/>
      <c r="T143" s="203"/>
      <c r="U143" s="203"/>
      <c r="V143" s="203"/>
      <c r="W143" s="203"/>
      <c r="X143" s="203"/>
      <c r="Y143" s="203"/>
      <c r="Z143" s="203"/>
      <c r="AA143" s="203"/>
      <c r="AB143" s="203"/>
      <c r="AC143" s="203"/>
      <c r="AD143" s="203"/>
      <c r="AE143" s="203"/>
      <c r="AF143" s="203"/>
    </row>
    <row r="144" spans="2:32" ht="15" customHeight="1">
      <c r="C144" s="10"/>
      <c r="D144" s="26"/>
      <c r="E144" s="215"/>
      <c r="F144" s="215"/>
      <c r="G144" s="203"/>
      <c r="H144" s="203"/>
      <c r="I144" s="203"/>
      <c r="J144" s="203"/>
      <c r="K144" s="203"/>
      <c r="L144" s="203"/>
      <c r="M144" s="203"/>
      <c r="N144" s="203"/>
      <c r="O144" s="203"/>
      <c r="P144" s="203"/>
      <c r="Q144" s="203"/>
      <c r="R144" s="203"/>
      <c r="S144" s="203"/>
      <c r="T144" s="203"/>
      <c r="U144" s="203"/>
      <c r="V144" s="203"/>
      <c r="W144" s="203"/>
      <c r="X144" s="203"/>
      <c r="Y144" s="203"/>
      <c r="Z144" s="203"/>
      <c r="AA144" s="203"/>
      <c r="AB144" s="203"/>
      <c r="AC144" s="203"/>
      <c r="AD144" s="203"/>
      <c r="AE144" s="203"/>
      <c r="AF144" s="203"/>
    </row>
    <row r="145" spans="3:32" ht="15" customHeight="1">
      <c r="C145" s="10"/>
      <c r="D145" s="26"/>
      <c r="E145" s="215"/>
      <c r="F145" s="215"/>
      <c r="G145" s="203"/>
      <c r="H145" s="203"/>
      <c r="I145" s="203"/>
      <c r="J145" s="203"/>
      <c r="K145" s="203"/>
      <c r="L145" s="203"/>
      <c r="M145" s="203"/>
      <c r="N145" s="203"/>
      <c r="O145" s="203"/>
      <c r="P145" s="203"/>
      <c r="Q145" s="203"/>
      <c r="R145" s="203"/>
      <c r="S145" s="203"/>
      <c r="T145" s="203"/>
      <c r="U145" s="203"/>
      <c r="V145" s="203"/>
      <c r="W145" s="203"/>
      <c r="X145" s="203"/>
      <c r="Y145" s="203"/>
      <c r="Z145" s="203"/>
      <c r="AA145" s="203"/>
      <c r="AB145" s="203"/>
      <c r="AC145" s="203"/>
      <c r="AD145" s="203"/>
      <c r="AE145" s="203"/>
      <c r="AF145" s="203"/>
    </row>
    <row r="146" spans="3:32" ht="15" customHeight="1">
      <c r="C146" s="10"/>
      <c r="D146" s="26"/>
      <c r="E146" s="215"/>
      <c r="F146" s="215"/>
      <c r="G146" s="203"/>
      <c r="H146" s="203"/>
      <c r="I146" s="203"/>
      <c r="J146" s="203"/>
      <c r="K146" s="203"/>
      <c r="L146" s="203"/>
      <c r="M146" s="203"/>
      <c r="N146" s="203"/>
      <c r="O146" s="203"/>
      <c r="P146" s="203"/>
      <c r="Q146" s="203"/>
      <c r="R146" s="203"/>
      <c r="S146" s="203"/>
      <c r="T146" s="203"/>
      <c r="U146" s="203"/>
      <c r="V146" s="203"/>
      <c r="W146" s="203"/>
      <c r="X146" s="203"/>
      <c r="Y146" s="203"/>
      <c r="Z146" s="203"/>
      <c r="AA146" s="203"/>
      <c r="AB146" s="203"/>
      <c r="AC146" s="203"/>
      <c r="AD146" s="203"/>
      <c r="AE146" s="203"/>
      <c r="AF146" s="203"/>
    </row>
    <row r="147" spans="3:32" ht="15" customHeight="1">
      <c r="C147" s="10"/>
      <c r="D147" s="26"/>
      <c r="E147" s="215"/>
      <c r="F147" s="215"/>
      <c r="G147" s="203"/>
      <c r="H147" s="203"/>
      <c r="I147" s="203"/>
      <c r="J147" s="203"/>
      <c r="K147" s="203"/>
      <c r="L147" s="203"/>
      <c r="M147" s="203"/>
      <c r="N147" s="203"/>
      <c r="O147" s="203"/>
      <c r="P147" s="203"/>
      <c r="Q147" s="203"/>
      <c r="R147" s="203"/>
      <c r="S147" s="203"/>
      <c r="T147" s="203"/>
      <c r="U147" s="203"/>
      <c r="V147" s="203"/>
      <c r="W147" s="203"/>
      <c r="X147" s="203"/>
      <c r="Y147" s="203"/>
      <c r="Z147" s="203"/>
      <c r="AA147" s="203"/>
      <c r="AB147" s="203"/>
      <c r="AC147" s="203"/>
      <c r="AD147" s="203"/>
      <c r="AE147" s="203"/>
      <c r="AF147" s="203"/>
    </row>
    <row r="148" spans="3:32" ht="15" customHeight="1">
      <c r="C148" s="10"/>
      <c r="D148" s="26"/>
      <c r="E148" s="215"/>
      <c r="F148" s="215"/>
      <c r="G148" s="203"/>
      <c r="H148" s="203"/>
      <c r="I148" s="203"/>
      <c r="J148" s="203"/>
      <c r="K148" s="203"/>
      <c r="L148" s="203"/>
      <c r="M148" s="203"/>
      <c r="N148" s="203"/>
      <c r="O148" s="203"/>
      <c r="P148" s="203"/>
      <c r="Q148" s="203"/>
      <c r="R148" s="203"/>
      <c r="S148" s="203"/>
      <c r="T148" s="203"/>
      <c r="U148" s="203"/>
      <c r="V148" s="203"/>
      <c r="W148" s="203"/>
      <c r="X148" s="203"/>
      <c r="Y148" s="203"/>
      <c r="Z148" s="203"/>
      <c r="AA148" s="203"/>
      <c r="AB148" s="203"/>
      <c r="AC148" s="203"/>
      <c r="AD148" s="203"/>
      <c r="AE148" s="203"/>
      <c r="AF148" s="203"/>
    </row>
    <row r="149" spans="3:32" ht="15" customHeight="1">
      <c r="C149" s="10"/>
      <c r="D149" s="26"/>
      <c r="E149" s="215"/>
      <c r="F149" s="215"/>
      <c r="G149" s="203"/>
      <c r="H149" s="203"/>
      <c r="I149" s="203"/>
      <c r="J149" s="203"/>
      <c r="K149" s="203"/>
      <c r="L149" s="203"/>
      <c r="M149" s="203"/>
      <c r="N149" s="203"/>
      <c r="O149" s="203"/>
      <c r="P149" s="203"/>
      <c r="Q149" s="203"/>
      <c r="R149" s="203"/>
      <c r="S149" s="203"/>
      <c r="T149" s="203"/>
      <c r="U149" s="203"/>
      <c r="V149" s="203"/>
      <c r="W149" s="203"/>
      <c r="X149" s="203"/>
      <c r="Y149" s="203"/>
      <c r="Z149" s="203"/>
      <c r="AA149" s="203"/>
      <c r="AB149" s="203"/>
      <c r="AC149" s="203"/>
      <c r="AD149" s="203"/>
      <c r="AE149" s="203"/>
      <c r="AF149" s="203"/>
    </row>
    <row r="150" spans="3:32" ht="15" customHeight="1">
      <c r="C150" s="10"/>
      <c r="D150" s="26"/>
      <c r="E150" s="215"/>
      <c r="F150" s="215"/>
      <c r="G150" s="203"/>
      <c r="H150" s="203"/>
      <c r="I150" s="203"/>
      <c r="J150" s="203"/>
      <c r="K150" s="203"/>
      <c r="L150" s="203"/>
      <c r="M150" s="203"/>
      <c r="N150" s="203"/>
      <c r="O150" s="203"/>
      <c r="P150" s="203"/>
      <c r="Q150" s="203"/>
      <c r="R150" s="203"/>
      <c r="S150" s="203"/>
      <c r="T150" s="203"/>
      <c r="U150" s="203"/>
      <c r="V150" s="203"/>
      <c r="W150" s="203"/>
      <c r="X150" s="203"/>
      <c r="Y150" s="203"/>
      <c r="Z150" s="203"/>
      <c r="AA150" s="203"/>
      <c r="AB150" s="203"/>
      <c r="AC150" s="203"/>
      <c r="AD150" s="203"/>
      <c r="AE150" s="203"/>
      <c r="AF150" s="203"/>
    </row>
    <row r="151" spans="3:32" ht="15" customHeight="1">
      <c r="C151" s="10"/>
      <c r="D151" s="26"/>
      <c r="E151" s="215"/>
      <c r="F151" s="215"/>
      <c r="G151" s="203"/>
      <c r="H151" s="203"/>
      <c r="I151" s="203"/>
      <c r="J151" s="203"/>
      <c r="K151" s="203"/>
      <c r="L151" s="203"/>
      <c r="M151" s="203"/>
      <c r="N151" s="203"/>
      <c r="O151" s="203"/>
      <c r="P151" s="203"/>
      <c r="Q151" s="203"/>
      <c r="R151" s="203"/>
      <c r="S151" s="203"/>
      <c r="T151" s="203"/>
      <c r="U151" s="203"/>
      <c r="V151" s="203"/>
      <c r="W151" s="203"/>
      <c r="X151" s="203"/>
      <c r="Y151" s="203"/>
      <c r="Z151" s="203"/>
      <c r="AA151" s="203"/>
      <c r="AB151" s="203"/>
      <c r="AC151" s="203"/>
      <c r="AD151" s="203"/>
      <c r="AE151" s="203"/>
      <c r="AF151" s="203"/>
    </row>
    <row r="152" spans="3:32" ht="15" customHeight="1">
      <c r="C152" s="10"/>
      <c r="D152" s="26"/>
      <c r="E152" s="215"/>
      <c r="F152" s="215"/>
      <c r="G152" s="203"/>
      <c r="H152" s="203"/>
      <c r="I152" s="203"/>
      <c r="J152" s="203"/>
      <c r="K152" s="203"/>
      <c r="L152" s="203"/>
      <c r="M152" s="203"/>
      <c r="N152" s="203"/>
      <c r="O152" s="203"/>
      <c r="P152" s="203"/>
      <c r="Q152" s="203"/>
      <c r="R152" s="203"/>
      <c r="S152" s="203"/>
      <c r="T152" s="203"/>
      <c r="U152" s="203"/>
      <c r="V152" s="203"/>
      <c r="W152" s="203"/>
      <c r="X152" s="203"/>
      <c r="Y152" s="203"/>
      <c r="Z152" s="203"/>
      <c r="AA152" s="203"/>
      <c r="AB152" s="203"/>
      <c r="AC152" s="203"/>
      <c r="AD152" s="203"/>
      <c r="AE152" s="203"/>
      <c r="AF152" s="203"/>
    </row>
    <row r="153" spans="3:32" ht="15" customHeight="1">
      <c r="C153" s="10"/>
      <c r="D153" s="26"/>
      <c r="E153" s="215"/>
      <c r="F153" s="215"/>
      <c r="G153" s="203"/>
      <c r="H153" s="203"/>
      <c r="I153" s="203"/>
      <c r="J153" s="203"/>
      <c r="K153" s="203"/>
      <c r="L153" s="203"/>
      <c r="M153" s="203"/>
      <c r="N153" s="203"/>
      <c r="O153" s="203"/>
      <c r="P153" s="203"/>
      <c r="Q153" s="203"/>
      <c r="R153" s="203"/>
      <c r="S153" s="203"/>
      <c r="T153" s="203"/>
      <c r="U153" s="203"/>
      <c r="V153" s="203"/>
      <c r="W153" s="203"/>
      <c r="X153" s="203"/>
      <c r="Y153" s="203"/>
      <c r="Z153" s="203"/>
      <c r="AA153" s="203"/>
      <c r="AB153" s="203"/>
      <c r="AC153" s="203"/>
      <c r="AD153" s="203"/>
      <c r="AE153" s="203"/>
      <c r="AF153" s="203"/>
    </row>
    <row r="154" spans="3:32" ht="15" customHeight="1">
      <c r="C154" s="10"/>
      <c r="D154" s="26"/>
      <c r="E154" s="215"/>
      <c r="F154" s="215"/>
      <c r="G154" s="203"/>
      <c r="H154" s="203"/>
      <c r="I154" s="203"/>
      <c r="J154" s="203"/>
      <c r="K154" s="203"/>
      <c r="L154" s="203"/>
      <c r="M154" s="203"/>
      <c r="N154" s="203"/>
      <c r="O154" s="203"/>
      <c r="P154" s="203"/>
      <c r="Q154" s="203"/>
      <c r="R154" s="203"/>
      <c r="S154" s="203"/>
      <c r="T154" s="203"/>
      <c r="U154" s="203"/>
      <c r="V154" s="203"/>
      <c r="W154" s="203"/>
      <c r="X154" s="203"/>
      <c r="Y154" s="203"/>
      <c r="Z154" s="203"/>
      <c r="AA154" s="203"/>
      <c r="AB154" s="203"/>
      <c r="AC154" s="203"/>
      <c r="AD154" s="203"/>
      <c r="AE154" s="203"/>
      <c r="AF154" s="203"/>
    </row>
    <row r="155" spans="3:32" ht="15" customHeight="1">
      <c r="C155" s="10"/>
      <c r="D155" s="26"/>
      <c r="E155" s="215"/>
      <c r="F155" s="215"/>
      <c r="G155" s="203"/>
      <c r="H155" s="203"/>
      <c r="I155" s="203"/>
      <c r="J155" s="203"/>
      <c r="K155" s="203"/>
      <c r="L155" s="203"/>
      <c r="M155" s="203"/>
      <c r="N155" s="203"/>
      <c r="O155" s="203"/>
      <c r="P155" s="203"/>
      <c r="Q155" s="203"/>
      <c r="R155" s="203"/>
      <c r="S155" s="203"/>
      <c r="T155" s="203"/>
      <c r="U155" s="203"/>
      <c r="V155" s="203"/>
      <c r="W155" s="203"/>
      <c r="X155" s="203"/>
      <c r="Y155" s="203"/>
      <c r="Z155" s="203"/>
      <c r="AA155" s="203"/>
      <c r="AB155" s="203"/>
      <c r="AC155" s="203"/>
      <c r="AD155" s="203"/>
      <c r="AE155" s="203"/>
      <c r="AF155" s="203"/>
    </row>
    <row r="156" spans="3:32" ht="15" customHeight="1">
      <c r="C156" s="10"/>
      <c r="D156" s="26"/>
      <c r="E156" s="215"/>
      <c r="F156" s="215"/>
      <c r="G156" s="203"/>
      <c r="H156" s="203"/>
      <c r="I156" s="203"/>
      <c r="J156" s="203"/>
      <c r="K156" s="203"/>
      <c r="L156" s="203"/>
      <c r="M156" s="203"/>
      <c r="N156" s="203"/>
      <c r="O156" s="203"/>
      <c r="P156" s="203"/>
      <c r="Q156" s="203"/>
      <c r="R156" s="203"/>
      <c r="S156" s="203"/>
      <c r="T156" s="203"/>
      <c r="U156" s="203"/>
      <c r="V156" s="203"/>
      <c r="W156" s="203"/>
      <c r="X156" s="203"/>
      <c r="Y156" s="203"/>
      <c r="Z156" s="203"/>
      <c r="AA156" s="203"/>
      <c r="AB156" s="203"/>
      <c r="AC156" s="203"/>
      <c r="AD156" s="203"/>
      <c r="AE156" s="203"/>
      <c r="AF156" s="203"/>
    </row>
    <row r="157" spans="3:32" ht="15" customHeight="1">
      <c r="C157" s="10"/>
      <c r="D157" s="26"/>
      <c r="E157" s="215"/>
      <c r="F157" s="215"/>
      <c r="G157" s="203"/>
      <c r="H157" s="203"/>
      <c r="I157" s="203"/>
      <c r="J157" s="203"/>
      <c r="K157" s="203"/>
      <c r="L157" s="203"/>
      <c r="M157" s="203"/>
      <c r="N157" s="203"/>
      <c r="O157" s="203"/>
      <c r="P157" s="203"/>
      <c r="Q157" s="203"/>
      <c r="R157" s="203"/>
      <c r="S157" s="203"/>
      <c r="T157" s="203"/>
      <c r="U157" s="203"/>
      <c r="V157" s="203"/>
      <c r="W157" s="203"/>
      <c r="X157" s="203"/>
      <c r="Y157" s="203"/>
      <c r="Z157" s="203"/>
      <c r="AA157" s="203"/>
      <c r="AB157" s="203"/>
      <c r="AC157" s="203"/>
      <c r="AD157" s="203"/>
      <c r="AE157" s="203"/>
      <c r="AF157" s="203"/>
    </row>
    <row r="158" spans="3:32" ht="15" customHeight="1">
      <c r="C158" s="10"/>
      <c r="D158" s="26"/>
      <c r="E158" s="215"/>
      <c r="F158" s="215"/>
      <c r="G158" s="203"/>
      <c r="H158" s="203"/>
      <c r="I158" s="203"/>
      <c r="J158" s="203"/>
      <c r="K158" s="203"/>
      <c r="L158" s="203"/>
      <c r="M158" s="203"/>
      <c r="N158" s="203"/>
      <c r="O158" s="203"/>
      <c r="P158" s="203"/>
      <c r="Q158" s="203"/>
      <c r="R158" s="203"/>
      <c r="S158" s="203"/>
      <c r="T158" s="203"/>
      <c r="U158" s="203"/>
      <c r="V158" s="203"/>
      <c r="W158" s="203"/>
      <c r="X158" s="203"/>
      <c r="Y158" s="203"/>
      <c r="Z158" s="203"/>
      <c r="AA158" s="203"/>
      <c r="AB158" s="203"/>
      <c r="AC158" s="203"/>
      <c r="AD158" s="203"/>
      <c r="AE158" s="203"/>
      <c r="AF158" s="203"/>
    </row>
    <row r="159" spans="3:32" ht="15" customHeight="1">
      <c r="C159" s="10"/>
      <c r="D159" s="26"/>
      <c r="E159" s="215"/>
      <c r="F159" s="215"/>
      <c r="G159" s="203"/>
      <c r="H159" s="203"/>
      <c r="I159" s="203"/>
      <c r="J159" s="203"/>
      <c r="K159" s="203"/>
      <c r="L159" s="203"/>
      <c r="M159" s="203"/>
      <c r="N159" s="203"/>
      <c r="O159" s="203"/>
      <c r="P159" s="203"/>
      <c r="Q159" s="203"/>
      <c r="R159" s="203"/>
      <c r="S159" s="203"/>
      <c r="T159" s="203"/>
      <c r="U159" s="203"/>
      <c r="V159" s="203"/>
      <c r="W159" s="203"/>
      <c r="X159" s="203"/>
      <c r="Y159" s="203"/>
      <c r="Z159" s="203"/>
      <c r="AA159" s="203"/>
      <c r="AB159" s="203"/>
      <c r="AC159" s="203"/>
      <c r="AD159" s="203"/>
      <c r="AE159" s="203"/>
      <c r="AF159" s="203"/>
    </row>
    <row r="160" spans="3:32" ht="15" customHeight="1">
      <c r="C160" s="10"/>
      <c r="D160" s="26"/>
      <c r="E160" s="215"/>
      <c r="F160" s="215"/>
      <c r="G160" s="203"/>
      <c r="H160" s="203"/>
      <c r="I160" s="203"/>
      <c r="J160" s="203"/>
      <c r="K160" s="203"/>
      <c r="L160" s="203"/>
      <c r="M160" s="203"/>
      <c r="N160" s="203"/>
      <c r="O160" s="203"/>
      <c r="P160" s="203"/>
      <c r="Q160" s="203"/>
      <c r="R160" s="203"/>
      <c r="S160" s="203"/>
      <c r="T160" s="203"/>
      <c r="U160" s="203"/>
      <c r="V160" s="203"/>
      <c r="W160" s="203"/>
      <c r="X160" s="203"/>
      <c r="Y160" s="203"/>
      <c r="Z160" s="203"/>
      <c r="AA160" s="203"/>
      <c r="AB160" s="203"/>
      <c r="AC160" s="203"/>
      <c r="AD160" s="203"/>
      <c r="AE160" s="203"/>
      <c r="AF160" s="203"/>
    </row>
    <row r="161" spans="2:32" ht="15" customHeight="1">
      <c r="C161" s="10"/>
      <c r="D161" s="26"/>
      <c r="E161" s="215"/>
      <c r="F161" s="215"/>
      <c r="G161" s="203"/>
      <c r="H161" s="203"/>
      <c r="I161" s="203"/>
      <c r="J161" s="203"/>
      <c r="K161" s="203"/>
      <c r="L161" s="203"/>
      <c r="M161" s="203"/>
      <c r="N161" s="203"/>
      <c r="O161" s="203"/>
      <c r="P161" s="203"/>
      <c r="Q161" s="203"/>
      <c r="R161" s="203"/>
      <c r="S161" s="203"/>
      <c r="T161" s="203"/>
      <c r="U161" s="203"/>
      <c r="V161" s="203"/>
      <c r="W161" s="203"/>
      <c r="X161" s="203"/>
      <c r="Y161" s="203"/>
      <c r="Z161" s="203"/>
      <c r="AA161" s="203"/>
      <c r="AB161" s="203"/>
      <c r="AC161" s="203"/>
      <c r="AD161" s="203"/>
      <c r="AE161" s="203"/>
      <c r="AF161" s="203"/>
    </row>
    <row r="162" spans="2:32" ht="15" customHeight="1">
      <c r="C162" s="10"/>
      <c r="D162" s="26"/>
      <c r="E162" s="215"/>
      <c r="F162" s="215"/>
      <c r="G162" s="203"/>
      <c r="H162" s="203"/>
      <c r="I162" s="203"/>
      <c r="J162" s="203"/>
      <c r="K162" s="203"/>
      <c r="L162" s="203"/>
      <c r="M162" s="203"/>
      <c r="N162" s="203"/>
      <c r="O162" s="203"/>
      <c r="P162" s="203"/>
      <c r="Q162" s="203"/>
      <c r="R162" s="203"/>
      <c r="S162" s="203"/>
      <c r="T162" s="203"/>
      <c r="U162" s="203"/>
      <c r="V162" s="203"/>
      <c r="W162" s="203"/>
      <c r="X162" s="203"/>
      <c r="Y162" s="203"/>
      <c r="Z162" s="203"/>
      <c r="AA162" s="203"/>
      <c r="AB162" s="203"/>
      <c r="AC162" s="203"/>
      <c r="AD162" s="203"/>
      <c r="AE162" s="203"/>
      <c r="AF162" s="203"/>
    </row>
    <row r="163" spans="2:32" ht="15" customHeight="1">
      <c r="C163" s="10"/>
      <c r="D163" s="26"/>
      <c r="E163" s="215"/>
      <c r="F163" s="215"/>
      <c r="G163" s="203"/>
      <c r="H163" s="203"/>
      <c r="I163" s="203"/>
      <c r="J163" s="203"/>
      <c r="K163" s="203"/>
      <c r="L163" s="203"/>
      <c r="M163" s="203"/>
      <c r="N163" s="203"/>
      <c r="O163" s="203"/>
      <c r="P163" s="203"/>
      <c r="Q163" s="203"/>
      <c r="R163" s="203"/>
      <c r="S163" s="203"/>
      <c r="T163" s="203"/>
      <c r="U163" s="203"/>
      <c r="V163" s="203"/>
      <c r="W163" s="203"/>
      <c r="X163" s="203"/>
      <c r="Y163" s="203"/>
      <c r="Z163" s="203"/>
      <c r="AA163" s="203"/>
      <c r="AB163" s="203"/>
      <c r="AC163" s="203"/>
      <c r="AD163" s="203"/>
      <c r="AE163" s="203"/>
      <c r="AF163" s="203"/>
    </row>
    <row r="164" spans="2:32" ht="15" customHeight="1">
      <c r="C164" s="10"/>
      <c r="D164" s="26"/>
      <c r="E164" s="215"/>
      <c r="F164" s="215"/>
      <c r="G164" s="203"/>
      <c r="H164" s="203"/>
      <c r="I164" s="203"/>
      <c r="J164" s="203"/>
      <c r="K164" s="203"/>
      <c r="L164" s="203"/>
      <c r="M164" s="203"/>
      <c r="N164" s="203"/>
      <c r="O164" s="203"/>
      <c r="P164" s="203"/>
      <c r="Q164" s="203"/>
      <c r="R164" s="203"/>
      <c r="S164" s="203"/>
      <c r="T164" s="203"/>
      <c r="U164" s="203"/>
      <c r="V164" s="203"/>
      <c r="W164" s="203"/>
      <c r="X164" s="203"/>
      <c r="Y164" s="203"/>
      <c r="Z164" s="203"/>
      <c r="AA164" s="203"/>
      <c r="AB164" s="203"/>
      <c r="AC164" s="203"/>
      <c r="AD164" s="203"/>
      <c r="AE164" s="203"/>
      <c r="AF164" s="203"/>
    </row>
    <row r="165" spans="2:32" ht="15" customHeight="1">
      <c r="C165" s="10"/>
      <c r="D165" s="26"/>
      <c r="E165" s="215"/>
      <c r="F165" s="215"/>
      <c r="G165" s="203"/>
      <c r="H165" s="203"/>
      <c r="I165" s="203"/>
      <c r="J165" s="203"/>
      <c r="K165" s="203"/>
      <c r="L165" s="203"/>
      <c r="M165" s="203"/>
      <c r="N165" s="203"/>
      <c r="O165" s="203"/>
      <c r="P165" s="203"/>
      <c r="Q165" s="203"/>
      <c r="R165" s="203"/>
      <c r="S165" s="203"/>
      <c r="T165" s="203"/>
      <c r="U165" s="203"/>
      <c r="V165" s="203"/>
      <c r="W165" s="203"/>
      <c r="X165" s="203"/>
      <c r="Y165" s="203"/>
      <c r="Z165" s="203"/>
      <c r="AA165" s="203"/>
      <c r="AB165" s="203"/>
      <c r="AC165" s="203"/>
      <c r="AD165" s="203"/>
      <c r="AE165" s="203"/>
      <c r="AF165" s="203"/>
    </row>
    <row r="166" spans="2:32" ht="15" customHeight="1">
      <c r="C166" s="10"/>
      <c r="D166" s="26"/>
      <c r="E166" s="215"/>
      <c r="F166" s="215"/>
      <c r="G166" s="203"/>
      <c r="H166" s="203"/>
      <c r="I166" s="203"/>
      <c r="J166" s="203"/>
      <c r="K166" s="203"/>
      <c r="L166" s="203"/>
      <c r="M166" s="203"/>
      <c r="N166" s="203"/>
      <c r="O166" s="203"/>
      <c r="P166" s="203"/>
      <c r="Q166" s="203"/>
      <c r="R166" s="203"/>
      <c r="S166" s="203"/>
      <c r="T166" s="203"/>
      <c r="U166" s="203"/>
      <c r="V166" s="203"/>
      <c r="W166" s="203"/>
      <c r="X166" s="203"/>
      <c r="Y166" s="203"/>
      <c r="Z166" s="203"/>
      <c r="AA166" s="203"/>
      <c r="AB166" s="203"/>
      <c r="AC166" s="203"/>
      <c r="AD166" s="203"/>
      <c r="AE166" s="203"/>
      <c r="AF166" s="203"/>
    </row>
    <row r="167" spans="2:32" ht="15" customHeight="1">
      <c r="C167" s="10"/>
      <c r="D167" s="26"/>
      <c r="E167" s="215"/>
      <c r="F167" s="215"/>
      <c r="G167" s="203"/>
      <c r="H167" s="203"/>
      <c r="I167" s="203"/>
      <c r="J167" s="203"/>
      <c r="K167" s="203"/>
      <c r="L167" s="203"/>
      <c r="M167" s="203"/>
      <c r="N167" s="203"/>
      <c r="O167" s="203"/>
      <c r="P167" s="203"/>
      <c r="Q167" s="203"/>
      <c r="R167" s="203"/>
      <c r="S167" s="203"/>
      <c r="T167" s="203"/>
      <c r="U167" s="203"/>
      <c r="V167" s="203"/>
      <c r="W167" s="203"/>
      <c r="X167" s="203"/>
      <c r="Y167" s="203"/>
      <c r="Z167" s="203"/>
      <c r="AA167" s="203"/>
      <c r="AB167" s="203"/>
      <c r="AC167" s="203"/>
      <c r="AD167" s="203"/>
      <c r="AE167" s="203"/>
      <c r="AF167" s="203"/>
    </row>
    <row r="168" spans="2:32" ht="15" customHeight="1">
      <c r="C168" s="10"/>
    </row>
    <row r="169" spans="2:32" ht="15" customHeight="1">
      <c r="B169" s="315"/>
      <c r="C169" s="10"/>
      <c r="D169" s="26"/>
      <c r="E169" s="215"/>
      <c r="F169" s="215"/>
      <c r="G169" s="203"/>
      <c r="H169" s="203"/>
      <c r="I169" s="203"/>
      <c r="J169" s="203"/>
      <c r="K169" s="203"/>
      <c r="L169" s="203"/>
      <c r="M169" s="203"/>
      <c r="N169" s="203"/>
      <c r="O169" s="203"/>
      <c r="P169" s="203"/>
      <c r="Q169" s="203"/>
      <c r="R169" s="203"/>
      <c r="S169" s="203"/>
      <c r="T169" s="203"/>
      <c r="U169" s="203"/>
      <c r="V169" s="203"/>
      <c r="W169" s="203"/>
      <c r="X169" s="203"/>
      <c r="Y169" s="203"/>
      <c r="Z169" s="203"/>
      <c r="AA169" s="203"/>
      <c r="AB169" s="203"/>
      <c r="AC169" s="203"/>
      <c r="AD169" s="203"/>
      <c r="AE169" s="203"/>
      <c r="AF169" s="203"/>
    </row>
    <row r="170" spans="2:32" ht="15" customHeight="1">
      <c r="C170" s="10"/>
      <c r="D170" s="26"/>
      <c r="E170" s="215"/>
      <c r="F170" s="215"/>
      <c r="G170" s="203"/>
      <c r="H170" s="203"/>
      <c r="I170" s="203"/>
      <c r="J170" s="203"/>
      <c r="K170" s="203"/>
      <c r="L170" s="203"/>
      <c r="M170" s="203"/>
      <c r="N170" s="203"/>
      <c r="O170" s="203"/>
      <c r="P170" s="203"/>
      <c r="Q170" s="203"/>
      <c r="R170" s="203"/>
      <c r="S170" s="203"/>
      <c r="T170" s="203"/>
      <c r="U170" s="203"/>
      <c r="V170" s="203"/>
      <c r="W170" s="203"/>
      <c r="X170" s="203"/>
      <c r="Y170" s="203"/>
      <c r="Z170" s="203"/>
      <c r="AA170" s="203"/>
      <c r="AB170" s="203"/>
      <c r="AC170" s="203"/>
      <c r="AD170" s="203"/>
      <c r="AE170" s="203"/>
      <c r="AF170" s="203"/>
    </row>
    <row r="171" spans="2:32" ht="15" customHeight="1">
      <c r="C171" s="10"/>
      <c r="D171" s="26"/>
      <c r="E171" s="215"/>
      <c r="F171" s="215"/>
      <c r="G171" s="203"/>
      <c r="H171" s="203"/>
      <c r="I171" s="203"/>
      <c r="J171" s="203"/>
      <c r="K171" s="203"/>
      <c r="L171" s="203"/>
      <c r="M171" s="203"/>
      <c r="N171" s="203"/>
      <c r="O171" s="203"/>
      <c r="P171" s="203"/>
      <c r="Q171" s="203"/>
      <c r="R171" s="203"/>
      <c r="S171" s="203"/>
      <c r="T171" s="203"/>
      <c r="U171" s="203"/>
      <c r="V171" s="203"/>
      <c r="W171" s="203"/>
      <c r="X171" s="203"/>
      <c r="Y171" s="203"/>
      <c r="Z171" s="203"/>
      <c r="AA171" s="203"/>
      <c r="AB171" s="203"/>
      <c r="AC171" s="203"/>
      <c r="AD171" s="203"/>
      <c r="AE171" s="203"/>
      <c r="AF171" s="203"/>
    </row>
    <row r="172" spans="2:32" ht="15" customHeight="1">
      <c r="C172" s="10"/>
      <c r="D172" s="26"/>
      <c r="E172" s="215"/>
      <c r="F172" s="215"/>
      <c r="G172" s="203"/>
      <c r="H172" s="203"/>
      <c r="I172" s="203"/>
      <c r="J172" s="203"/>
      <c r="K172" s="203"/>
      <c r="L172" s="203"/>
      <c r="M172" s="203"/>
      <c r="N172" s="203"/>
      <c r="O172" s="203"/>
      <c r="P172" s="203"/>
      <c r="Q172" s="203"/>
      <c r="R172" s="203"/>
      <c r="S172" s="203"/>
      <c r="T172" s="203"/>
      <c r="U172" s="203"/>
      <c r="V172" s="203"/>
      <c r="W172" s="203"/>
      <c r="X172" s="203"/>
      <c r="Y172" s="203"/>
      <c r="Z172" s="203"/>
      <c r="AA172" s="203"/>
      <c r="AB172" s="203"/>
      <c r="AC172" s="203"/>
      <c r="AD172" s="203"/>
      <c r="AE172" s="203"/>
      <c r="AF172" s="203"/>
    </row>
    <row r="173" spans="2:32" ht="15" customHeight="1">
      <c r="C173" s="10"/>
      <c r="D173" s="26"/>
      <c r="E173" s="215"/>
      <c r="F173" s="215"/>
      <c r="G173" s="203"/>
      <c r="H173" s="203"/>
      <c r="I173" s="203"/>
      <c r="J173" s="203"/>
      <c r="K173" s="203"/>
      <c r="L173" s="203"/>
      <c r="M173" s="203"/>
      <c r="N173" s="203"/>
      <c r="O173" s="203"/>
      <c r="P173" s="203"/>
      <c r="Q173" s="203"/>
      <c r="R173" s="203"/>
      <c r="S173" s="203"/>
      <c r="T173" s="203"/>
      <c r="U173" s="203"/>
      <c r="V173" s="203"/>
      <c r="W173" s="203"/>
      <c r="X173" s="203"/>
      <c r="Y173" s="203"/>
      <c r="Z173" s="203"/>
      <c r="AA173" s="203"/>
      <c r="AB173" s="203"/>
      <c r="AC173" s="203"/>
      <c r="AD173" s="203"/>
      <c r="AE173" s="203"/>
      <c r="AF173" s="203"/>
    </row>
    <row r="174" spans="2:32" ht="15" customHeight="1">
      <c r="C174" s="10"/>
      <c r="D174" s="26"/>
      <c r="E174" s="215"/>
      <c r="F174" s="215"/>
      <c r="G174" s="203"/>
      <c r="H174" s="203"/>
      <c r="I174" s="203"/>
      <c r="J174" s="203"/>
      <c r="K174" s="203"/>
      <c r="L174" s="203"/>
      <c r="M174" s="203"/>
      <c r="N174" s="203"/>
      <c r="O174" s="203"/>
      <c r="P174" s="203"/>
      <c r="Q174" s="203"/>
      <c r="R174" s="203"/>
      <c r="S174" s="203"/>
      <c r="T174" s="203"/>
      <c r="U174" s="203"/>
      <c r="V174" s="203"/>
      <c r="W174" s="203"/>
      <c r="X174" s="203"/>
      <c r="Y174" s="203"/>
      <c r="Z174" s="203"/>
      <c r="AA174" s="203"/>
      <c r="AB174" s="203"/>
      <c r="AC174" s="203"/>
      <c r="AD174" s="203"/>
      <c r="AE174" s="203"/>
      <c r="AF174" s="203"/>
    </row>
    <row r="175" spans="2:32" ht="15" customHeight="1">
      <c r="C175" s="10"/>
      <c r="D175" s="26"/>
      <c r="E175" s="215"/>
      <c r="F175" s="215"/>
      <c r="G175" s="203"/>
      <c r="H175" s="203"/>
      <c r="I175" s="203"/>
      <c r="J175" s="203"/>
      <c r="K175" s="203"/>
      <c r="L175" s="203"/>
      <c r="M175" s="203"/>
      <c r="N175" s="203"/>
      <c r="O175" s="203"/>
      <c r="P175" s="203"/>
      <c r="Q175" s="203"/>
      <c r="R175" s="203"/>
      <c r="S175" s="203"/>
      <c r="T175" s="203"/>
      <c r="U175" s="203"/>
      <c r="V175" s="203"/>
      <c r="W175" s="203"/>
      <c r="X175" s="203"/>
      <c r="Y175" s="203"/>
      <c r="Z175" s="203"/>
      <c r="AA175" s="203"/>
      <c r="AB175" s="203"/>
      <c r="AC175" s="203"/>
      <c r="AD175" s="203"/>
      <c r="AE175" s="203"/>
      <c r="AF175" s="203"/>
    </row>
    <row r="176" spans="2:32" ht="15" customHeight="1">
      <c r="C176" s="10"/>
      <c r="D176" s="26"/>
      <c r="E176" s="215"/>
      <c r="F176" s="215"/>
      <c r="G176" s="203"/>
      <c r="H176" s="203"/>
      <c r="I176" s="203"/>
      <c r="J176" s="203"/>
      <c r="K176" s="203"/>
      <c r="L176" s="203"/>
      <c r="M176" s="203"/>
      <c r="N176" s="203"/>
      <c r="O176" s="203"/>
      <c r="P176" s="203"/>
      <c r="Q176" s="203"/>
      <c r="R176" s="203"/>
      <c r="S176" s="203"/>
      <c r="T176" s="203"/>
      <c r="U176" s="203"/>
      <c r="V176" s="203"/>
      <c r="W176" s="203"/>
      <c r="X176" s="203"/>
      <c r="Y176" s="203"/>
      <c r="Z176" s="203"/>
      <c r="AA176" s="203"/>
      <c r="AB176" s="203"/>
      <c r="AC176" s="203"/>
      <c r="AD176" s="203"/>
      <c r="AE176" s="203"/>
      <c r="AF176" s="203"/>
    </row>
    <row r="177" spans="3:32" ht="15" customHeight="1">
      <c r="C177" s="10"/>
      <c r="D177" s="26"/>
      <c r="E177" s="215"/>
      <c r="F177" s="215"/>
      <c r="G177" s="203"/>
      <c r="H177" s="203"/>
      <c r="I177" s="203"/>
      <c r="J177" s="203"/>
      <c r="K177" s="203"/>
      <c r="L177" s="203"/>
      <c r="M177" s="203"/>
      <c r="N177" s="203"/>
      <c r="O177" s="203"/>
      <c r="P177" s="203"/>
      <c r="Q177" s="203"/>
      <c r="R177" s="203"/>
      <c r="S177" s="203"/>
      <c r="T177" s="203"/>
      <c r="U177" s="203"/>
      <c r="V177" s="203"/>
      <c r="W177" s="203"/>
      <c r="X177" s="203"/>
      <c r="Y177" s="203"/>
      <c r="Z177" s="203"/>
      <c r="AA177" s="203"/>
      <c r="AB177" s="203"/>
      <c r="AC177" s="203"/>
      <c r="AD177" s="203"/>
      <c r="AE177" s="203"/>
      <c r="AF177" s="203"/>
    </row>
    <row r="178" spans="3:32" ht="15" customHeight="1">
      <c r="C178" s="10"/>
      <c r="D178" s="26"/>
      <c r="E178" s="215"/>
      <c r="F178" s="215"/>
      <c r="G178" s="203"/>
      <c r="H178" s="203"/>
      <c r="I178" s="203"/>
      <c r="J178" s="203"/>
      <c r="K178" s="203"/>
      <c r="L178" s="203"/>
      <c r="M178" s="203"/>
      <c r="N178" s="203"/>
      <c r="O178" s="203"/>
      <c r="P178" s="203"/>
      <c r="Q178" s="203"/>
      <c r="R178" s="203"/>
      <c r="S178" s="203"/>
      <c r="T178" s="203"/>
      <c r="U178" s="203"/>
      <c r="V178" s="203"/>
      <c r="W178" s="203"/>
      <c r="X178" s="203"/>
      <c r="Y178" s="203"/>
      <c r="Z178" s="203"/>
      <c r="AA178" s="203"/>
      <c r="AB178" s="203"/>
      <c r="AC178" s="203"/>
      <c r="AD178" s="203"/>
      <c r="AE178" s="203"/>
      <c r="AF178" s="203"/>
    </row>
    <row r="179" spans="3:32" ht="15" customHeight="1">
      <c r="C179" s="10"/>
      <c r="D179" s="26"/>
      <c r="E179" s="215"/>
      <c r="F179" s="215"/>
      <c r="G179" s="203"/>
      <c r="H179" s="203"/>
      <c r="I179" s="203"/>
      <c r="J179" s="203"/>
      <c r="K179" s="203"/>
      <c r="L179" s="203"/>
      <c r="M179" s="203"/>
      <c r="N179" s="203"/>
      <c r="O179" s="203"/>
      <c r="P179" s="203"/>
      <c r="Q179" s="203"/>
      <c r="R179" s="203"/>
      <c r="S179" s="203"/>
      <c r="T179" s="203"/>
      <c r="U179" s="203"/>
      <c r="V179" s="203"/>
      <c r="W179" s="203"/>
      <c r="X179" s="203"/>
      <c r="Y179" s="203"/>
      <c r="Z179" s="203"/>
      <c r="AA179" s="203"/>
      <c r="AB179" s="203"/>
      <c r="AC179" s="203"/>
      <c r="AD179" s="203"/>
      <c r="AE179" s="203"/>
      <c r="AF179" s="203"/>
    </row>
    <row r="180" spans="3:32" ht="15" customHeight="1">
      <c r="C180" s="10"/>
      <c r="D180" s="26"/>
      <c r="E180" s="215"/>
      <c r="F180" s="215"/>
      <c r="G180" s="203"/>
      <c r="H180" s="203"/>
      <c r="I180" s="203"/>
      <c r="J180" s="203"/>
      <c r="K180" s="203"/>
      <c r="L180" s="203"/>
      <c r="M180" s="203"/>
      <c r="N180" s="203"/>
      <c r="O180" s="203"/>
      <c r="P180" s="203"/>
      <c r="Q180" s="203"/>
      <c r="R180" s="203"/>
      <c r="S180" s="203"/>
      <c r="T180" s="203"/>
      <c r="U180" s="203"/>
      <c r="V180" s="203"/>
      <c r="W180" s="203"/>
      <c r="X180" s="203"/>
      <c r="Y180" s="203"/>
      <c r="Z180" s="203"/>
      <c r="AA180" s="203"/>
      <c r="AB180" s="203"/>
      <c r="AC180" s="203"/>
      <c r="AD180" s="203"/>
      <c r="AE180" s="203"/>
      <c r="AF180" s="203"/>
    </row>
    <row r="181" spans="3:32" ht="15" customHeight="1">
      <c r="C181" s="10"/>
      <c r="D181" s="26"/>
      <c r="E181" s="215"/>
      <c r="F181" s="215"/>
      <c r="G181" s="203"/>
      <c r="H181" s="203"/>
      <c r="I181" s="203"/>
      <c r="J181" s="203"/>
      <c r="K181" s="203"/>
      <c r="L181" s="203"/>
      <c r="M181" s="203"/>
      <c r="N181" s="203"/>
      <c r="O181" s="203"/>
      <c r="P181" s="203"/>
      <c r="Q181" s="203"/>
      <c r="R181" s="203"/>
      <c r="S181" s="203"/>
      <c r="T181" s="203"/>
      <c r="U181" s="203"/>
      <c r="V181" s="203"/>
      <c r="W181" s="203"/>
      <c r="X181" s="203"/>
      <c r="Y181" s="203"/>
      <c r="Z181" s="203"/>
      <c r="AA181" s="203"/>
      <c r="AB181" s="203"/>
      <c r="AC181" s="203"/>
      <c r="AD181" s="203"/>
      <c r="AE181" s="203"/>
      <c r="AF181" s="203"/>
    </row>
    <row r="182" spans="3:32" ht="15" customHeight="1">
      <c r="C182" s="10"/>
      <c r="D182" s="26"/>
      <c r="E182" s="215"/>
      <c r="F182" s="215"/>
      <c r="G182" s="203"/>
      <c r="H182" s="203"/>
      <c r="I182" s="203"/>
      <c r="J182" s="203"/>
      <c r="K182" s="203"/>
      <c r="L182" s="203"/>
      <c r="M182" s="203"/>
      <c r="N182" s="203"/>
      <c r="O182" s="203"/>
      <c r="P182" s="203"/>
      <c r="Q182" s="203"/>
      <c r="R182" s="203"/>
      <c r="S182" s="203"/>
      <c r="T182" s="203"/>
      <c r="U182" s="203"/>
      <c r="V182" s="203"/>
      <c r="W182" s="203"/>
      <c r="X182" s="203"/>
      <c r="Y182" s="203"/>
      <c r="Z182" s="203"/>
      <c r="AA182" s="203"/>
      <c r="AB182" s="203"/>
      <c r="AC182" s="203"/>
      <c r="AD182" s="203"/>
      <c r="AE182" s="203"/>
      <c r="AF182" s="203"/>
    </row>
    <row r="183" spans="3:32" ht="15" customHeight="1">
      <c r="C183" s="10"/>
      <c r="D183" s="26"/>
      <c r="E183" s="215"/>
      <c r="F183" s="215"/>
      <c r="G183" s="203"/>
      <c r="H183" s="203"/>
      <c r="I183" s="203"/>
      <c r="J183" s="203"/>
      <c r="K183" s="203"/>
      <c r="L183" s="203"/>
      <c r="M183" s="203"/>
      <c r="N183" s="203"/>
      <c r="O183" s="203"/>
      <c r="P183" s="203"/>
      <c r="Q183" s="203"/>
      <c r="R183" s="203"/>
      <c r="S183" s="203"/>
      <c r="T183" s="203"/>
      <c r="U183" s="203"/>
      <c r="V183" s="203"/>
      <c r="W183" s="203"/>
      <c r="X183" s="203"/>
      <c r="Y183" s="203"/>
      <c r="Z183" s="203"/>
      <c r="AA183" s="203"/>
      <c r="AB183" s="203"/>
      <c r="AC183" s="203"/>
      <c r="AD183" s="203"/>
      <c r="AE183" s="203"/>
      <c r="AF183" s="203"/>
    </row>
    <row r="184" spans="3:32" ht="15" customHeight="1">
      <c r="C184" s="10"/>
      <c r="D184" s="26"/>
      <c r="E184" s="215"/>
      <c r="F184" s="215"/>
      <c r="G184" s="203"/>
      <c r="H184" s="203"/>
      <c r="I184" s="203"/>
      <c r="J184" s="203"/>
      <c r="K184" s="203"/>
      <c r="L184" s="203"/>
      <c r="M184" s="203"/>
      <c r="N184" s="203"/>
      <c r="O184" s="203"/>
      <c r="P184" s="203"/>
      <c r="Q184" s="203"/>
      <c r="R184" s="203"/>
      <c r="S184" s="203"/>
      <c r="T184" s="203"/>
      <c r="U184" s="203"/>
      <c r="V184" s="203"/>
      <c r="W184" s="203"/>
      <c r="X184" s="203"/>
      <c r="Y184" s="203"/>
      <c r="Z184" s="203"/>
      <c r="AA184" s="203"/>
      <c r="AB184" s="203"/>
      <c r="AC184" s="203"/>
      <c r="AD184" s="203"/>
      <c r="AE184" s="203"/>
      <c r="AF184" s="203"/>
    </row>
    <row r="185" spans="3:32" ht="15" customHeight="1">
      <c r="C185" s="10"/>
      <c r="D185" s="26"/>
      <c r="E185" s="215"/>
      <c r="F185" s="215"/>
      <c r="G185" s="203"/>
      <c r="H185" s="203"/>
      <c r="I185" s="203"/>
      <c r="J185" s="203"/>
      <c r="K185" s="203"/>
      <c r="L185" s="203"/>
      <c r="M185" s="203"/>
      <c r="N185" s="203"/>
      <c r="O185" s="203"/>
      <c r="P185" s="203"/>
      <c r="Q185" s="203"/>
      <c r="R185" s="203"/>
      <c r="S185" s="203"/>
      <c r="T185" s="203"/>
      <c r="U185" s="203"/>
      <c r="V185" s="203"/>
      <c r="W185" s="203"/>
      <c r="X185" s="203"/>
      <c r="Y185" s="203"/>
      <c r="Z185" s="203"/>
      <c r="AA185" s="203"/>
      <c r="AB185" s="203"/>
      <c r="AC185" s="203"/>
      <c r="AD185" s="203"/>
      <c r="AE185" s="203"/>
      <c r="AF185" s="203"/>
    </row>
    <row r="186" spans="3:32" ht="15" customHeight="1">
      <c r="C186" s="10"/>
      <c r="D186" s="26"/>
      <c r="E186" s="215"/>
      <c r="F186" s="215"/>
      <c r="G186" s="203"/>
      <c r="H186" s="203"/>
      <c r="I186" s="203"/>
      <c r="J186" s="203"/>
      <c r="K186" s="203"/>
      <c r="L186" s="203"/>
      <c r="M186" s="203"/>
      <c r="N186" s="203"/>
      <c r="O186" s="203"/>
      <c r="P186" s="203"/>
      <c r="Q186" s="203"/>
      <c r="R186" s="203"/>
      <c r="S186" s="203"/>
      <c r="T186" s="203"/>
      <c r="U186" s="203"/>
      <c r="V186" s="203"/>
      <c r="W186" s="203"/>
      <c r="X186" s="203"/>
      <c r="Y186" s="203"/>
      <c r="Z186" s="203"/>
      <c r="AA186" s="203"/>
      <c r="AB186" s="203"/>
      <c r="AC186" s="203"/>
      <c r="AD186" s="203"/>
      <c r="AE186" s="203"/>
      <c r="AF186" s="203"/>
    </row>
    <row r="187" spans="3:32" ht="15" customHeight="1">
      <c r="C187" s="10"/>
      <c r="D187" s="26"/>
      <c r="E187" s="215"/>
      <c r="F187" s="215"/>
      <c r="G187" s="203"/>
      <c r="H187" s="203"/>
      <c r="I187" s="203"/>
      <c r="J187" s="203"/>
      <c r="K187" s="203"/>
      <c r="L187" s="203"/>
      <c r="M187" s="203"/>
      <c r="N187" s="203"/>
      <c r="O187" s="203"/>
      <c r="P187" s="203"/>
      <c r="Q187" s="203"/>
      <c r="R187" s="203"/>
      <c r="S187" s="203"/>
      <c r="T187" s="203"/>
      <c r="U187" s="203"/>
      <c r="V187" s="203"/>
      <c r="W187" s="203"/>
      <c r="X187" s="203"/>
      <c r="Y187" s="203"/>
      <c r="Z187" s="203"/>
      <c r="AA187" s="203"/>
      <c r="AB187" s="203"/>
      <c r="AC187" s="203"/>
      <c r="AD187" s="203"/>
      <c r="AE187" s="203"/>
      <c r="AF187" s="203"/>
    </row>
    <row r="188" spans="3:32" ht="15" customHeight="1">
      <c r="C188" s="10"/>
      <c r="D188" s="26"/>
      <c r="E188" s="215"/>
      <c r="F188" s="215"/>
      <c r="G188" s="203"/>
      <c r="H188" s="203"/>
      <c r="I188" s="203"/>
      <c r="J188" s="203"/>
      <c r="K188" s="203"/>
      <c r="L188" s="203"/>
      <c r="M188" s="203"/>
      <c r="N188" s="203"/>
      <c r="O188" s="203"/>
      <c r="P188" s="203"/>
      <c r="Q188" s="203"/>
      <c r="R188" s="203"/>
      <c r="S188" s="203"/>
      <c r="T188" s="203"/>
      <c r="U188" s="203"/>
      <c r="V188" s="203"/>
      <c r="W188" s="203"/>
      <c r="X188" s="203"/>
      <c r="Y188" s="203"/>
      <c r="Z188" s="203"/>
      <c r="AA188" s="203"/>
      <c r="AB188" s="203"/>
      <c r="AC188" s="203"/>
      <c r="AD188" s="203"/>
      <c r="AE188" s="203"/>
      <c r="AF188" s="203"/>
    </row>
    <row r="189" spans="3:32" ht="15" customHeight="1">
      <c r="C189" s="10"/>
      <c r="D189" s="26"/>
      <c r="E189" s="215"/>
      <c r="F189" s="215"/>
      <c r="G189" s="203"/>
      <c r="H189" s="203"/>
      <c r="I189" s="203"/>
      <c r="J189" s="203"/>
      <c r="K189" s="203"/>
      <c r="L189" s="203"/>
      <c r="M189" s="203"/>
      <c r="N189" s="203"/>
      <c r="O189" s="203"/>
      <c r="P189" s="203"/>
      <c r="Q189" s="203"/>
      <c r="R189" s="203"/>
      <c r="S189" s="203"/>
      <c r="T189" s="203"/>
      <c r="U189" s="203"/>
      <c r="V189" s="203"/>
      <c r="W189" s="203"/>
      <c r="X189" s="203"/>
      <c r="Y189" s="203"/>
      <c r="Z189" s="203"/>
      <c r="AA189" s="203"/>
      <c r="AB189" s="203"/>
      <c r="AC189" s="203"/>
      <c r="AD189" s="203"/>
      <c r="AE189" s="203"/>
      <c r="AF189" s="203"/>
    </row>
    <row r="190" spans="3:32" ht="15" customHeight="1">
      <c r="C190" s="10"/>
      <c r="D190" s="26"/>
      <c r="E190" s="215"/>
      <c r="F190" s="215"/>
      <c r="G190" s="203"/>
      <c r="H190" s="203"/>
      <c r="I190" s="203"/>
      <c r="J190" s="203"/>
      <c r="K190" s="203"/>
      <c r="L190" s="203"/>
      <c r="M190" s="203"/>
      <c r="N190" s="203"/>
      <c r="O190" s="203"/>
      <c r="P190" s="203"/>
      <c r="Q190" s="203"/>
      <c r="R190" s="203"/>
      <c r="S190" s="203"/>
      <c r="T190" s="203"/>
      <c r="U190" s="203"/>
      <c r="V190" s="203"/>
      <c r="W190" s="203"/>
      <c r="X190" s="203"/>
      <c r="Y190" s="203"/>
      <c r="Z190" s="203"/>
      <c r="AA190" s="203"/>
      <c r="AB190" s="203"/>
      <c r="AC190" s="203"/>
      <c r="AD190" s="203"/>
      <c r="AE190" s="203"/>
      <c r="AF190" s="203"/>
    </row>
    <row r="191" spans="3:32" ht="15" customHeight="1">
      <c r="C191" s="10"/>
      <c r="D191" s="26"/>
      <c r="E191" s="215"/>
      <c r="F191" s="215"/>
      <c r="G191" s="203"/>
      <c r="H191" s="203"/>
      <c r="I191" s="203"/>
      <c r="J191" s="203"/>
      <c r="K191" s="203"/>
      <c r="L191" s="203"/>
      <c r="M191" s="203"/>
      <c r="N191" s="203"/>
      <c r="O191" s="203"/>
      <c r="P191" s="203"/>
      <c r="Q191" s="203"/>
      <c r="R191" s="203"/>
      <c r="S191" s="203"/>
      <c r="T191" s="203"/>
      <c r="U191" s="203"/>
      <c r="V191" s="203"/>
      <c r="W191" s="203"/>
      <c r="X191" s="203"/>
      <c r="Y191" s="203"/>
      <c r="Z191" s="203"/>
      <c r="AA191" s="203"/>
      <c r="AB191" s="203"/>
      <c r="AC191" s="203"/>
      <c r="AD191" s="203"/>
      <c r="AE191" s="203"/>
      <c r="AF191" s="203"/>
    </row>
    <row r="192" spans="3:32" ht="15" customHeight="1">
      <c r="C192" s="10"/>
      <c r="D192" s="26"/>
      <c r="E192" s="215"/>
      <c r="F192" s="215"/>
      <c r="G192" s="203"/>
      <c r="H192" s="203"/>
      <c r="I192" s="203"/>
      <c r="J192" s="203"/>
      <c r="K192" s="203"/>
      <c r="L192" s="203"/>
      <c r="M192" s="203"/>
      <c r="N192" s="203"/>
      <c r="O192" s="203"/>
      <c r="P192" s="203"/>
      <c r="Q192" s="203"/>
      <c r="R192" s="203"/>
      <c r="S192" s="203"/>
      <c r="T192" s="203"/>
      <c r="U192" s="203"/>
      <c r="V192" s="203"/>
      <c r="W192" s="203"/>
      <c r="X192" s="203"/>
      <c r="Y192" s="203"/>
      <c r="Z192" s="203"/>
      <c r="AA192" s="203"/>
      <c r="AB192" s="203"/>
      <c r="AC192" s="203"/>
      <c r="AD192" s="203"/>
      <c r="AE192" s="203"/>
      <c r="AF192" s="203"/>
    </row>
    <row r="193" spans="3:32" ht="15" customHeight="1">
      <c r="C193" s="10"/>
      <c r="D193" s="26"/>
      <c r="E193" s="215"/>
      <c r="F193" s="215"/>
      <c r="G193" s="203"/>
      <c r="H193" s="203"/>
      <c r="I193" s="203"/>
      <c r="J193" s="203"/>
      <c r="K193" s="203"/>
      <c r="L193" s="203"/>
      <c r="M193" s="203"/>
      <c r="N193" s="203"/>
      <c r="O193" s="203"/>
      <c r="P193" s="203"/>
      <c r="Q193" s="203"/>
      <c r="R193" s="203"/>
      <c r="S193" s="203"/>
      <c r="T193" s="203"/>
      <c r="U193" s="203"/>
      <c r="V193" s="203"/>
      <c r="W193" s="203"/>
      <c r="X193" s="203"/>
      <c r="Y193" s="203"/>
      <c r="Z193" s="203"/>
      <c r="AA193" s="203"/>
      <c r="AB193" s="203"/>
      <c r="AC193" s="203"/>
      <c r="AD193" s="203"/>
      <c r="AE193" s="203"/>
      <c r="AF193" s="203"/>
    </row>
    <row r="194" spans="3:32" ht="15" customHeight="1"/>
    <row r="195" spans="3:32" ht="15" customHeight="1"/>
    <row r="196" spans="3:32" ht="15" customHeight="1"/>
    <row r="197" spans="3:32" ht="15" customHeight="1"/>
    <row r="198" spans="3:32" ht="15" customHeight="1"/>
    <row r="199" spans="3:32" ht="15" customHeight="1"/>
    <row r="200" spans="3:32" ht="15" customHeight="1"/>
    <row r="201" spans="3:32" ht="15" customHeight="1"/>
    <row r="202" spans="3:32" ht="15" customHeight="1"/>
    <row r="203" spans="3:32" ht="15" customHeight="1"/>
    <row r="204" spans="3:32" ht="15" customHeight="1"/>
    <row r="205" spans="3:32" ht="15" customHeight="1"/>
    <row r="206" spans="3:32" ht="15" customHeight="1"/>
    <row r="207" spans="3:32" ht="15" customHeight="1"/>
    <row r="208" spans="3: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31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699" operator="greaterThan" id="{00000000-0000-0000-0000-000000000000}">
            <xm:f>ControlPanel!$D$59-1</xm:f>
            <x14:dxf>
              <font>
                <color rgb="FF9C6500"/>
              </font>
              <fill>
                <patternFill>
                  <fgColor indexed="64"/>
                  <bgColor rgb="FFFFEB9C"/>
                </patternFill>
              </fill>
            </x14:dxf>
          </x14:cfRule>
          <x14:cfRule type="cellIs" priority="700" operator="lessThan" id="{00000000-0000-0000-0000-000000000000}">
            <xm:f>ControlPanel!$D$59</xm:f>
            <x14:dxf>
              <font>
                <color rgb="FF006100"/>
              </font>
              <fill>
                <patternFill>
                  <fgColor indexed="64"/>
                  <bgColor rgb="FFC6EFCE"/>
                </patternFill>
              </fill>
            </x14:dxf>
          </x14:cfRule>
          <x14:cfRule type="cellIs" priority="701" operator="lessThan" id="{00000000-0000-0000-0000-000000000000}">
            <xm:f>ControlPanel!$D$59+1</xm:f>
            <x14:dxf>
              <font>
                <color rgb="FF006100"/>
              </font>
              <fill>
                <patternFill>
                  <fgColor indexed="64"/>
                  <bgColor rgb="FFC6EFCE"/>
                </patternFill>
              </fill>
            </x14:dxf>
          </x14:cfRule>
          <xm:sqref>G4:AF4</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Tabelle63">
    <tabColor theme="9" tint="-0.499984740745262"/>
  </sheetPr>
  <dimension ref="A1:AF1191"/>
  <sheetViews>
    <sheetView zoomScaleNormal="100" workbookViewId="0">
      <selection activeCell="B17" sqref="B17"/>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5" width="40.6640625" style="10" customWidth="1"/>
    <col min="6" max="6" width="66.5546875" style="10" bestFit="1" customWidth="1"/>
    <col min="7" max="13" width="8.6640625" style="9" customWidth="1"/>
    <col min="14" max="14" width="13.6640625" style="9" bestFit="1" customWidth="1"/>
    <col min="15" max="15" width="15.33203125" style="9" bestFit="1" customWidth="1"/>
    <col min="16" max="32" width="8.6640625" style="9" customWidth="1" outlineLevel="1"/>
    <col min="33" max="16384" width="11.5546875" style="9"/>
  </cols>
  <sheetData>
    <row r="1" spans="1:32">
      <c r="A1" s="41" t="s">
        <v>74</v>
      </c>
      <c r="B1" s="61" t="s">
        <v>956</v>
      </c>
      <c r="C1" s="61"/>
      <c r="D1" s="19"/>
      <c r="E1" s="19"/>
      <c r="F1" s="19"/>
    </row>
    <row r="2" spans="1:32">
      <c r="B2" s="1203" t="s">
        <v>957</v>
      </c>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44</v>
      </c>
      <c r="H5" s="323" t="s">
        <v>44</v>
      </c>
      <c r="I5" s="323" t="s">
        <v>44</v>
      </c>
      <c r="J5" s="323" t="s">
        <v>44</v>
      </c>
      <c r="K5" s="323" t="s">
        <v>44</v>
      </c>
      <c r="L5" s="323" t="s">
        <v>44</v>
      </c>
      <c r="M5" s="323" t="s">
        <v>44</v>
      </c>
      <c r="N5" s="323" t="s">
        <v>44</v>
      </c>
      <c r="O5" s="323" t="s">
        <v>44</v>
      </c>
      <c r="P5" s="323" t="s">
        <v>44</v>
      </c>
      <c r="Q5" s="323" t="s">
        <v>44</v>
      </c>
      <c r="R5" s="323" t="s">
        <v>44</v>
      </c>
      <c r="S5" s="323" t="s">
        <v>44</v>
      </c>
      <c r="T5" s="323" t="s">
        <v>44</v>
      </c>
      <c r="U5" s="323" t="s">
        <v>44</v>
      </c>
      <c r="V5" s="323" t="s">
        <v>44</v>
      </c>
      <c r="W5" s="323" t="s">
        <v>44</v>
      </c>
      <c r="X5" s="323" t="s">
        <v>44</v>
      </c>
      <c r="Y5" s="323" t="s">
        <v>44</v>
      </c>
      <c r="Z5" s="323" t="s">
        <v>44</v>
      </c>
      <c r="AA5" s="323" t="s">
        <v>44</v>
      </c>
      <c r="AB5" s="323" t="s">
        <v>44</v>
      </c>
      <c r="AC5" s="323" t="s">
        <v>44</v>
      </c>
      <c r="AD5" s="323" t="s">
        <v>44</v>
      </c>
      <c r="AE5" s="323" t="s">
        <v>44</v>
      </c>
      <c r="AF5" s="323" t="s">
        <v>44</v>
      </c>
    </row>
    <row r="6" spans="1:32" ht="15" customHeight="1" thickBot="1">
      <c r="B6" s="166" t="s">
        <v>529</v>
      </c>
      <c r="C6" s="175" t="s">
        <v>409</v>
      </c>
      <c r="D6" s="15" t="s">
        <v>106</v>
      </c>
      <c r="E6" s="15"/>
      <c r="F6" s="15" t="s">
        <v>958</v>
      </c>
      <c r="G6" s="14">
        <v>0</v>
      </c>
      <c r="H6" s="14">
        <v>0</v>
      </c>
      <c r="I6" s="14">
        <v>0</v>
      </c>
      <c r="J6" s="14">
        <v>0</v>
      </c>
      <c r="K6" s="14">
        <v>0</v>
      </c>
      <c r="L6" s="1078">
        <v>5.6636480000000003E-3</v>
      </c>
      <c r="M6" s="1078">
        <v>7.4175630000000003E-3</v>
      </c>
      <c r="N6" s="1078">
        <v>5.7840040000000006E-3</v>
      </c>
      <c r="O6" s="1078">
        <v>6.0242580000000002E-3</v>
      </c>
      <c r="P6" s="1078">
        <v>0</v>
      </c>
      <c r="Q6" s="1078">
        <f>Q21/Q$14</f>
        <v>0</v>
      </c>
      <c r="R6" s="1078">
        <f t="shared" ref="R6:AF6" si="0">R21/R$14</f>
        <v>0</v>
      </c>
      <c r="S6" s="1078">
        <f t="shared" si="0"/>
        <v>5.8475168045815252E-3</v>
      </c>
      <c r="T6" s="1078">
        <f t="shared" si="0"/>
        <v>5.7611003000803207E-3</v>
      </c>
      <c r="U6" s="1078">
        <f t="shared" si="0"/>
        <v>5.6759608867786426E-3</v>
      </c>
      <c r="V6" s="1078">
        <f t="shared" si="0"/>
        <v>5.59207969140753E-3</v>
      </c>
      <c r="W6" s="1078">
        <f t="shared" si="0"/>
        <v>5.5094381196133316E-3</v>
      </c>
      <c r="X6" s="1078">
        <f t="shared" si="0"/>
        <v>5.4280178518357949E-3</v>
      </c>
      <c r="Y6" s="1078">
        <f t="shared" si="0"/>
        <v>5.3478008392470891E-3</v>
      </c>
      <c r="Z6" s="1078">
        <f t="shared" si="0"/>
        <v>5.2687692997508279E-3</v>
      </c>
      <c r="AA6" s="1078">
        <f t="shared" si="0"/>
        <v>5.1909057140402245E-3</v>
      </c>
      <c r="AB6" s="1078">
        <f t="shared" si="0"/>
        <v>5.1141928217145081E-3</v>
      </c>
      <c r="AC6" s="1078">
        <f t="shared" si="0"/>
        <v>5.0386136174527174E-3</v>
      </c>
      <c r="AD6" s="1078">
        <f t="shared" si="0"/>
        <v>4.9641513472440564E-3</v>
      </c>
      <c r="AE6" s="1078">
        <f t="shared" si="0"/>
        <v>4.890789504673948E-3</v>
      </c>
      <c r="AF6" s="1078">
        <f t="shared" si="0"/>
        <v>4.8185118272649737E-3</v>
      </c>
    </row>
    <row r="7" spans="1:32" ht="15" customHeight="1" thickBot="1">
      <c r="B7" s="165" t="s">
        <v>349</v>
      </c>
      <c r="C7" s="175" t="s">
        <v>409</v>
      </c>
      <c r="D7" s="15" t="s">
        <v>106</v>
      </c>
      <c r="E7" s="15"/>
      <c r="F7" s="15" t="s">
        <v>958</v>
      </c>
      <c r="G7" s="14">
        <v>0</v>
      </c>
      <c r="H7" s="14">
        <v>0</v>
      </c>
      <c r="I7" s="14">
        <v>0</v>
      </c>
      <c r="J7" s="14">
        <v>0</v>
      </c>
      <c r="K7" s="14">
        <v>0</v>
      </c>
      <c r="L7" s="1078">
        <v>1.0429840000000001E-3</v>
      </c>
      <c r="M7" s="1078">
        <v>1.8630400000000001E-3</v>
      </c>
      <c r="N7" s="1078">
        <v>1.7739950000000002E-3</v>
      </c>
      <c r="O7" s="1078">
        <v>1.812908E-3</v>
      </c>
      <c r="P7" s="1078">
        <v>0</v>
      </c>
      <c r="Q7" s="1078">
        <f t="shared" ref="Q7:AF7" si="1">Q22/Q$14</f>
        <v>0</v>
      </c>
      <c r="R7" s="1078">
        <f t="shared" si="1"/>
        <v>0</v>
      </c>
      <c r="S7" s="1078">
        <f t="shared" si="1"/>
        <v>1.7597204494163902E-3</v>
      </c>
      <c r="T7" s="1078">
        <f t="shared" si="1"/>
        <v>1.7337147284890546E-3</v>
      </c>
      <c r="U7" s="1078">
        <f t="shared" si="1"/>
        <v>1.708093328560645E-3</v>
      </c>
      <c r="V7" s="1078">
        <f t="shared" si="1"/>
        <v>1.6828505700104879E-3</v>
      </c>
      <c r="W7" s="1078">
        <f t="shared" si="1"/>
        <v>1.6579808571531905E-3</v>
      </c>
      <c r="X7" s="1078">
        <f t="shared" si="1"/>
        <v>1.6334786769982175E-3</v>
      </c>
      <c r="Y7" s="1078">
        <f t="shared" si="1"/>
        <v>1.6093385980278005E-3</v>
      </c>
      <c r="Z7" s="1078">
        <f t="shared" si="1"/>
        <v>1.5855552689929072E-3</v>
      </c>
      <c r="AA7" s="1078">
        <f t="shared" si="1"/>
        <v>1.5621234177270024E-3</v>
      </c>
      <c r="AB7" s="1078">
        <f t="shared" si="1"/>
        <v>1.5390378499773422E-3</v>
      </c>
      <c r="AC7" s="1078">
        <f t="shared" si="1"/>
        <v>1.5162934482535393E-3</v>
      </c>
      <c r="AD7" s="1078">
        <f t="shared" si="1"/>
        <v>1.4938851706931423E-3</v>
      </c>
      <c r="AE7" s="1078">
        <f t="shared" si="1"/>
        <v>1.4718080499439826E-3</v>
      </c>
      <c r="AF7" s="1078">
        <f t="shared" si="1"/>
        <v>1.4500571920630374E-3</v>
      </c>
    </row>
    <row r="8" spans="1:32" ht="15" customHeight="1" thickBot="1">
      <c r="B8" s="165" t="s">
        <v>11</v>
      </c>
      <c r="C8" s="175" t="s">
        <v>409</v>
      </c>
      <c r="D8" s="15" t="s">
        <v>106</v>
      </c>
      <c r="E8" s="15"/>
      <c r="F8" s="15" t="s">
        <v>958</v>
      </c>
      <c r="G8" s="14">
        <v>0</v>
      </c>
      <c r="H8" s="14">
        <v>0</v>
      </c>
      <c r="I8" s="14">
        <v>0</v>
      </c>
      <c r="J8" s="14">
        <v>0</v>
      </c>
      <c r="K8" s="14">
        <v>0</v>
      </c>
      <c r="L8" s="1078">
        <v>4.3850929999999996E-2</v>
      </c>
      <c r="M8" s="1078">
        <v>5.8247980000000005E-2</v>
      </c>
      <c r="N8" s="1078">
        <v>6.2028065000000007E-2</v>
      </c>
      <c r="O8" s="1078">
        <v>6.2409504000000005E-2</v>
      </c>
      <c r="P8" s="1078">
        <v>0</v>
      </c>
      <c r="Q8" s="1078">
        <f t="shared" ref="Q8:AF8" si="2">Q23/Q$14</f>
        <v>0</v>
      </c>
      <c r="R8" s="1078">
        <f t="shared" si="2"/>
        <v>0</v>
      </c>
      <c r="S8" s="1078">
        <f t="shared" si="2"/>
        <v>6.0578518284840711E-2</v>
      </c>
      <c r="T8" s="1078">
        <f t="shared" si="2"/>
        <v>5.9683269246148488E-2</v>
      </c>
      <c r="U8" s="1078">
        <f t="shared" si="2"/>
        <v>5.8801250488816258E-2</v>
      </c>
      <c r="V8" s="1078">
        <f t="shared" si="2"/>
        <v>5.7932266491444596E-2</v>
      </c>
      <c r="W8" s="1078">
        <f t="shared" si="2"/>
        <v>5.7076124622112909E-2</v>
      </c>
      <c r="X8" s="1078">
        <f t="shared" si="2"/>
        <v>5.6232635095677753E-2</v>
      </c>
      <c r="Y8" s="1078">
        <f t="shared" si="2"/>
        <v>5.5401610931702226E-2</v>
      </c>
      <c r="Z8" s="1078">
        <f t="shared" si="2"/>
        <v>5.4582867913007128E-2</v>
      </c>
      <c r="AA8" s="1078">
        <f t="shared" si="2"/>
        <v>5.3776224544834612E-2</v>
      </c>
      <c r="AB8" s="1078">
        <f t="shared" si="2"/>
        <v>5.2981502014615385E-2</v>
      </c>
      <c r="AC8" s="1078">
        <f t="shared" si="2"/>
        <v>5.2198524152330436E-2</v>
      </c>
      <c r="AD8" s="1078">
        <f t="shared" si="2"/>
        <v>5.1427117391458561E-2</v>
      </c>
      <c r="AE8" s="1078">
        <f t="shared" si="2"/>
        <v>5.0667110730501043E-2</v>
      </c>
      <c r="AF8" s="1078">
        <f t="shared" si="2"/>
        <v>4.9918335695074929E-2</v>
      </c>
    </row>
    <row r="9" spans="1:32" ht="15" customHeight="1" thickBot="1">
      <c r="B9" s="165" t="s">
        <v>10</v>
      </c>
      <c r="C9" s="175" t="s">
        <v>409</v>
      </c>
      <c r="D9" s="15" t="s">
        <v>106</v>
      </c>
      <c r="E9" s="15"/>
      <c r="F9" s="15" t="s">
        <v>958</v>
      </c>
      <c r="G9" s="14">
        <v>0</v>
      </c>
      <c r="H9" s="14">
        <v>0</v>
      </c>
      <c r="I9" s="14">
        <v>0</v>
      </c>
      <c r="J9" s="14">
        <v>0</v>
      </c>
      <c r="K9" s="14">
        <v>0</v>
      </c>
      <c r="L9" s="1078">
        <v>3.3599999999999997E-5</v>
      </c>
      <c r="M9" s="1078">
        <v>1.9669000000000002E-4</v>
      </c>
      <c r="N9" s="1078">
        <v>2.1216200000000001E-4</v>
      </c>
      <c r="O9" s="1078">
        <v>3.4630000000000001E-4</v>
      </c>
      <c r="P9" s="1078">
        <v>0</v>
      </c>
      <c r="Q9" s="1078">
        <f t="shared" ref="Q9:AF9" si="3">Q24/Q$14</f>
        <v>0</v>
      </c>
      <c r="R9" s="1078">
        <f t="shared" si="3"/>
        <v>0</v>
      </c>
      <c r="S9" s="1078">
        <f t="shared" si="3"/>
        <v>3.3614016355650473E-4</v>
      </c>
      <c r="T9" s="1078">
        <f t="shared" si="3"/>
        <v>3.3117257493251703E-4</v>
      </c>
      <c r="U9" s="1078">
        <f t="shared" si="3"/>
        <v>3.2627839894829269E-4</v>
      </c>
      <c r="V9" s="1078">
        <f t="shared" si="3"/>
        <v>3.2145655068797316E-4</v>
      </c>
      <c r="W9" s="1078">
        <f t="shared" si="3"/>
        <v>3.1670596126893909E-4</v>
      </c>
      <c r="X9" s="1078">
        <f t="shared" si="3"/>
        <v>3.1202557760486618E-4</v>
      </c>
      <c r="Y9" s="1078">
        <f t="shared" si="3"/>
        <v>3.0741436217228196E-4</v>
      </c>
      <c r="Z9" s="1078">
        <f t="shared" si="3"/>
        <v>3.0287129278057341E-4</v>
      </c>
      <c r="AA9" s="1078">
        <f t="shared" si="3"/>
        <v>2.9839536234539253E-4</v>
      </c>
      <c r="AB9" s="1078">
        <f t="shared" si="3"/>
        <v>2.939855786654114E-4</v>
      </c>
      <c r="AC9" s="1078">
        <f t="shared" si="3"/>
        <v>2.8964096420237579E-4</v>
      </c>
      <c r="AD9" s="1078">
        <f t="shared" si="3"/>
        <v>2.8536055586440964E-4</v>
      </c>
      <c r="AE9" s="1078">
        <f t="shared" si="3"/>
        <v>2.8114340479252185E-4</v>
      </c>
      <c r="AF9" s="1078">
        <f t="shared" si="3"/>
        <v>2.7698857615026789E-4</v>
      </c>
    </row>
    <row r="10" spans="1:32" ht="15" customHeight="1" thickBot="1">
      <c r="B10" s="165" t="s">
        <v>339</v>
      </c>
      <c r="C10" s="175" t="s">
        <v>409</v>
      </c>
      <c r="D10" s="15" t="s">
        <v>106</v>
      </c>
      <c r="E10" s="15"/>
      <c r="F10" s="15" t="s">
        <v>958</v>
      </c>
      <c r="G10" s="14">
        <v>0</v>
      </c>
      <c r="H10" s="14">
        <v>0</v>
      </c>
      <c r="I10" s="14">
        <v>0</v>
      </c>
      <c r="J10" s="14">
        <v>0</v>
      </c>
      <c r="K10" s="14">
        <v>0</v>
      </c>
      <c r="L10" s="1078">
        <v>0.206644672</v>
      </c>
      <c r="M10" s="1078">
        <v>0.27028342599999999</v>
      </c>
      <c r="N10" s="1078">
        <v>0.30297696900000004</v>
      </c>
      <c r="O10" s="1078">
        <v>0.350982717</v>
      </c>
      <c r="P10" s="1078">
        <v>0</v>
      </c>
      <c r="Q10" s="1078">
        <f t="shared" ref="Q10:AF10" si="4">Q25/Q$14</f>
        <v>0</v>
      </c>
      <c r="R10" s="1078">
        <f t="shared" si="4"/>
        <v>0</v>
      </c>
      <c r="S10" s="1078">
        <f t="shared" si="4"/>
        <v>0.34068549782814445</v>
      </c>
      <c r="T10" s="1078">
        <f t="shared" si="4"/>
        <v>0.33565073677649704</v>
      </c>
      <c r="U10" s="1078">
        <f t="shared" si="4"/>
        <v>0.33069038106058823</v>
      </c>
      <c r="V10" s="1078">
        <f t="shared" si="4"/>
        <v>0.32580333109417564</v>
      </c>
      <c r="W10" s="1078">
        <f t="shared" si="4"/>
        <v>0.32098850354105979</v>
      </c>
      <c r="X10" s="1078">
        <f t="shared" si="4"/>
        <v>0.31624483107493584</v>
      </c>
      <c r="Y10" s="1078">
        <f t="shared" si="4"/>
        <v>0.31157126214279396</v>
      </c>
      <c r="Z10" s="1078">
        <f t="shared" si="4"/>
        <v>0.30696676073181672</v>
      </c>
      <c r="AA10" s="1078">
        <f t="shared" si="4"/>
        <v>0.30243030613972094</v>
      </c>
      <c r="AB10" s="1078">
        <f t="shared" si="4"/>
        <v>0.29796089274849358</v>
      </c>
      <c r="AC10" s="1078">
        <f t="shared" si="4"/>
        <v>0.29355752980147154</v>
      </c>
      <c r="AD10" s="1078">
        <f t="shared" si="4"/>
        <v>0.28921924118371578</v>
      </c>
      <c r="AE10" s="1078">
        <f t="shared" si="4"/>
        <v>0.28494506520563134</v>
      </c>
      <c r="AF10" s="1078">
        <f t="shared" si="4"/>
        <v>0.2807340543897846</v>
      </c>
    </row>
    <row r="11" spans="1:32" ht="15" customHeight="1" thickBot="1">
      <c r="B11" s="165" t="s">
        <v>340</v>
      </c>
      <c r="C11" s="175" t="s">
        <v>409</v>
      </c>
      <c r="D11" s="15" t="s">
        <v>106</v>
      </c>
      <c r="E11" s="15"/>
      <c r="F11" s="15" t="s">
        <v>958</v>
      </c>
      <c r="G11" s="14">
        <v>0</v>
      </c>
      <c r="H11" s="14">
        <v>0</v>
      </c>
      <c r="I11" s="14">
        <v>0</v>
      </c>
      <c r="J11" s="14">
        <v>0</v>
      </c>
      <c r="K11" s="14">
        <v>0</v>
      </c>
      <c r="L11" s="1078">
        <v>2.9591831999999998E-2</v>
      </c>
      <c r="M11" s="1078">
        <v>6.1518174000000002E-2</v>
      </c>
      <c r="N11" s="1078">
        <v>8.013342200000001E-2</v>
      </c>
      <c r="O11" s="1078">
        <v>9.025762200000001E-2</v>
      </c>
      <c r="P11" s="1078">
        <v>0</v>
      </c>
      <c r="Q11" s="1078">
        <f t="shared" ref="Q11:AF11" si="5">Q26/Q$14</f>
        <v>0</v>
      </c>
      <c r="R11" s="1078">
        <f t="shared" si="5"/>
        <v>0</v>
      </c>
      <c r="S11" s="1078">
        <f t="shared" si="5"/>
        <v>8.7609621199252627E-2</v>
      </c>
      <c r="T11" s="1078">
        <f t="shared" si="5"/>
        <v>8.631489773325382E-2</v>
      </c>
      <c r="U11" s="1078">
        <f t="shared" si="5"/>
        <v>8.5039308111580142E-2</v>
      </c>
      <c r="V11" s="1078">
        <f t="shared" si="5"/>
        <v>8.3782569568059254E-2</v>
      </c>
      <c r="W11" s="1078">
        <f t="shared" si="5"/>
        <v>8.2544403515329337E-2</v>
      </c>
      <c r="X11" s="1078">
        <f t="shared" si="5"/>
        <v>8.1324535483083105E-2</v>
      </c>
      <c r="Y11" s="1078">
        <f t="shared" si="5"/>
        <v>8.0122695057224733E-2</v>
      </c>
      <c r="Z11" s="1078">
        <f t="shared" si="5"/>
        <v>7.8938615819925853E-2</v>
      </c>
      <c r="AA11" s="1078">
        <f t="shared" si="5"/>
        <v>7.7772035290567351E-2</v>
      </c>
      <c r="AB11" s="1078">
        <f t="shared" si="5"/>
        <v>7.6622694867554061E-2</v>
      </c>
      <c r="AC11" s="1078">
        <f t="shared" si="5"/>
        <v>7.549033977098922E-2</v>
      </c>
      <c r="AD11" s="1078">
        <f t="shared" si="5"/>
        <v>7.4374718986196284E-2</v>
      </c>
      <c r="AE11" s="1078">
        <f t="shared" si="5"/>
        <v>7.3275585208075159E-2</v>
      </c>
      <c r="AF11" s="1078">
        <f t="shared" si="5"/>
        <v>7.2192694786280959E-2</v>
      </c>
    </row>
    <row r="12" spans="1:32" ht="15" customHeight="1" thickBot="1">
      <c r="B12" s="167" t="s">
        <v>530</v>
      </c>
      <c r="C12" s="175" t="s">
        <v>409</v>
      </c>
      <c r="D12" s="15" t="s">
        <v>106</v>
      </c>
      <c r="E12" s="15"/>
      <c r="F12" s="15" t="s">
        <v>958</v>
      </c>
      <c r="G12" s="14">
        <v>0</v>
      </c>
      <c r="H12" s="14">
        <v>0</v>
      </c>
      <c r="I12" s="14">
        <v>0</v>
      </c>
      <c r="J12" s="14">
        <v>0</v>
      </c>
      <c r="K12" s="14">
        <v>0</v>
      </c>
      <c r="L12" s="1078">
        <v>1.9274279999999998E-2</v>
      </c>
      <c r="M12" s="1078">
        <v>2.7842141000000001E-2</v>
      </c>
      <c r="N12" s="1078">
        <v>3.2017428000000001E-2</v>
      </c>
      <c r="O12" s="1078">
        <v>3.6180617000000005E-2</v>
      </c>
      <c r="P12" s="1078">
        <v>0</v>
      </c>
      <c r="Q12" s="1078">
        <f t="shared" ref="Q12:AF12" si="6">Q27/Q$14</f>
        <v>0</v>
      </c>
      <c r="R12" s="1078">
        <f t="shared" si="6"/>
        <v>0</v>
      </c>
      <c r="S12" s="1078">
        <f t="shared" si="6"/>
        <v>3.5119140964352459E-2</v>
      </c>
      <c r="T12" s="1078">
        <f t="shared" si="6"/>
        <v>3.4600138881135431E-2</v>
      </c>
      <c r="U12" s="1078">
        <f t="shared" si="6"/>
        <v>3.408880677944378E-2</v>
      </c>
      <c r="V12" s="1078">
        <f t="shared" si="6"/>
        <v>3.3585031309796835E-2</v>
      </c>
      <c r="W12" s="1078">
        <f t="shared" si="6"/>
        <v>3.3088700797829398E-2</v>
      </c>
      <c r="X12" s="1078">
        <f t="shared" si="6"/>
        <v>3.2599705219536361E-2</v>
      </c>
      <c r="Y12" s="1078">
        <f t="shared" si="6"/>
        <v>3.2117936176883119E-2</v>
      </c>
      <c r="Z12" s="1078">
        <f t="shared" si="6"/>
        <v>3.1643286873776474E-2</v>
      </c>
      <c r="AA12" s="1078">
        <f t="shared" si="6"/>
        <v>3.1175652092390618E-2</v>
      </c>
      <c r="AB12" s="1078">
        <f t="shared" si="6"/>
        <v>3.0714928169842975E-2</v>
      </c>
      <c r="AC12" s="1078">
        <f t="shared" si="6"/>
        <v>3.0261012975214756E-2</v>
      </c>
      <c r="AD12" s="1078">
        <f t="shared" si="6"/>
        <v>2.9813805886911092E-2</v>
      </c>
      <c r="AE12" s="1078">
        <f t="shared" si="6"/>
        <v>2.9373207770355757E-2</v>
      </c>
      <c r="AF12" s="1078">
        <f t="shared" si="6"/>
        <v>2.8939120956015529E-2</v>
      </c>
    </row>
    <row r="13" spans="1:32" ht="15" customHeight="1">
      <c r="B13" s="315"/>
      <c r="C13" s="10"/>
      <c r="D13" s="26"/>
      <c r="E13" s="215"/>
      <c r="F13" s="215"/>
      <c r="G13" s="203"/>
      <c r="H13" s="203"/>
      <c r="I13" s="203"/>
      <c r="J13" s="203"/>
      <c r="K13" s="203"/>
      <c r="L13" s="1202">
        <f>'D-Inflationsrate'!L6</f>
        <v>1.4999999999999999E-2</v>
      </c>
      <c r="M13" s="1202">
        <f>'D-Inflationsrate'!M6</f>
        <v>1.4999999999999999E-2</v>
      </c>
      <c r="N13" s="1202">
        <f>'D-Inflationsrate'!N6</f>
        <v>1.4999999999999999E-2</v>
      </c>
      <c r="O13" s="1202">
        <f>'D-Inflationsrate'!O6</f>
        <v>1.4999999999999999E-2</v>
      </c>
      <c r="P13" s="1202">
        <f>'D-Inflationsrate'!P6</f>
        <v>1.4999999999999999E-2</v>
      </c>
      <c r="Q13" s="1202">
        <f>'D-Inflationsrate'!Q6</f>
        <v>1.4999999999999999E-2</v>
      </c>
      <c r="R13" s="1202">
        <f>'D-Inflationsrate'!R6</f>
        <v>1.4999999999999999E-2</v>
      </c>
      <c r="S13" s="1202">
        <f>'D-Inflationsrate'!S6</f>
        <v>1.4999999999999999E-2</v>
      </c>
      <c r="T13" s="1202">
        <f>'D-Inflationsrate'!T6</f>
        <v>1.4999999999999999E-2</v>
      </c>
      <c r="U13" s="1202">
        <f>'D-Inflationsrate'!U6</f>
        <v>1.4999999999999999E-2</v>
      </c>
      <c r="V13" s="1202">
        <f>'D-Inflationsrate'!V6</f>
        <v>1.4999999999999999E-2</v>
      </c>
      <c r="W13" s="1202">
        <f>'D-Inflationsrate'!W6</f>
        <v>1.4999999999999999E-2</v>
      </c>
      <c r="X13" s="1202">
        <f>'D-Inflationsrate'!X6</f>
        <v>1.4999999999999999E-2</v>
      </c>
      <c r="Y13" s="1202">
        <f>'D-Inflationsrate'!Y6</f>
        <v>1.4999999999999999E-2</v>
      </c>
      <c r="Z13" s="1202">
        <f>'D-Inflationsrate'!Z6</f>
        <v>1.4999999999999999E-2</v>
      </c>
      <c r="AA13" s="1202">
        <f>'D-Inflationsrate'!AA6</f>
        <v>1.4999999999999999E-2</v>
      </c>
      <c r="AB13" s="1202">
        <f>'D-Inflationsrate'!AB6</f>
        <v>1.4999999999999999E-2</v>
      </c>
      <c r="AC13" s="1202">
        <f>'D-Inflationsrate'!AC6</f>
        <v>1.4999999999999999E-2</v>
      </c>
      <c r="AD13" s="1202">
        <f>'D-Inflationsrate'!AD6</f>
        <v>1.4999999999999999E-2</v>
      </c>
      <c r="AE13" s="1202">
        <f>'D-Inflationsrate'!AE6</f>
        <v>1.4999999999999999E-2</v>
      </c>
      <c r="AF13" s="1202">
        <f>'D-Inflationsrate'!AF6</f>
        <v>0</v>
      </c>
    </row>
    <row r="14" spans="1:32" ht="15" customHeight="1">
      <c r="C14" s="10"/>
      <c r="D14" s="26"/>
      <c r="E14" s="215"/>
      <c r="F14" s="215"/>
      <c r="G14" s="203"/>
      <c r="H14" s="203"/>
      <c r="I14" s="203"/>
      <c r="J14" s="203"/>
      <c r="K14" s="203"/>
      <c r="L14" s="1202">
        <f>IF(L4&lt;ControlPanel!$D$60,M14/(1+M13),IF(L4&gt;ControlPanel!$D$60,K14*(1+K13),1))</f>
        <v>0.92826032540563974</v>
      </c>
      <c r="M14" s="1202">
        <f>IF(M4&lt;ControlPanel!$D$60,N14/(1+N13),IF(M4&gt;ControlPanel!$D$60,L14*(1+L13),1))</f>
        <v>0.94218423028672427</v>
      </c>
      <c r="N14" s="1202">
        <f>IF(N4&lt;ControlPanel!$D$60,O14/(1+O13),IF(N4&gt;ControlPanel!$D$60,M14*(1+M13),1))</f>
        <v>0.95631699374102508</v>
      </c>
      <c r="O14" s="1202">
        <f>IF(O4&lt;ControlPanel!$D$60,P14/(1+P13),IF(O4&gt;ControlPanel!$D$60,N14*(1+N13),1))</f>
        <v>0.97066174864714039</v>
      </c>
      <c r="P14" s="1202">
        <f>IF(P4&lt;ControlPanel!$D$60,Q14/(1+Q13),IF(P4&gt;ControlPanel!$D$60,O14*(1+O13),1))</f>
        <v>0.98522167487684742</v>
      </c>
      <c r="Q14" s="1202">
        <f>IF(Q4&lt;ControlPanel!$D$60,R14/(1+R13),IF(Q4&gt;ControlPanel!$D$60,P14*(1+P13),1))</f>
        <v>1</v>
      </c>
      <c r="R14" s="1202">
        <f>IF(R4&lt;ControlPanel!$D$60,S14/(1+S13),IF(R4&gt;ControlPanel!$D$60,Q14*(1+Q13),1))</f>
        <v>1.0149999999999999</v>
      </c>
      <c r="S14" s="1202">
        <f>IF(S4&lt;ControlPanel!$D$60,T14/(1+T13),IF(S4&gt;ControlPanel!$D$60,R14*(1+R13),1))</f>
        <v>1.0302249999999997</v>
      </c>
      <c r="T14" s="1202">
        <f>IF(T4&lt;ControlPanel!$D$60,U14/(1+U13),IF(T4&gt;ControlPanel!$D$60,S14*(1+S13),1))</f>
        <v>1.0456783749999996</v>
      </c>
      <c r="U14" s="1202">
        <f>IF(U4&lt;ControlPanel!$D$60,V14/(1+V13),IF(U4&gt;ControlPanel!$D$60,T14*(1+T13),1))</f>
        <v>1.0613635506249994</v>
      </c>
      <c r="V14" s="1202">
        <f>IF(V4&lt;ControlPanel!$D$60,W14/(1+W13),IF(V4&gt;ControlPanel!$D$60,U14*(1+U13),1))</f>
        <v>1.0772840038843743</v>
      </c>
      <c r="W14" s="1202">
        <f>IF(W4&lt;ControlPanel!$D$60,X14/(1+X13),IF(W4&gt;ControlPanel!$D$60,V14*(1+V13),1))</f>
        <v>1.0934432639426397</v>
      </c>
      <c r="X14" s="1202">
        <f>IF(X4&lt;ControlPanel!$D$60,Y14/(1+Y13),IF(X4&gt;ControlPanel!$D$60,W14*(1+W13),1))</f>
        <v>1.1098449129017791</v>
      </c>
      <c r="Y14" s="1202">
        <f>IF(Y4&lt;ControlPanel!$D$60,Z14/(1+Z13),IF(Y4&gt;ControlPanel!$D$60,X14*(1+X13),1))</f>
        <v>1.1264925865953057</v>
      </c>
      <c r="Z14" s="1202">
        <f>IF(Z4&lt;ControlPanel!$D$60,AA14/(1+AA13),IF(Z4&gt;ControlPanel!$D$60,Y14*(1+Y13),1))</f>
        <v>1.1433899753942351</v>
      </c>
      <c r="AA14" s="1202">
        <f>IF(AA4&lt;ControlPanel!$D$60,AB14/(1+AB13),IF(AA4&gt;ControlPanel!$D$60,Z14*(1+Z13),1))</f>
        <v>1.1605408250251485</v>
      </c>
      <c r="AB14" s="1202">
        <f>IF(AB4&lt;ControlPanel!$D$60,AC14/(1+AC13),IF(AB4&gt;ControlPanel!$D$60,AA14*(1+AA13),1))</f>
        <v>1.1779489374005256</v>
      </c>
      <c r="AC14" s="1202">
        <f>IF(AC4&lt;ControlPanel!$D$60,AD14/(1+AD13),IF(AC4&gt;ControlPanel!$D$60,AB14*(1+AB13),1))</f>
        <v>1.1956181714615335</v>
      </c>
      <c r="AD14" s="1202">
        <f>IF(AD4&lt;ControlPanel!$D$60,AE14/(1+AE13),IF(AD4&gt;ControlPanel!$D$60,AC14*(1+AC13),1))</f>
        <v>1.2135524440334564</v>
      </c>
      <c r="AE14" s="1202">
        <f>IF(AE4&lt;ControlPanel!$D$60,AF14/(1+AF13),IF(AE4&gt;ControlPanel!$D$60,AD14*(1+AD13),1))</f>
        <v>1.2317557306939582</v>
      </c>
      <c r="AF14" s="1202">
        <f>IF(AF4&lt;ControlPanel!$D$60,AG14/(1+AG13),IF(AF4&gt;ControlPanel!$D$60,AE14*(1+AE13),1))</f>
        <v>1.2502320666543674</v>
      </c>
    </row>
    <row r="15" spans="1:32" ht="15" customHeight="1">
      <c r="B15" s="9" t="s">
        <v>301</v>
      </c>
      <c r="C15" s="10"/>
      <c r="D15" s="26"/>
      <c r="E15" s="215"/>
      <c r="F15" s="215"/>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row>
    <row r="16" spans="1:32" ht="15" customHeight="1">
      <c r="B16" s="61" t="s">
        <v>959</v>
      </c>
      <c r="C16" s="61"/>
      <c r="D16" s="19"/>
      <c r="E16" s="19"/>
      <c r="F16" s="19"/>
    </row>
    <row r="17" spans="2:32" ht="15" customHeight="1">
      <c r="B17" s="37"/>
    </row>
    <row r="18" spans="2:32" ht="15" customHeight="1">
      <c r="B18" s="62"/>
      <c r="C18" s="62" t="s">
        <v>787</v>
      </c>
      <c r="D18" s="18" t="s">
        <v>788</v>
      </c>
      <c r="E18" s="314" t="s">
        <v>827</v>
      </c>
      <c r="F18" s="18" t="s">
        <v>574</v>
      </c>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row>
    <row r="19" spans="2:32" ht="15" customHeight="1">
      <c r="B19" s="63"/>
      <c r="C19" s="63"/>
      <c r="E19" s="16"/>
      <c r="G19" s="60">
        <v>2010</v>
      </c>
      <c r="H19" s="60">
        <v>2011</v>
      </c>
      <c r="I19" s="60">
        <v>2012</v>
      </c>
      <c r="J19" s="60">
        <v>2013</v>
      </c>
      <c r="K19" s="60">
        <v>2014</v>
      </c>
      <c r="L19" s="60">
        <v>2015</v>
      </c>
      <c r="M19" s="60">
        <v>2016</v>
      </c>
      <c r="N19" s="60">
        <v>2017</v>
      </c>
      <c r="O19" s="60">
        <v>2018</v>
      </c>
      <c r="P19" s="60">
        <v>2019</v>
      </c>
      <c r="Q19" s="60">
        <v>2020</v>
      </c>
      <c r="R19" s="60">
        <v>2021</v>
      </c>
      <c r="S19" s="60">
        <v>2022</v>
      </c>
      <c r="T19" s="60">
        <v>2023</v>
      </c>
      <c r="U19" s="60">
        <v>2024</v>
      </c>
      <c r="V19" s="60">
        <v>2025</v>
      </c>
      <c r="W19" s="60">
        <v>2026</v>
      </c>
      <c r="X19" s="60">
        <v>2027</v>
      </c>
      <c r="Y19" s="60">
        <v>2028</v>
      </c>
      <c r="Z19" s="60">
        <v>2029</v>
      </c>
      <c r="AA19" s="60">
        <v>2030</v>
      </c>
      <c r="AB19" s="60">
        <v>2031</v>
      </c>
      <c r="AC19" s="60">
        <v>2032</v>
      </c>
      <c r="AD19" s="60">
        <v>2033</v>
      </c>
      <c r="AE19" s="60">
        <v>2034</v>
      </c>
      <c r="AF19" s="60">
        <v>2035</v>
      </c>
    </row>
    <row r="20" spans="2:32" ht="15" customHeight="1" thickBot="1">
      <c r="B20" s="67"/>
      <c r="C20" s="63"/>
      <c r="E20" s="16"/>
      <c r="G20" s="323" t="s">
        <v>44</v>
      </c>
      <c r="H20" s="323" t="s">
        <v>44</v>
      </c>
      <c r="I20" s="323" t="s">
        <v>44</v>
      </c>
      <c r="J20" s="323" t="s">
        <v>44</v>
      </c>
      <c r="K20" s="323" t="s">
        <v>44</v>
      </c>
      <c r="L20" s="323" t="s">
        <v>44</v>
      </c>
      <c r="M20" s="323" t="s">
        <v>44</v>
      </c>
      <c r="N20" s="323" t="s">
        <v>44</v>
      </c>
      <c r="O20" s="323" t="s">
        <v>44</v>
      </c>
      <c r="P20" s="323" t="s">
        <v>44</v>
      </c>
      <c r="Q20" s="323" t="s">
        <v>44</v>
      </c>
      <c r="R20" s="323" t="s">
        <v>44</v>
      </c>
      <c r="S20" s="323" t="s">
        <v>44</v>
      </c>
      <c r="T20" s="323" t="s">
        <v>44</v>
      </c>
      <c r="U20" s="323" t="s">
        <v>44</v>
      </c>
      <c r="V20" s="323" t="s">
        <v>44</v>
      </c>
      <c r="W20" s="323" t="s">
        <v>44</v>
      </c>
      <c r="X20" s="323" t="s">
        <v>44</v>
      </c>
      <c r="Y20" s="323" t="s">
        <v>44</v>
      </c>
      <c r="Z20" s="323" t="s">
        <v>44</v>
      </c>
      <c r="AA20" s="323" t="s">
        <v>44</v>
      </c>
      <c r="AB20" s="323" t="s">
        <v>44</v>
      </c>
      <c r="AC20" s="323" t="s">
        <v>44</v>
      </c>
      <c r="AD20" s="323" t="s">
        <v>44</v>
      </c>
      <c r="AE20" s="323" t="s">
        <v>44</v>
      </c>
      <c r="AF20" s="323" t="s">
        <v>44</v>
      </c>
    </row>
    <row r="21" spans="2:32" ht="15" customHeight="1" thickBot="1">
      <c r="B21" s="166" t="s">
        <v>529</v>
      </c>
      <c r="C21" s="175" t="s">
        <v>409</v>
      </c>
      <c r="D21" s="15" t="s">
        <v>106</v>
      </c>
      <c r="E21" s="15"/>
      <c r="F21" s="15" t="s">
        <v>958</v>
      </c>
      <c r="G21" s="14">
        <v>0</v>
      </c>
      <c r="H21" s="14">
        <v>0</v>
      </c>
      <c r="I21" s="14">
        <v>0</v>
      </c>
      <c r="J21" s="14">
        <v>0</v>
      </c>
      <c r="K21" s="14">
        <v>0</v>
      </c>
      <c r="L21" s="1078">
        <v>5.6636480000000003E-3</v>
      </c>
      <c r="M21" s="1078">
        <v>7.4175630000000003E-3</v>
      </c>
      <c r="N21" s="1078">
        <v>5.7840040000000006E-3</v>
      </c>
      <c r="O21" s="1078">
        <v>6.0242580000000002E-3</v>
      </c>
      <c r="P21" s="1078">
        <v>0</v>
      </c>
      <c r="Q21" s="1078"/>
      <c r="R21" s="1078">
        <v>0</v>
      </c>
      <c r="S21" s="1078">
        <v>6.0242580000000002E-3</v>
      </c>
      <c r="T21" s="1078">
        <v>6.0242580000000002E-3</v>
      </c>
      <c r="U21" s="1078">
        <v>6.0242580000000002E-3</v>
      </c>
      <c r="V21" s="1078">
        <v>6.0242580000000002E-3</v>
      </c>
      <c r="W21" s="1078">
        <v>6.0242580000000002E-3</v>
      </c>
      <c r="X21" s="1078">
        <v>6.0242580000000002E-3</v>
      </c>
      <c r="Y21" s="1078">
        <v>6.0242580000000002E-3</v>
      </c>
      <c r="Z21" s="1078">
        <v>6.0242580000000002E-3</v>
      </c>
      <c r="AA21" s="1078">
        <v>6.0242580000000002E-3</v>
      </c>
      <c r="AB21" s="1078">
        <v>6.0242580000000002E-3</v>
      </c>
      <c r="AC21" s="1078">
        <v>6.0242580000000002E-3</v>
      </c>
      <c r="AD21" s="1078">
        <v>6.0242580000000002E-3</v>
      </c>
      <c r="AE21" s="1078">
        <v>6.0242580000000002E-3</v>
      </c>
      <c r="AF21" s="1078">
        <v>6.0242580000000002E-3</v>
      </c>
    </row>
    <row r="22" spans="2:32" ht="15" customHeight="1" thickBot="1">
      <c r="B22" s="165" t="s">
        <v>349</v>
      </c>
      <c r="C22" s="175" t="s">
        <v>409</v>
      </c>
      <c r="D22" s="15" t="s">
        <v>106</v>
      </c>
      <c r="E22" s="15"/>
      <c r="F22" s="15" t="s">
        <v>958</v>
      </c>
      <c r="G22" s="14">
        <v>0</v>
      </c>
      <c r="H22" s="14">
        <v>0</v>
      </c>
      <c r="I22" s="14">
        <v>0</v>
      </c>
      <c r="J22" s="14">
        <v>0</v>
      </c>
      <c r="K22" s="14">
        <v>0</v>
      </c>
      <c r="L22" s="1078">
        <v>1.0429840000000001E-3</v>
      </c>
      <c r="M22" s="1078">
        <v>1.8630400000000001E-3</v>
      </c>
      <c r="N22" s="1078">
        <v>1.7739950000000002E-3</v>
      </c>
      <c r="O22" s="1078">
        <v>1.812908E-3</v>
      </c>
      <c r="P22" s="1078">
        <v>0</v>
      </c>
      <c r="Q22" s="1078"/>
      <c r="R22" s="1078">
        <v>0</v>
      </c>
      <c r="S22" s="1078">
        <v>1.812908E-3</v>
      </c>
      <c r="T22" s="1078">
        <v>1.812908E-3</v>
      </c>
      <c r="U22" s="1078">
        <v>1.812908E-3</v>
      </c>
      <c r="V22" s="1078">
        <v>1.812908E-3</v>
      </c>
      <c r="W22" s="1078">
        <v>1.812908E-3</v>
      </c>
      <c r="X22" s="1078">
        <v>1.812908E-3</v>
      </c>
      <c r="Y22" s="1078">
        <v>1.812908E-3</v>
      </c>
      <c r="Z22" s="1078">
        <v>1.812908E-3</v>
      </c>
      <c r="AA22" s="1078">
        <v>1.812908E-3</v>
      </c>
      <c r="AB22" s="1078">
        <v>1.812908E-3</v>
      </c>
      <c r="AC22" s="1078">
        <v>1.812908E-3</v>
      </c>
      <c r="AD22" s="1078">
        <v>1.812908E-3</v>
      </c>
      <c r="AE22" s="1078">
        <v>1.812908E-3</v>
      </c>
      <c r="AF22" s="1078">
        <v>1.812908E-3</v>
      </c>
    </row>
    <row r="23" spans="2:32" ht="15" customHeight="1" thickBot="1">
      <c r="B23" s="165" t="s">
        <v>11</v>
      </c>
      <c r="C23" s="175" t="s">
        <v>409</v>
      </c>
      <c r="D23" s="15" t="s">
        <v>106</v>
      </c>
      <c r="E23" s="15"/>
      <c r="F23" s="15" t="s">
        <v>958</v>
      </c>
      <c r="G23" s="14">
        <v>0</v>
      </c>
      <c r="H23" s="14">
        <v>0</v>
      </c>
      <c r="I23" s="14">
        <v>0</v>
      </c>
      <c r="J23" s="14">
        <v>0</v>
      </c>
      <c r="K23" s="14">
        <v>0</v>
      </c>
      <c r="L23" s="1078">
        <v>4.3850929999999996E-2</v>
      </c>
      <c r="M23" s="1078">
        <v>5.8247980000000005E-2</v>
      </c>
      <c r="N23" s="1078">
        <v>6.2028065000000007E-2</v>
      </c>
      <c r="O23" s="1078">
        <v>6.2409504000000005E-2</v>
      </c>
      <c r="P23" s="1078">
        <v>0</v>
      </c>
      <c r="Q23" s="1078"/>
      <c r="R23" s="1078">
        <v>0</v>
      </c>
      <c r="S23" s="1078">
        <v>6.2409504000000005E-2</v>
      </c>
      <c r="T23" s="1078">
        <v>6.2409504000000005E-2</v>
      </c>
      <c r="U23" s="1078">
        <v>6.2409504000000005E-2</v>
      </c>
      <c r="V23" s="1078">
        <v>6.2409504000000005E-2</v>
      </c>
      <c r="W23" s="1078">
        <v>6.2409504000000005E-2</v>
      </c>
      <c r="X23" s="1078">
        <v>6.2409504000000005E-2</v>
      </c>
      <c r="Y23" s="1078">
        <v>6.2409504000000005E-2</v>
      </c>
      <c r="Z23" s="1078">
        <v>6.2409504000000005E-2</v>
      </c>
      <c r="AA23" s="1078">
        <v>6.2409504000000005E-2</v>
      </c>
      <c r="AB23" s="1078">
        <v>6.2409504000000005E-2</v>
      </c>
      <c r="AC23" s="1078">
        <v>6.2409504000000005E-2</v>
      </c>
      <c r="AD23" s="1078">
        <v>6.2409504000000005E-2</v>
      </c>
      <c r="AE23" s="1078">
        <v>6.2409504000000005E-2</v>
      </c>
      <c r="AF23" s="1078">
        <v>6.2409504000000005E-2</v>
      </c>
    </row>
    <row r="24" spans="2:32" ht="15" customHeight="1" thickBot="1">
      <c r="B24" s="165" t="s">
        <v>10</v>
      </c>
      <c r="C24" s="175" t="s">
        <v>409</v>
      </c>
      <c r="D24" s="15" t="s">
        <v>106</v>
      </c>
      <c r="E24" s="15"/>
      <c r="F24" s="15" t="s">
        <v>958</v>
      </c>
      <c r="G24" s="14">
        <v>0</v>
      </c>
      <c r="H24" s="14">
        <v>0</v>
      </c>
      <c r="I24" s="14">
        <v>0</v>
      </c>
      <c r="J24" s="14">
        <v>0</v>
      </c>
      <c r="K24" s="14">
        <v>0</v>
      </c>
      <c r="L24" s="1078">
        <v>3.3599999999999997E-5</v>
      </c>
      <c r="M24" s="1078">
        <v>1.9669000000000002E-4</v>
      </c>
      <c r="N24" s="1078">
        <v>2.1216200000000001E-4</v>
      </c>
      <c r="O24" s="1078">
        <v>3.4630000000000001E-4</v>
      </c>
      <c r="P24" s="1078">
        <v>0</v>
      </c>
      <c r="Q24" s="1078"/>
      <c r="R24" s="1078">
        <v>0</v>
      </c>
      <c r="S24" s="1078">
        <v>3.4630000000000001E-4</v>
      </c>
      <c r="T24" s="1078">
        <v>3.4630000000000001E-4</v>
      </c>
      <c r="U24" s="1078">
        <v>3.4630000000000001E-4</v>
      </c>
      <c r="V24" s="1078">
        <v>3.4630000000000001E-4</v>
      </c>
      <c r="W24" s="1078">
        <v>3.4630000000000001E-4</v>
      </c>
      <c r="X24" s="1078">
        <v>3.4630000000000001E-4</v>
      </c>
      <c r="Y24" s="1078">
        <v>3.4630000000000001E-4</v>
      </c>
      <c r="Z24" s="1078">
        <v>3.4630000000000001E-4</v>
      </c>
      <c r="AA24" s="1078">
        <v>3.4630000000000001E-4</v>
      </c>
      <c r="AB24" s="1078">
        <v>3.4630000000000001E-4</v>
      </c>
      <c r="AC24" s="1078">
        <v>3.4630000000000001E-4</v>
      </c>
      <c r="AD24" s="1078">
        <v>3.4630000000000001E-4</v>
      </c>
      <c r="AE24" s="1078">
        <v>3.4630000000000001E-4</v>
      </c>
      <c r="AF24" s="1078">
        <v>3.4630000000000001E-4</v>
      </c>
    </row>
    <row r="25" spans="2:32" ht="15" customHeight="1" thickBot="1">
      <c r="B25" s="165" t="s">
        <v>339</v>
      </c>
      <c r="C25" s="175" t="s">
        <v>409</v>
      </c>
      <c r="D25" s="15" t="s">
        <v>106</v>
      </c>
      <c r="E25" s="15"/>
      <c r="F25" s="15" t="s">
        <v>958</v>
      </c>
      <c r="G25" s="14">
        <v>0</v>
      </c>
      <c r="H25" s="14">
        <v>0</v>
      </c>
      <c r="I25" s="14">
        <v>0</v>
      </c>
      <c r="J25" s="14">
        <v>0</v>
      </c>
      <c r="K25" s="14">
        <v>0</v>
      </c>
      <c r="L25" s="1078">
        <v>0.206644672</v>
      </c>
      <c r="M25" s="1078">
        <v>0.27028342599999999</v>
      </c>
      <c r="N25" s="1078">
        <v>0.30297696900000004</v>
      </c>
      <c r="O25" s="1078">
        <v>0.350982717</v>
      </c>
      <c r="P25" s="1078">
        <v>0</v>
      </c>
      <c r="Q25" s="1078"/>
      <c r="R25" s="1078">
        <v>0</v>
      </c>
      <c r="S25" s="1078">
        <v>0.350982717</v>
      </c>
      <c r="T25" s="1078">
        <v>0.350982717</v>
      </c>
      <c r="U25" s="1078">
        <v>0.350982717</v>
      </c>
      <c r="V25" s="1078">
        <v>0.350982717</v>
      </c>
      <c r="W25" s="1078">
        <v>0.350982717</v>
      </c>
      <c r="X25" s="1078">
        <v>0.350982717</v>
      </c>
      <c r="Y25" s="1078">
        <v>0.350982717</v>
      </c>
      <c r="Z25" s="1078">
        <v>0.350982717</v>
      </c>
      <c r="AA25" s="1078">
        <v>0.350982717</v>
      </c>
      <c r="AB25" s="1078">
        <v>0.350982717</v>
      </c>
      <c r="AC25" s="1078">
        <v>0.350982717</v>
      </c>
      <c r="AD25" s="1078">
        <v>0.350982717</v>
      </c>
      <c r="AE25" s="1078">
        <v>0.350982717</v>
      </c>
      <c r="AF25" s="1078">
        <v>0.350982717</v>
      </c>
    </row>
    <row r="26" spans="2:32" ht="15" customHeight="1" thickBot="1">
      <c r="B26" s="165" t="s">
        <v>340</v>
      </c>
      <c r="C26" s="175" t="s">
        <v>409</v>
      </c>
      <c r="D26" s="15" t="s">
        <v>106</v>
      </c>
      <c r="E26" s="15"/>
      <c r="F26" s="15" t="s">
        <v>958</v>
      </c>
      <c r="G26" s="14">
        <v>0</v>
      </c>
      <c r="H26" s="14">
        <v>0</v>
      </c>
      <c r="I26" s="14">
        <v>0</v>
      </c>
      <c r="J26" s="14">
        <v>0</v>
      </c>
      <c r="K26" s="14">
        <v>0</v>
      </c>
      <c r="L26" s="1078">
        <v>2.9591831999999998E-2</v>
      </c>
      <c r="M26" s="1078">
        <v>6.1518174000000002E-2</v>
      </c>
      <c r="N26" s="1078">
        <v>8.013342200000001E-2</v>
      </c>
      <c r="O26" s="1078">
        <v>9.025762200000001E-2</v>
      </c>
      <c r="P26" s="1078">
        <v>0</v>
      </c>
      <c r="Q26" s="1078"/>
      <c r="R26" s="1078">
        <v>0</v>
      </c>
      <c r="S26" s="1078">
        <v>9.025762200000001E-2</v>
      </c>
      <c r="T26" s="1078">
        <v>9.025762200000001E-2</v>
      </c>
      <c r="U26" s="1078">
        <v>9.025762200000001E-2</v>
      </c>
      <c r="V26" s="1078">
        <v>9.025762200000001E-2</v>
      </c>
      <c r="W26" s="1078">
        <v>9.025762200000001E-2</v>
      </c>
      <c r="X26" s="1078">
        <v>9.025762200000001E-2</v>
      </c>
      <c r="Y26" s="1078">
        <v>9.025762200000001E-2</v>
      </c>
      <c r="Z26" s="1078">
        <v>9.025762200000001E-2</v>
      </c>
      <c r="AA26" s="1078">
        <v>9.025762200000001E-2</v>
      </c>
      <c r="AB26" s="1078">
        <v>9.025762200000001E-2</v>
      </c>
      <c r="AC26" s="1078">
        <v>9.025762200000001E-2</v>
      </c>
      <c r="AD26" s="1078">
        <v>9.025762200000001E-2</v>
      </c>
      <c r="AE26" s="1078">
        <v>9.025762200000001E-2</v>
      </c>
      <c r="AF26" s="1078">
        <v>9.025762200000001E-2</v>
      </c>
    </row>
    <row r="27" spans="2:32" ht="15" customHeight="1" thickBot="1">
      <c r="B27" s="167" t="s">
        <v>530</v>
      </c>
      <c r="C27" s="175" t="s">
        <v>409</v>
      </c>
      <c r="D27" s="15" t="s">
        <v>106</v>
      </c>
      <c r="E27" s="15"/>
      <c r="F27" s="15" t="s">
        <v>958</v>
      </c>
      <c r="G27" s="14">
        <v>0</v>
      </c>
      <c r="H27" s="14">
        <v>0</v>
      </c>
      <c r="I27" s="14">
        <v>0</v>
      </c>
      <c r="J27" s="14">
        <v>0</v>
      </c>
      <c r="K27" s="14">
        <v>0</v>
      </c>
      <c r="L27" s="1078">
        <v>1.9274279999999998E-2</v>
      </c>
      <c r="M27" s="1078">
        <v>2.7842141000000001E-2</v>
      </c>
      <c r="N27" s="1078">
        <v>3.2017428000000001E-2</v>
      </c>
      <c r="O27" s="1078">
        <v>3.6180617000000005E-2</v>
      </c>
      <c r="P27" s="1078">
        <v>0</v>
      </c>
      <c r="Q27" s="1078"/>
      <c r="R27" s="1078">
        <v>0</v>
      </c>
      <c r="S27" s="1078">
        <v>3.6180617000000005E-2</v>
      </c>
      <c r="T27" s="1078">
        <v>3.6180617000000005E-2</v>
      </c>
      <c r="U27" s="1078">
        <v>3.6180617000000005E-2</v>
      </c>
      <c r="V27" s="1078">
        <v>3.6180617000000005E-2</v>
      </c>
      <c r="W27" s="1078">
        <v>3.6180617000000005E-2</v>
      </c>
      <c r="X27" s="1078">
        <v>3.6180617000000005E-2</v>
      </c>
      <c r="Y27" s="1078">
        <v>3.6180617000000005E-2</v>
      </c>
      <c r="Z27" s="1078">
        <v>3.6180617000000005E-2</v>
      </c>
      <c r="AA27" s="1078">
        <v>3.6180617000000005E-2</v>
      </c>
      <c r="AB27" s="1078">
        <v>3.6180617000000005E-2</v>
      </c>
      <c r="AC27" s="1078">
        <v>3.6180617000000005E-2</v>
      </c>
      <c r="AD27" s="1078">
        <v>3.6180617000000005E-2</v>
      </c>
      <c r="AE27" s="1078">
        <v>3.6180617000000005E-2</v>
      </c>
      <c r="AF27" s="1078">
        <v>3.6180617000000005E-2</v>
      </c>
    </row>
    <row r="28" spans="2:32" ht="15" customHeight="1">
      <c r="C28" s="10"/>
      <c r="D28" s="26"/>
      <c r="E28" s="215"/>
      <c r="F28" s="215"/>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2:32" ht="15" customHeight="1">
      <c r="C29" s="10"/>
      <c r="D29" s="26"/>
      <c r="E29" s="215"/>
      <c r="F29" s="215"/>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2:32" ht="15" customHeight="1">
      <c r="C30" s="10"/>
      <c r="D30" s="26"/>
      <c r="E30" s="215"/>
      <c r="F30" s="215"/>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2:32" ht="15" customHeight="1">
      <c r="C31" s="10"/>
      <c r="D31" s="26"/>
      <c r="E31" s="215"/>
      <c r="F31" s="215"/>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2:32" ht="15" customHeight="1">
      <c r="C32" s="10"/>
      <c r="D32" s="26"/>
      <c r="E32" s="215"/>
      <c r="F32" s="215"/>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2:32" ht="15" customHeight="1">
      <c r="C33" s="10"/>
      <c r="D33" s="26"/>
      <c r="E33" s="215"/>
      <c r="F33" s="215"/>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2:32" ht="15" customHeight="1">
      <c r="C34" s="10"/>
      <c r="D34" s="26"/>
      <c r="E34" s="215"/>
      <c r="F34" s="215"/>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2:32" ht="15" customHeight="1">
      <c r="C35" s="10"/>
      <c r="D35" s="26"/>
      <c r="E35" s="215"/>
      <c r="F35" s="215"/>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2:32" ht="15" customHeight="1">
      <c r="C36" s="10"/>
      <c r="D36" s="26"/>
      <c r="E36" s="215"/>
      <c r="F36" s="215"/>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2:32" ht="15" customHeight="1">
      <c r="C37" s="10"/>
      <c r="D37" s="26"/>
      <c r="E37" s="215"/>
      <c r="F37" s="215"/>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2:32" ht="15" customHeight="1">
      <c r="C38" s="10"/>
    </row>
    <row r="39" spans="2:32" ht="15" customHeight="1">
      <c r="B39" s="315"/>
      <c r="C39" s="10"/>
      <c r="D39" s="26"/>
      <c r="E39" s="215"/>
      <c r="F39" s="215"/>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2:32" ht="15" customHeight="1">
      <c r="C40" s="10"/>
      <c r="D40" s="26"/>
      <c r="E40" s="215"/>
      <c r="F40" s="215"/>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2:32" ht="15" customHeight="1">
      <c r="C41" s="10"/>
      <c r="D41" s="26"/>
      <c r="E41" s="215"/>
      <c r="F41" s="215"/>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row r="42" spans="2:32" ht="15" customHeight="1">
      <c r="C42" s="10"/>
      <c r="D42" s="26"/>
      <c r="E42" s="215"/>
      <c r="F42" s="215"/>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row>
    <row r="43" spans="2:32" ht="15" customHeight="1">
      <c r="C43" s="10"/>
      <c r="D43" s="26"/>
      <c r="E43" s="215"/>
      <c r="F43" s="215"/>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row>
    <row r="44" spans="2:32" ht="15" customHeight="1">
      <c r="C44" s="10"/>
      <c r="D44" s="26"/>
      <c r="E44" s="215"/>
      <c r="F44" s="215"/>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row>
    <row r="45" spans="2:32" ht="15" customHeight="1">
      <c r="C45" s="10"/>
      <c r="D45" s="26"/>
      <c r="E45" s="215"/>
      <c r="F45" s="215"/>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row>
    <row r="46" spans="2:32" ht="15" customHeight="1">
      <c r="C46" s="10"/>
      <c r="D46" s="26"/>
      <c r="E46" s="215"/>
      <c r="F46" s="215"/>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row>
    <row r="47" spans="2:32" ht="15" customHeight="1">
      <c r="C47" s="10"/>
      <c r="D47" s="26"/>
      <c r="E47" s="215"/>
      <c r="F47" s="215"/>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row>
    <row r="48" spans="2:32" ht="15" customHeight="1">
      <c r="C48" s="10"/>
      <c r="D48" s="26"/>
      <c r="E48" s="215"/>
      <c r="F48" s="215"/>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row>
    <row r="49" spans="3:32" ht="15" customHeight="1">
      <c r="C49" s="10"/>
      <c r="D49" s="26"/>
      <c r="E49" s="215"/>
      <c r="F49" s="215"/>
      <c r="G49" s="203"/>
      <c r="H49" s="203"/>
      <c r="I49" s="203"/>
      <c r="J49" s="203"/>
      <c r="K49" s="203"/>
      <c r="L49" s="203"/>
      <c r="M49" s="203"/>
      <c r="N49" s="203"/>
      <c r="O49" s="203"/>
      <c r="P49" s="203"/>
      <c r="Q49" s="203"/>
      <c r="R49" s="203"/>
      <c r="S49" s="203"/>
      <c r="T49" s="203"/>
      <c r="U49" s="203"/>
      <c r="V49" s="203"/>
      <c r="W49" s="203"/>
      <c r="X49" s="203"/>
      <c r="Y49" s="203"/>
      <c r="Z49" s="203"/>
      <c r="AA49" s="203"/>
      <c r="AB49" s="203"/>
      <c r="AC49" s="203"/>
      <c r="AD49" s="203"/>
      <c r="AE49" s="203"/>
      <c r="AF49" s="203"/>
    </row>
    <row r="50" spans="3:32" ht="15" customHeight="1">
      <c r="C50" s="10"/>
      <c r="D50" s="26"/>
      <c r="E50" s="215"/>
      <c r="F50" s="215"/>
      <c r="G50" s="203"/>
      <c r="H50" s="203"/>
      <c r="I50" s="203"/>
      <c r="J50" s="203"/>
      <c r="K50" s="203"/>
      <c r="L50" s="203"/>
      <c r="M50" s="203"/>
      <c r="N50" s="203"/>
      <c r="O50" s="203"/>
      <c r="P50" s="203"/>
      <c r="Q50" s="203"/>
      <c r="R50" s="203"/>
      <c r="S50" s="203"/>
      <c r="T50" s="203"/>
      <c r="U50" s="203"/>
      <c r="V50" s="203"/>
      <c r="W50" s="203"/>
      <c r="X50" s="203"/>
      <c r="Y50" s="203"/>
      <c r="Z50" s="203"/>
      <c r="AA50" s="203"/>
      <c r="AB50" s="203"/>
      <c r="AC50" s="203"/>
      <c r="AD50" s="203"/>
      <c r="AE50" s="203"/>
      <c r="AF50" s="203"/>
    </row>
    <row r="51" spans="3:32" ht="15" customHeight="1">
      <c r="C51" s="10"/>
      <c r="D51" s="26"/>
      <c r="E51" s="215"/>
      <c r="F51" s="215"/>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row>
    <row r="52" spans="3:32" ht="15" customHeight="1">
      <c r="C52" s="10"/>
      <c r="D52" s="26"/>
      <c r="E52" s="215"/>
      <c r="F52" s="215"/>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row>
    <row r="53" spans="3:32" ht="15" customHeight="1">
      <c r="C53" s="10"/>
      <c r="D53" s="26"/>
      <c r="E53" s="215"/>
      <c r="F53" s="215"/>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row>
    <row r="54" spans="3:32" ht="15" customHeight="1">
      <c r="C54" s="10"/>
      <c r="D54" s="26"/>
      <c r="E54" s="215"/>
      <c r="F54" s="215"/>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row>
    <row r="55" spans="3:32" ht="15" customHeight="1">
      <c r="C55" s="10"/>
      <c r="D55" s="26"/>
      <c r="E55" s="215"/>
      <c r="F55" s="215"/>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row>
    <row r="56" spans="3:32" ht="15" customHeight="1">
      <c r="C56" s="10"/>
      <c r="D56" s="26"/>
      <c r="E56" s="215"/>
      <c r="F56" s="215"/>
      <c r="G56" s="203"/>
      <c r="H56" s="203"/>
      <c r="I56" s="203"/>
      <c r="J56" s="203"/>
      <c r="K56" s="203"/>
      <c r="L56" s="203"/>
      <c r="M56" s="203"/>
      <c r="N56" s="203"/>
      <c r="O56" s="203"/>
      <c r="P56" s="203"/>
      <c r="Q56" s="203"/>
      <c r="R56" s="203"/>
      <c r="S56" s="203"/>
      <c r="T56" s="203"/>
      <c r="U56" s="203"/>
      <c r="V56" s="203"/>
      <c r="W56" s="203"/>
      <c r="X56" s="203"/>
      <c r="Y56" s="203"/>
      <c r="Z56" s="203"/>
      <c r="AA56" s="203"/>
      <c r="AB56" s="203"/>
      <c r="AC56" s="203"/>
      <c r="AD56" s="203"/>
      <c r="AE56" s="203"/>
      <c r="AF56" s="203"/>
    </row>
    <row r="57" spans="3:32" ht="15" customHeight="1">
      <c r="C57" s="10"/>
      <c r="D57" s="26"/>
      <c r="E57" s="215"/>
      <c r="F57" s="215"/>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row>
    <row r="58" spans="3:32" ht="15" customHeight="1">
      <c r="C58" s="10"/>
      <c r="D58" s="26"/>
      <c r="E58" s="215"/>
      <c r="F58" s="215"/>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row>
    <row r="59" spans="3:32" ht="15" customHeight="1">
      <c r="C59" s="10"/>
      <c r="D59" s="26"/>
      <c r="E59" s="215"/>
      <c r="F59" s="215"/>
      <c r="G59" s="203"/>
      <c r="H59" s="203"/>
      <c r="I59" s="203"/>
      <c r="J59" s="203"/>
      <c r="K59" s="203"/>
      <c r="L59" s="203"/>
      <c r="M59" s="203"/>
      <c r="N59" s="203"/>
      <c r="O59" s="203"/>
      <c r="P59" s="203"/>
      <c r="Q59" s="203"/>
      <c r="R59" s="203"/>
      <c r="S59" s="203"/>
      <c r="T59" s="203"/>
      <c r="U59" s="203"/>
      <c r="V59" s="203"/>
      <c r="W59" s="203"/>
      <c r="X59" s="203"/>
      <c r="Y59" s="203"/>
      <c r="Z59" s="203"/>
      <c r="AA59" s="203"/>
      <c r="AB59" s="203"/>
      <c r="AC59" s="203"/>
      <c r="AD59" s="203"/>
      <c r="AE59" s="203"/>
      <c r="AF59" s="203"/>
    </row>
    <row r="60" spans="3:32" ht="15" customHeight="1">
      <c r="C60" s="10"/>
      <c r="D60" s="26"/>
      <c r="E60" s="215"/>
      <c r="F60" s="215"/>
      <c r="G60" s="203"/>
      <c r="H60" s="203"/>
      <c r="I60" s="203"/>
      <c r="J60" s="203"/>
      <c r="K60" s="203"/>
      <c r="L60" s="203"/>
      <c r="M60" s="203"/>
      <c r="N60" s="203"/>
      <c r="O60" s="203"/>
      <c r="P60" s="203"/>
      <c r="Q60" s="203"/>
      <c r="R60" s="203"/>
      <c r="S60" s="203"/>
      <c r="T60" s="203"/>
      <c r="U60" s="203"/>
      <c r="V60" s="203"/>
      <c r="W60" s="203"/>
      <c r="X60" s="203"/>
      <c r="Y60" s="203"/>
      <c r="Z60" s="203"/>
      <c r="AA60" s="203"/>
      <c r="AB60" s="203"/>
      <c r="AC60" s="203"/>
      <c r="AD60" s="203"/>
      <c r="AE60" s="203"/>
      <c r="AF60" s="203"/>
    </row>
    <row r="61" spans="3:32" ht="15" customHeight="1">
      <c r="C61" s="10"/>
      <c r="D61" s="26"/>
      <c r="E61" s="215"/>
      <c r="F61" s="215"/>
      <c r="G61" s="203"/>
      <c r="H61" s="203"/>
      <c r="I61" s="203"/>
      <c r="J61" s="203"/>
      <c r="K61" s="203"/>
      <c r="L61" s="203"/>
      <c r="M61" s="203"/>
      <c r="N61" s="203"/>
      <c r="O61" s="203"/>
      <c r="P61" s="203"/>
      <c r="Q61" s="203"/>
      <c r="R61" s="203"/>
      <c r="S61" s="203"/>
      <c r="T61" s="203"/>
      <c r="U61" s="203"/>
      <c r="V61" s="203"/>
      <c r="W61" s="203"/>
      <c r="X61" s="203"/>
      <c r="Y61" s="203"/>
      <c r="Z61" s="203"/>
      <c r="AA61" s="203"/>
      <c r="AB61" s="203"/>
      <c r="AC61" s="203"/>
      <c r="AD61" s="203"/>
      <c r="AE61" s="203"/>
      <c r="AF61" s="203"/>
    </row>
    <row r="62" spans="3:32" ht="15" customHeight="1">
      <c r="C62" s="10"/>
      <c r="D62" s="26"/>
      <c r="E62" s="215"/>
      <c r="F62" s="215"/>
      <c r="G62" s="203"/>
      <c r="H62" s="203"/>
      <c r="I62" s="203"/>
      <c r="J62" s="203"/>
      <c r="K62" s="203"/>
      <c r="L62" s="203"/>
      <c r="M62" s="203"/>
      <c r="N62" s="203"/>
      <c r="O62" s="203"/>
      <c r="P62" s="203"/>
      <c r="Q62" s="203"/>
      <c r="R62" s="203"/>
      <c r="S62" s="203"/>
      <c r="T62" s="203"/>
      <c r="U62" s="203"/>
      <c r="V62" s="203"/>
      <c r="W62" s="203"/>
      <c r="X62" s="203"/>
      <c r="Y62" s="203"/>
      <c r="Z62" s="203"/>
      <c r="AA62" s="203"/>
      <c r="AB62" s="203"/>
      <c r="AC62" s="203"/>
      <c r="AD62" s="203"/>
      <c r="AE62" s="203"/>
      <c r="AF62" s="203"/>
    </row>
    <row r="63" spans="3:32" ht="15" customHeight="1">
      <c r="C63" s="10"/>
      <c r="D63" s="26"/>
      <c r="E63" s="215"/>
      <c r="F63" s="215"/>
      <c r="G63" s="203"/>
      <c r="H63" s="203"/>
      <c r="I63" s="203"/>
      <c r="J63" s="203"/>
      <c r="K63" s="203"/>
      <c r="L63" s="203"/>
      <c r="M63" s="203"/>
      <c r="N63" s="203"/>
      <c r="O63" s="203"/>
      <c r="P63" s="203"/>
      <c r="Q63" s="203"/>
      <c r="R63" s="203"/>
      <c r="S63" s="203"/>
      <c r="T63" s="203"/>
      <c r="U63" s="203"/>
      <c r="V63" s="203"/>
      <c r="W63" s="203"/>
      <c r="X63" s="203"/>
      <c r="Y63" s="203"/>
      <c r="Z63" s="203"/>
      <c r="AA63" s="203"/>
      <c r="AB63" s="203"/>
      <c r="AC63" s="203"/>
      <c r="AD63" s="203"/>
      <c r="AE63" s="203"/>
      <c r="AF63" s="203"/>
    </row>
    <row r="64" spans="3:32" ht="15" customHeight="1">
      <c r="C64" s="10"/>
    </row>
    <row r="65" spans="2:32" ht="15" customHeight="1">
      <c r="B65" s="315"/>
      <c r="C65" s="10"/>
      <c r="D65" s="26"/>
      <c r="E65" s="215"/>
      <c r="F65" s="215"/>
      <c r="G65" s="203"/>
      <c r="H65" s="203"/>
      <c r="I65" s="203"/>
      <c r="J65" s="203"/>
      <c r="K65" s="203"/>
      <c r="L65" s="203"/>
      <c r="M65" s="203"/>
      <c r="N65" s="203"/>
      <c r="O65" s="203"/>
      <c r="P65" s="203"/>
      <c r="Q65" s="203"/>
      <c r="R65" s="203"/>
      <c r="S65" s="203"/>
      <c r="T65" s="203"/>
      <c r="U65" s="203"/>
      <c r="V65" s="203"/>
      <c r="W65" s="203"/>
      <c r="X65" s="203"/>
      <c r="Y65" s="203"/>
      <c r="Z65" s="203"/>
      <c r="AA65" s="203"/>
      <c r="AB65" s="203"/>
      <c r="AC65" s="203"/>
      <c r="AD65" s="203"/>
      <c r="AE65" s="203"/>
      <c r="AF65" s="203"/>
    </row>
    <row r="66" spans="2:32" ht="15" customHeight="1">
      <c r="C66" s="10"/>
      <c r="D66" s="26"/>
      <c r="E66" s="215"/>
      <c r="F66" s="215"/>
      <c r="G66" s="203"/>
      <c r="H66" s="203"/>
      <c r="I66" s="203"/>
      <c r="J66" s="203"/>
      <c r="K66" s="203"/>
      <c r="L66" s="203"/>
      <c r="M66" s="203"/>
      <c r="N66" s="203"/>
      <c r="O66" s="203"/>
      <c r="P66" s="203"/>
      <c r="Q66" s="203"/>
      <c r="R66" s="203"/>
      <c r="S66" s="203"/>
      <c r="T66" s="203"/>
      <c r="U66" s="203"/>
      <c r="V66" s="203"/>
      <c r="W66" s="203"/>
      <c r="X66" s="203"/>
      <c r="Y66" s="203"/>
      <c r="Z66" s="203"/>
      <c r="AA66" s="203"/>
      <c r="AB66" s="203"/>
      <c r="AC66" s="203"/>
      <c r="AD66" s="203"/>
      <c r="AE66" s="203"/>
      <c r="AF66" s="203"/>
    </row>
    <row r="67" spans="2:32" ht="15" customHeight="1">
      <c r="C67" s="10"/>
      <c r="D67" s="26"/>
      <c r="E67" s="215"/>
      <c r="F67" s="215"/>
      <c r="G67" s="203"/>
      <c r="H67" s="203"/>
      <c r="I67" s="203"/>
      <c r="J67" s="203"/>
      <c r="K67" s="203"/>
      <c r="L67" s="203"/>
      <c r="M67" s="203"/>
      <c r="N67" s="203"/>
      <c r="O67" s="203"/>
      <c r="P67" s="203"/>
      <c r="Q67" s="203"/>
      <c r="R67" s="203"/>
      <c r="S67" s="203"/>
      <c r="T67" s="203"/>
      <c r="U67" s="203"/>
      <c r="V67" s="203"/>
      <c r="W67" s="203"/>
      <c r="X67" s="203"/>
      <c r="Y67" s="203"/>
      <c r="Z67" s="203"/>
      <c r="AA67" s="203"/>
      <c r="AB67" s="203"/>
      <c r="AC67" s="203"/>
      <c r="AD67" s="203"/>
      <c r="AE67" s="203"/>
      <c r="AF67" s="203"/>
    </row>
    <row r="68" spans="2:32" ht="15" customHeight="1">
      <c r="C68" s="10"/>
      <c r="D68" s="26"/>
      <c r="E68" s="215"/>
      <c r="F68" s="215"/>
      <c r="G68" s="203"/>
      <c r="H68" s="203"/>
      <c r="I68" s="203"/>
      <c r="J68" s="203"/>
      <c r="K68" s="203"/>
      <c r="L68" s="203"/>
      <c r="M68" s="203"/>
      <c r="N68" s="203"/>
      <c r="O68" s="203"/>
      <c r="P68" s="203"/>
      <c r="Q68" s="203"/>
      <c r="R68" s="203"/>
      <c r="S68" s="203"/>
      <c r="T68" s="203"/>
      <c r="U68" s="203"/>
      <c r="V68" s="203"/>
      <c r="W68" s="203"/>
      <c r="X68" s="203"/>
      <c r="Y68" s="203"/>
      <c r="Z68" s="203"/>
      <c r="AA68" s="203"/>
      <c r="AB68" s="203"/>
      <c r="AC68" s="203"/>
      <c r="AD68" s="203"/>
      <c r="AE68" s="203"/>
      <c r="AF68" s="203"/>
    </row>
    <row r="69" spans="2:32" ht="15" customHeight="1">
      <c r="C69" s="10"/>
      <c r="D69" s="26"/>
      <c r="E69" s="215"/>
      <c r="F69" s="215"/>
      <c r="G69" s="203"/>
      <c r="H69" s="203"/>
      <c r="I69" s="203"/>
      <c r="J69" s="203"/>
      <c r="K69" s="203"/>
      <c r="L69" s="203"/>
      <c r="M69" s="203"/>
      <c r="N69" s="203"/>
      <c r="O69" s="203"/>
      <c r="P69" s="203"/>
      <c r="Q69" s="203"/>
      <c r="R69" s="203"/>
      <c r="S69" s="203"/>
      <c r="T69" s="203"/>
      <c r="U69" s="203"/>
      <c r="V69" s="203"/>
      <c r="W69" s="203"/>
      <c r="X69" s="203"/>
      <c r="Y69" s="203"/>
      <c r="Z69" s="203"/>
      <c r="AA69" s="203"/>
      <c r="AB69" s="203"/>
      <c r="AC69" s="203"/>
      <c r="AD69" s="203"/>
      <c r="AE69" s="203"/>
      <c r="AF69" s="203"/>
    </row>
    <row r="70" spans="2:32" ht="15" customHeight="1">
      <c r="C70" s="10"/>
      <c r="D70" s="26"/>
      <c r="E70" s="215"/>
      <c r="F70" s="215"/>
      <c r="G70" s="203"/>
      <c r="H70" s="203"/>
      <c r="I70" s="203"/>
      <c r="J70" s="203"/>
      <c r="K70" s="203"/>
      <c r="L70" s="203"/>
      <c r="M70" s="203"/>
      <c r="N70" s="203"/>
      <c r="O70" s="203"/>
      <c r="P70" s="203"/>
      <c r="Q70" s="203"/>
      <c r="R70" s="203"/>
      <c r="S70" s="203"/>
      <c r="T70" s="203"/>
      <c r="U70" s="203"/>
      <c r="V70" s="203"/>
      <c r="W70" s="203"/>
      <c r="X70" s="203"/>
      <c r="Y70" s="203"/>
      <c r="Z70" s="203"/>
      <c r="AA70" s="203"/>
      <c r="AB70" s="203"/>
      <c r="AC70" s="203"/>
      <c r="AD70" s="203"/>
      <c r="AE70" s="203"/>
      <c r="AF70" s="203"/>
    </row>
    <row r="71" spans="2:32" ht="15" customHeight="1">
      <c r="C71" s="10"/>
      <c r="D71" s="26"/>
      <c r="E71" s="215"/>
      <c r="F71" s="215"/>
      <c r="G71" s="203"/>
      <c r="H71" s="203"/>
      <c r="I71" s="203"/>
      <c r="J71" s="203"/>
      <c r="K71" s="203"/>
      <c r="L71" s="203"/>
      <c r="M71" s="203"/>
      <c r="N71" s="203"/>
      <c r="O71" s="203"/>
      <c r="P71" s="203"/>
      <c r="Q71" s="203"/>
      <c r="R71" s="203"/>
      <c r="S71" s="203"/>
      <c r="T71" s="203"/>
      <c r="U71" s="203"/>
      <c r="V71" s="203"/>
      <c r="W71" s="203"/>
      <c r="X71" s="203"/>
      <c r="Y71" s="203"/>
      <c r="Z71" s="203"/>
      <c r="AA71" s="203"/>
      <c r="AB71" s="203"/>
      <c r="AC71" s="203"/>
      <c r="AD71" s="203"/>
      <c r="AE71" s="203"/>
      <c r="AF71" s="203"/>
    </row>
    <row r="72" spans="2:32" ht="15" customHeight="1">
      <c r="C72" s="10"/>
      <c r="D72" s="26"/>
      <c r="E72" s="215"/>
      <c r="F72" s="215"/>
      <c r="G72" s="203"/>
      <c r="H72" s="203"/>
      <c r="I72" s="203"/>
      <c r="J72" s="203"/>
      <c r="K72" s="203"/>
      <c r="L72" s="203"/>
      <c r="M72" s="203"/>
      <c r="N72" s="203"/>
      <c r="O72" s="203"/>
      <c r="P72" s="203"/>
      <c r="Q72" s="203"/>
      <c r="R72" s="203"/>
      <c r="S72" s="203"/>
      <c r="T72" s="203"/>
      <c r="U72" s="203"/>
      <c r="V72" s="203"/>
      <c r="W72" s="203"/>
      <c r="X72" s="203"/>
      <c r="Y72" s="203"/>
      <c r="Z72" s="203"/>
      <c r="AA72" s="203"/>
      <c r="AB72" s="203"/>
      <c r="AC72" s="203"/>
      <c r="AD72" s="203"/>
      <c r="AE72" s="203"/>
      <c r="AF72" s="203"/>
    </row>
    <row r="73" spans="2:32" ht="15" customHeight="1">
      <c r="C73" s="10"/>
      <c r="D73" s="26"/>
      <c r="E73" s="215"/>
      <c r="F73" s="215"/>
      <c r="G73" s="203"/>
      <c r="H73" s="203"/>
      <c r="I73" s="203"/>
      <c r="J73" s="203"/>
      <c r="K73" s="203"/>
      <c r="L73" s="203"/>
      <c r="M73" s="203"/>
      <c r="N73" s="203"/>
      <c r="O73" s="203"/>
      <c r="P73" s="203"/>
      <c r="Q73" s="203"/>
      <c r="R73" s="203"/>
      <c r="S73" s="203"/>
      <c r="T73" s="203"/>
      <c r="U73" s="203"/>
      <c r="V73" s="203"/>
      <c r="W73" s="203"/>
      <c r="X73" s="203"/>
      <c r="Y73" s="203"/>
      <c r="Z73" s="203"/>
      <c r="AA73" s="203"/>
      <c r="AB73" s="203"/>
      <c r="AC73" s="203"/>
      <c r="AD73" s="203"/>
      <c r="AE73" s="203"/>
      <c r="AF73" s="203"/>
    </row>
    <row r="74" spans="2:32" ht="15" customHeight="1">
      <c r="C74" s="10"/>
      <c r="D74" s="26"/>
      <c r="E74" s="215"/>
      <c r="F74" s="215"/>
      <c r="G74" s="203"/>
      <c r="H74" s="203"/>
      <c r="I74" s="203"/>
      <c r="J74" s="203"/>
      <c r="K74" s="203"/>
      <c r="L74" s="203"/>
      <c r="M74" s="203"/>
      <c r="N74" s="203"/>
      <c r="O74" s="203"/>
      <c r="P74" s="203"/>
      <c r="Q74" s="203"/>
      <c r="R74" s="203"/>
      <c r="S74" s="203"/>
      <c r="T74" s="203"/>
      <c r="U74" s="203"/>
      <c r="V74" s="203"/>
      <c r="W74" s="203"/>
      <c r="X74" s="203"/>
      <c r="Y74" s="203"/>
      <c r="Z74" s="203"/>
      <c r="AA74" s="203"/>
      <c r="AB74" s="203"/>
      <c r="AC74" s="203"/>
      <c r="AD74" s="203"/>
      <c r="AE74" s="203"/>
      <c r="AF74" s="203"/>
    </row>
    <row r="75" spans="2:32" ht="15" customHeight="1">
      <c r="C75" s="10"/>
      <c r="D75" s="26"/>
      <c r="E75" s="215"/>
      <c r="F75" s="215"/>
      <c r="G75" s="203"/>
      <c r="H75" s="203"/>
      <c r="I75" s="203"/>
      <c r="J75" s="203"/>
      <c r="K75" s="203"/>
      <c r="L75" s="203"/>
      <c r="M75" s="203"/>
      <c r="N75" s="203"/>
      <c r="O75" s="203"/>
      <c r="P75" s="203"/>
      <c r="Q75" s="203"/>
      <c r="R75" s="203"/>
      <c r="S75" s="203"/>
      <c r="T75" s="203"/>
      <c r="U75" s="203"/>
      <c r="V75" s="203"/>
      <c r="W75" s="203"/>
      <c r="X75" s="203"/>
      <c r="Y75" s="203"/>
      <c r="Z75" s="203"/>
      <c r="AA75" s="203"/>
      <c r="AB75" s="203"/>
      <c r="AC75" s="203"/>
      <c r="AD75" s="203"/>
      <c r="AE75" s="203"/>
      <c r="AF75" s="203"/>
    </row>
    <row r="76" spans="2:32" ht="15" customHeight="1">
      <c r="C76" s="10"/>
      <c r="D76" s="26"/>
      <c r="E76" s="215"/>
      <c r="F76" s="215"/>
      <c r="G76" s="203"/>
      <c r="H76" s="203"/>
      <c r="I76" s="203"/>
      <c r="J76" s="203"/>
      <c r="K76" s="203"/>
      <c r="L76" s="203"/>
      <c r="M76" s="203"/>
      <c r="N76" s="203"/>
      <c r="O76" s="203"/>
      <c r="P76" s="203"/>
      <c r="Q76" s="203"/>
      <c r="R76" s="203"/>
      <c r="S76" s="203"/>
      <c r="T76" s="203"/>
      <c r="U76" s="203"/>
      <c r="V76" s="203"/>
      <c r="W76" s="203"/>
      <c r="X76" s="203"/>
      <c r="Y76" s="203"/>
      <c r="Z76" s="203"/>
      <c r="AA76" s="203"/>
      <c r="AB76" s="203"/>
      <c r="AC76" s="203"/>
      <c r="AD76" s="203"/>
      <c r="AE76" s="203"/>
      <c r="AF76" s="203"/>
    </row>
    <row r="77" spans="2:32" ht="15" customHeight="1">
      <c r="C77" s="10"/>
      <c r="D77" s="26"/>
      <c r="E77" s="215"/>
      <c r="F77" s="215"/>
      <c r="G77" s="203"/>
      <c r="H77" s="203"/>
      <c r="I77" s="203"/>
      <c r="J77" s="203"/>
      <c r="K77" s="203"/>
      <c r="L77" s="203"/>
      <c r="M77" s="203"/>
      <c r="N77" s="203"/>
      <c r="O77" s="203"/>
      <c r="P77" s="203"/>
      <c r="Q77" s="203"/>
      <c r="R77" s="203"/>
      <c r="S77" s="203"/>
      <c r="T77" s="203"/>
      <c r="U77" s="203"/>
      <c r="V77" s="203"/>
      <c r="W77" s="203"/>
      <c r="X77" s="203"/>
      <c r="Y77" s="203"/>
      <c r="Z77" s="203"/>
      <c r="AA77" s="203"/>
      <c r="AB77" s="203"/>
      <c r="AC77" s="203"/>
      <c r="AD77" s="203"/>
      <c r="AE77" s="203"/>
      <c r="AF77" s="203"/>
    </row>
    <row r="78" spans="2:32" ht="15" customHeight="1">
      <c r="C78" s="10"/>
      <c r="D78" s="26"/>
      <c r="E78" s="215"/>
      <c r="F78" s="215"/>
      <c r="G78" s="203"/>
      <c r="H78" s="203"/>
      <c r="I78" s="203"/>
      <c r="J78" s="203"/>
      <c r="K78" s="203"/>
      <c r="L78" s="203"/>
      <c r="M78" s="203"/>
      <c r="N78" s="203"/>
      <c r="O78" s="203"/>
      <c r="P78" s="203"/>
      <c r="Q78" s="203"/>
      <c r="R78" s="203"/>
      <c r="S78" s="203"/>
      <c r="T78" s="203"/>
      <c r="U78" s="203"/>
      <c r="V78" s="203"/>
      <c r="W78" s="203"/>
      <c r="X78" s="203"/>
      <c r="Y78" s="203"/>
      <c r="Z78" s="203"/>
      <c r="AA78" s="203"/>
      <c r="AB78" s="203"/>
      <c r="AC78" s="203"/>
      <c r="AD78" s="203"/>
      <c r="AE78" s="203"/>
      <c r="AF78" s="203"/>
    </row>
    <row r="79" spans="2:32" ht="15" customHeight="1">
      <c r="C79" s="10"/>
      <c r="D79" s="26"/>
      <c r="E79" s="215"/>
      <c r="F79" s="215"/>
      <c r="G79" s="203"/>
      <c r="H79" s="203"/>
      <c r="I79" s="203"/>
      <c r="J79" s="203"/>
      <c r="K79" s="203"/>
      <c r="L79" s="203"/>
      <c r="M79" s="203"/>
      <c r="N79" s="203"/>
      <c r="O79" s="203"/>
      <c r="P79" s="203"/>
      <c r="Q79" s="203"/>
      <c r="R79" s="203"/>
      <c r="S79" s="203"/>
      <c r="T79" s="203"/>
      <c r="U79" s="203"/>
      <c r="V79" s="203"/>
      <c r="W79" s="203"/>
      <c r="X79" s="203"/>
      <c r="Y79" s="203"/>
      <c r="Z79" s="203"/>
      <c r="AA79" s="203"/>
      <c r="AB79" s="203"/>
      <c r="AC79" s="203"/>
      <c r="AD79" s="203"/>
      <c r="AE79" s="203"/>
      <c r="AF79" s="203"/>
    </row>
    <row r="80" spans="2:32" ht="15" customHeight="1">
      <c r="C80" s="10"/>
      <c r="D80" s="26"/>
      <c r="E80" s="215"/>
      <c r="F80" s="215"/>
      <c r="G80" s="203"/>
      <c r="H80" s="203"/>
      <c r="I80" s="203"/>
      <c r="J80" s="203"/>
      <c r="K80" s="203"/>
      <c r="L80" s="203"/>
      <c r="M80" s="203"/>
      <c r="N80" s="203"/>
      <c r="O80" s="203"/>
      <c r="P80" s="203"/>
      <c r="Q80" s="203"/>
      <c r="R80" s="203"/>
      <c r="S80" s="203"/>
      <c r="T80" s="203"/>
      <c r="U80" s="203"/>
      <c r="V80" s="203"/>
      <c r="W80" s="203"/>
      <c r="X80" s="203"/>
      <c r="Y80" s="203"/>
      <c r="Z80" s="203"/>
      <c r="AA80" s="203"/>
      <c r="AB80" s="203"/>
      <c r="AC80" s="203"/>
      <c r="AD80" s="203"/>
      <c r="AE80" s="203"/>
      <c r="AF80" s="203"/>
    </row>
    <row r="81" spans="2:32" ht="15" customHeight="1">
      <c r="C81" s="10"/>
      <c r="D81" s="26"/>
      <c r="E81" s="215"/>
      <c r="F81" s="215"/>
      <c r="G81" s="203"/>
      <c r="H81" s="203"/>
      <c r="I81" s="203"/>
      <c r="J81" s="203"/>
      <c r="K81" s="203"/>
      <c r="L81" s="203"/>
      <c r="M81" s="203"/>
      <c r="N81" s="203"/>
      <c r="O81" s="203"/>
      <c r="P81" s="203"/>
      <c r="Q81" s="203"/>
      <c r="R81" s="203"/>
      <c r="S81" s="203"/>
      <c r="T81" s="203"/>
      <c r="U81" s="203"/>
      <c r="V81" s="203"/>
      <c r="W81" s="203"/>
      <c r="X81" s="203"/>
      <c r="Y81" s="203"/>
      <c r="Z81" s="203"/>
      <c r="AA81" s="203"/>
      <c r="AB81" s="203"/>
      <c r="AC81" s="203"/>
      <c r="AD81" s="203"/>
      <c r="AE81" s="203"/>
      <c r="AF81" s="203"/>
    </row>
    <row r="82" spans="2:32" ht="15" customHeight="1">
      <c r="C82" s="10"/>
      <c r="D82" s="26"/>
      <c r="E82" s="215"/>
      <c r="F82" s="215"/>
      <c r="G82" s="203"/>
      <c r="H82" s="203"/>
      <c r="I82" s="203"/>
      <c r="J82" s="203"/>
      <c r="K82" s="203"/>
      <c r="L82" s="203"/>
      <c r="M82" s="203"/>
      <c r="N82" s="203"/>
      <c r="O82" s="203"/>
      <c r="P82" s="203"/>
      <c r="Q82" s="203"/>
      <c r="R82" s="203"/>
      <c r="S82" s="203"/>
      <c r="T82" s="203"/>
      <c r="U82" s="203"/>
      <c r="V82" s="203"/>
      <c r="W82" s="203"/>
      <c r="X82" s="203"/>
      <c r="Y82" s="203"/>
      <c r="Z82" s="203"/>
      <c r="AA82" s="203"/>
      <c r="AB82" s="203"/>
      <c r="AC82" s="203"/>
      <c r="AD82" s="203"/>
      <c r="AE82" s="203"/>
      <c r="AF82" s="203"/>
    </row>
    <row r="83" spans="2:32" ht="15" customHeight="1">
      <c r="C83" s="10"/>
      <c r="D83" s="26"/>
      <c r="E83" s="215"/>
      <c r="F83" s="215"/>
      <c r="G83" s="203"/>
      <c r="H83" s="203"/>
      <c r="I83" s="203"/>
      <c r="J83" s="203"/>
      <c r="K83" s="203"/>
      <c r="L83" s="203"/>
      <c r="M83" s="203"/>
      <c r="N83" s="203"/>
      <c r="O83" s="203"/>
      <c r="P83" s="203"/>
      <c r="Q83" s="203"/>
      <c r="R83" s="203"/>
      <c r="S83" s="203"/>
      <c r="T83" s="203"/>
      <c r="U83" s="203"/>
      <c r="V83" s="203"/>
      <c r="W83" s="203"/>
      <c r="X83" s="203"/>
      <c r="Y83" s="203"/>
      <c r="Z83" s="203"/>
      <c r="AA83" s="203"/>
      <c r="AB83" s="203"/>
      <c r="AC83" s="203"/>
      <c r="AD83" s="203"/>
      <c r="AE83" s="203"/>
      <c r="AF83" s="203"/>
    </row>
    <row r="84" spans="2:32" ht="15" customHeight="1">
      <c r="C84" s="10"/>
      <c r="D84" s="26"/>
      <c r="E84" s="215"/>
      <c r="F84" s="215"/>
      <c r="G84" s="203"/>
      <c r="H84" s="203"/>
      <c r="I84" s="203"/>
      <c r="J84" s="203"/>
      <c r="K84" s="203"/>
      <c r="L84" s="203"/>
      <c r="M84" s="203"/>
      <c r="N84" s="203"/>
      <c r="O84" s="203"/>
      <c r="P84" s="203"/>
      <c r="Q84" s="203"/>
      <c r="R84" s="203"/>
      <c r="S84" s="203"/>
      <c r="T84" s="203"/>
      <c r="U84" s="203"/>
      <c r="V84" s="203"/>
      <c r="W84" s="203"/>
      <c r="X84" s="203"/>
      <c r="Y84" s="203"/>
      <c r="Z84" s="203"/>
      <c r="AA84" s="203"/>
      <c r="AB84" s="203"/>
      <c r="AC84" s="203"/>
      <c r="AD84" s="203"/>
      <c r="AE84" s="203"/>
      <c r="AF84" s="203"/>
    </row>
    <row r="85" spans="2:32" ht="15" customHeight="1">
      <c r="C85" s="10"/>
      <c r="D85" s="26"/>
      <c r="E85" s="215"/>
      <c r="F85" s="215"/>
      <c r="G85" s="203"/>
      <c r="H85" s="203"/>
      <c r="I85" s="203"/>
      <c r="J85" s="203"/>
      <c r="K85" s="203"/>
      <c r="L85" s="203"/>
      <c r="M85" s="203"/>
      <c r="N85" s="203"/>
      <c r="O85" s="203"/>
      <c r="P85" s="203"/>
      <c r="Q85" s="203"/>
      <c r="R85" s="203"/>
      <c r="S85" s="203"/>
      <c r="T85" s="203"/>
      <c r="U85" s="203"/>
      <c r="V85" s="203"/>
      <c r="W85" s="203"/>
      <c r="X85" s="203"/>
      <c r="Y85" s="203"/>
      <c r="Z85" s="203"/>
      <c r="AA85" s="203"/>
      <c r="AB85" s="203"/>
      <c r="AC85" s="203"/>
      <c r="AD85" s="203"/>
      <c r="AE85" s="203"/>
      <c r="AF85" s="203"/>
    </row>
    <row r="86" spans="2:32" ht="15" customHeight="1">
      <c r="C86" s="10"/>
      <c r="D86" s="26"/>
      <c r="E86" s="215"/>
      <c r="F86" s="215"/>
      <c r="G86" s="203"/>
      <c r="H86" s="203"/>
      <c r="I86" s="203"/>
      <c r="J86" s="203"/>
      <c r="K86" s="203"/>
      <c r="L86" s="203"/>
      <c r="M86" s="203"/>
      <c r="N86" s="203"/>
      <c r="O86" s="203"/>
      <c r="P86" s="203"/>
      <c r="Q86" s="203"/>
      <c r="R86" s="203"/>
      <c r="S86" s="203"/>
      <c r="T86" s="203"/>
      <c r="U86" s="203"/>
      <c r="V86" s="203"/>
      <c r="W86" s="203"/>
      <c r="X86" s="203"/>
      <c r="Y86" s="203"/>
      <c r="Z86" s="203"/>
      <c r="AA86" s="203"/>
      <c r="AB86" s="203"/>
      <c r="AC86" s="203"/>
      <c r="AD86" s="203"/>
      <c r="AE86" s="203"/>
      <c r="AF86" s="203"/>
    </row>
    <row r="87" spans="2:32" ht="15" customHeight="1">
      <c r="C87" s="10"/>
      <c r="D87" s="26"/>
      <c r="E87" s="215"/>
      <c r="F87" s="215"/>
      <c r="G87" s="203"/>
      <c r="H87" s="203"/>
      <c r="I87" s="203"/>
      <c r="J87" s="203"/>
      <c r="K87" s="203"/>
      <c r="L87" s="203"/>
      <c r="M87" s="203"/>
      <c r="N87" s="203"/>
      <c r="O87" s="203"/>
      <c r="P87" s="203"/>
      <c r="Q87" s="203"/>
      <c r="R87" s="203"/>
      <c r="S87" s="203"/>
      <c r="T87" s="203"/>
      <c r="U87" s="203"/>
      <c r="V87" s="203"/>
      <c r="W87" s="203"/>
      <c r="X87" s="203"/>
      <c r="Y87" s="203"/>
      <c r="Z87" s="203"/>
      <c r="AA87" s="203"/>
      <c r="AB87" s="203"/>
      <c r="AC87" s="203"/>
      <c r="AD87" s="203"/>
      <c r="AE87" s="203"/>
      <c r="AF87" s="203"/>
    </row>
    <row r="88" spans="2:32" ht="15" customHeight="1">
      <c r="C88" s="10"/>
      <c r="D88" s="26"/>
      <c r="E88" s="215"/>
      <c r="F88" s="215"/>
      <c r="G88" s="203"/>
      <c r="H88" s="203"/>
      <c r="I88" s="203"/>
      <c r="J88" s="203"/>
      <c r="K88" s="203"/>
      <c r="L88" s="203"/>
      <c r="M88" s="203"/>
      <c r="N88" s="203"/>
      <c r="O88" s="203"/>
      <c r="P88" s="203"/>
      <c r="Q88" s="203"/>
      <c r="R88" s="203"/>
      <c r="S88" s="203"/>
      <c r="T88" s="203"/>
      <c r="U88" s="203"/>
      <c r="V88" s="203"/>
      <c r="W88" s="203"/>
      <c r="X88" s="203"/>
      <c r="Y88" s="203"/>
      <c r="Z88" s="203"/>
      <c r="AA88" s="203"/>
      <c r="AB88" s="203"/>
      <c r="AC88" s="203"/>
      <c r="AD88" s="203"/>
      <c r="AE88" s="203"/>
      <c r="AF88" s="203"/>
    </row>
    <row r="89" spans="2:32" ht="15" customHeight="1">
      <c r="C89" s="10"/>
      <c r="D89" s="26"/>
      <c r="E89" s="215"/>
      <c r="F89" s="215"/>
      <c r="G89" s="203"/>
      <c r="H89" s="203"/>
      <c r="I89" s="203"/>
      <c r="J89" s="203"/>
      <c r="K89" s="203"/>
      <c r="L89" s="203"/>
      <c r="M89" s="203"/>
      <c r="N89" s="203"/>
      <c r="O89" s="203"/>
      <c r="P89" s="203"/>
      <c r="Q89" s="203"/>
      <c r="R89" s="203"/>
      <c r="S89" s="203"/>
      <c r="T89" s="203"/>
      <c r="U89" s="203"/>
      <c r="V89" s="203"/>
      <c r="W89" s="203"/>
      <c r="X89" s="203"/>
      <c r="Y89" s="203"/>
      <c r="Z89" s="203"/>
      <c r="AA89" s="203"/>
      <c r="AB89" s="203"/>
      <c r="AC89" s="203"/>
      <c r="AD89" s="203"/>
      <c r="AE89" s="203"/>
      <c r="AF89" s="203"/>
    </row>
    <row r="90" spans="2:32" ht="15" customHeight="1">
      <c r="C90" s="10"/>
    </row>
    <row r="91" spans="2:32" ht="15" customHeight="1">
      <c r="B91" s="315"/>
      <c r="C91" s="10"/>
      <c r="D91" s="26"/>
      <c r="E91" s="215"/>
      <c r="F91" s="215"/>
      <c r="G91" s="203"/>
      <c r="H91" s="203"/>
      <c r="I91" s="203"/>
      <c r="J91" s="203"/>
      <c r="K91" s="203"/>
      <c r="L91" s="203"/>
      <c r="M91" s="203"/>
      <c r="N91" s="203"/>
      <c r="O91" s="203"/>
      <c r="P91" s="203"/>
      <c r="Q91" s="203"/>
      <c r="R91" s="203"/>
      <c r="S91" s="203"/>
      <c r="T91" s="203"/>
      <c r="U91" s="203"/>
      <c r="V91" s="203"/>
      <c r="W91" s="203"/>
      <c r="X91" s="203"/>
      <c r="Y91" s="203"/>
      <c r="Z91" s="203"/>
      <c r="AA91" s="203"/>
      <c r="AB91" s="203"/>
      <c r="AC91" s="203"/>
      <c r="AD91" s="203"/>
      <c r="AE91" s="203"/>
      <c r="AF91" s="203"/>
    </row>
    <row r="92" spans="2:32" ht="15" customHeight="1">
      <c r="C92" s="10"/>
      <c r="D92" s="26"/>
      <c r="E92" s="215"/>
      <c r="F92" s="215"/>
      <c r="G92" s="203"/>
      <c r="H92" s="203"/>
      <c r="I92" s="203"/>
      <c r="J92" s="203"/>
      <c r="K92" s="203"/>
      <c r="L92" s="203"/>
      <c r="M92" s="203"/>
      <c r="N92" s="203"/>
      <c r="O92" s="203"/>
      <c r="P92" s="203"/>
      <c r="Q92" s="203"/>
      <c r="R92" s="203"/>
      <c r="S92" s="203"/>
      <c r="T92" s="203"/>
      <c r="U92" s="203"/>
      <c r="V92" s="203"/>
      <c r="W92" s="203"/>
      <c r="X92" s="203"/>
      <c r="Y92" s="203"/>
      <c r="Z92" s="203"/>
      <c r="AA92" s="203"/>
      <c r="AB92" s="203"/>
      <c r="AC92" s="203"/>
      <c r="AD92" s="203"/>
      <c r="AE92" s="203"/>
      <c r="AF92" s="203"/>
    </row>
    <row r="93" spans="2:32" ht="15" customHeight="1">
      <c r="C93" s="10"/>
      <c r="D93" s="26"/>
      <c r="E93" s="215"/>
      <c r="F93" s="215"/>
      <c r="G93" s="203"/>
      <c r="H93" s="203"/>
      <c r="I93" s="203"/>
      <c r="J93" s="203"/>
      <c r="K93" s="203"/>
      <c r="L93" s="203"/>
      <c r="M93" s="203"/>
      <c r="N93" s="203"/>
      <c r="O93" s="203"/>
      <c r="P93" s="203"/>
      <c r="Q93" s="203"/>
      <c r="R93" s="203"/>
      <c r="S93" s="203"/>
      <c r="T93" s="203"/>
      <c r="U93" s="203"/>
      <c r="V93" s="203"/>
      <c r="W93" s="203"/>
      <c r="X93" s="203"/>
      <c r="Y93" s="203"/>
      <c r="Z93" s="203"/>
      <c r="AA93" s="203"/>
      <c r="AB93" s="203"/>
      <c r="AC93" s="203"/>
      <c r="AD93" s="203"/>
      <c r="AE93" s="203"/>
      <c r="AF93" s="203"/>
    </row>
    <row r="94" spans="2:32" ht="15" customHeight="1">
      <c r="C94" s="10"/>
      <c r="D94" s="26"/>
      <c r="E94" s="215"/>
      <c r="F94" s="215"/>
      <c r="G94" s="203"/>
      <c r="H94" s="203"/>
      <c r="I94" s="203"/>
      <c r="J94" s="203"/>
      <c r="K94" s="203"/>
      <c r="L94" s="203"/>
      <c r="M94" s="203"/>
      <c r="N94" s="203"/>
      <c r="O94" s="203"/>
      <c r="P94" s="203"/>
      <c r="Q94" s="203"/>
      <c r="R94" s="203"/>
      <c r="S94" s="203"/>
      <c r="T94" s="203"/>
      <c r="U94" s="203"/>
      <c r="V94" s="203"/>
      <c r="W94" s="203"/>
      <c r="X94" s="203"/>
      <c r="Y94" s="203"/>
      <c r="Z94" s="203"/>
      <c r="AA94" s="203"/>
      <c r="AB94" s="203"/>
      <c r="AC94" s="203"/>
      <c r="AD94" s="203"/>
      <c r="AE94" s="203"/>
      <c r="AF94" s="203"/>
    </row>
    <row r="95" spans="2:32" ht="15" customHeight="1">
      <c r="C95" s="10"/>
      <c r="D95" s="26"/>
      <c r="E95" s="215"/>
      <c r="F95" s="215"/>
      <c r="G95" s="203"/>
      <c r="H95" s="203"/>
      <c r="I95" s="203"/>
      <c r="J95" s="203"/>
      <c r="K95" s="203"/>
      <c r="L95" s="203"/>
      <c r="M95" s="203"/>
      <c r="N95" s="203"/>
      <c r="O95" s="203"/>
      <c r="P95" s="203"/>
      <c r="Q95" s="203"/>
      <c r="R95" s="203"/>
      <c r="S95" s="203"/>
      <c r="T95" s="203"/>
      <c r="U95" s="203"/>
      <c r="V95" s="203"/>
      <c r="W95" s="203"/>
      <c r="X95" s="203"/>
      <c r="Y95" s="203"/>
      <c r="Z95" s="203"/>
      <c r="AA95" s="203"/>
      <c r="AB95" s="203"/>
      <c r="AC95" s="203"/>
      <c r="AD95" s="203"/>
      <c r="AE95" s="203"/>
      <c r="AF95" s="203"/>
    </row>
    <row r="96" spans="2:32" ht="15" customHeight="1">
      <c r="C96" s="10"/>
      <c r="D96" s="26"/>
      <c r="E96" s="215"/>
      <c r="F96" s="215"/>
      <c r="G96" s="203"/>
      <c r="H96" s="203"/>
      <c r="I96" s="203"/>
      <c r="J96" s="203"/>
      <c r="K96" s="203"/>
      <c r="L96" s="203"/>
      <c r="M96" s="203"/>
      <c r="N96" s="203"/>
      <c r="O96" s="203"/>
      <c r="P96" s="203"/>
      <c r="Q96" s="203"/>
      <c r="R96" s="203"/>
      <c r="S96" s="203"/>
      <c r="T96" s="203"/>
      <c r="U96" s="203"/>
      <c r="V96" s="203"/>
      <c r="W96" s="203"/>
      <c r="X96" s="203"/>
      <c r="Y96" s="203"/>
      <c r="Z96" s="203"/>
      <c r="AA96" s="203"/>
      <c r="AB96" s="203"/>
      <c r="AC96" s="203"/>
      <c r="AD96" s="203"/>
      <c r="AE96" s="203"/>
      <c r="AF96" s="203"/>
    </row>
    <row r="97" spans="3:32" ht="15" customHeight="1">
      <c r="C97" s="10"/>
      <c r="D97" s="26"/>
      <c r="E97" s="215"/>
      <c r="F97" s="215"/>
      <c r="G97" s="203"/>
      <c r="H97" s="203"/>
      <c r="I97" s="203"/>
      <c r="J97" s="203"/>
      <c r="K97" s="203"/>
      <c r="L97" s="203"/>
      <c r="M97" s="203"/>
      <c r="N97" s="203"/>
      <c r="O97" s="203"/>
      <c r="P97" s="203"/>
      <c r="Q97" s="203"/>
      <c r="R97" s="203"/>
      <c r="S97" s="203"/>
      <c r="T97" s="203"/>
      <c r="U97" s="203"/>
      <c r="V97" s="203"/>
      <c r="W97" s="203"/>
      <c r="X97" s="203"/>
      <c r="Y97" s="203"/>
      <c r="Z97" s="203"/>
      <c r="AA97" s="203"/>
      <c r="AB97" s="203"/>
      <c r="AC97" s="203"/>
      <c r="AD97" s="203"/>
      <c r="AE97" s="203"/>
      <c r="AF97" s="203"/>
    </row>
    <row r="98" spans="3:32" ht="15" customHeight="1">
      <c r="C98" s="10"/>
      <c r="D98" s="26"/>
      <c r="E98" s="215"/>
      <c r="F98" s="215"/>
      <c r="G98" s="203"/>
      <c r="H98" s="203"/>
      <c r="I98" s="203"/>
      <c r="J98" s="203"/>
      <c r="K98" s="203"/>
      <c r="L98" s="203"/>
      <c r="M98" s="203"/>
      <c r="N98" s="203"/>
      <c r="O98" s="203"/>
      <c r="P98" s="203"/>
      <c r="Q98" s="203"/>
      <c r="R98" s="203"/>
      <c r="S98" s="203"/>
      <c r="T98" s="203"/>
      <c r="U98" s="203"/>
      <c r="V98" s="203"/>
      <c r="W98" s="203"/>
      <c r="X98" s="203"/>
      <c r="Y98" s="203"/>
      <c r="Z98" s="203"/>
      <c r="AA98" s="203"/>
      <c r="AB98" s="203"/>
      <c r="AC98" s="203"/>
      <c r="AD98" s="203"/>
      <c r="AE98" s="203"/>
      <c r="AF98" s="203"/>
    </row>
    <row r="99" spans="3:32" ht="15" customHeight="1">
      <c r="C99" s="10"/>
      <c r="D99" s="26"/>
      <c r="E99" s="215"/>
      <c r="F99" s="215"/>
      <c r="G99" s="203"/>
      <c r="H99" s="203"/>
      <c r="I99" s="203"/>
      <c r="J99" s="203"/>
      <c r="K99" s="203"/>
      <c r="L99" s="203"/>
      <c r="M99" s="203"/>
      <c r="N99" s="203"/>
      <c r="O99" s="203"/>
      <c r="P99" s="203"/>
      <c r="Q99" s="203"/>
      <c r="R99" s="203"/>
      <c r="S99" s="203"/>
      <c r="T99" s="203"/>
      <c r="U99" s="203"/>
      <c r="V99" s="203"/>
      <c r="W99" s="203"/>
      <c r="X99" s="203"/>
      <c r="Y99" s="203"/>
      <c r="Z99" s="203"/>
      <c r="AA99" s="203"/>
      <c r="AB99" s="203"/>
      <c r="AC99" s="203"/>
      <c r="AD99" s="203"/>
      <c r="AE99" s="203"/>
      <c r="AF99" s="203"/>
    </row>
    <row r="100" spans="3:32" ht="15" customHeight="1">
      <c r="C100" s="10"/>
      <c r="D100" s="26"/>
      <c r="E100" s="215"/>
      <c r="F100" s="215"/>
      <c r="G100" s="203"/>
      <c r="H100" s="203"/>
      <c r="I100" s="203"/>
      <c r="J100" s="203"/>
      <c r="K100" s="203"/>
      <c r="L100" s="203"/>
      <c r="M100" s="203"/>
      <c r="N100" s="203"/>
      <c r="O100" s="203"/>
      <c r="P100" s="203"/>
      <c r="Q100" s="203"/>
      <c r="R100" s="203"/>
      <c r="S100" s="203"/>
      <c r="T100" s="203"/>
      <c r="U100" s="203"/>
      <c r="V100" s="203"/>
      <c r="W100" s="203"/>
      <c r="X100" s="203"/>
      <c r="Y100" s="203"/>
      <c r="Z100" s="203"/>
      <c r="AA100" s="203"/>
      <c r="AB100" s="203"/>
      <c r="AC100" s="203"/>
      <c r="AD100" s="203"/>
      <c r="AE100" s="203"/>
      <c r="AF100" s="203"/>
    </row>
    <row r="101" spans="3:32" ht="15" customHeight="1">
      <c r="C101" s="10"/>
      <c r="D101" s="26"/>
      <c r="E101" s="215"/>
      <c r="F101" s="215"/>
      <c r="G101" s="203"/>
      <c r="H101" s="203"/>
      <c r="I101" s="203"/>
      <c r="J101" s="203"/>
      <c r="K101" s="203"/>
      <c r="L101" s="203"/>
      <c r="M101" s="203"/>
      <c r="N101" s="203"/>
      <c r="O101" s="203"/>
      <c r="P101" s="203"/>
      <c r="Q101" s="203"/>
      <c r="R101" s="203"/>
      <c r="S101" s="203"/>
      <c r="T101" s="203"/>
      <c r="U101" s="203"/>
      <c r="V101" s="203"/>
      <c r="W101" s="203"/>
      <c r="X101" s="203"/>
      <c r="Y101" s="203"/>
      <c r="Z101" s="203"/>
      <c r="AA101" s="203"/>
      <c r="AB101" s="203"/>
      <c r="AC101" s="203"/>
      <c r="AD101" s="203"/>
      <c r="AE101" s="203"/>
      <c r="AF101" s="203"/>
    </row>
    <row r="102" spans="3:32" ht="15" customHeight="1">
      <c r="C102" s="10"/>
      <c r="D102" s="26"/>
      <c r="E102" s="215"/>
      <c r="F102" s="215"/>
      <c r="G102" s="203"/>
      <c r="H102" s="203"/>
      <c r="I102" s="203"/>
      <c r="J102" s="203"/>
      <c r="K102" s="203"/>
      <c r="L102" s="203"/>
      <c r="M102" s="203"/>
      <c r="N102" s="203"/>
      <c r="O102" s="203"/>
      <c r="P102" s="203"/>
      <c r="Q102" s="203"/>
      <c r="R102" s="203"/>
      <c r="S102" s="203"/>
      <c r="T102" s="203"/>
      <c r="U102" s="203"/>
      <c r="V102" s="203"/>
      <c r="W102" s="203"/>
      <c r="X102" s="203"/>
      <c r="Y102" s="203"/>
      <c r="Z102" s="203"/>
      <c r="AA102" s="203"/>
      <c r="AB102" s="203"/>
      <c r="AC102" s="203"/>
      <c r="AD102" s="203"/>
      <c r="AE102" s="203"/>
      <c r="AF102" s="203"/>
    </row>
    <row r="103" spans="3:32" ht="15" customHeight="1">
      <c r="C103" s="10"/>
      <c r="D103" s="26"/>
      <c r="E103" s="215"/>
      <c r="F103" s="215"/>
      <c r="G103" s="203"/>
      <c r="H103" s="203"/>
      <c r="I103" s="203"/>
      <c r="J103" s="203"/>
      <c r="K103" s="203"/>
      <c r="L103" s="203"/>
      <c r="M103" s="203"/>
      <c r="N103" s="203"/>
      <c r="O103" s="203"/>
      <c r="P103" s="203"/>
      <c r="Q103" s="203"/>
      <c r="R103" s="203"/>
      <c r="S103" s="203"/>
      <c r="T103" s="203"/>
      <c r="U103" s="203"/>
      <c r="V103" s="203"/>
      <c r="W103" s="203"/>
      <c r="X103" s="203"/>
      <c r="Y103" s="203"/>
      <c r="Z103" s="203"/>
      <c r="AA103" s="203"/>
      <c r="AB103" s="203"/>
      <c r="AC103" s="203"/>
      <c r="AD103" s="203"/>
      <c r="AE103" s="203"/>
      <c r="AF103" s="203"/>
    </row>
    <row r="104" spans="3:32" ht="15" customHeight="1">
      <c r="C104" s="10"/>
      <c r="D104" s="26"/>
      <c r="E104" s="215"/>
      <c r="F104" s="215"/>
      <c r="G104" s="203"/>
      <c r="H104" s="203"/>
      <c r="I104" s="203"/>
      <c r="J104" s="203"/>
      <c r="K104" s="203"/>
      <c r="L104" s="203"/>
      <c r="M104" s="203"/>
      <c r="N104" s="203"/>
      <c r="O104" s="203"/>
      <c r="P104" s="203"/>
      <c r="Q104" s="203"/>
      <c r="R104" s="203"/>
      <c r="S104" s="203"/>
      <c r="T104" s="203"/>
      <c r="U104" s="203"/>
      <c r="V104" s="203"/>
      <c r="W104" s="203"/>
      <c r="X104" s="203"/>
      <c r="Y104" s="203"/>
      <c r="Z104" s="203"/>
      <c r="AA104" s="203"/>
      <c r="AB104" s="203"/>
      <c r="AC104" s="203"/>
      <c r="AD104" s="203"/>
      <c r="AE104" s="203"/>
      <c r="AF104" s="203"/>
    </row>
    <row r="105" spans="3:32" ht="15" customHeight="1">
      <c r="C105" s="10"/>
      <c r="D105" s="26"/>
      <c r="E105" s="215"/>
      <c r="F105" s="215"/>
      <c r="G105" s="203"/>
      <c r="H105" s="203"/>
      <c r="I105" s="203"/>
      <c r="J105" s="203"/>
      <c r="K105" s="203"/>
      <c r="L105" s="203"/>
      <c r="M105" s="203"/>
      <c r="N105" s="203"/>
      <c r="O105" s="203"/>
      <c r="P105" s="203"/>
      <c r="Q105" s="203"/>
      <c r="R105" s="203"/>
      <c r="S105" s="203"/>
      <c r="T105" s="203"/>
      <c r="U105" s="203"/>
      <c r="V105" s="203"/>
      <c r="W105" s="203"/>
      <c r="X105" s="203"/>
      <c r="Y105" s="203"/>
      <c r="Z105" s="203"/>
      <c r="AA105" s="203"/>
      <c r="AB105" s="203"/>
      <c r="AC105" s="203"/>
      <c r="AD105" s="203"/>
      <c r="AE105" s="203"/>
      <c r="AF105" s="203"/>
    </row>
    <row r="106" spans="3:32" ht="15" customHeight="1">
      <c r="C106" s="10"/>
      <c r="D106" s="26"/>
      <c r="E106" s="215"/>
      <c r="F106" s="215"/>
      <c r="G106" s="203"/>
      <c r="H106" s="203"/>
      <c r="I106" s="203"/>
      <c r="J106" s="203"/>
      <c r="K106" s="203"/>
      <c r="L106" s="203"/>
      <c r="M106" s="203"/>
      <c r="N106" s="203"/>
      <c r="O106" s="203"/>
      <c r="P106" s="203"/>
      <c r="Q106" s="203"/>
      <c r="R106" s="203"/>
      <c r="S106" s="203"/>
      <c r="T106" s="203"/>
      <c r="U106" s="203"/>
      <c r="V106" s="203"/>
      <c r="W106" s="203"/>
      <c r="X106" s="203"/>
      <c r="Y106" s="203"/>
      <c r="Z106" s="203"/>
      <c r="AA106" s="203"/>
      <c r="AB106" s="203"/>
      <c r="AC106" s="203"/>
      <c r="AD106" s="203"/>
      <c r="AE106" s="203"/>
      <c r="AF106" s="203"/>
    </row>
    <row r="107" spans="3:32" ht="15" customHeight="1">
      <c r="C107" s="10"/>
      <c r="D107" s="26"/>
      <c r="E107" s="215"/>
      <c r="F107" s="215"/>
      <c r="G107" s="203"/>
      <c r="H107" s="203"/>
      <c r="I107" s="203"/>
      <c r="J107" s="203"/>
      <c r="K107" s="203"/>
      <c r="L107" s="203"/>
      <c r="M107" s="203"/>
      <c r="N107" s="203"/>
      <c r="O107" s="203"/>
      <c r="P107" s="203"/>
      <c r="Q107" s="203"/>
      <c r="R107" s="203"/>
      <c r="S107" s="203"/>
      <c r="T107" s="203"/>
      <c r="U107" s="203"/>
      <c r="V107" s="203"/>
      <c r="W107" s="203"/>
      <c r="X107" s="203"/>
      <c r="Y107" s="203"/>
      <c r="Z107" s="203"/>
      <c r="AA107" s="203"/>
      <c r="AB107" s="203"/>
      <c r="AC107" s="203"/>
      <c r="AD107" s="203"/>
      <c r="AE107" s="203"/>
      <c r="AF107" s="203"/>
    </row>
    <row r="108" spans="3:32" ht="15" customHeight="1">
      <c r="C108" s="10"/>
      <c r="D108" s="26"/>
      <c r="E108" s="215"/>
      <c r="F108" s="215"/>
      <c r="G108" s="203"/>
      <c r="H108" s="203"/>
      <c r="I108" s="203"/>
      <c r="J108" s="203"/>
      <c r="K108" s="203"/>
      <c r="L108" s="203"/>
      <c r="M108" s="203"/>
      <c r="N108" s="203"/>
      <c r="O108" s="203"/>
      <c r="P108" s="203"/>
      <c r="Q108" s="203"/>
      <c r="R108" s="203"/>
      <c r="S108" s="203"/>
      <c r="T108" s="203"/>
      <c r="U108" s="203"/>
      <c r="V108" s="203"/>
      <c r="W108" s="203"/>
      <c r="X108" s="203"/>
      <c r="Y108" s="203"/>
      <c r="Z108" s="203"/>
      <c r="AA108" s="203"/>
      <c r="AB108" s="203"/>
      <c r="AC108" s="203"/>
      <c r="AD108" s="203"/>
      <c r="AE108" s="203"/>
      <c r="AF108" s="203"/>
    </row>
    <row r="109" spans="3:32" ht="15" customHeight="1">
      <c r="C109" s="10"/>
      <c r="D109" s="26"/>
      <c r="E109" s="215"/>
      <c r="F109" s="215"/>
      <c r="G109" s="203"/>
      <c r="H109" s="203"/>
      <c r="I109" s="203"/>
      <c r="J109" s="203"/>
      <c r="K109" s="203"/>
      <c r="L109" s="203"/>
      <c r="M109" s="203"/>
      <c r="N109" s="203"/>
      <c r="O109" s="203"/>
      <c r="P109" s="203"/>
      <c r="Q109" s="203"/>
      <c r="R109" s="203"/>
      <c r="S109" s="203"/>
      <c r="T109" s="203"/>
      <c r="U109" s="203"/>
      <c r="V109" s="203"/>
      <c r="W109" s="203"/>
      <c r="X109" s="203"/>
      <c r="Y109" s="203"/>
      <c r="Z109" s="203"/>
      <c r="AA109" s="203"/>
      <c r="AB109" s="203"/>
      <c r="AC109" s="203"/>
      <c r="AD109" s="203"/>
      <c r="AE109" s="203"/>
      <c r="AF109" s="203"/>
    </row>
    <row r="110" spans="3:32" ht="15" customHeight="1">
      <c r="C110" s="10"/>
      <c r="D110" s="26"/>
      <c r="E110" s="215"/>
      <c r="F110" s="215"/>
      <c r="G110" s="203"/>
      <c r="H110" s="203"/>
      <c r="I110" s="203"/>
      <c r="J110" s="203"/>
      <c r="K110" s="203"/>
      <c r="L110" s="203"/>
      <c r="M110" s="203"/>
      <c r="N110" s="203"/>
      <c r="O110" s="203"/>
      <c r="P110" s="203"/>
      <c r="Q110" s="203"/>
      <c r="R110" s="203"/>
      <c r="S110" s="203"/>
      <c r="T110" s="203"/>
      <c r="U110" s="203"/>
      <c r="V110" s="203"/>
      <c r="W110" s="203"/>
      <c r="X110" s="203"/>
      <c r="Y110" s="203"/>
      <c r="Z110" s="203"/>
      <c r="AA110" s="203"/>
      <c r="AB110" s="203"/>
      <c r="AC110" s="203"/>
      <c r="AD110" s="203"/>
      <c r="AE110" s="203"/>
      <c r="AF110" s="203"/>
    </row>
    <row r="111" spans="3:32" ht="15" customHeight="1">
      <c r="C111" s="10"/>
      <c r="D111" s="26"/>
      <c r="E111" s="215"/>
      <c r="F111" s="215"/>
      <c r="G111" s="203"/>
      <c r="H111" s="203"/>
      <c r="I111" s="203"/>
      <c r="J111" s="203"/>
      <c r="K111" s="203"/>
      <c r="L111" s="203"/>
      <c r="M111" s="203"/>
      <c r="N111" s="203"/>
      <c r="O111" s="203"/>
      <c r="P111" s="203"/>
      <c r="Q111" s="203"/>
      <c r="R111" s="203"/>
      <c r="S111" s="203"/>
      <c r="T111" s="203"/>
      <c r="U111" s="203"/>
      <c r="V111" s="203"/>
      <c r="W111" s="203"/>
      <c r="X111" s="203"/>
      <c r="Y111" s="203"/>
      <c r="Z111" s="203"/>
      <c r="AA111" s="203"/>
      <c r="AB111" s="203"/>
      <c r="AC111" s="203"/>
      <c r="AD111" s="203"/>
      <c r="AE111" s="203"/>
      <c r="AF111" s="203"/>
    </row>
    <row r="112" spans="3:32" ht="15" customHeight="1">
      <c r="C112" s="10"/>
      <c r="D112" s="26"/>
      <c r="E112" s="215"/>
      <c r="F112" s="215"/>
      <c r="G112" s="203"/>
      <c r="H112" s="203"/>
      <c r="I112" s="203"/>
      <c r="J112" s="203"/>
      <c r="K112" s="203"/>
      <c r="L112" s="203"/>
      <c r="M112" s="203"/>
      <c r="N112" s="203"/>
      <c r="O112" s="203"/>
      <c r="P112" s="203"/>
      <c r="Q112" s="203"/>
      <c r="R112" s="203"/>
      <c r="S112" s="203"/>
      <c r="T112" s="203"/>
      <c r="U112" s="203"/>
      <c r="V112" s="203"/>
      <c r="W112" s="203"/>
      <c r="X112" s="203"/>
      <c r="Y112" s="203"/>
      <c r="Z112" s="203"/>
      <c r="AA112" s="203"/>
      <c r="AB112" s="203"/>
      <c r="AC112" s="203"/>
      <c r="AD112" s="203"/>
      <c r="AE112" s="203"/>
      <c r="AF112" s="203"/>
    </row>
    <row r="113" spans="2:32" ht="15" customHeight="1">
      <c r="C113" s="10"/>
      <c r="D113" s="26"/>
      <c r="E113" s="215"/>
      <c r="F113" s="215"/>
      <c r="G113" s="203"/>
      <c r="H113" s="203"/>
      <c r="I113" s="203"/>
      <c r="J113" s="203"/>
      <c r="K113" s="203"/>
      <c r="L113" s="203"/>
      <c r="M113" s="203"/>
      <c r="N113" s="203"/>
      <c r="O113" s="203"/>
      <c r="P113" s="203"/>
      <c r="Q113" s="203"/>
      <c r="R113" s="203"/>
      <c r="S113" s="203"/>
      <c r="T113" s="203"/>
      <c r="U113" s="203"/>
      <c r="V113" s="203"/>
      <c r="W113" s="203"/>
      <c r="X113" s="203"/>
      <c r="Y113" s="203"/>
      <c r="Z113" s="203"/>
      <c r="AA113" s="203"/>
      <c r="AB113" s="203"/>
      <c r="AC113" s="203"/>
      <c r="AD113" s="203"/>
      <c r="AE113" s="203"/>
      <c r="AF113" s="203"/>
    </row>
    <row r="114" spans="2:32" ht="15" customHeight="1">
      <c r="C114" s="10"/>
      <c r="D114" s="26"/>
      <c r="E114" s="215"/>
      <c r="F114" s="215"/>
      <c r="G114" s="203"/>
      <c r="H114" s="203"/>
      <c r="I114" s="203"/>
      <c r="J114" s="203"/>
      <c r="K114" s="203"/>
      <c r="L114" s="203"/>
      <c r="M114" s="203"/>
      <c r="N114" s="203"/>
      <c r="O114" s="203"/>
      <c r="P114" s="203"/>
      <c r="Q114" s="203"/>
      <c r="R114" s="203"/>
      <c r="S114" s="203"/>
      <c r="T114" s="203"/>
      <c r="U114" s="203"/>
      <c r="V114" s="203"/>
      <c r="W114" s="203"/>
      <c r="X114" s="203"/>
      <c r="Y114" s="203"/>
      <c r="Z114" s="203"/>
      <c r="AA114" s="203"/>
      <c r="AB114" s="203"/>
      <c r="AC114" s="203"/>
      <c r="AD114" s="203"/>
      <c r="AE114" s="203"/>
      <c r="AF114" s="203"/>
    </row>
    <row r="115" spans="2:32" ht="15" customHeight="1">
      <c r="C115" s="10"/>
      <c r="D115" s="26"/>
      <c r="E115" s="215"/>
      <c r="F115" s="215"/>
      <c r="G115" s="203"/>
      <c r="H115" s="203"/>
      <c r="I115" s="203"/>
      <c r="J115" s="203"/>
      <c r="K115" s="203"/>
      <c r="L115" s="203"/>
      <c r="M115" s="203"/>
      <c r="N115" s="203"/>
      <c r="O115" s="203"/>
      <c r="P115" s="203"/>
      <c r="Q115" s="203"/>
      <c r="R115" s="203"/>
      <c r="S115" s="203"/>
      <c r="T115" s="203"/>
      <c r="U115" s="203"/>
      <c r="V115" s="203"/>
      <c r="W115" s="203"/>
      <c r="X115" s="203"/>
      <c r="Y115" s="203"/>
      <c r="Z115" s="203"/>
      <c r="AA115" s="203"/>
      <c r="AB115" s="203"/>
      <c r="AC115" s="203"/>
      <c r="AD115" s="203"/>
      <c r="AE115" s="203"/>
      <c r="AF115" s="203"/>
    </row>
    <row r="116" spans="2:32" ht="15" customHeight="1">
      <c r="C116" s="10"/>
    </row>
    <row r="117" spans="2:32" ht="15" customHeight="1">
      <c r="B117" s="315"/>
      <c r="C117" s="10"/>
      <c r="D117" s="26"/>
      <c r="E117" s="215"/>
      <c r="F117" s="215"/>
      <c r="G117" s="203"/>
      <c r="H117" s="203"/>
      <c r="I117" s="203"/>
      <c r="J117" s="203"/>
      <c r="K117" s="203"/>
      <c r="L117" s="203"/>
      <c r="M117" s="203"/>
      <c r="N117" s="203"/>
      <c r="O117" s="203"/>
      <c r="P117" s="203"/>
      <c r="Q117" s="203"/>
      <c r="R117" s="203"/>
      <c r="S117" s="203"/>
      <c r="T117" s="203"/>
      <c r="U117" s="203"/>
      <c r="V117" s="203"/>
      <c r="W117" s="203"/>
      <c r="X117" s="203"/>
      <c r="Y117" s="203"/>
      <c r="Z117" s="203"/>
      <c r="AA117" s="203"/>
      <c r="AB117" s="203"/>
      <c r="AC117" s="203"/>
      <c r="AD117" s="203"/>
      <c r="AE117" s="203"/>
      <c r="AF117" s="203"/>
    </row>
    <row r="118" spans="2:32" ht="15" customHeight="1">
      <c r="C118" s="10"/>
      <c r="D118" s="26"/>
      <c r="E118" s="215"/>
      <c r="F118" s="215"/>
      <c r="G118" s="203"/>
      <c r="H118" s="203"/>
      <c r="I118" s="203"/>
      <c r="J118" s="203"/>
      <c r="K118" s="203"/>
      <c r="L118" s="203"/>
      <c r="M118" s="203"/>
      <c r="N118" s="203"/>
      <c r="O118" s="203"/>
      <c r="P118" s="203"/>
      <c r="Q118" s="203"/>
      <c r="R118" s="203"/>
      <c r="S118" s="203"/>
      <c r="T118" s="203"/>
      <c r="U118" s="203"/>
      <c r="V118" s="203"/>
      <c r="W118" s="203"/>
      <c r="X118" s="203"/>
      <c r="Y118" s="203"/>
      <c r="Z118" s="203"/>
      <c r="AA118" s="203"/>
      <c r="AB118" s="203"/>
      <c r="AC118" s="203"/>
      <c r="AD118" s="203"/>
      <c r="AE118" s="203"/>
      <c r="AF118" s="203"/>
    </row>
    <row r="119" spans="2:32" ht="15" customHeight="1">
      <c r="C119" s="10"/>
      <c r="D119" s="26"/>
      <c r="E119" s="215"/>
      <c r="F119" s="215"/>
      <c r="G119" s="203"/>
      <c r="H119" s="203"/>
      <c r="I119" s="203"/>
      <c r="J119" s="203"/>
      <c r="K119" s="203"/>
      <c r="L119" s="203"/>
      <c r="M119" s="203"/>
      <c r="N119" s="203"/>
      <c r="O119" s="203"/>
      <c r="P119" s="203"/>
      <c r="Q119" s="203"/>
      <c r="R119" s="203"/>
      <c r="S119" s="203"/>
      <c r="T119" s="203"/>
      <c r="U119" s="203"/>
      <c r="V119" s="203"/>
      <c r="W119" s="203"/>
      <c r="X119" s="203"/>
      <c r="Y119" s="203"/>
      <c r="Z119" s="203"/>
      <c r="AA119" s="203"/>
      <c r="AB119" s="203"/>
      <c r="AC119" s="203"/>
      <c r="AD119" s="203"/>
      <c r="AE119" s="203"/>
      <c r="AF119" s="203"/>
    </row>
    <row r="120" spans="2:32" ht="15" customHeight="1">
      <c r="C120" s="10"/>
      <c r="D120" s="26"/>
      <c r="E120" s="215"/>
      <c r="F120" s="215"/>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row>
    <row r="121" spans="2:32" ht="15" customHeight="1">
      <c r="C121" s="10"/>
      <c r="D121" s="26"/>
      <c r="E121" s="215"/>
      <c r="F121" s="215"/>
      <c r="G121" s="203"/>
      <c r="H121" s="203"/>
      <c r="I121" s="203"/>
      <c r="J121" s="203"/>
      <c r="K121" s="203"/>
      <c r="L121" s="203"/>
      <c r="M121" s="203"/>
      <c r="N121" s="203"/>
      <c r="O121" s="203"/>
      <c r="P121" s="203"/>
      <c r="Q121" s="203"/>
      <c r="R121" s="203"/>
      <c r="S121" s="203"/>
      <c r="T121" s="203"/>
      <c r="U121" s="203"/>
      <c r="V121" s="203"/>
      <c r="W121" s="203"/>
      <c r="X121" s="203"/>
      <c r="Y121" s="203"/>
      <c r="Z121" s="203"/>
      <c r="AA121" s="203"/>
      <c r="AB121" s="203"/>
      <c r="AC121" s="203"/>
      <c r="AD121" s="203"/>
      <c r="AE121" s="203"/>
      <c r="AF121" s="203"/>
    </row>
    <row r="122" spans="2:32" ht="15" customHeight="1">
      <c r="C122" s="10"/>
      <c r="D122" s="26"/>
      <c r="E122" s="215"/>
      <c r="F122" s="215"/>
      <c r="G122" s="203"/>
      <c r="H122" s="203"/>
      <c r="I122" s="203"/>
      <c r="J122" s="203"/>
      <c r="K122" s="203"/>
      <c r="L122" s="203"/>
      <c r="M122" s="203"/>
      <c r="N122" s="203"/>
      <c r="O122" s="203"/>
      <c r="P122" s="203"/>
      <c r="Q122" s="203"/>
      <c r="R122" s="203"/>
      <c r="S122" s="203"/>
      <c r="T122" s="203"/>
      <c r="U122" s="203"/>
      <c r="V122" s="203"/>
      <c r="W122" s="203"/>
      <c r="X122" s="203"/>
      <c r="Y122" s="203"/>
      <c r="Z122" s="203"/>
      <c r="AA122" s="203"/>
      <c r="AB122" s="203"/>
      <c r="AC122" s="203"/>
      <c r="AD122" s="203"/>
      <c r="AE122" s="203"/>
      <c r="AF122" s="203"/>
    </row>
    <row r="123" spans="2:32" ht="15" customHeight="1">
      <c r="C123" s="10"/>
      <c r="D123" s="26"/>
      <c r="E123" s="215"/>
      <c r="F123" s="215"/>
      <c r="G123" s="203"/>
      <c r="H123" s="203"/>
      <c r="I123" s="203"/>
      <c r="J123" s="203"/>
      <c r="K123" s="203"/>
      <c r="L123" s="203"/>
      <c r="M123" s="203"/>
      <c r="N123" s="203"/>
      <c r="O123" s="203"/>
      <c r="P123" s="203"/>
      <c r="Q123" s="203"/>
      <c r="R123" s="203"/>
      <c r="S123" s="203"/>
      <c r="T123" s="203"/>
      <c r="U123" s="203"/>
      <c r="V123" s="203"/>
      <c r="W123" s="203"/>
      <c r="X123" s="203"/>
      <c r="Y123" s="203"/>
      <c r="Z123" s="203"/>
      <c r="AA123" s="203"/>
      <c r="AB123" s="203"/>
      <c r="AC123" s="203"/>
      <c r="AD123" s="203"/>
      <c r="AE123" s="203"/>
      <c r="AF123" s="203"/>
    </row>
    <row r="124" spans="2:32" ht="15" customHeight="1">
      <c r="C124" s="10"/>
      <c r="D124" s="26"/>
      <c r="E124" s="215"/>
      <c r="F124" s="215"/>
      <c r="G124" s="203"/>
      <c r="H124" s="203"/>
      <c r="I124" s="203"/>
      <c r="J124" s="203"/>
      <c r="K124" s="203"/>
      <c r="L124" s="203"/>
      <c r="M124" s="203"/>
      <c r="N124" s="203"/>
      <c r="O124" s="203"/>
      <c r="P124" s="203"/>
      <c r="Q124" s="203"/>
      <c r="R124" s="203"/>
      <c r="S124" s="203"/>
      <c r="T124" s="203"/>
      <c r="U124" s="203"/>
      <c r="V124" s="203"/>
      <c r="W124" s="203"/>
      <c r="X124" s="203"/>
      <c r="Y124" s="203"/>
      <c r="Z124" s="203"/>
      <c r="AA124" s="203"/>
      <c r="AB124" s="203"/>
      <c r="AC124" s="203"/>
      <c r="AD124" s="203"/>
      <c r="AE124" s="203"/>
      <c r="AF124" s="203"/>
    </row>
    <row r="125" spans="2:32" ht="15" customHeight="1">
      <c r="C125" s="10"/>
      <c r="D125" s="26"/>
      <c r="E125" s="215"/>
      <c r="F125" s="215"/>
      <c r="G125" s="203"/>
      <c r="H125" s="203"/>
      <c r="I125" s="203"/>
      <c r="J125" s="203"/>
      <c r="K125" s="203"/>
      <c r="L125" s="203"/>
      <c r="M125" s="203"/>
      <c r="N125" s="203"/>
      <c r="O125" s="203"/>
      <c r="P125" s="203"/>
      <c r="Q125" s="203"/>
      <c r="R125" s="203"/>
      <c r="S125" s="203"/>
      <c r="T125" s="203"/>
      <c r="U125" s="203"/>
      <c r="V125" s="203"/>
      <c r="W125" s="203"/>
      <c r="X125" s="203"/>
      <c r="Y125" s="203"/>
      <c r="Z125" s="203"/>
      <c r="AA125" s="203"/>
      <c r="AB125" s="203"/>
      <c r="AC125" s="203"/>
      <c r="AD125" s="203"/>
      <c r="AE125" s="203"/>
      <c r="AF125" s="203"/>
    </row>
    <row r="126" spans="2:32" ht="15" customHeight="1">
      <c r="C126" s="10"/>
      <c r="D126" s="26"/>
      <c r="E126" s="215"/>
      <c r="F126" s="215"/>
      <c r="G126" s="203"/>
      <c r="H126" s="203"/>
      <c r="I126" s="203"/>
      <c r="J126" s="203"/>
      <c r="K126" s="203"/>
      <c r="L126" s="203"/>
      <c r="M126" s="203"/>
      <c r="N126" s="203"/>
      <c r="O126" s="203"/>
      <c r="P126" s="203"/>
      <c r="Q126" s="203"/>
      <c r="R126" s="203"/>
      <c r="S126" s="203"/>
      <c r="T126" s="203"/>
      <c r="U126" s="203"/>
      <c r="V126" s="203"/>
      <c r="W126" s="203"/>
      <c r="X126" s="203"/>
      <c r="Y126" s="203"/>
      <c r="Z126" s="203"/>
      <c r="AA126" s="203"/>
      <c r="AB126" s="203"/>
      <c r="AC126" s="203"/>
      <c r="AD126" s="203"/>
      <c r="AE126" s="203"/>
      <c r="AF126" s="203"/>
    </row>
    <row r="127" spans="2:32" ht="15" customHeight="1">
      <c r="C127" s="10"/>
      <c r="D127" s="26"/>
      <c r="E127" s="215"/>
      <c r="F127" s="215"/>
      <c r="G127" s="203"/>
      <c r="H127" s="203"/>
      <c r="I127" s="203"/>
      <c r="J127" s="203"/>
      <c r="K127" s="203"/>
      <c r="L127" s="203"/>
      <c r="M127" s="203"/>
      <c r="N127" s="203"/>
      <c r="O127" s="203"/>
      <c r="P127" s="203"/>
      <c r="Q127" s="203"/>
      <c r="R127" s="203"/>
      <c r="S127" s="203"/>
      <c r="T127" s="203"/>
      <c r="U127" s="203"/>
      <c r="V127" s="203"/>
      <c r="W127" s="203"/>
      <c r="X127" s="203"/>
      <c r="Y127" s="203"/>
      <c r="Z127" s="203"/>
      <c r="AA127" s="203"/>
      <c r="AB127" s="203"/>
      <c r="AC127" s="203"/>
      <c r="AD127" s="203"/>
      <c r="AE127" s="203"/>
      <c r="AF127" s="203"/>
    </row>
    <row r="128" spans="2:32" ht="15" customHeight="1">
      <c r="C128" s="10"/>
      <c r="D128" s="26"/>
      <c r="E128" s="215"/>
      <c r="F128" s="215"/>
      <c r="G128" s="203"/>
      <c r="H128" s="203"/>
      <c r="I128" s="203"/>
      <c r="J128" s="203"/>
      <c r="K128" s="203"/>
      <c r="L128" s="203"/>
      <c r="M128" s="203"/>
      <c r="N128" s="203"/>
      <c r="O128" s="203"/>
      <c r="P128" s="203"/>
      <c r="Q128" s="203"/>
      <c r="R128" s="203"/>
      <c r="S128" s="203"/>
      <c r="T128" s="203"/>
      <c r="U128" s="203"/>
      <c r="V128" s="203"/>
      <c r="W128" s="203"/>
      <c r="X128" s="203"/>
      <c r="Y128" s="203"/>
      <c r="Z128" s="203"/>
      <c r="AA128" s="203"/>
      <c r="AB128" s="203"/>
      <c r="AC128" s="203"/>
      <c r="AD128" s="203"/>
      <c r="AE128" s="203"/>
      <c r="AF128" s="203"/>
    </row>
    <row r="129" spans="2:32" ht="15" customHeight="1">
      <c r="C129" s="10"/>
      <c r="D129" s="26"/>
      <c r="E129" s="215"/>
      <c r="F129" s="215"/>
      <c r="G129" s="203"/>
      <c r="H129" s="203"/>
      <c r="I129" s="203"/>
      <c r="J129" s="203"/>
      <c r="K129" s="203"/>
      <c r="L129" s="203"/>
      <c r="M129" s="203"/>
      <c r="N129" s="203"/>
      <c r="O129" s="203"/>
      <c r="P129" s="203"/>
      <c r="Q129" s="203"/>
      <c r="R129" s="203"/>
      <c r="S129" s="203"/>
      <c r="T129" s="203"/>
      <c r="U129" s="203"/>
      <c r="V129" s="203"/>
      <c r="W129" s="203"/>
      <c r="X129" s="203"/>
      <c r="Y129" s="203"/>
      <c r="Z129" s="203"/>
      <c r="AA129" s="203"/>
      <c r="AB129" s="203"/>
      <c r="AC129" s="203"/>
      <c r="AD129" s="203"/>
      <c r="AE129" s="203"/>
      <c r="AF129" s="203"/>
    </row>
    <row r="130" spans="2:32" ht="15" customHeight="1">
      <c r="C130" s="10"/>
      <c r="D130" s="26"/>
      <c r="E130" s="215"/>
      <c r="F130" s="215"/>
      <c r="G130" s="203"/>
      <c r="H130" s="203"/>
      <c r="I130" s="203"/>
      <c r="J130" s="203"/>
      <c r="K130" s="203"/>
      <c r="L130" s="203"/>
      <c r="M130" s="203"/>
      <c r="N130" s="203"/>
      <c r="O130" s="203"/>
      <c r="P130" s="203"/>
      <c r="Q130" s="203"/>
      <c r="R130" s="203"/>
      <c r="S130" s="203"/>
      <c r="T130" s="203"/>
      <c r="U130" s="203"/>
      <c r="V130" s="203"/>
      <c r="W130" s="203"/>
      <c r="X130" s="203"/>
      <c r="Y130" s="203"/>
      <c r="Z130" s="203"/>
      <c r="AA130" s="203"/>
      <c r="AB130" s="203"/>
      <c r="AC130" s="203"/>
      <c r="AD130" s="203"/>
      <c r="AE130" s="203"/>
      <c r="AF130" s="203"/>
    </row>
    <row r="131" spans="2:32" ht="15" customHeight="1">
      <c r="C131" s="10"/>
      <c r="D131" s="26"/>
      <c r="E131" s="215"/>
      <c r="F131" s="215"/>
      <c r="G131" s="203"/>
      <c r="H131" s="203"/>
      <c r="I131" s="203"/>
      <c r="J131" s="203"/>
      <c r="K131" s="203"/>
      <c r="L131" s="203"/>
      <c r="M131" s="203"/>
      <c r="N131" s="203"/>
      <c r="O131" s="203"/>
      <c r="P131" s="203"/>
      <c r="Q131" s="203"/>
      <c r="R131" s="203"/>
      <c r="S131" s="203"/>
      <c r="T131" s="203"/>
      <c r="U131" s="203"/>
      <c r="V131" s="203"/>
      <c r="W131" s="203"/>
      <c r="X131" s="203"/>
      <c r="Y131" s="203"/>
      <c r="Z131" s="203"/>
      <c r="AA131" s="203"/>
      <c r="AB131" s="203"/>
      <c r="AC131" s="203"/>
      <c r="AD131" s="203"/>
      <c r="AE131" s="203"/>
      <c r="AF131" s="203"/>
    </row>
    <row r="132" spans="2:32" ht="15" customHeight="1">
      <c r="C132" s="10"/>
      <c r="D132" s="26"/>
      <c r="E132" s="215"/>
      <c r="F132" s="215"/>
      <c r="G132" s="203"/>
      <c r="H132" s="203"/>
      <c r="I132" s="203"/>
      <c r="J132" s="203"/>
      <c r="K132" s="203"/>
      <c r="L132" s="203"/>
      <c r="M132" s="203"/>
      <c r="N132" s="203"/>
      <c r="O132" s="203"/>
      <c r="P132" s="203"/>
      <c r="Q132" s="203"/>
      <c r="R132" s="203"/>
      <c r="S132" s="203"/>
      <c r="T132" s="203"/>
      <c r="U132" s="203"/>
      <c r="V132" s="203"/>
      <c r="W132" s="203"/>
      <c r="X132" s="203"/>
      <c r="Y132" s="203"/>
      <c r="Z132" s="203"/>
      <c r="AA132" s="203"/>
      <c r="AB132" s="203"/>
      <c r="AC132" s="203"/>
      <c r="AD132" s="203"/>
      <c r="AE132" s="203"/>
      <c r="AF132" s="203"/>
    </row>
    <row r="133" spans="2:32" ht="15" customHeight="1">
      <c r="C133" s="10"/>
      <c r="D133" s="26"/>
      <c r="E133" s="215"/>
      <c r="F133" s="215"/>
      <c r="G133" s="203"/>
      <c r="H133" s="203"/>
      <c r="I133" s="203"/>
      <c r="J133" s="203"/>
      <c r="K133" s="203"/>
      <c r="L133" s="203"/>
      <c r="M133" s="203"/>
      <c r="N133" s="203"/>
      <c r="O133" s="203"/>
      <c r="P133" s="203"/>
      <c r="Q133" s="203"/>
      <c r="R133" s="203"/>
      <c r="S133" s="203"/>
      <c r="T133" s="203"/>
      <c r="U133" s="203"/>
      <c r="V133" s="203"/>
      <c r="W133" s="203"/>
      <c r="X133" s="203"/>
      <c r="Y133" s="203"/>
      <c r="Z133" s="203"/>
      <c r="AA133" s="203"/>
      <c r="AB133" s="203"/>
      <c r="AC133" s="203"/>
      <c r="AD133" s="203"/>
      <c r="AE133" s="203"/>
      <c r="AF133" s="203"/>
    </row>
    <row r="134" spans="2:32" ht="15" customHeight="1">
      <c r="C134" s="10"/>
      <c r="D134" s="26"/>
      <c r="E134" s="215"/>
      <c r="F134" s="215"/>
      <c r="G134" s="203"/>
      <c r="H134" s="203"/>
      <c r="I134" s="203"/>
      <c r="J134" s="203"/>
      <c r="K134" s="203"/>
      <c r="L134" s="203"/>
      <c r="M134" s="203"/>
      <c r="N134" s="203"/>
      <c r="O134" s="203"/>
      <c r="P134" s="203"/>
      <c r="Q134" s="203"/>
      <c r="R134" s="203"/>
      <c r="S134" s="203"/>
      <c r="T134" s="203"/>
      <c r="U134" s="203"/>
      <c r="V134" s="203"/>
      <c r="W134" s="203"/>
      <c r="X134" s="203"/>
      <c r="Y134" s="203"/>
      <c r="Z134" s="203"/>
      <c r="AA134" s="203"/>
      <c r="AB134" s="203"/>
      <c r="AC134" s="203"/>
      <c r="AD134" s="203"/>
      <c r="AE134" s="203"/>
      <c r="AF134" s="203"/>
    </row>
    <row r="135" spans="2:32" ht="15" customHeight="1">
      <c r="C135" s="10"/>
      <c r="D135" s="26"/>
      <c r="E135" s="215"/>
      <c r="F135" s="215"/>
      <c r="G135" s="203"/>
      <c r="H135" s="203"/>
      <c r="I135" s="203"/>
      <c r="J135" s="203"/>
      <c r="K135" s="203"/>
      <c r="L135" s="203"/>
      <c r="M135" s="203"/>
      <c r="N135" s="203"/>
      <c r="O135" s="203"/>
      <c r="P135" s="203"/>
      <c r="Q135" s="203"/>
      <c r="R135" s="203"/>
      <c r="S135" s="203"/>
      <c r="T135" s="203"/>
      <c r="U135" s="203"/>
      <c r="V135" s="203"/>
      <c r="W135" s="203"/>
      <c r="X135" s="203"/>
      <c r="Y135" s="203"/>
      <c r="Z135" s="203"/>
      <c r="AA135" s="203"/>
      <c r="AB135" s="203"/>
      <c r="AC135" s="203"/>
      <c r="AD135" s="203"/>
      <c r="AE135" s="203"/>
      <c r="AF135" s="203"/>
    </row>
    <row r="136" spans="2:32" ht="15" customHeight="1">
      <c r="C136" s="10"/>
      <c r="D136" s="26"/>
      <c r="E136" s="215"/>
      <c r="F136" s="215"/>
      <c r="G136" s="203"/>
      <c r="H136" s="203"/>
      <c r="I136" s="203"/>
      <c r="J136" s="203"/>
      <c r="K136" s="203"/>
      <c r="L136" s="203"/>
      <c r="M136" s="203"/>
      <c r="N136" s="203"/>
      <c r="O136" s="203"/>
      <c r="P136" s="203"/>
      <c r="Q136" s="203"/>
      <c r="R136" s="203"/>
      <c r="S136" s="203"/>
      <c r="T136" s="203"/>
      <c r="U136" s="203"/>
      <c r="V136" s="203"/>
      <c r="W136" s="203"/>
      <c r="X136" s="203"/>
      <c r="Y136" s="203"/>
      <c r="Z136" s="203"/>
      <c r="AA136" s="203"/>
      <c r="AB136" s="203"/>
      <c r="AC136" s="203"/>
      <c r="AD136" s="203"/>
      <c r="AE136" s="203"/>
      <c r="AF136" s="203"/>
    </row>
    <row r="137" spans="2:32" ht="15" customHeight="1">
      <c r="C137" s="10"/>
      <c r="D137" s="26"/>
      <c r="E137" s="215"/>
      <c r="F137" s="215"/>
      <c r="G137" s="203"/>
      <c r="H137" s="203"/>
      <c r="I137" s="203"/>
      <c r="J137" s="203"/>
      <c r="K137" s="203"/>
      <c r="L137" s="203"/>
      <c r="M137" s="203"/>
      <c r="N137" s="203"/>
      <c r="O137" s="203"/>
      <c r="P137" s="203"/>
      <c r="Q137" s="203"/>
      <c r="R137" s="203"/>
      <c r="S137" s="203"/>
      <c r="T137" s="203"/>
      <c r="U137" s="203"/>
      <c r="V137" s="203"/>
      <c r="W137" s="203"/>
      <c r="X137" s="203"/>
      <c r="Y137" s="203"/>
      <c r="Z137" s="203"/>
      <c r="AA137" s="203"/>
      <c r="AB137" s="203"/>
      <c r="AC137" s="203"/>
      <c r="AD137" s="203"/>
      <c r="AE137" s="203"/>
      <c r="AF137" s="203"/>
    </row>
    <row r="138" spans="2:32" ht="15" customHeight="1">
      <c r="C138" s="10"/>
      <c r="D138" s="26"/>
      <c r="E138" s="215"/>
      <c r="F138" s="215"/>
      <c r="G138" s="203"/>
      <c r="H138" s="203"/>
      <c r="I138" s="203"/>
      <c r="J138" s="203"/>
      <c r="K138" s="203"/>
      <c r="L138" s="203"/>
      <c r="M138" s="203"/>
      <c r="N138" s="203"/>
      <c r="O138" s="203"/>
      <c r="P138" s="203"/>
      <c r="Q138" s="203"/>
      <c r="R138" s="203"/>
      <c r="S138" s="203"/>
      <c r="T138" s="203"/>
      <c r="U138" s="203"/>
      <c r="V138" s="203"/>
      <c r="W138" s="203"/>
      <c r="X138" s="203"/>
      <c r="Y138" s="203"/>
      <c r="Z138" s="203"/>
      <c r="AA138" s="203"/>
      <c r="AB138" s="203"/>
      <c r="AC138" s="203"/>
      <c r="AD138" s="203"/>
      <c r="AE138" s="203"/>
      <c r="AF138" s="203"/>
    </row>
    <row r="139" spans="2:32" ht="15" customHeight="1">
      <c r="C139" s="10"/>
      <c r="D139" s="26"/>
      <c r="E139" s="215"/>
      <c r="F139" s="215"/>
      <c r="G139" s="203"/>
      <c r="H139" s="203"/>
      <c r="I139" s="203"/>
      <c r="J139" s="203"/>
      <c r="K139" s="203"/>
      <c r="L139" s="203"/>
      <c r="M139" s="203"/>
      <c r="N139" s="203"/>
      <c r="O139" s="203"/>
      <c r="P139" s="203"/>
      <c r="Q139" s="203"/>
      <c r="R139" s="203"/>
      <c r="S139" s="203"/>
      <c r="T139" s="203"/>
      <c r="U139" s="203"/>
      <c r="V139" s="203"/>
      <c r="W139" s="203"/>
      <c r="X139" s="203"/>
      <c r="Y139" s="203"/>
      <c r="Z139" s="203"/>
      <c r="AA139" s="203"/>
      <c r="AB139" s="203"/>
      <c r="AC139" s="203"/>
      <c r="AD139" s="203"/>
      <c r="AE139" s="203"/>
      <c r="AF139" s="203"/>
    </row>
    <row r="140" spans="2:32" ht="15" customHeight="1">
      <c r="C140" s="10"/>
      <c r="D140" s="26"/>
      <c r="E140" s="215"/>
      <c r="F140" s="215"/>
      <c r="G140" s="203"/>
      <c r="H140" s="203"/>
      <c r="I140" s="203"/>
      <c r="J140" s="203"/>
      <c r="K140" s="203"/>
      <c r="L140" s="203"/>
      <c r="M140" s="203"/>
      <c r="N140" s="203"/>
      <c r="O140" s="203"/>
      <c r="P140" s="203"/>
      <c r="Q140" s="203"/>
      <c r="R140" s="203"/>
      <c r="S140" s="203"/>
      <c r="T140" s="203"/>
      <c r="U140" s="203"/>
      <c r="V140" s="203"/>
      <c r="W140" s="203"/>
      <c r="X140" s="203"/>
      <c r="Y140" s="203"/>
      <c r="Z140" s="203"/>
      <c r="AA140" s="203"/>
      <c r="AB140" s="203"/>
      <c r="AC140" s="203"/>
      <c r="AD140" s="203"/>
      <c r="AE140" s="203"/>
      <c r="AF140" s="203"/>
    </row>
    <row r="141" spans="2:32" ht="15" customHeight="1">
      <c r="C141" s="10"/>
      <c r="D141" s="26"/>
      <c r="E141" s="215"/>
      <c r="F141" s="215"/>
      <c r="G141" s="203"/>
      <c r="H141" s="203"/>
      <c r="I141" s="203"/>
      <c r="J141" s="203"/>
      <c r="K141" s="203"/>
      <c r="L141" s="203"/>
      <c r="M141" s="203"/>
      <c r="N141" s="203"/>
      <c r="O141" s="203"/>
      <c r="P141" s="203"/>
      <c r="Q141" s="203"/>
      <c r="R141" s="203"/>
      <c r="S141" s="203"/>
      <c r="T141" s="203"/>
      <c r="U141" s="203"/>
      <c r="V141" s="203"/>
      <c r="W141" s="203"/>
      <c r="X141" s="203"/>
      <c r="Y141" s="203"/>
      <c r="Z141" s="203"/>
      <c r="AA141" s="203"/>
      <c r="AB141" s="203"/>
      <c r="AC141" s="203"/>
      <c r="AD141" s="203"/>
      <c r="AE141" s="203"/>
      <c r="AF141" s="203"/>
    </row>
    <row r="142" spans="2:32" ht="15" customHeight="1">
      <c r="C142" s="10"/>
    </row>
    <row r="143" spans="2:32" ht="15" customHeight="1">
      <c r="B143" s="315"/>
      <c r="C143" s="10"/>
      <c r="D143" s="26"/>
      <c r="E143" s="215"/>
      <c r="F143" s="215"/>
      <c r="G143" s="203"/>
      <c r="H143" s="203"/>
      <c r="I143" s="203"/>
      <c r="J143" s="203"/>
      <c r="K143" s="203"/>
      <c r="L143" s="203"/>
      <c r="M143" s="203"/>
      <c r="N143" s="203"/>
      <c r="O143" s="203"/>
      <c r="P143" s="203"/>
      <c r="Q143" s="203"/>
      <c r="R143" s="203"/>
      <c r="S143" s="203"/>
      <c r="T143" s="203"/>
      <c r="U143" s="203"/>
      <c r="V143" s="203"/>
      <c r="W143" s="203"/>
      <c r="X143" s="203"/>
      <c r="Y143" s="203"/>
      <c r="Z143" s="203"/>
      <c r="AA143" s="203"/>
      <c r="AB143" s="203"/>
      <c r="AC143" s="203"/>
      <c r="AD143" s="203"/>
      <c r="AE143" s="203"/>
      <c r="AF143" s="203"/>
    </row>
    <row r="144" spans="2:32" ht="15" customHeight="1">
      <c r="C144" s="10"/>
      <c r="D144" s="26"/>
      <c r="E144" s="215"/>
      <c r="F144" s="215"/>
      <c r="G144" s="203"/>
      <c r="H144" s="203"/>
      <c r="I144" s="203"/>
      <c r="J144" s="203"/>
      <c r="K144" s="203"/>
      <c r="L144" s="203"/>
      <c r="M144" s="203"/>
      <c r="N144" s="203"/>
      <c r="O144" s="203"/>
      <c r="P144" s="203"/>
      <c r="Q144" s="203"/>
      <c r="R144" s="203"/>
      <c r="S144" s="203"/>
      <c r="T144" s="203"/>
      <c r="U144" s="203"/>
      <c r="V144" s="203"/>
      <c r="W144" s="203"/>
      <c r="X144" s="203"/>
      <c r="Y144" s="203"/>
      <c r="Z144" s="203"/>
      <c r="AA144" s="203"/>
      <c r="AB144" s="203"/>
      <c r="AC144" s="203"/>
      <c r="AD144" s="203"/>
      <c r="AE144" s="203"/>
      <c r="AF144" s="203"/>
    </row>
    <row r="145" spans="3:32" ht="15" customHeight="1">
      <c r="C145" s="10"/>
      <c r="D145" s="26"/>
      <c r="E145" s="215"/>
      <c r="F145" s="215"/>
      <c r="G145" s="203"/>
      <c r="H145" s="203"/>
      <c r="I145" s="203"/>
      <c r="J145" s="203"/>
      <c r="K145" s="203"/>
      <c r="L145" s="203"/>
      <c r="M145" s="203"/>
      <c r="N145" s="203"/>
      <c r="O145" s="203"/>
      <c r="P145" s="203"/>
      <c r="Q145" s="203"/>
      <c r="R145" s="203"/>
      <c r="S145" s="203"/>
      <c r="T145" s="203"/>
      <c r="U145" s="203"/>
      <c r="V145" s="203"/>
      <c r="W145" s="203"/>
      <c r="X145" s="203"/>
      <c r="Y145" s="203"/>
      <c r="Z145" s="203"/>
      <c r="AA145" s="203"/>
      <c r="AB145" s="203"/>
      <c r="AC145" s="203"/>
      <c r="AD145" s="203"/>
      <c r="AE145" s="203"/>
      <c r="AF145" s="203"/>
    </row>
    <row r="146" spans="3:32" ht="15" customHeight="1">
      <c r="C146" s="10"/>
      <c r="D146" s="26"/>
      <c r="E146" s="215"/>
      <c r="F146" s="215"/>
      <c r="G146" s="203"/>
      <c r="H146" s="203"/>
      <c r="I146" s="203"/>
      <c r="J146" s="203"/>
      <c r="K146" s="203"/>
      <c r="L146" s="203"/>
      <c r="M146" s="203"/>
      <c r="N146" s="203"/>
      <c r="O146" s="203"/>
      <c r="P146" s="203"/>
      <c r="Q146" s="203"/>
      <c r="R146" s="203"/>
      <c r="S146" s="203"/>
      <c r="T146" s="203"/>
      <c r="U146" s="203"/>
      <c r="V146" s="203"/>
      <c r="W146" s="203"/>
      <c r="X146" s="203"/>
      <c r="Y146" s="203"/>
      <c r="Z146" s="203"/>
      <c r="AA146" s="203"/>
      <c r="AB146" s="203"/>
      <c r="AC146" s="203"/>
      <c r="AD146" s="203"/>
      <c r="AE146" s="203"/>
      <c r="AF146" s="203"/>
    </row>
    <row r="147" spans="3:32" ht="15" customHeight="1">
      <c r="C147" s="10"/>
      <c r="D147" s="26"/>
      <c r="E147" s="215"/>
      <c r="F147" s="215"/>
      <c r="G147" s="203"/>
      <c r="H147" s="203"/>
      <c r="I147" s="203"/>
      <c r="J147" s="203"/>
      <c r="K147" s="203"/>
      <c r="L147" s="203"/>
      <c r="M147" s="203"/>
      <c r="N147" s="203"/>
      <c r="O147" s="203"/>
      <c r="P147" s="203"/>
      <c r="Q147" s="203"/>
      <c r="R147" s="203"/>
      <c r="S147" s="203"/>
      <c r="T147" s="203"/>
      <c r="U147" s="203"/>
      <c r="V147" s="203"/>
      <c r="W147" s="203"/>
      <c r="X147" s="203"/>
      <c r="Y147" s="203"/>
      <c r="Z147" s="203"/>
      <c r="AA147" s="203"/>
      <c r="AB147" s="203"/>
      <c r="AC147" s="203"/>
      <c r="AD147" s="203"/>
      <c r="AE147" s="203"/>
      <c r="AF147" s="203"/>
    </row>
    <row r="148" spans="3:32" ht="15" customHeight="1">
      <c r="C148" s="10"/>
      <c r="D148" s="26"/>
      <c r="E148" s="215"/>
      <c r="F148" s="215"/>
      <c r="G148" s="203"/>
      <c r="H148" s="203"/>
      <c r="I148" s="203"/>
      <c r="J148" s="203"/>
      <c r="K148" s="203"/>
      <c r="L148" s="203"/>
      <c r="M148" s="203"/>
      <c r="N148" s="203"/>
      <c r="O148" s="203"/>
      <c r="P148" s="203"/>
      <c r="Q148" s="203"/>
      <c r="R148" s="203"/>
      <c r="S148" s="203"/>
      <c r="T148" s="203"/>
      <c r="U148" s="203"/>
      <c r="V148" s="203"/>
      <c r="W148" s="203"/>
      <c r="X148" s="203"/>
      <c r="Y148" s="203"/>
      <c r="Z148" s="203"/>
      <c r="AA148" s="203"/>
      <c r="AB148" s="203"/>
      <c r="AC148" s="203"/>
      <c r="AD148" s="203"/>
      <c r="AE148" s="203"/>
      <c r="AF148" s="203"/>
    </row>
    <row r="149" spans="3:32" ht="15" customHeight="1">
      <c r="C149" s="10"/>
      <c r="D149" s="26"/>
      <c r="E149" s="215"/>
      <c r="F149" s="215"/>
      <c r="G149" s="203"/>
      <c r="H149" s="203"/>
      <c r="I149" s="203"/>
      <c r="J149" s="203"/>
      <c r="K149" s="203"/>
      <c r="L149" s="203"/>
      <c r="M149" s="203"/>
      <c r="N149" s="203"/>
      <c r="O149" s="203"/>
      <c r="P149" s="203"/>
      <c r="Q149" s="203"/>
      <c r="R149" s="203"/>
      <c r="S149" s="203"/>
      <c r="T149" s="203"/>
      <c r="U149" s="203"/>
      <c r="V149" s="203"/>
      <c r="W149" s="203"/>
      <c r="X149" s="203"/>
      <c r="Y149" s="203"/>
      <c r="Z149" s="203"/>
      <c r="AA149" s="203"/>
      <c r="AB149" s="203"/>
      <c r="AC149" s="203"/>
      <c r="AD149" s="203"/>
      <c r="AE149" s="203"/>
      <c r="AF149" s="203"/>
    </row>
    <row r="150" spans="3:32" ht="15" customHeight="1">
      <c r="C150" s="10"/>
      <c r="D150" s="26"/>
      <c r="E150" s="215"/>
      <c r="F150" s="215"/>
      <c r="G150" s="203"/>
      <c r="H150" s="203"/>
      <c r="I150" s="203"/>
      <c r="J150" s="203"/>
      <c r="K150" s="203"/>
      <c r="L150" s="203"/>
      <c r="M150" s="203"/>
      <c r="N150" s="203"/>
      <c r="O150" s="203"/>
      <c r="P150" s="203"/>
      <c r="Q150" s="203"/>
      <c r="R150" s="203"/>
      <c r="S150" s="203"/>
      <c r="T150" s="203"/>
      <c r="U150" s="203"/>
      <c r="V150" s="203"/>
      <c r="W150" s="203"/>
      <c r="X150" s="203"/>
      <c r="Y150" s="203"/>
      <c r="Z150" s="203"/>
      <c r="AA150" s="203"/>
      <c r="AB150" s="203"/>
      <c r="AC150" s="203"/>
      <c r="AD150" s="203"/>
      <c r="AE150" s="203"/>
      <c r="AF150" s="203"/>
    </row>
    <row r="151" spans="3:32" ht="15" customHeight="1">
      <c r="C151" s="10"/>
      <c r="D151" s="26"/>
      <c r="E151" s="215"/>
      <c r="F151" s="215"/>
      <c r="G151" s="203"/>
      <c r="H151" s="203"/>
      <c r="I151" s="203"/>
      <c r="J151" s="203"/>
      <c r="K151" s="203"/>
      <c r="L151" s="203"/>
      <c r="M151" s="203"/>
      <c r="N151" s="203"/>
      <c r="O151" s="203"/>
      <c r="P151" s="203"/>
      <c r="Q151" s="203"/>
      <c r="R151" s="203"/>
      <c r="S151" s="203"/>
      <c r="T151" s="203"/>
      <c r="U151" s="203"/>
      <c r="V151" s="203"/>
      <c r="W151" s="203"/>
      <c r="X151" s="203"/>
      <c r="Y151" s="203"/>
      <c r="Z151" s="203"/>
      <c r="AA151" s="203"/>
      <c r="AB151" s="203"/>
      <c r="AC151" s="203"/>
      <c r="AD151" s="203"/>
      <c r="AE151" s="203"/>
      <c r="AF151" s="203"/>
    </row>
    <row r="152" spans="3:32" ht="15" customHeight="1">
      <c r="C152" s="10"/>
      <c r="D152" s="26"/>
      <c r="E152" s="215"/>
      <c r="F152" s="215"/>
      <c r="G152" s="203"/>
      <c r="H152" s="203"/>
      <c r="I152" s="203"/>
      <c r="J152" s="203"/>
      <c r="K152" s="203"/>
      <c r="L152" s="203"/>
      <c r="M152" s="203"/>
      <c r="N152" s="203"/>
      <c r="O152" s="203"/>
      <c r="P152" s="203"/>
      <c r="Q152" s="203"/>
      <c r="R152" s="203"/>
      <c r="S152" s="203"/>
      <c r="T152" s="203"/>
      <c r="U152" s="203"/>
      <c r="V152" s="203"/>
      <c r="W152" s="203"/>
      <c r="X152" s="203"/>
      <c r="Y152" s="203"/>
      <c r="Z152" s="203"/>
      <c r="AA152" s="203"/>
      <c r="AB152" s="203"/>
      <c r="AC152" s="203"/>
      <c r="AD152" s="203"/>
      <c r="AE152" s="203"/>
      <c r="AF152" s="203"/>
    </row>
    <row r="153" spans="3:32" ht="15" customHeight="1">
      <c r="C153" s="10"/>
      <c r="D153" s="26"/>
      <c r="E153" s="215"/>
      <c r="F153" s="215"/>
      <c r="G153" s="203"/>
      <c r="H153" s="203"/>
      <c r="I153" s="203"/>
      <c r="J153" s="203"/>
      <c r="K153" s="203"/>
      <c r="L153" s="203"/>
      <c r="M153" s="203"/>
      <c r="N153" s="203"/>
      <c r="O153" s="203"/>
      <c r="P153" s="203"/>
      <c r="Q153" s="203"/>
      <c r="R153" s="203"/>
      <c r="S153" s="203"/>
      <c r="T153" s="203"/>
      <c r="U153" s="203"/>
      <c r="V153" s="203"/>
      <c r="W153" s="203"/>
      <c r="X153" s="203"/>
      <c r="Y153" s="203"/>
      <c r="Z153" s="203"/>
      <c r="AA153" s="203"/>
      <c r="AB153" s="203"/>
      <c r="AC153" s="203"/>
      <c r="AD153" s="203"/>
      <c r="AE153" s="203"/>
      <c r="AF153" s="203"/>
    </row>
    <row r="154" spans="3:32" ht="15" customHeight="1">
      <c r="C154" s="10"/>
      <c r="D154" s="26"/>
      <c r="E154" s="215"/>
      <c r="F154" s="215"/>
      <c r="G154" s="203"/>
      <c r="H154" s="203"/>
      <c r="I154" s="203"/>
      <c r="J154" s="203"/>
      <c r="K154" s="203"/>
      <c r="L154" s="203"/>
      <c r="M154" s="203"/>
      <c r="N154" s="203"/>
      <c r="O154" s="203"/>
      <c r="P154" s="203"/>
      <c r="Q154" s="203"/>
      <c r="R154" s="203"/>
      <c r="S154" s="203"/>
      <c r="T154" s="203"/>
      <c r="U154" s="203"/>
      <c r="V154" s="203"/>
      <c r="W154" s="203"/>
      <c r="X154" s="203"/>
      <c r="Y154" s="203"/>
      <c r="Z154" s="203"/>
      <c r="AA154" s="203"/>
      <c r="AB154" s="203"/>
      <c r="AC154" s="203"/>
      <c r="AD154" s="203"/>
      <c r="AE154" s="203"/>
      <c r="AF154" s="203"/>
    </row>
    <row r="155" spans="3:32" ht="15" customHeight="1">
      <c r="C155" s="10"/>
      <c r="D155" s="26"/>
      <c r="E155" s="215"/>
      <c r="F155" s="215"/>
      <c r="G155" s="203"/>
      <c r="H155" s="203"/>
      <c r="I155" s="203"/>
      <c r="J155" s="203"/>
      <c r="K155" s="203"/>
      <c r="L155" s="203"/>
      <c r="M155" s="203"/>
      <c r="N155" s="203"/>
      <c r="O155" s="203"/>
      <c r="P155" s="203"/>
      <c r="Q155" s="203"/>
      <c r="R155" s="203"/>
      <c r="S155" s="203"/>
      <c r="T155" s="203"/>
      <c r="U155" s="203"/>
      <c r="V155" s="203"/>
      <c r="W155" s="203"/>
      <c r="X155" s="203"/>
      <c r="Y155" s="203"/>
      <c r="Z155" s="203"/>
      <c r="AA155" s="203"/>
      <c r="AB155" s="203"/>
      <c r="AC155" s="203"/>
      <c r="AD155" s="203"/>
      <c r="AE155" s="203"/>
      <c r="AF155" s="203"/>
    </row>
    <row r="156" spans="3:32" ht="15" customHeight="1">
      <c r="C156" s="10"/>
      <c r="D156" s="26"/>
      <c r="E156" s="215"/>
      <c r="F156" s="215"/>
      <c r="G156" s="203"/>
      <c r="H156" s="203"/>
      <c r="I156" s="203"/>
      <c r="J156" s="203"/>
      <c r="K156" s="203"/>
      <c r="L156" s="203"/>
      <c r="M156" s="203"/>
      <c r="N156" s="203"/>
      <c r="O156" s="203"/>
      <c r="P156" s="203"/>
      <c r="Q156" s="203"/>
      <c r="R156" s="203"/>
      <c r="S156" s="203"/>
      <c r="T156" s="203"/>
      <c r="U156" s="203"/>
      <c r="V156" s="203"/>
      <c r="W156" s="203"/>
      <c r="X156" s="203"/>
      <c r="Y156" s="203"/>
      <c r="Z156" s="203"/>
      <c r="AA156" s="203"/>
      <c r="AB156" s="203"/>
      <c r="AC156" s="203"/>
      <c r="AD156" s="203"/>
      <c r="AE156" s="203"/>
      <c r="AF156" s="203"/>
    </row>
    <row r="157" spans="3:32" ht="15" customHeight="1">
      <c r="C157" s="10"/>
      <c r="D157" s="26"/>
      <c r="E157" s="215"/>
      <c r="F157" s="215"/>
      <c r="G157" s="203"/>
      <c r="H157" s="203"/>
      <c r="I157" s="203"/>
      <c r="J157" s="203"/>
      <c r="K157" s="203"/>
      <c r="L157" s="203"/>
      <c r="M157" s="203"/>
      <c r="N157" s="203"/>
      <c r="O157" s="203"/>
      <c r="P157" s="203"/>
      <c r="Q157" s="203"/>
      <c r="R157" s="203"/>
      <c r="S157" s="203"/>
      <c r="T157" s="203"/>
      <c r="U157" s="203"/>
      <c r="V157" s="203"/>
      <c r="W157" s="203"/>
      <c r="X157" s="203"/>
      <c r="Y157" s="203"/>
      <c r="Z157" s="203"/>
      <c r="AA157" s="203"/>
      <c r="AB157" s="203"/>
      <c r="AC157" s="203"/>
      <c r="AD157" s="203"/>
      <c r="AE157" s="203"/>
      <c r="AF157" s="203"/>
    </row>
    <row r="158" spans="3:32" ht="15" customHeight="1">
      <c r="C158" s="10"/>
      <c r="D158" s="26"/>
      <c r="E158" s="215"/>
      <c r="F158" s="215"/>
      <c r="G158" s="203"/>
      <c r="H158" s="203"/>
      <c r="I158" s="203"/>
      <c r="J158" s="203"/>
      <c r="K158" s="203"/>
      <c r="L158" s="203"/>
      <c r="M158" s="203"/>
      <c r="N158" s="203"/>
      <c r="O158" s="203"/>
      <c r="P158" s="203"/>
      <c r="Q158" s="203"/>
      <c r="R158" s="203"/>
      <c r="S158" s="203"/>
      <c r="T158" s="203"/>
      <c r="U158" s="203"/>
      <c r="V158" s="203"/>
      <c r="W158" s="203"/>
      <c r="X158" s="203"/>
      <c r="Y158" s="203"/>
      <c r="Z158" s="203"/>
      <c r="AA158" s="203"/>
      <c r="AB158" s="203"/>
      <c r="AC158" s="203"/>
      <c r="AD158" s="203"/>
      <c r="AE158" s="203"/>
      <c r="AF158" s="203"/>
    </row>
    <row r="159" spans="3:32" ht="15" customHeight="1">
      <c r="C159" s="10"/>
      <c r="D159" s="26"/>
      <c r="E159" s="215"/>
      <c r="F159" s="215"/>
      <c r="G159" s="203"/>
      <c r="H159" s="203"/>
      <c r="I159" s="203"/>
      <c r="J159" s="203"/>
      <c r="K159" s="203"/>
      <c r="L159" s="203"/>
      <c r="M159" s="203"/>
      <c r="N159" s="203"/>
      <c r="O159" s="203"/>
      <c r="P159" s="203"/>
      <c r="Q159" s="203"/>
      <c r="R159" s="203"/>
      <c r="S159" s="203"/>
      <c r="T159" s="203"/>
      <c r="U159" s="203"/>
      <c r="V159" s="203"/>
      <c r="W159" s="203"/>
      <c r="X159" s="203"/>
      <c r="Y159" s="203"/>
      <c r="Z159" s="203"/>
      <c r="AA159" s="203"/>
      <c r="AB159" s="203"/>
      <c r="AC159" s="203"/>
      <c r="AD159" s="203"/>
      <c r="AE159" s="203"/>
      <c r="AF159" s="203"/>
    </row>
    <row r="160" spans="3:32" ht="15" customHeight="1">
      <c r="C160" s="10"/>
      <c r="D160" s="26"/>
      <c r="E160" s="215"/>
      <c r="F160" s="215"/>
      <c r="G160" s="203"/>
      <c r="H160" s="203"/>
      <c r="I160" s="203"/>
      <c r="J160" s="203"/>
      <c r="K160" s="203"/>
      <c r="L160" s="203"/>
      <c r="M160" s="203"/>
      <c r="N160" s="203"/>
      <c r="O160" s="203"/>
      <c r="P160" s="203"/>
      <c r="Q160" s="203"/>
      <c r="R160" s="203"/>
      <c r="S160" s="203"/>
      <c r="T160" s="203"/>
      <c r="U160" s="203"/>
      <c r="V160" s="203"/>
      <c r="W160" s="203"/>
      <c r="X160" s="203"/>
      <c r="Y160" s="203"/>
      <c r="Z160" s="203"/>
      <c r="AA160" s="203"/>
      <c r="AB160" s="203"/>
      <c r="AC160" s="203"/>
      <c r="AD160" s="203"/>
      <c r="AE160" s="203"/>
      <c r="AF160" s="203"/>
    </row>
    <row r="161" spans="2:32" ht="15" customHeight="1">
      <c r="C161" s="10"/>
      <c r="D161" s="26"/>
      <c r="E161" s="215"/>
      <c r="F161" s="215"/>
      <c r="G161" s="203"/>
      <c r="H161" s="203"/>
      <c r="I161" s="203"/>
      <c r="J161" s="203"/>
      <c r="K161" s="203"/>
      <c r="L161" s="203"/>
      <c r="M161" s="203"/>
      <c r="N161" s="203"/>
      <c r="O161" s="203"/>
      <c r="P161" s="203"/>
      <c r="Q161" s="203"/>
      <c r="R161" s="203"/>
      <c r="S161" s="203"/>
      <c r="T161" s="203"/>
      <c r="U161" s="203"/>
      <c r="V161" s="203"/>
      <c r="W161" s="203"/>
      <c r="X161" s="203"/>
      <c r="Y161" s="203"/>
      <c r="Z161" s="203"/>
      <c r="AA161" s="203"/>
      <c r="AB161" s="203"/>
      <c r="AC161" s="203"/>
      <c r="AD161" s="203"/>
      <c r="AE161" s="203"/>
      <c r="AF161" s="203"/>
    </row>
    <row r="162" spans="2:32" ht="15" customHeight="1">
      <c r="C162" s="10"/>
      <c r="D162" s="26"/>
      <c r="E162" s="215"/>
      <c r="F162" s="215"/>
      <c r="G162" s="203"/>
      <c r="H162" s="203"/>
      <c r="I162" s="203"/>
      <c r="J162" s="203"/>
      <c r="K162" s="203"/>
      <c r="L162" s="203"/>
      <c r="M162" s="203"/>
      <c r="N162" s="203"/>
      <c r="O162" s="203"/>
      <c r="P162" s="203"/>
      <c r="Q162" s="203"/>
      <c r="R162" s="203"/>
      <c r="S162" s="203"/>
      <c r="T162" s="203"/>
      <c r="U162" s="203"/>
      <c r="V162" s="203"/>
      <c r="W162" s="203"/>
      <c r="X162" s="203"/>
      <c r="Y162" s="203"/>
      <c r="Z162" s="203"/>
      <c r="AA162" s="203"/>
      <c r="AB162" s="203"/>
      <c r="AC162" s="203"/>
      <c r="AD162" s="203"/>
      <c r="AE162" s="203"/>
      <c r="AF162" s="203"/>
    </row>
    <row r="163" spans="2:32" ht="15" customHeight="1">
      <c r="C163" s="10"/>
      <c r="D163" s="26"/>
      <c r="E163" s="215"/>
      <c r="F163" s="215"/>
      <c r="G163" s="203"/>
      <c r="H163" s="203"/>
      <c r="I163" s="203"/>
      <c r="J163" s="203"/>
      <c r="K163" s="203"/>
      <c r="L163" s="203"/>
      <c r="M163" s="203"/>
      <c r="N163" s="203"/>
      <c r="O163" s="203"/>
      <c r="P163" s="203"/>
      <c r="Q163" s="203"/>
      <c r="R163" s="203"/>
      <c r="S163" s="203"/>
      <c r="T163" s="203"/>
      <c r="U163" s="203"/>
      <c r="V163" s="203"/>
      <c r="W163" s="203"/>
      <c r="X163" s="203"/>
      <c r="Y163" s="203"/>
      <c r="Z163" s="203"/>
      <c r="AA163" s="203"/>
      <c r="AB163" s="203"/>
      <c r="AC163" s="203"/>
      <c r="AD163" s="203"/>
      <c r="AE163" s="203"/>
      <c r="AF163" s="203"/>
    </row>
    <row r="164" spans="2:32" ht="15" customHeight="1">
      <c r="C164" s="10"/>
      <c r="D164" s="26"/>
      <c r="E164" s="215"/>
      <c r="F164" s="215"/>
      <c r="G164" s="203"/>
      <c r="H164" s="203"/>
      <c r="I164" s="203"/>
      <c r="J164" s="203"/>
      <c r="K164" s="203"/>
      <c r="L164" s="203"/>
      <c r="M164" s="203"/>
      <c r="N164" s="203"/>
      <c r="O164" s="203"/>
      <c r="P164" s="203"/>
      <c r="Q164" s="203"/>
      <c r="R164" s="203"/>
      <c r="S164" s="203"/>
      <c r="T164" s="203"/>
      <c r="U164" s="203"/>
      <c r="V164" s="203"/>
      <c r="W164" s="203"/>
      <c r="X164" s="203"/>
      <c r="Y164" s="203"/>
      <c r="Z164" s="203"/>
      <c r="AA164" s="203"/>
      <c r="AB164" s="203"/>
      <c r="AC164" s="203"/>
      <c r="AD164" s="203"/>
      <c r="AE164" s="203"/>
      <c r="AF164" s="203"/>
    </row>
    <row r="165" spans="2:32" ht="15" customHeight="1">
      <c r="C165" s="10"/>
      <c r="D165" s="26"/>
      <c r="E165" s="215"/>
      <c r="F165" s="215"/>
      <c r="G165" s="203"/>
      <c r="H165" s="203"/>
      <c r="I165" s="203"/>
      <c r="J165" s="203"/>
      <c r="K165" s="203"/>
      <c r="L165" s="203"/>
      <c r="M165" s="203"/>
      <c r="N165" s="203"/>
      <c r="O165" s="203"/>
      <c r="P165" s="203"/>
      <c r="Q165" s="203"/>
      <c r="R165" s="203"/>
      <c r="S165" s="203"/>
      <c r="T165" s="203"/>
      <c r="U165" s="203"/>
      <c r="V165" s="203"/>
      <c r="W165" s="203"/>
      <c r="X165" s="203"/>
      <c r="Y165" s="203"/>
      <c r="Z165" s="203"/>
      <c r="AA165" s="203"/>
      <c r="AB165" s="203"/>
      <c r="AC165" s="203"/>
      <c r="AD165" s="203"/>
      <c r="AE165" s="203"/>
      <c r="AF165" s="203"/>
    </row>
    <row r="166" spans="2:32" ht="15" customHeight="1">
      <c r="C166" s="10"/>
      <c r="D166" s="26"/>
      <c r="E166" s="215"/>
      <c r="F166" s="215"/>
      <c r="G166" s="203"/>
      <c r="H166" s="203"/>
      <c r="I166" s="203"/>
      <c r="J166" s="203"/>
      <c r="K166" s="203"/>
      <c r="L166" s="203"/>
      <c r="M166" s="203"/>
      <c r="N166" s="203"/>
      <c r="O166" s="203"/>
      <c r="P166" s="203"/>
      <c r="Q166" s="203"/>
      <c r="R166" s="203"/>
      <c r="S166" s="203"/>
      <c r="T166" s="203"/>
      <c r="U166" s="203"/>
      <c r="V166" s="203"/>
      <c r="W166" s="203"/>
      <c r="X166" s="203"/>
      <c r="Y166" s="203"/>
      <c r="Z166" s="203"/>
      <c r="AA166" s="203"/>
      <c r="AB166" s="203"/>
      <c r="AC166" s="203"/>
      <c r="AD166" s="203"/>
      <c r="AE166" s="203"/>
      <c r="AF166" s="203"/>
    </row>
    <row r="167" spans="2:32" ht="15" customHeight="1">
      <c r="C167" s="10"/>
      <c r="D167" s="26"/>
      <c r="E167" s="215"/>
      <c r="F167" s="215"/>
      <c r="G167" s="203"/>
      <c r="H167" s="203"/>
      <c r="I167" s="203"/>
      <c r="J167" s="203"/>
      <c r="K167" s="203"/>
      <c r="L167" s="203"/>
      <c r="M167" s="203"/>
      <c r="N167" s="203"/>
      <c r="O167" s="203"/>
      <c r="P167" s="203"/>
      <c r="Q167" s="203"/>
      <c r="R167" s="203"/>
      <c r="S167" s="203"/>
      <c r="T167" s="203"/>
      <c r="U167" s="203"/>
      <c r="V167" s="203"/>
      <c r="W167" s="203"/>
      <c r="X167" s="203"/>
      <c r="Y167" s="203"/>
      <c r="Z167" s="203"/>
      <c r="AA167" s="203"/>
      <c r="AB167" s="203"/>
      <c r="AC167" s="203"/>
      <c r="AD167" s="203"/>
      <c r="AE167" s="203"/>
      <c r="AF167" s="203"/>
    </row>
    <row r="168" spans="2:32" ht="15" customHeight="1">
      <c r="C168" s="10"/>
    </row>
    <row r="169" spans="2:32" ht="15" customHeight="1">
      <c r="B169" s="315"/>
      <c r="C169" s="10"/>
      <c r="D169" s="26"/>
      <c r="E169" s="215"/>
      <c r="F169" s="215"/>
      <c r="G169" s="203"/>
      <c r="H169" s="203"/>
      <c r="I169" s="203"/>
      <c r="J169" s="203"/>
      <c r="K169" s="203"/>
      <c r="L169" s="203"/>
      <c r="M169" s="203"/>
      <c r="N169" s="203"/>
      <c r="O169" s="203"/>
      <c r="P169" s="203"/>
      <c r="Q169" s="203"/>
      <c r="R169" s="203"/>
      <c r="S169" s="203"/>
      <c r="T169" s="203"/>
      <c r="U169" s="203"/>
      <c r="V169" s="203"/>
      <c r="W169" s="203"/>
      <c r="X169" s="203"/>
      <c r="Y169" s="203"/>
      <c r="Z169" s="203"/>
      <c r="AA169" s="203"/>
      <c r="AB169" s="203"/>
      <c r="AC169" s="203"/>
      <c r="AD169" s="203"/>
      <c r="AE169" s="203"/>
      <c r="AF169" s="203"/>
    </row>
    <row r="170" spans="2:32" ht="15" customHeight="1">
      <c r="C170" s="10"/>
      <c r="D170" s="26"/>
      <c r="E170" s="215"/>
      <c r="F170" s="215"/>
      <c r="G170" s="203"/>
      <c r="H170" s="203"/>
      <c r="I170" s="203"/>
      <c r="J170" s="203"/>
      <c r="K170" s="203"/>
      <c r="L170" s="203"/>
      <c r="M170" s="203"/>
      <c r="N170" s="203"/>
      <c r="O170" s="203"/>
      <c r="P170" s="203"/>
      <c r="Q170" s="203"/>
      <c r="R170" s="203"/>
      <c r="S170" s="203"/>
      <c r="T170" s="203"/>
      <c r="U170" s="203"/>
      <c r="V170" s="203"/>
      <c r="W170" s="203"/>
      <c r="X170" s="203"/>
      <c r="Y170" s="203"/>
      <c r="Z170" s="203"/>
      <c r="AA170" s="203"/>
      <c r="AB170" s="203"/>
      <c r="AC170" s="203"/>
      <c r="AD170" s="203"/>
      <c r="AE170" s="203"/>
      <c r="AF170" s="203"/>
    </row>
    <row r="171" spans="2:32" ht="15" customHeight="1">
      <c r="C171" s="10"/>
      <c r="D171" s="26"/>
      <c r="E171" s="215"/>
      <c r="F171" s="215"/>
      <c r="G171" s="203"/>
      <c r="H171" s="203"/>
      <c r="I171" s="203"/>
      <c r="J171" s="203"/>
      <c r="K171" s="203"/>
      <c r="L171" s="203"/>
      <c r="M171" s="203"/>
      <c r="N171" s="203"/>
      <c r="O171" s="203"/>
      <c r="P171" s="203"/>
      <c r="Q171" s="203"/>
      <c r="R171" s="203"/>
      <c r="S171" s="203"/>
      <c r="T171" s="203"/>
      <c r="U171" s="203"/>
      <c r="V171" s="203"/>
      <c r="W171" s="203"/>
      <c r="X171" s="203"/>
      <c r="Y171" s="203"/>
      <c r="Z171" s="203"/>
      <c r="AA171" s="203"/>
      <c r="AB171" s="203"/>
      <c r="AC171" s="203"/>
      <c r="AD171" s="203"/>
      <c r="AE171" s="203"/>
      <c r="AF171" s="203"/>
    </row>
    <row r="172" spans="2:32" ht="15" customHeight="1">
      <c r="C172" s="10"/>
      <c r="D172" s="26"/>
      <c r="E172" s="215"/>
      <c r="F172" s="215"/>
      <c r="G172" s="203"/>
      <c r="H172" s="203"/>
      <c r="I172" s="203"/>
      <c r="J172" s="203"/>
      <c r="K172" s="203"/>
      <c r="L172" s="203"/>
      <c r="M172" s="203"/>
      <c r="N172" s="203"/>
      <c r="O172" s="203"/>
      <c r="P172" s="203"/>
      <c r="Q172" s="203"/>
      <c r="R172" s="203"/>
      <c r="S172" s="203"/>
      <c r="T172" s="203"/>
      <c r="U172" s="203"/>
      <c r="V172" s="203"/>
      <c r="W172" s="203"/>
      <c r="X172" s="203"/>
      <c r="Y172" s="203"/>
      <c r="Z172" s="203"/>
      <c r="AA172" s="203"/>
      <c r="AB172" s="203"/>
      <c r="AC172" s="203"/>
      <c r="AD172" s="203"/>
      <c r="AE172" s="203"/>
      <c r="AF172" s="203"/>
    </row>
    <row r="173" spans="2:32" ht="15" customHeight="1">
      <c r="C173" s="10"/>
      <c r="D173" s="26"/>
      <c r="E173" s="215"/>
      <c r="F173" s="215"/>
      <c r="G173" s="203"/>
      <c r="H173" s="203"/>
      <c r="I173" s="203"/>
      <c r="J173" s="203"/>
      <c r="K173" s="203"/>
      <c r="L173" s="203"/>
      <c r="M173" s="203"/>
      <c r="N173" s="203"/>
      <c r="O173" s="203"/>
      <c r="P173" s="203"/>
      <c r="Q173" s="203"/>
      <c r="R173" s="203"/>
      <c r="S173" s="203"/>
      <c r="T173" s="203"/>
      <c r="U173" s="203"/>
      <c r="V173" s="203"/>
      <c r="W173" s="203"/>
      <c r="X173" s="203"/>
      <c r="Y173" s="203"/>
      <c r="Z173" s="203"/>
      <c r="AA173" s="203"/>
      <c r="AB173" s="203"/>
      <c r="AC173" s="203"/>
      <c r="AD173" s="203"/>
      <c r="AE173" s="203"/>
      <c r="AF173" s="203"/>
    </row>
    <row r="174" spans="2:32" ht="15" customHeight="1">
      <c r="C174" s="10"/>
      <c r="D174" s="26"/>
      <c r="E174" s="215"/>
      <c r="F174" s="215"/>
      <c r="G174" s="203"/>
      <c r="H174" s="203"/>
      <c r="I174" s="203"/>
      <c r="J174" s="203"/>
      <c r="K174" s="203"/>
      <c r="L174" s="203"/>
      <c r="M174" s="203"/>
      <c r="N174" s="203"/>
      <c r="O174" s="203"/>
      <c r="P174" s="203"/>
      <c r="Q174" s="203"/>
      <c r="R174" s="203"/>
      <c r="S174" s="203"/>
      <c r="T174" s="203"/>
      <c r="U174" s="203"/>
      <c r="V174" s="203"/>
      <c r="W174" s="203"/>
      <c r="X174" s="203"/>
      <c r="Y174" s="203"/>
      <c r="Z174" s="203"/>
      <c r="AA174" s="203"/>
      <c r="AB174" s="203"/>
      <c r="AC174" s="203"/>
      <c r="AD174" s="203"/>
      <c r="AE174" s="203"/>
      <c r="AF174" s="203"/>
    </row>
    <row r="175" spans="2:32" ht="15" customHeight="1">
      <c r="C175" s="10"/>
      <c r="D175" s="26"/>
      <c r="E175" s="215"/>
      <c r="F175" s="215"/>
      <c r="G175" s="203"/>
      <c r="H175" s="203"/>
      <c r="I175" s="203"/>
      <c r="J175" s="203"/>
      <c r="K175" s="203"/>
      <c r="L175" s="203"/>
      <c r="M175" s="203"/>
      <c r="N175" s="203"/>
      <c r="O175" s="203"/>
      <c r="P175" s="203"/>
      <c r="Q175" s="203"/>
      <c r="R175" s="203"/>
      <c r="S175" s="203"/>
      <c r="T175" s="203"/>
      <c r="U175" s="203"/>
      <c r="V175" s="203"/>
      <c r="W175" s="203"/>
      <c r="X175" s="203"/>
      <c r="Y175" s="203"/>
      <c r="Z175" s="203"/>
      <c r="AA175" s="203"/>
      <c r="AB175" s="203"/>
      <c r="AC175" s="203"/>
      <c r="AD175" s="203"/>
      <c r="AE175" s="203"/>
      <c r="AF175" s="203"/>
    </row>
    <row r="176" spans="2:32" ht="15" customHeight="1">
      <c r="C176" s="10"/>
      <c r="D176" s="26"/>
      <c r="E176" s="215"/>
      <c r="F176" s="215"/>
      <c r="G176" s="203"/>
      <c r="H176" s="203"/>
      <c r="I176" s="203"/>
      <c r="J176" s="203"/>
      <c r="K176" s="203"/>
      <c r="L176" s="203"/>
      <c r="M176" s="203"/>
      <c r="N176" s="203"/>
      <c r="O176" s="203"/>
      <c r="P176" s="203"/>
      <c r="Q176" s="203"/>
      <c r="R176" s="203"/>
      <c r="S176" s="203"/>
      <c r="T176" s="203"/>
      <c r="U176" s="203"/>
      <c r="V176" s="203"/>
      <c r="W176" s="203"/>
      <c r="X176" s="203"/>
      <c r="Y176" s="203"/>
      <c r="Z176" s="203"/>
      <c r="AA176" s="203"/>
      <c r="AB176" s="203"/>
      <c r="AC176" s="203"/>
      <c r="AD176" s="203"/>
      <c r="AE176" s="203"/>
      <c r="AF176" s="203"/>
    </row>
    <row r="177" spans="3:32" ht="15" customHeight="1">
      <c r="C177" s="10"/>
      <c r="D177" s="26"/>
      <c r="E177" s="215"/>
      <c r="F177" s="215"/>
      <c r="G177" s="203"/>
      <c r="H177" s="203"/>
      <c r="I177" s="203"/>
      <c r="J177" s="203"/>
      <c r="K177" s="203"/>
      <c r="L177" s="203"/>
      <c r="M177" s="203"/>
      <c r="N177" s="203"/>
      <c r="O177" s="203"/>
      <c r="P177" s="203"/>
      <c r="Q177" s="203"/>
      <c r="R177" s="203"/>
      <c r="S177" s="203"/>
      <c r="T177" s="203"/>
      <c r="U177" s="203"/>
      <c r="V177" s="203"/>
      <c r="W177" s="203"/>
      <c r="X177" s="203"/>
      <c r="Y177" s="203"/>
      <c r="Z177" s="203"/>
      <c r="AA177" s="203"/>
      <c r="AB177" s="203"/>
      <c r="AC177" s="203"/>
      <c r="AD177" s="203"/>
      <c r="AE177" s="203"/>
      <c r="AF177" s="203"/>
    </row>
    <row r="178" spans="3:32" ht="15" customHeight="1">
      <c r="C178" s="10"/>
      <c r="D178" s="26"/>
      <c r="E178" s="215"/>
      <c r="F178" s="215"/>
      <c r="G178" s="203"/>
      <c r="H178" s="203"/>
      <c r="I178" s="203"/>
      <c r="J178" s="203"/>
      <c r="K178" s="203"/>
      <c r="L178" s="203"/>
      <c r="M178" s="203"/>
      <c r="N178" s="203"/>
      <c r="O178" s="203"/>
      <c r="P178" s="203"/>
      <c r="Q178" s="203"/>
      <c r="R178" s="203"/>
      <c r="S178" s="203"/>
      <c r="T178" s="203"/>
      <c r="U178" s="203"/>
      <c r="V178" s="203"/>
      <c r="W178" s="203"/>
      <c r="X178" s="203"/>
      <c r="Y178" s="203"/>
      <c r="Z178" s="203"/>
      <c r="AA178" s="203"/>
      <c r="AB178" s="203"/>
      <c r="AC178" s="203"/>
      <c r="AD178" s="203"/>
      <c r="AE178" s="203"/>
      <c r="AF178" s="203"/>
    </row>
    <row r="179" spans="3:32" ht="15" customHeight="1">
      <c r="C179" s="10"/>
      <c r="D179" s="26"/>
      <c r="E179" s="215"/>
      <c r="F179" s="215"/>
      <c r="G179" s="203"/>
      <c r="H179" s="203"/>
      <c r="I179" s="203"/>
      <c r="J179" s="203"/>
      <c r="K179" s="203"/>
      <c r="L179" s="203"/>
      <c r="M179" s="203"/>
      <c r="N179" s="203"/>
      <c r="O179" s="203"/>
      <c r="P179" s="203"/>
      <c r="Q179" s="203"/>
      <c r="R179" s="203"/>
      <c r="S179" s="203"/>
      <c r="T179" s="203"/>
      <c r="U179" s="203"/>
      <c r="V179" s="203"/>
      <c r="W179" s="203"/>
      <c r="X179" s="203"/>
      <c r="Y179" s="203"/>
      <c r="Z179" s="203"/>
      <c r="AA179" s="203"/>
      <c r="AB179" s="203"/>
      <c r="AC179" s="203"/>
      <c r="AD179" s="203"/>
      <c r="AE179" s="203"/>
      <c r="AF179" s="203"/>
    </row>
    <row r="180" spans="3:32" ht="15" customHeight="1">
      <c r="C180" s="10"/>
      <c r="D180" s="26"/>
      <c r="E180" s="215"/>
      <c r="F180" s="215"/>
      <c r="G180" s="203"/>
      <c r="H180" s="203"/>
      <c r="I180" s="203"/>
      <c r="J180" s="203"/>
      <c r="K180" s="203"/>
      <c r="L180" s="203"/>
      <c r="M180" s="203"/>
      <c r="N180" s="203"/>
      <c r="O180" s="203"/>
      <c r="P180" s="203"/>
      <c r="Q180" s="203"/>
      <c r="R180" s="203"/>
      <c r="S180" s="203"/>
      <c r="T180" s="203"/>
      <c r="U180" s="203"/>
      <c r="V180" s="203"/>
      <c r="W180" s="203"/>
      <c r="X180" s="203"/>
      <c r="Y180" s="203"/>
      <c r="Z180" s="203"/>
      <c r="AA180" s="203"/>
      <c r="AB180" s="203"/>
      <c r="AC180" s="203"/>
      <c r="AD180" s="203"/>
      <c r="AE180" s="203"/>
      <c r="AF180" s="203"/>
    </row>
    <row r="181" spans="3:32" ht="15" customHeight="1">
      <c r="C181" s="10"/>
      <c r="D181" s="26"/>
      <c r="E181" s="215"/>
      <c r="F181" s="215"/>
      <c r="G181" s="203"/>
      <c r="H181" s="203"/>
      <c r="I181" s="203"/>
      <c r="J181" s="203"/>
      <c r="K181" s="203"/>
      <c r="L181" s="203"/>
      <c r="M181" s="203"/>
      <c r="N181" s="203"/>
      <c r="O181" s="203"/>
      <c r="P181" s="203"/>
      <c r="Q181" s="203"/>
      <c r="R181" s="203"/>
      <c r="S181" s="203"/>
      <c r="T181" s="203"/>
      <c r="U181" s="203"/>
      <c r="V181" s="203"/>
      <c r="W181" s="203"/>
      <c r="X181" s="203"/>
      <c r="Y181" s="203"/>
      <c r="Z181" s="203"/>
      <c r="AA181" s="203"/>
      <c r="AB181" s="203"/>
      <c r="AC181" s="203"/>
      <c r="AD181" s="203"/>
      <c r="AE181" s="203"/>
      <c r="AF181" s="203"/>
    </row>
    <row r="182" spans="3:32" ht="15" customHeight="1">
      <c r="C182" s="10"/>
      <c r="D182" s="26"/>
      <c r="E182" s="215"/>
      <c r="F182" s="215"/>
      <c r="G182" s="203"/>
      <c r="H182" s="203"/>
      <c r="I182" s="203"/>
      <c r="J182" s="203"/>
      <c r="K182" s="203"/>
      <c r="L182" s="203"/>
      <c r="M182" s="203"/>
      <c r="N182" s="203"/>
      <c r="O182" s="203"/>
      <c r="P182" s="203"/>
      <c r="Q182" s="203"/>
      <c r="R182" s="203"/>
      <c r="S182" s="203"/>
      <c r="T182" s="203"/>
      <c r="U182" s="203"/>
      <c r="V182" s="203"/>
      <c r="W182" s="203"/>
      <c r="X182" s="203"/>
      <c r="Y182" s="203"/>
      <c r="Z182" s="203"/>
      <c r="AA182" s="203"/>
      <c r="AB182" s="203"/>
      <c r="AC182" s="203"/>
      <c r="AD182" s="203"/>
      <c r="AE182" s="203"/>
      <c r="AF182" s="203"/>
    </row>
    <row r="183" spans="3:32" ht="15" customHeight="1">
      <c r="C183" s="10"/>
      <c r="D183" s="26"/>
      <c r="E183" s="215"/>
      <c r="F183" s="215"/>
      <c r="G183" s="203"/>
      <c r="H183" s="203"/>
      <c r="I183" s="203"/>
      <c r="J183" s="203"/>
      <c r="K183" s="203"/>
      <c r="L183" s="203"/>
      <c r="M183" s="203"/>
      <c r="N183" s="203"/>
      <c r="O183" s="203"/>
      <c r="P183" s="203"/>
      <c r="Q183" s="203"/>
      <c r="R183" s="203"/>
      <c r="S183" s="203"/>
      <c r="T183" s="203"/>
      <c r="U183" s="203"/>
      <c r="V183" s="203"/>
      <c r="W183" s="203"/>
      <c r="X183" s="203"/>
      <c r="Y183" s="203"/>
      <c r="Z183" s="203"/>
      <c r="AA183" s="203"/>
      <c r="AB183" s="203"/>
      <c r="AC183" s="203"/>
      <c r="AD183" s="203"/>
      <c r="AE183" s="203"/>
      <c r="AF183" s="203"/>
    </row>
    <row r="184" spans="3:32" ht="15" customHeight="1">
      <c r="C184" s="10"/>
      <c r="D184" s="26"/>
      <c r="E184" s="215"/>
      <c r="F184" s="215"/>
      <c r="G184" s="203"/>
      <c r="H184" s="203"/>
      <c r="I184" s="203"/>
      <c r="J184" s="203"/>
      <c r="K184" s="203"/>
      <c r="L184" s="203"/>
      <c r="M184" s="203"/>
      <c r="N184" s="203"/>
      <c r="O184" s="203"/>
      <c r="P184" s="203"/>
      <c r="Q184" s="203"/>
      <c r="R184" s="203"/>
      <c r="S184" s="203"/>
      <c r="T184" s="203"/>
      <c r="U184" s="203"/>
      <c r="V184" s="203"/>
      <c r="W184" s="203"/>
      <c r="X184" s="203"/>
      <c r="Y184" s="203"/>
      <c r="Z184" s="203"/>
      <c r="AA184" s="203"/>
      <c r="AB184" s="203"/>
      <c r="AC184" s="203"/>
      <c r="AD184" s="203"/>
      <c r="AE184" s="203"/>
      <c r="AF184" s="203"/>
    </row>
    <row r="185" spans="3:32" ht="15" customHeight="1">
      <c r="C185" s="10"/>
      <c r="D185" s="26"/>
      <c r="E185" s="215"/>
      <c r="F185" s="215"/>
      <c r="G185" s="203"/>
      <c r="H185" s="203"/>
      <c r="I185" s="203"/>
      <c r="J185" s="203"/>
      <c r="K185" s="203"/>
      <c r="L185" s="203"/>
      <c r="M185" s="203"/>
      <c r="N185" s="203"/>
      <c r="O185" s="203"/>
      <c r="P185" s="203"/>
      <c r="Q185" s="203"/>
      <c r="R185" s="203"/>
      <c r="S185" s="203"/>
      <c r="T185" s="203"/>
      <c r="U185" s="203"/>
      <c r="V185" s="203"/>
      <c r="W185" s="203"/>
      <c r="X185" s="203"/>
      <c r="Y185" s="203"/>
      <c r="Z185" s="203"/>
      <c r="AA185" s="203"/>
      <c r="AB185" s="203"/>
      <c r="AC185" s="203"/>
      <c r="AD185" s="203"/>
      <c r="AE185" s="203"/>
      <c r="AF185" s="203"/>
    </row>
    <row r="186" spans="3:32" ht="15" customHeight="1">
      <c r="C186" s="10"/>
      <c r="D186" s="26"/>
      <c r="E186" s="215"/>
      <c r="F186" s="215"/>
      <c r="G186" s="203"/>
      <c r="H186" s="203"/>
      <c r="I186" s="203"/>
      <c r="J186" s="203"/>
      <c r="K186" s="203"/>
      <c r="L186" s="203"/>
      <c r="M186" s="203"/>
      <c r="N186" s="203"/>
      <c r="O186" s="203"/>
      <c r="P186" s="203"/>
      <c r="Q186" s="203"/>
      <c r="R186" s="203"/>
      <c r="S186" s="203"/>
      <c r="T186" s="203"/>
      <c r="U186" s="203"/>
      <c r="V186" s="203"/>
      <c r="W186" s="203"/>
      <c r="X186" s="203"/>
      <c r="Y186" s="203"/>
      <c r="Z186" s="203"/>
      <c r="AA186" s="203"/>
      <c r="AB186" s="203"/>
      <c r="AC186" s="203"/>
      <c r="AD186" s="203"/>
      <c r="AE186" s="203"/>
      <c r="AF186" s="203"/>
    </row>
    <row r="187" spans="3:32" ht="15" customHeight="1">
      <c r="C187" s="10"/>
      <c r="D187" s="26"/>
      <c r="E187" s="215"/>
      <c r="F187" s="215"/>
      <c r="G187" s="203"/>
      <c r="H187" s="203"/>
      <c r="I187" s="203"/>
      <c r="J187" s="203"/>
      <c r="K187" s="203"/>
      <c r="L187" s="203"/>
      <c r="M187" s="203"/>
      <c r="N187" s="203"/>
      <c r="O187" s="203"/>
      <c r="P187" s="203"/>
      <c r="Q187" s="203"/>
      <c r="R187" s="203"/>
      <c r="S187" s="203"/>
      <c r="T187" s="203"/>
      <c r="U187" s="203"/>
      <c r="V187" s="203"/>
      <c r="W187" s="203"/>
      <c r="X187" s="203"/>
      <c r="Y187" s="203"/>
      <c r="Z187" s="203"/>
      <c r="AA187" s="203"/>
      <c r="AB187" s="203"/>
      <c r="AC187" s="203"/>
      <c r="AD187" s="203"/>
      <c r="AE187" s="203"/>
      <c r="AF187" s="203"/>
    </row>
    <row r="188" spans="3:32" ht="15" customHeight="1">
      <c r="C188" s="10"/>
      <c r="D188" s="26"/>
      <c r="E188" s="215"/>
      <c r="F188" s="215"/>
      <c r="G188" s="203"/>
      <c r="H188" s="203"/>
      <c r="I188" s="203"/>
      <c r="J188" s="203"/>
      <c r="K188" s="203"/>
      <c r="L188" s="203"/>
      <c r="M188" s="203"/>
      <c r="N188" s="203"/>
      <c r="O188" s="203"/>
      <c r="P188" s="203"/>
      <c r="Q188" s="203"/>
      <c r="R188" s="203"/>
      <c r="S188" s="203"/>
      <c r="T188" s="203"/>
      <c r="U188" s="203"/>
      <c r="V188" s="203"/>
      <c r="W188" s="203"/>
      <c r="X188" s="203"/>
      <c r="Y188" s="203"/>
      <c r="Z188" s="203"/>
      <c r="AA188" s="203"/>
      <c r="AB188" s="203"/>
      <c r="AC188" s="203"/>
      <c r="AD188" s="203"/>
      <c r="AE188" s="203"/>
      <c r="AF188" s="203"/>
    </row>
    <row r="189" spans="3:32" ht="15" customHeight="1">
      <c r="C189" s="10"/>
      <c r="D189" s="26"/>
      <c r="E189" s="215"/>
      <c r="F189" s="215"/>
      <c r="G189" s="203"/>
      <c r="H189" s="203"/>
      <c r="I189" s="203"/>
      <c r="J189" s="203"/>
      <c r="K189" s="203"/>
      <c r="L189" s="203"/>
      <c r="M189" s="203"/>
      <c r="N189" s="203"/>
      <c r="O189" s="203"/>
      <c r="P189" s="203"/>
      <c r="Q189" s="203"/>
      <c r="R189" s="203"/>
      <c r="S189" s="203"/>
      <c r="T189" s="203"/>
      <c r="U189" s="203"/>
      <c r="V189" s="203"/>
      <c r="W189" s="203"/>
      <c r="X189" s="203"/>
      <c r="Y189" s="203"/>
      <c r="Z189" s="203"/>
      <c r="AA189" s="203"/>
      <c r="AB189" s="203"/>
      <c r="AC189" s="203"/>
      <c r="AD189" s="203"/>
      <c r="AE189" s="203"/>
      <c r="AF189" s="203"/>
    </row>
    <row r="190" spans="3:32" ht="15" customHeight="1">
      <c r="C190" s="10"/>
      <c r="D190" s="26"/>
      <c r="E190" s="215"/>
      <c r="F190" s="215"/>
      <c r="G190" s="203"/>
      <c r="H190" s="203"/>
      <c r="I190" s="203"/>
      <c r="J190" s="203"/>
      <c r="K190" s="203"/>
      <c r="L190" s="203"/>
      <c r="M190" s="203"/>
      <c r="N190" s="203"/>
      <c r="O190" s="203"/>
      <c r="P190" s="203"/>
      <c r="Q190" s="203"/>
      <c r="R190" s="203"/>
      <c r="S190" s="203"/>
      <c r="T190" s="203"/>
      <c r="U190" s="203"/>
      <c r="V190" s="203"/>
      <c r="W190" s="203"/>
      <c r="X190" s="203"/>
      <c r="Y190" s="203"/>
      <c r="Z190" s="203"/>
      <c r="AA190" s="203"/>
      <c r="AB190" s="203"/>
      <c r="AC190" s="203"/>
      <c r="AD190" s="203"/>
      <c r="AE190" s="203"/>
      <c r="AF190" s="203"/>
    </row>
    <row r="191" spans="3:32" ht="15" customHeight="1">
      <c r="C191" s="10"/>
      <c r="D191" s="26"/>
      <c r="E191" s="215"/>
      <c r="F191" s="215"/>
      <c r="G191" s="203"/>
      <c r="H191" s="203"/>
      <c r="I191" s="203"/>
      <c r="J191" s="203"/>
      <c r="K191" s="203"/>
      <c r="L191" s="203"/>
      <c r="M191" s="203"/>
      <c r="N191" s="203"/>
      <c r="O191" s="203"/>
      <c r="P191" s="203"/>
      <c r="Q191" s="203"/>
      <c r="R191" s="203"/>
      <c r="S191" s="203"/>
      <c r="T191" s="203"/>
      <c r="U191" s="203"/>
      <c r="V191" s="203"/>
      <c r="W191" s="203"/>
      <c r="X191" s="203"/>
      <c r="Y191" s="203"/>
      <c r="Z191" s="203"/>
      <c r="AA191" s="203"/>
      <c r="AB191" s="203"/>
      <c r="AC191" s="203"/>
      <c r="AD191" s="203"/>
      <c r="AE191" s="203"/>
      <c r="AF191" s="203"/>
    </row>
    <row r="192" spans="3:32" ht="15" customHeight="1">
      <c r="C192" s="10"/>
      <c r="D192" s="26"/>
      <c r="E192" s="215"/>
      <c r="F192" s="215"/>
      <c r="G192" s="203"/>
      <c r="H192" s="203"/>
      <c r="I192" s="203"/>
      <c r="J192" s="203"/>
      <c r="K192" s="203"/>
      <c r="L192" s="203"/>
      <c r="M192" s="203"/>
      <c r="N192" s="203"/>
      <c r="O192" s="203"/>
      <c r="P192" s="203"/>
      <c r="Q192" s="203"/>
      <c r="R192" s="203"/>
      <c r="S192" s="203"/>
      <c r="T192" s="203"/>
      <c r="U192" s="203"/>
      <c r="V192" s="203"/>
      <c r="W192" s="203"/>
      <c r="X192" s="203"/>
      <c r="Y192" s="203"/>
      <c r="Z192" s="203"/>
      <c r="AA192" s="203"/>
      <c r="AB192" s="203"/>
      <c r="AC192" s="203"/>
      <c r="AD192" s="203"/>
      <c r="AE192" s="203"/>
      <c r="AF192" s="203"/>
    </row>
    <row r="193" spans="3:32" ht="15" customHeight="1">
      <c r="C193" s="10"/>
      <c r="D193" s="26"/>
      <c r="E193" s="215"/>
      <c r="F193" s="215"/>
      <c r="G193" s="203"/>
      <c r="H193" s="203"/>
      <c r="I193" s="203"/>
      <c r="J193" s="203"/>
      <c r="K193" s="203"/>
      <c r="L193" s="203"/>
      <c r="M193" s="203"/>
      <c r="N193" s="203"/>
      <c r="O193" s="203"/>
      <c r="P193" s="203"/>
      <c r="Q193" s="203"/>
      <c r="R193" s="203"/>
      <c r="S193" s="203"/>
      <c r="T193" s="203"/>
      <c r="U193" s="203"/>
      <c r="V193" s="203"/>
      <c r="W193" s="203"/>
      <c r="X193" s="203"/>
      <c r="Y193" s="203"/>
      <c r="Z193" s="203"/>
      <c r="AA193" s="203"/>
      <c r="AB193" s="203"/>
      <c r="AC193" s="203"/>
      <c r="AD193" s="203"/>
      <c r="AE193" s="203"/>
      <c r="AF193" s="203"/>
    </row>
    <row r="194" spans="3:32" ht="15" customHeight="1"/>
    <row r="195" spans="3:32" ht="15" customHeight="1"/>
    <row r="196" spans="3:32" ht="15" customHeight="1"/>
    <row r="197" spans="3:32" ht="15" customHeight="1"/>
    <row r="198" spans="3:32" ht="15" customHeight="1"/>
    <row r="199" spans="3:32" ht="15" customHeight="1"/>
    <row r="200" spans="3:32" ht="15" customHeight="1"/>
    <row r="201" spans="3:32" ht="15" customHeight="1"/>
    <row r="202" spans="3:32" ht="15" customHeight="1"/>
    <row r="203" spans="3:32" ht="15" customHeight="1"/>
    <row r="204" spans="3:32" ht="15" customHeight="1"/>
    <row r="205" spans="3:32" ht="15" customHeight="1"/>
    <row r="206" spans="3:32" ht="15" customHeight="1"/>
    <row r="207" spans="3:32" ht="15" customHeight="1"/>
    <row r="208" spans="3: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32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4" operator="greaterThan" id="{6E8E1C91-69BB-499F-A6A5-C2E48F7B42DB}">
            <xm:f>ControlPanel!$D$59-1</xm:f>
            <x14:dxf>
              <font>
                <color rgb="FF9C6500"/>
              </font>
              <fill>
                <patternFill>
                  <fgColor indexed="64"/>
                  <bgColor rgb="FFFFEB9C"/>
                </patternFill>
              </fill>
            </x14:dxf>
          </x14:cfRule>
          <x14:cfRule type="cellIs" priority="5" operator="lessThan" id="{5222D6DF-E55A-4BEC-B50E-1A6565845F8C}">
            <xm:f>ControlPanel!$D$59</xm:f>
            <x14:dxf>
              <font>
                <color rgb="FF006100"/>
              </font>
              <fill>
                <patternFill>
                  <fgColor indexed="64"/>
                  <bgColor rgb="FFC6EFCE"/>
                </patternFill>
              </fill>
            </x14:dxf>
          </x14:cfRule>
          <x14:cfRule type="cellIs" priority="6" operator="lessThan" id="{AD9E61D0-C05A-418A-B855-2D81FC0CFEF5}">
            <xm:f>ControlPanel!$D$59+1</xm:f>
            <x14:dxf>
              <font>
                <color rgb="FF006100"/>
              </font>
              <fill>
                <patternFill>
                  <fgColor indexed="64"/>
                  <bgColor rgb="FFC6EFCE"/>
                </patternFill>
              </fill>
            </x14:dxf>
          </x14:cfRule>
          <xm:sqref>G4:AF4</xm:sqref>
        </x14:conditionalFormatting>
        <x14:conditionalFormatting xmlns:xm="http://schemas.microsoft.com/office/excel/2006/main">
          <x14:cfRule type="cellIs" priority="1" operator="greaterThan" id="{1C18E261-AB33-4163-AC02-167C0BE073DB}">
            <xm:f>ControlPanel!$D$59-1</xm:f>
            <x14:dxf>
              <font>
                <color rgb="FF9C6500"/>
              </font>
              <fill>
                <patternFill>
                  <fgColor indexed="64"/>
                  <bgColor rgb="FFFFEB9C"/>
                </patternFill>
              </fill>
            </x14:dxf>
          </x14:cfRule>
          <x14:cfRule type="cellIs" priority="2" operator="lessThan" id="{2C0A11EA-644E-4472-ABA1-43F4CF4980EE}">
            <xm:f>ControlPanel!$D$59</xm:f>
            <x14:dxf>
              <font>
                <color rgb="FF006100"/>
              </font>
              <fill>
                <patternFill>
                  <fgColor indexed="64"/>
                  <bgColor rgb="FFC6EFCE"/>
                </patternFill>
              </fill>
            </x14:dxf>
          </x14:cfRule>
          <x14:cfRule type="cellIs" priority="3" operator="lessThan" id="{90E7514F-9F33-405C-9F0D-15812D86B64B}">
            <xm:f>ControlPanel!$D$59+1</xm:f>
            <x14:dxf>
              <font>
                <color rgb="FF006100"/>
              </font>
              <fill>
                <patternFill>
                  <fgColor indexed="64"/>
                  <bgColor rgb="FFC6EFCE"/>
                </patternFill>
              </fill>
            </x14:dxf>
          </x14:cfRule>
          <xm:sqref>G19:AF19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Tabelle67">
    <tabColor theme="9" tint="-0.499984740745262"/>
    <pageSetUpPr fitToPage="1"/>
  </sheetPr>
  <dimension ref="A1:AF1359"/>
  <sheetViews>
    <sheetView zoomScaleNormal="100" workbookViewId="0">
      <selection activeCell="E8" sqref="E8"/>
    </sheetView>
  </sheetViews>
  <sheetFormatPr defaultColWidth="11.5546875" defaultRowHeight="13.2" outlineLevelCol="2"/>
  <cols>
    <col min="1" max="1" width="3.6640625" style="9" customWidth="1"/>
    <col min="2" max="2" width="25.6640625" style="323" customWidth="1"/>
    <col min="3" max="3" width="20.6640625" style="10" customWidth="1" outlineLevel="2"/>
    <col min="4" max="5" width="40.6640625" style="10" customWidth="1"/>
    <col min="6" max="13" width="8.6640625" style="9" customWidth="1"/>
    <col min="14" max="31" width="8.6640625" style="9" customWidth="1" outlineLevel="1"/>
    <col min="32" max="32" width="11.5546875" style="136"/>
    <col min="33" max="16384" width="11.5546875" style="9"/>
  </cols>
  <sheetData>
    <row r="1" spans="1:31">
      <c r="A1" s="41" t="s">
        <v>74</v>
      </c>
      <c r="B1" s="20" t="s">
        <v>960</v>
      </c>
      <c r="C1" s="19"/>
      <c r="D1" s="19"/>
      <c r="E1" s="19"/>
    </row>
    <row r="3" spans="1:31" ht="15" customHeight="1">
      <c r="B3" s="62" t="s">
        <v>787</v>
      </c>
      <c r="C3" s="18" t="s">
        <v>788</v>
      </c>
      <c r="D3" s="314" t="s">
        <v>827</v>
      </c>
      <c r="E3" s="18" t="s">
        <v>574</v>
      </c>
      <c r="F3" s="17"/>
      <c r="G3" s="17"/>
      <c r="H3" s="17"/>
      <c r="I3" s="17"/>
      <c r="J3" s="17"/>
      <c r="K3" s="17"/>
      <c r="L3" s="17"/>
      <c r="M3" s="17"/>
      <c r="N3" s="17"/>
      <c r="O3" s="17"/>
      <c r="P3" s="17"/>
      <c r="Q3" s="17"/>
      <c r="R3" s="17"/>
      <c r="S3" s="17"/>
      <c r="T3" s="17"/>
      <c r="U3" s="17"/>
      <c r="V3" s="17"/>
      <c r="W3" s="17"/>
      <c r="X3" s="17"/>
      <c r="Y3" s="17"/>
      <c r="Z3" s="17"/>
      <c r="AA3" s="17"/>
      <c r="AB3" s="17"/>
      <c r="AC3" s="17"/>
      <c r="AD3" s="17"/>
      <c r="AE3" s="17"/>
    </row>
    <row r="4" spans="1:31" ht="15" customHeight="1">
      <c r="B4" s="65"/>
      <c r="D4" s="16"/>
      <c r="F4" s="60">
        <v>2010</v>
      </c>
      <c r="G4" s="60">
        <v>2011</v>
      </c>
      <c r="H4" s="60">
        <v>2012</v>
      </c>
      <c r="I4" s="60">
        <v>2013</v>
      </c>
      <c r="J4" s="60">
        <v>2014</v>
      </c>
      <c r="K4" s="60">
        <v>2015</v>
      </c>
      <c r="L4" s="60">
        <v>2016</v>
      </c>
      <c r="M4" s="60">
        <v>2017</v>
      </c>
      <c r="N4" s="60">
        <v>2018</v>
      </c>
      <c r="O4" s="60">
        <v>2019</v>
      </c>
      <c r="P4" s="60">
        <v>2020</v>
      </c>
      <c r="Q4" s="60">
        <v>2021</v>
      </c>
      <c r="R4" s="60">
        <v>2022</v>
      </c>
      <c r="S4" s="60">
        <v>2023</v>
      </c>
      <c r="T4" s="60">
        <v>2024</v>
      </c>
      <c r="U4" s="60">
        <v>2025</v>
      </c>
      <c r="V4" s="60">
        <v>2026</v>
      </c>
      <c r="W4" s="60">
        <v>2027</v>
      </c>
      <c r="X4" s="60">
        <v>2028</v>
      </c>
      <c r="Y4" s="60">
        <v>2029</v>
      </c>
      <c r="Z4" s="60">
        <v>2030</v>
      </c>
      <c r="AA4" s="60">
        <v>2031</v>
      </c>
      <c r="AB4" s="60">
        <v>2032</v>
      </c>
      <c r="AC4" s="60">
        <v>2033</v>
      </c>
      <c r="AD4" s="60">
        <v>2034</v>
      </c>
      <c r="AE4" s="60">
        <v>2035</v>
      </c>
    </row>
    <row r="5" spans="1:31" ht="15" customHeight="1" thickBot="1">
      <c r="B5" s="65"/>
      <c r="D5" s="16"/>
      <c r="F5" s="323" t="s">
        <v>26</v>
      </c>
      <c r="G5" s="323" t="s">
        <v>26</v>
      </c>
      <c r="H5" s="323" t="s">
        <v>26</v>
      </c>
      <c r="I5" s="323" t="s">
        <v>26</v>
      </c>
      <c r="J5" s="323" t="s">
        <v>26</v>
      </c>
      <c r="K5" s="323" t="s">
        <v>26</v>
      </c>
      <c r="L5" s="323" t="s">
        <v>26</v>
      </c>
      <c r="M5" s="323" t="s">
        <v>26</v>
      </c>
      <c r="N5" s="323" t="s">
        <v>26</v>
      </c>
      <c r="O5" s="323" t="s">
        <v>26</v>
      </c>
      <c r="P5" s="323" t="s">
        <v>26</v>
      </c>
      <c r="Q5" s="323" t="s">
        <v>26</v>
      </c>
      <c r="R5" s="323" t="s">
        <v>26</v>
      </c>
      <c r="S5" s="323" t="s">
        <v>26</v>
      </c>
      <c r="T5" s="323" t="s">
        <v>26</v>
      </c>
      <c r="U5" s="323" t="s">
        <v>26</v>
      </c>
      <c r="V5" s="323" t="s">
        <v>26</v>
      </c>
      <c r="W5" s="323" t="s">
        <v>26</v>
      </c>
      <c r="X5" s="323" t="s">
        <v>26</v>
      </c>
      <c r="Y5" s="323" t="s">
        <v>26</v>
      </c>
      <c r="Z5" s="323" t="s">
        <v>26</v>
      </c>
      <c r="AA5" s="323" t="s">
        <v>26</v>
      </c>
      <c r="AB5" s="323" t="s">
        <v>26</v>
      </c>
      <c r="AC5" s="323" t="s">
        <v>26</v>
      </c>
      <c r="AD5" s="323" t="s">
        <v>26</v>
      </c>
      <c r="AE5" s="323" t="s">
        <v>26</v>
      </c>
    </row>
    <row r="6" spans="1:31" ht="13.8" thickBot="1">
      <c r="B6" s="170" t="s">
        <v>409</v>
      </c>
      <c r="C6" s="15" t="s">
        <v>300</v>
      </c>
      <c r="D6" s="594" t="s">
        <v>961</v>
      </c>
      <c r="E6" s="594" t="s">
        <v>961</v>
      </c>
      <c r="F6" s="14">
        <v>79.900000000000006</v>
      </c>
      <c r="G6" s="14">
        <v>70</v>
      </c>
      <c r="H6" s="14">
        <v>66.8</v>
      </c>
      <c r="I6" s="14">
        <v>66.8</v>
      </c>
      <c r="J6" s="14">
        <v>68.099999999999994</v>
      </c>
      <c r="K6" s="14">
        <v>79</v>
      </c>
      <c r="L6" s="14">
        <v>86.5</v>
      </c>
      <c r="M6" s="14">
        <v>77.2</v>
      </c>
      <c r="N6" s="14">
        <v>70.3</v>
      </c>
      <c r="O6" s="14">
        <v>62</v>
      </c>
      <c r="P6" s="14">
        <f t="shared" ref="P6:AE6" si="0">O6</f>
        <v>62</v>
      </c>
      <c r="Q6" s="14">
        <f t="shared" si="0"/>
        <v>62</v>
      </c>
      <c r="R6" s="14">
        <f t="shared" si="0"/>
        <v>62</v>
      </c>
      <c r="S6" s="14">
        <f t="shared" si="0"/>
        <v>62</v>
      </c>
      <c r="T6" s="14">
        <f t="shared" si="0"/>
        <v>62</v>
      </c>
      <c r="U6" s="14">
        <f t="shared" si="0"/>
        <v>62</v>
      </c>
      <c r="V6" s="14">
        <f t="shared" si="0"/>
        <v>62</v>
      </c>
      <c r="W6" s="14">
        <f t="shared" si="0"/>
        <v>62</v>
      </c>
      <c r="X6" s="14">
        <f t="shared" si="0"/>
        <v>62</v>
      </c>
      <c r="Y6" s="14">
        <f t="shared" si="0"/>
        <v>62</v>
      </c>
      <c r="Z6" s="14">
        <f t="shared" si="0"/>
        <v>62</v>
      </c>
      <c r="AA6" s="14">
        <f t="shared" si="0"/>
        <v>62</v>
      </c>
      <c r="AB6" s="14">
        <f t="shared" si="0"/>
        <v>62</v>
      </c>
      <c r="AC6" s="14">
        <f t="shared" si="0"/>
        <v>62</v>
      </c>
      <c r="AD6" s="14">
        <f t="shared" si="0"/>
        <v>62</v>
      </c>
      <c r="AE6" s="14">
        <f t="shared" si="0"/>
        <v>62</v>
      </c>
    </row>
    <row r="7" spans="1:31">
      <c r="B7" s="1197"/>
      <c r="C7" s="179"/>
      <c r="D7" s="163"/>
      <c r="E7" s="537"/>
      <c r="F7" s="180"/>
      <c r="G7" s="180"/>
      <c r="H7" s="180"/>
      <c r="I7" s="180"/>
      <c r="J7" s="180"/>
      <c r="K7" s="180"/>
      <c r="L7" s="180"/>
      <c r="M7" s="180"/>
      <c r="N7" s="180"/>
      <c r="O7" s="180"/>
      <c r="P7" s="180"/>
      <c r="Q7" s="180"/>
      <c r="R7" s="180"/>
      <c r="S7" s="180"/>
      <c r="T7" s="180"/>
      <c r="U7" s="180"/>
      <c r="V7" s="180"/>
      <c r="W7" s="180"/>
      <c r="X7" s="180"/>
      <c r="Y7" s="180"/>
      <c r="Z7" s="180"/>
      <c r="AA7" s="180"/>
      <c r="AB7" s="180"/>
      <c r="AC7" s="180"/>
      <c r="AD7" s="180"/>
      <c r="AE7" s="180"/>
    </row>
    <row r="8" spans="1:31">
      <c r="B8" s="176"/>
      <c r="C8" s="179"/>
      <c r="D8" s="162"/>
      <c r="E8" s="1198"/>
      <c r="F8" s="180"/>
      <c r="G8" s="180"/>
      <c r="H8" s="180"/>
      <c r="I8" s="180"/>
      <c r="J8" s="180"/>
      <c r="K8" s="180"/>
      <c r="L8" s="180"/>
      <c r="M8" s="180"/>
      <c r="N8" s="180"/>
      <c r="O8" s="180"/>
      <c r="P8" s="180"/>
      <c r="Q8" s="180"/>
      <c r="R8" s="180"/>
      <c r="S8" s="180"/>
      <c r="T8" s="180"/>
      <c r="U8" s="180"/>
      <c r="V8" s="180"/>
      <c r="W8" s="180"/>
      <c r="X8" s="180"/>
      <c r="Y8" s="180"/>
      <c r="Z8" s="180"/>
      <c r="AA8" s="180"/>
      <c r="AB8" s="180"/>
      <c r="AC8" s="180"/>
      <c r="AD8" s="180"/>
      <c r="AE8" s="180"/>
    </row>
    <row r="9" spans="1:31">
      <c r="B9" s="176"/>
      <c r="C9" s="179"/>
      <c r="D9" s="162"/>
      <c r="E9" s="1198"/>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c r="AE9" s="180"/>
    </row>
    <row r="10" spans="1:31">
      <c r="B10" s="176"/>
      <c r="C10" s="179"/>
      <c r="D10" s="163"/>
      <c r="E10" s="537"/>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c r="AE10" s="180"/>
    </row>
    <row r="11" spans="1:31">
      <c r="B11" s="176"/>
      <c r="C11" s="179"/>
      <c r="D11" s="162"/>
      <c r="E11" s="1198"/>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c r="AE11" s="180"/>
    </row>
    <row r="12" spans="1:31">
      <c r="B12" s="176"/>
      <c r="C12" s="179"/>
      <c r="D12" s="162"/>
      <c r="E12" s="1198"/>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row>
    <row r="13" spans="1:31">
      <c r="B13" s="176"/>
      <c r="C13" s="179"/>
      <c r="D13" s="162"/>
      <c r="E13" s="1198"/>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row>
    <row r="14" spans="1:31">
      <c r="B14" s="176"/>
      <c r="C14" s="179"/>
      <c r="D14" s="163"/>
      <c r="E14" s="537"/>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row>
    <row r="15" spans="1:31">
      <c r="B15" s="176"/>
      <c r="C15" s="179"/>
      <c r="D15" s="163"/>
      <c r="E15" s="537"/>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c r="AE15" s="180"/>
    </row>
    <row r="16" spans="1:31">
      <c r="B16" s="176"/>
      <c r="C16" s="179"/>
      <c r="D16" s="163"/>
      <c r="E16" s="537"/>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c r="AE16" s="180"/>
    </row>
    <row r="17" spans="2:31">
      <c r="B17" s="176"/>
      <c r="C17" s="179"/>
      <c r="D17" s="163"/>
      <c r="E17" s="537"/>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row>
    <row r="18" spans="2:31">
      <c r="B18" s="176"/>
      <c r="C18" s="179"/>
      <c r="D18" s="163"/>
      <c r="E18" s="537"/>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c r="AE18" s="180"/>
    </row>
    <row r="19" spans="2:31">
      <c r="B19" s="176"/>
      <c r="C19" s="179"/>
      <c r="D19" s="163"/>
      <c r="E19" s="537"/>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c r="AE19" s="180"/>
    </row>
    <row r="20" spans="2:31">
      <c r="B20" s="176"/>
      <c r="C20" s="179"/>
      <c r="D20" s="163"/>
      <c r="E20" s="537"/>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c r="AE20" s="180"/>
    </row>
    <row r="21" spans="2:31">
      <c r="B21" s="176"/>
      <c r="C21" s="179"/>
      <c r="D21" s="163"/>
      <c r="E21" s="537"/>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c r="AE21" s="180"/>
    </row>
    <row r="22" spans="2:31">
      <c r="B22" s="176"/>
      <c r="C22" s="179"/>
      <c r="D22" s="163"/>
      <c r="E22" s="537"/>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c r="AE22" s="180"/>
    </row>
    <row r="23" spans="2:31">
      <c r="B23" s="176"/>
      <c r="C23" s="179"/>
      <c r="D23" s="163"/>
      <c r="E23" s="537"/>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c r="AE23" s="180"/>
    </row>
    <row r="24" spans="2:31">
      <c r="B24" s="176"/>
      <c r="C24" s="179"/>
      <c r="D24" s="163"/>
      <c r="E24" s="537"/>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c r="AE24" s="180"/>
    </row>
    <row r="25" spans="2:31">
      <c r="B25" s="178"/>
      <c r="C25" s="181"/>
      <c r="D25" s="182"/>
      <c r="E25" s="1018"/>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row>
    <row r="26" spans="2:31" ht="15" customHeight="1">
      <c r="B26" s="66"/>
      <c r="C26" s="18"/>
      <c r="D26" s="18"/>
      <c r="E26" s="18"/>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row>
    <row r="27" spans="2:31" ht="15" customHeight="1"/>
    <row r="28" spans="2:31" ht="15" customHeight="1"/>
    <row r="29" spans="2:31" ht="15" customHeight="1"/>
    <row r="30" spans="2:31" ht="15" customHeight="1"/>
    <row r="31" spans="2:31" ht="15" customHeight="1"/>
    <row r="32" spans="2:3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sheetData>
  <hyperlinks>
    <hyperlink ref="A1" location="'Start-Experte'!A1" display="zurück" xr:uid="{00000000-0004-0000-3300-000000000000}"/>
  </hyperlinks>
  <pageMargins left="0.78740157480314965" right="0.78740157480314965" top="0.98425196850393704" bottom="0.98425196850393704" header="0.59055118110236227" footer="0.59055118110236227"/>
  <pageSetup paperSize="9" scale="68" orientation="landscape" horizontalDpi="4294967293" verticalDpi="1200" r:id="rId1"/>
  <headerFooter scaleWithDoc="0">
    <oddHeader>&amp;C&amp;"Arial,Fett"&amp;18EEG Calculator</oddHeader>
    <oddFooter>&amp;LDatendokumentation&amp;C&amp;F  &amp;A  Seite &amp;P/&amp;N&amp;R&amp;D  &amp;T</oddFooter>
  </headerFooter>
  <extLst>
    <ext xmlns:x14="http://schemas.microsoft.com/office/spreadsheetml/2009/9/main" uri="{78C0D931-6437-407d-A8EE-F0AAD7539E65}">
      <x14:conditionalFormattings>
        <x14:conditionalFormatting xmlns:xm="http://schemas.microsoft.com/office/excel/2006/main">
          <x14:cfRule type="cellIs" priority="1" operator="greaterThan" id="{F1A22DD5-E9B9-4658-B16E-16D0314B2671}">
            <xm:f>ControlPanel!$D$59-1</xm:f>
            <x14:dxf>
              <font>
                <color rgb="FF9C6500"/>
              </font>
              <fill>
                <patternFill>
                  <fgColor indexed="64"/>
                  <bgColor rgb="FFFFEB9C"/>
                </patternFill>
              </fill>
            </x14:dxf>
          </x14:cfRule>
          <x14:cfRule type="cellIs" priority="2" operator="lessThan" id="{EE9DACE6-3FD7-435C-810E-C5FB5B2B4F82}">
            <xm:f>ControlPanel!$D$59</xm:f>
            <x14:dxf>
              <font>
                <color rgb="FF006100"/>
              </font>
              <fill>
                <patternFill>
                  <fgColor indexed="64"/>
                  <bgColor rgb="FFC6EFCE"/>
                </patternFill>
              </fill>
            </x14:dxf>
          </x14:cfRule>
          <xm:sqref>F4:AE4</xm:sqref>
        </x14:conditionalFormatting>
      </x14:conditionalFormatting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Tabelle68">
    <tabColor theme="9" tint="-0.499984740745262"/>
  </sheetPr>
  <dimension ref="A1:G855"/>
  <sheetViews>
    <sheetView zoomScaleNormal="100" workbookViewId="0">
      <selection activeCell="E18" sqref="E18"/>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7" width="14" style="9" customWidth="1" outlineLevel="1"/>
    <col min="8" max="16384" width="11.5546875" style="9"/>
  </cols>
  <sheetData>
    <row r="1" spans="1:7">
      <c r="A1" s="41" t="s">
        <v>74</v>
      </c>
      <c r="B1" s="61" t="s">
        <v>962</v>
      </c>
      <c r="C1" s="61"/>
      <c r="D1" s="19"/>
      <c r="E1" s="19"/>
      <c r="F1" s="19"/>
    </row>
    <row r="3" spans="1:7" ht="15" customHeight="1">
      <c r="B3" s="62"/>
      <c r="C3" s="62" t="s">
        <v>787</v>
      </c>
      <c r="D3" s="18" t="s">
        <v>788</v>
      </c>
      <c r="E3" s="314" t="s">
        <v>827</v>
      </c>
      <c r="F3" s="18" t="s">
        <v>574</v>
      </c>
      <c r="G3" s="18" t="s">
        <v>101</v>
      </c>
    </row>
    <row r="4" spans="1:7" ht="15" customHeight="1">
      <c r="B4" s="63"/>
      <c r="C4" s="63"/>
      <c r="E4" s="16"/>
    </row>
    <row r="5" spans="1:7" ht="15" customHeight="1" thickBot="1">
      <c r="B5" s="67"/>
      <c r="C5" s="63"/>
      <c r="E5" s="16"/>
      <c r="G5" s="323" t="s">
        <v>34</v>
      </c>
    </row>
    <row r="6" spans="1:7" ht="15" customHeight="1" thickBot="1">
      <c r="B6" s="166" t="s">
        <v>529</v>
      </c>
      <c r="C6" s="175" t="s">
        <v>409</v>
      </c>
      <c r="D6" s="15" t="s">
        <v>107</v>
      </c>
      <c r="E6" s="15" t="s">
        <v>963</v>
      </c>
      <c r="F6" s="529"/>
      <c r="G6" s="38">
        <v>1.2230000000000001</v>
      </c>
    </row>
    <row r="7" spans="1:7" ht="15" customHeight="1" thickBot="1">
      <c r="B7" s="165" t="s">
        <v>349</v>
      </c>
      <c r="C7" s="175" t="s">
        <v>409</v>
      </c>
      <c r="D7" s="15" t="s">
        <v>107</v>
      </c>
      <c r="E7" s="15" t="s">
        <v>963</v>
      </c>
      <c r="F7" s="529"/>
      <c r="G7" s="38">
        <v>0.55000000000000004</v>
      </c>
    </row>
    <row r="8" spans="1:7" ht="15" customHeight="1" thickBot="1">
      <c r="B8" s="165" t="s">
        <v>11</v>
      </c>
      <c r="C8" s="175" t="s">
        <v>409</v>
      </c>
      <c r="D8" s="15" t="s">
        <v>107</v>
      </c>
      <c r="E8" s="15" t="s">
        <v>963</v>
      </c>
      <c r="F8" s="529"/>
      <c r="G8" s="38">
        <v>4.2229999999999999</v>
      </c>
    </row>
    <row r="9" spans="1:7" ht="15" customHeight="1" thickBot="1">
      <c r="B9" s="165" t="s">
        <v>10</v>
      </c>
      <c r="C9" s="175" t="s">
        <v>409</v>
      </c>
      <c r="D9" s="15" t="s">
        <v>107</v>
      </c>
      <c r="E9" s="15" t="s">
        <v>963</v>
      </c>
      <c r="F9" s="529"/>
      <c r="G9" s="38">
        <v>7.1500000000000001E-3</v>
      </c>
    </row>
    <row r="10" spans="1:7" ht="15" customHeight="1" thickBot="1">
      <c r="B10" s="165" t="s">
        <v>339</v>
      </c>
      <c r="C10" s="175" t="s">
        <v>409</v>
      </c>
      <c r="D10" s="15" t="s">
        <v>107</v>
      </c>
      <c r="E10" s="15" t="s">
        <v>963</v>
      </c>
      <c r="F10" s="529"/>
      <c r="G10" s="38">
        <v>25.632000000000001</v>
      </c>
    </row>
    <row r="11" spans="1:7" ht="15" customHeight="1" thickBot="1">
      <c r="B11" s="165" t="s">
        <v>340</v>
      </c>
      <c r="C11" s="175" t="s">
        <v>409</v>
      </c>
      <c r="D11" s="15" t="s">
        <v>107</v>
      </c>
      <c r="E11" s="15" t="s">
        <v>963</v>
      </c>
      <c r="F11" s="529"/>
      <c r="G11" s="38">
        <v>3.5000000000000003E-2</v>
      </c>
    </row>
    <row r="12" spans="1:7" ht="15" customHeight="1" thickBot="1">
      <c r="B12" s="167" t="s">
        <v>530</v>
      </c>
      <c r="C12" s="175" t="s">
        <v>409</v>
      </c>
      <c r="D12" s="15" t="s">
        <v>106</v>
      </c>
      <c r="E12" s="15" t="s">
        <v>963</v>
      </c>
      <c r="F12" s="529"/>
      <c r="G12" s="38">
        <v>10.566000000000001</v>
      </c>
    </row>
    <row r="13" spans="1:7" ht="15" customHeight="1"/>
    <row r="14" spans="1:7" ht="15" customHeight="1"/>
    <row r="15" spans="1:7" ht="15" customHeight="1"/>
    <row r="16" spans="1:7"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sheetData>
  <hyperlinks>
    <hyperlink ref="A1" location="'Start-Experte'!A1" display="zurück" xr:uid="{00000000-0004-0000-34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Tabelle69">
    <tabColor theme="9" tint="-0.499984740745262"/>
  </sheetPr>
  <dimension ref="A1:AF1191"/>
  <sheetViews>
    <sheetView zoomScaleNormal="100" workbookViewId="0">
      <selection activeCell="F7" sqref="F7:F12"/>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5" width="8.6640625" style="9" customWidth="1"/>
    <col min="16" max="32" width="8.6640625" style="9" customWidth="1" outlineLevel="1"/>
    <col min="33" max="16384" width="11.5546875" style="9"/>
  </cols>
  <sheetData>
    <row r="1" spans="1:32">
      <c r="A1" s="41" t="s">
        <v>74</v>
      </c>
      <c r="B1" s="61" t="s">
        <v>964</v>
      </c>
      <c r="C1" s="61"/>
      <c r="D1" s="19"/>
      <c r="E1" s="19"/>
      <c r="F1" s="19"/>
    </row>
    <row r="2" spans="1:32">
      <c r="B2" s="37"/>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G5" s="323" t="s">
        <v>34</v>
      </c>
      <c r="H5" s="323" t="s">
        <v>34</v>
      </c>
      <c r="I5" s="323" t="s">
        <v>34</v>
      </c>
      <c r="J5" s="323" t="s">
        <v>34</v>
      </c>
      <c r="K5" s="323" t="s">
        <v>34</v>
      </c>
      <c r="L5" s="323" t="s">
        <v>34</v>
      </c>
      <c r="M5" s="323" t="s">
        <v>34</v>
      </c>
      <c r="N5" s="323" t="s">
        <v>34</v>
      </c>
      <c r="O5" s="323" t="s">
        <v>34</v>
      </c>
      <c r="P5" s="323" t="s">
        <v>34</v>
      </c>
      <c r="Q5" s="323" t="s">
        <v>34</v>
      </c>
      <c r="R5" s="323" t="s">
        <v>34</v>
      </c>
      <c r="S5" s="323" t="s">
        <v>34</v>
      </c>
      <c r="T5" s="323" t="s">
        <v>34</v>
      </c>
      <c r="U5" s="323" t="s">
        <v>34</v>
      </c>
      <c r="V5" s="323" t="s">
        <v>34</v>
      </c>
      <c r="W5" s="323" t="s">
        <v>34</v>
      </c>
      <c r="X5" s="323" t="s">
        <v>34</v>
      </c>
      <c r="Y5" s="323" t="s">
        <v>34</v>
      </c>
      <c r="Z5" s="323" t="s">
        <v>34</v>
      </c>
      <c r="AA5" s="323" t="s">
        <v>34</v>
      </c>
      <c r="AB5" s="323" t="s">
        <v>34</v>
      </c>
      <c r="AC5" s="323" t="s">
        <v>34</v>
      </c>
      <c r="AD5" s="323" t="s">
        <v>34</v>
      </c>
      <c r="AE5" s="323" t="s">
        <v>34</v>
      </c>
      <c r="AF5" s="323" t="s">
        <v>34</v>
      </c>
    </row>
    <row r="6" spans="1:32" ht="59.25" customHeight="1" thickBot="1">
      <c r="B6" s="166" t="s">
        <v>529</v>
      </c>
      <c r="C6" s="175" t="s">
        <v>409</v>
      </c>
      <c r="D6" s="15" t="s">
        <v>48</v>
      </c>
      <c r="E6" s="15" t="s">
        <v>409</v>
      </c>
      <c r="F6" s="594" t="s">
        <v>941</v>
      </c>
      <c r="G6" s="1085">
        <v>1.5110000000000401E-2</v>
      </c>
      <c r="H6" s="1085">
        <v>1.9075899999999812E-2</v>
      </c>
      <c r="I6" s="1085">
        <v>1.3823499999999989E-2</v>
      </c>
      <c r="J6" s="1085">
        <v>1.3043600000000044E-2</v>
      </c>
      <c r="K6" s="1085">
        <v>1.2535300000000138E-2</v>
      </c>
      <c r="L6" s="14"/>
      <c r="M6" s="14"/>
      <c r="N6" s="14"/>
      <c r="O6" s="14"/>
      <c r="P6" s="14"/>
      <c r="Q6" s="14"/>
      <c r="R6" s="14"/>
      <c r="S6" s="14"/>
      <c r="T6" s="14"/>
      <c r="U6" s="14"/>
      <c r="V6" s="14"/>
      <c r="W6" s="14"/>
      <c r="X6" s="14"/>
      <c r="Y6" s="14"/>
      <c r="Z6" s="14"/>
      <c r="AA6" s="14"/>
      <c r="AB6" s="14"/>
      <c r="AC6" s="14"/>
      <c r="AD6" s="14"/>
      <c r="AE6" s="14"/>
      <c r="AF6" s="14"/>
    </row>
    <row r="7" spans="1:32" ht="59.25" customHeight="1" thickBot="1">
      <c r="B7" s="165" t="s">
        <v>349</v>
      </c>
      <c r="C7" s="175" t="s">
        <v>409</v>
      </c>
      <c r="D7" s="15" t="s">
        <v>48</v>
      </c>
      <c r="E7" s="15" t="s">
        <v>409</v>
      </c>
      <c r="F7" s="594" t="s">
        <v>941</v>
      </c>
      <c r="G7" s="1085">
        <v>8.435999999999888E-3</v>
      </c>
      <c r="H7" s="1085">
        <v>2.639000000000058E-3</v>
      </c>
      <c r="I7" s="1085">
        <v>7.8029999999998934E-3</v>
      </c>
      <c r="J7" s="1085">
        <v>7.2572000000000747E-3</v>
      </c>
      <c r="K7" s="1085">
        <v>8.3369999999999278E-3</v>
      </c>
      <c r="L7" s="14"/>
      <c r="M7" s="14"/>
      <c r="N7" s="14"/>
      <c r="O7" s="14"/>
      <c r="P7" s="14"/>
      <c r="Q7" s="14"/>
      <c r="R7" s="14"/>
      <c r="S7" s="14"/>
      <c r="T7" s="14"/>
      <c r="U7" s="14"/>
      <c r="V7" s="14"/>
      <c r="W7" s="14"/>
      <c r="X7" s="14"/>
      <c r="Y7" s="14"/>
      <c r="Z7" s="14"/>
      <c r="AA7" s="14"/>
      <c r="AB7" s="14"/>
      <c r="AC7" s="14"/>
      <c r="AD7" s="14"/>
      <c r="AE7" s="14"/>
      <c r="AF7" s="14"/>
    </row>
    <row r="8" spans="1:32" ht="59.25" customHeight="1" thickBot="1">
      <c r="B8" s="165" t="s">
        <v>11</v>
      </c>
      <c r="C8" s="175" t="s">
        <v>409</v>
      </c>
      <c r="D8" s="15" t="s">
        <v>48</v>
      </c>
      <c r="E8" s="15" t="s">
        <v>409</v>
      </c>
      <c r="F8" s="594" t="s">
        <v>941</v>
      </c>
      <c r="G8" s="1085">
        <v>8.0000000046709374E-7</v>
      </c>
      <c r="H8" s="1085">
        <v>1.8489999999999895E-3</v>
      </c>
      <c r="I8" s="1085">
        <v>3.0999999999892225E-5</v>
      </c>
      <c r="J8" s="1085">
        <v>2.8400999999998788E-2</v>
      </c>
      <c r="K8" s="1085">
        <v>1.1199000000001291E-2</v>
      </c>
      <c r="L8" s="14"/>
      <c r="M8" s="14"/>
      <c r="N8" s="14"/>
      <c r="O8" s="14"/>
      <c r="P8" s="14"/>
      <c r="Q8" s="14"/>
      <c r="R8" s="14"/>
      <c r="S8" s="14"/>
      <c r="T8" s="14"/>
      <c r="U8" s="14"/>
      <c r="V8" s="14"/>
      <c r="W8" s="14"/>
      <c r="X8" s="14"/>
      <c r="Y8" s="14"/>
      <c r="Z8" s="14"/>
      <c r="AA8" s="14"/>
      <c r="AB8" s="14"/>
      <c r="AC8" s="14"/>
      <c r="AD8" s="14"/>
      <c r="AE8" s="14"/>
      <c r="AF8" s="14"/>
    </row>
    <row r="9" spans="1:32" ht="59.25" customHeight="1" thickBot="1">
      <c r="B9" s="165" t="s">
        <v>10</v>
      </c>
      <c r="C9" s="175" t="s">
        <v>409</v>
      </c>
      <c r="D9" s="15" t="s">
        <v>48</v>
      </c>
      <c r="E9" s="15" t="s">
        <v>409</v>
      </c>
      <c r="F9" s="594" t="s">
        <v>941</v>
      </c>
      <c r="G9" s="1085">
        <v>0</v>
      </c>
      <c r="H9" s="1085">
        <v>0</v>
      </c>
      <c r="I9" s="1085">
        <v>0</v>
      </c>
      <c r="J9" s="1085">
        <v>0</v>
      </c>
      <c r="K9" s="1085">
        <v>0</v>
      </c>
      <c r="L9" s="14"/>
      <c r="M9" s="14"/>
      <c r="N9" s="14"/>
      <c r="O9" s="14"/>
      <c r="P9" s="14"/>
      <c r="Q9" s="14"/>
      <c r="R9" s="14"/>
      <c r="S9" s="14"/>
      <c r="T9" s="14"/>
      <c r="U9" s="14"/>
      <c r="V9" s="14"/>
      <c r="W9" s="14"/>
      <c r="X9" s="14"/>
      <c r="Y9" s="14"/>
      <c r="Z9" s="14"/>
      <c r="AA9" s="14"/>
      <c r="AB9" s="14"/>
      <c r="AC9" s="14"/>
      <c r="AD9" s="14"/>
      <c r="AE9" s="14"/>
      <c r="AF9" s="14"/>
    </row>
    <row r="10" spans="1:32" ht="59.25" customHeight="1" thickBot="1">
      <c r="B10" s="165" t="s">
        <v>339</v>
      </c>
      <c r="C10" s="175" t="s">
        <v>409</v>
      </c>
      <c r="D10" s="15" t="s">
        <v>48</v>
      </c>
      <c r="E10" s="15" t="s">
        <v>409</v>
      </c>
      <c r="F10" s="594" t="s">
        <v>941</v>
      </c>
      <c r="G10" s="1085">
        <v>5.5E-2</v>
      </c>
      <c r="H10" s="1085">
        <v>5.0999999999999997E-2</v>
      </c>
      <c r="I10" s="1085">
        <v>6.7999999999999991E-2</v>
      </c>
      <c r="J10" s="1085">
        <v>0.15200000000000002</v>
      </c>
      <c r="K10" s="1085">
        <v>0.29199999999999998</v>
      </c>
      <c r="L10" s="14"/>
      <c r="M10" s="14"/>
      <c r="N10" s="14"/>
      <c r="O10" s="14"/>
      <c r="P10" s="14"/>
      <c r="Q10" s="14"/>
      <c r="R10" s="14"/>
      <c r="S10" s="14"/>
      <c r="T10" s="14"/>
      <c r="U10" s="14"/>
      <c r="V10" s="14"/>
      <c r="W10" s="14"/>
      <c r="X10" s="14"/>
      <c r="Y10" s="14"/>
      <c r="Z10" s="14"/>
      <c r="AA10" s="14"/>
      <c r="AB10" s="14"/>
      <c r="AC10" s="14"/>
      <c r="AD10" s="14"/>
      <c r="AE10" s="14"/>
      <c r="AF10" s="14"/>
    </row>
    <row r="11" spans="1:32" ht="59.25" customHeight="1" thickBot="1">
      <c r="B11" s="165" t="s">
        <v>340</v>
      </c>
      <c r="C11" s="175" t="s">
        <v>409</v>
      </c>
      <c r="D11" s="15" t="s">
        <v>48</v>
      </c>
      <c r="E11" s="15" t="s">
        <v>409</v>
      </c>
      <c r="F11" s="594" t="s">
        <v>941</v>
      </c>
      <c r="G11" s="1085">
        <v>0</v>
      </c>
      <c r="H11" s="1085">
        <v>0</v>
      </c>
      <c r="I11" s="1085">
        <v>0</v>
      </c>
      <c r="J11" s="1085">
        <v>0</v>
      </c>
      <c r="K11" s="1085">
        <v>0</v>
      </c>
      <c r="L11" s="14"/>
      <c r="M11" s="14"/>
      <c r="N11" s="14"/>
      <c r="O11" s="14"/>
      <c r="P11" s="14"/>
      <c r="Q11" s="14"/>
      <c r="R11" s="14"/>
      <c r="S11" s="14"/>
      <c r="T11" s="14"/>
      <c r="U11" s="14"/>
      <c r="V11" s="14"/>
      <c r="W11" s="14"/>
      <c r="X11" s="14"/>
      <c r="Y11" s="14"/>
      <c r="Z11" s="14"/>
      <c r="AA11" s="14"/>
      <c r="AB11" s="14"/>
      <c r="AC11" s="14"/>
      <c r="AD11" s="14"/>
      <c r="AE11" s="14"/>
      <c r="AF11" s="14"/>
    </row>
    <row r="12" spans="1:32" ht="59.25" customHeight="1" thickBot="1">
      <c r="B12" s="167" t="s">
        <v>530</v>
      </c>
      <c r="C12" s="175" t="s">
        <v>409</v>
      </c>
      <c r="D12" s="15" t="s">
        <v>48</v>
      </c>
      <c r="E12" s="15" t="s">
        <v>409</v>
      </c>
      <c r="F12" s="594" t="s">
        <v>941</v>
      </c>
      <c r="G12" s="1085">
        <v>3.2297500000311175E-4</v>
      </c>
      <c r="H12" s="1085">
        <v>8.4221099999837179E-4</v>
      </c>
      <c r="I12" s="1085">
        <v>1.5947349999976268E-3</v>
      </c>
      <c r="J12" s="1085">
        <v>1.7542189999986135E-3</v>
      </c>
      <c r="K12" s="1085">
        <v>1.69657700000414E-3</v>
      </c>
      <c r="L12" s="14"/>
      <c r="M12" s="14"/>
      <c r="N12" s="14"/>
      <c r="O12" s="14"/>
      <c r="P12" s="14"/>
      <c r="Q12" s="14"/>
      <c r="R12" s="14"/>
      <c r="S12" s="14"/>
      <c r="T12" s="14"/>
      <c r="U12" s="14"/>
      <c r="V12" s="14"/>
      <c r="W12" s="14"/>
      <c r="X12" s="14"/>
      <c r="Y12" s="14"/>
      <c r="Z12" s="14"/>
      <c r="AA12" s="14"/>
      <c r="AB12" s="14"/>
      <c r="AC12" s="14"/>
      <c r="AD12" s="14"/>
      <c r="AE12" s="14"/>
      <c r="AF12" s="14"/>
    </row>
    <row r="13" spans="1:32" ht="15" customHeight="1">
      <c r="B13" s="315"/>
      <c r="C13" s="10"/>
      <c r="D13" s="26"/>
      <c r="E13" s="215"/>
      <c r="F13" s="215"/>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ht="15" customHeight="1">
      <c r="C14" s="10"/>
      <c r="D14" s="26"/>
      <c r="E14" s="215"/>
      <c r="F14" s="215"/>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row>
    <row r="15" spans="1:32" ht="15" customHeight="1">
      <c r="C15" s="10"/>
      <c r="D15" s="26"/>
      <c r="E15" s="215"/>
      <c r="F15" s="215"/>
      <c r="G15" s="203"/>
      <c r="H15" s="203"/>
      <c r="I15" s="315"/>
      <c r="M15" s="245"/>
      <c r="N15" s="245"/>
      <c r="O15" s="245"/>
      <c r="P15" s="245"/>
      <c r="Q15" s="203"/>
      <c r="R15" s="203"/>
      <c r="S15" s="203"/>
      <c r="T15" s="203"/>
      <c r="U15" s="203"/>
      <c r="V15" s="203"/>
      <c r="W15" s="203"/>
      <c r="X15" s="203"/>
      <c r="Y15" s="203"/>
      <c r="Z15" s="203"/>
      <c r="AA15" s="203"/>
      <c r="AB15" s="203"/>
      <c r="AC15" s="203"/>
      <c r="AD15" s="203"/>
      <c r="AE15" s="203"/>
      <c r="AF15" s="203"/>
    </row>
    <row r="16" spans="1:32" ht="15" customHeight="1">
      <c r="C16" s="10"/>
      <c r="D16" s="26"/>
      <c r="E16" s="215"/>
      <c r="F16" s="215"/>
      <c r="G16" s="203"/>
      <c r="H16" s="203"/>
      <c r="I16" s="315"/>
      <c r="M16" s="245"/>
      <c r="N16" s="245"/>
      <c r="O16" s="245"/>
      <c r="P16" s="245"/>
      <c r="Q16" s="203"/>
      <c r="R16" s="203"/>
      <c r="S16" s="203"/>
      <c r="T16" s="203"/>
      <c r="U16" s="203"/>
      <c r="V16" s="203"/>
      <c r="W16" s="203"/>
      <c r="X16" s="203"/>
      <c r="Y16" s="203"/>
      <c r="Z16" s="203"/>
      <c r="AA16" s="203"/>
      <c r="AB16" s="203"/>
      <c r="AC16" s="203"/>
      <c r="AD16" s="203"/>
      <c r="AE16" s="203"/>
      <c r="AF16" s="203"/>
    </row>
    <row r="17" spans="3:32" ht="15" customHeight="1">
      <c r="C17" s="10"/>
      <c r="D17" s="26"/>
      <c r="E17" s="215"/>
      <c r="F17" s="215"/>
      <c r="G17" s="203"/>
      <c r="H17" s="203"/>
      <c r="I17" s="315"/>
      <c r="M17" s="245"/>
      <c r="N17" s="245"/>
      <c r="O17" s="245"/>
      <c r="P17" s="245"/>
      <c r="Q17" s="203"/>
      <c r="R17" s="203"/>
      <c r="S17" s="203"/>
      <c r="T17" s="203"/>
      <c r="U17" s="203"/>
      <c r="V17" s="203"/>
      <c r="W17" s="203"/>
      <c r="X17" s="203"/>
      <c r="Y17" s="203"/>
      <c r="Z17" s="203"/>
      <c r="AA17" s="203"/>
      <c r="AB17" s="203"/>
      <c r="AC17" s="203"/>
      <c r="AD17" s="203"/>
      <c r="AE17" s="203"/>
      <c r="AF17" s="203"/>
    </row>
    <row r="18" spans="3:32" ht="15" customHeight="1">
      <c r="C18" s="10"/>
      <c r="D18" s="26"/>
      <c r="E18" s="215"/>
      <c r="F18" s="215"/>
      <c r="G18" s="203"/>
      <c r="H18" s="203"/>
      <c r="I18" s="315"/>
      <c r="M18" s="245"/>
      <c r="N18" s="245"/>
      <c r="O18" s="245"/>
      <c r="P18" s="245"/>
      <c r="Q18" s="203"/>
      <c r="R18" s="203"/>
      <c r="S18" s="203"/>
      <c r="T18" s="203"/>
      <c r="U18" s="203"/>
      <c r="V18" s="203"/>
      <c r="W18" s="203"/>
      <c r="X18" s="203"/>
      <c r="Y18" s="203"/>
      <c r="Z18" s="203"/>
      <c r="AA18" s="203"/>
      <c r="AB18" s="203"/>
      <c r="AC18" s="203"/>
      <c r="AD18" s="203"/>
      <c r="AE18" s="203"/>
      <c r="AF18" s="203"/>
    </row>
    <row r="19" spans="3:32" ht="15" customHeight="1">
      <c r="C19" s="10"/>
      <c r="D19" s="26"/>
      <c r="E19" s="215"/>
      <c r="F19" s="215"/>
      <c r="G19" s="203"/>
      <c r="H19" s="203"/>
      <c r="I19" s="315"/>
      <c r="M19" s="245"/>
      <c r="N19" s="245"/>
      <c r="O19" s="245"/>
      <c r="P19" s="245"/>
      <c r="Q19" s="203"/>
      <c r="R19" s="203"/>
      <c r="S19" s="203"/>
      <c r="T19" s="203"/>
      <c r="U19" s="203"/>
      <c r="V19" s="203"/>
      <c r="W19" s="203"/>
      <c r="X19" s="203"/>
      <c r="Y19" s="203"/>
      <c r="Z19" s="203"/>
      <c r="AA19" s="203"/>
      <c r="AB19" s="203"/>
      <c r="AC19" s="203"/>
      <c r="AD19" s="203"/>
      <c r="AE19" s="203"/>
      <c r="AF19" s="203"/>
    </row>
    <row r="20" spans="3:32" ht="15" customHeight="1">
      <c r="C20" s="10"/>
      <c r="D20" s="26"/>
      <c r="E20" s="215"/>
      <c r="F20" s="215"/>
      <c r="G20" s="203"/>
      <c r="H20" s="203"/>
      <c r="I20" s="315"/>
      <c r="M20" s="245"/>
      <c r="N20" s="245"/>
      <c r="O20" s="245"/>
      <c r="P20" s="245"/>
      <c r="Q20" s="203"/>
      <c r="R20" s="203"/>
      <c r="S20" s="203"/>
      <c r="T20" s="203"/>
      <c r="U20" s="203"/>
      <c r="V20" s="203"/>
      <c r="W20" s="203"/>
      <c r="X20" s="203"/>
      <c r="Y20" s="203"/>
      <c r="Z20" s="203"/>
      <c r="AA20" s="203"/>
      <c r="AB20" s="203"/>
      <c r="AC20" s="203"/>
      <c r="AD20" s="203"/>
      <c r="AE20" s="203"/>
      <c r="AF20" s="203"/>
    </row>
    <row r="21" spans="3:32" ht="15" customHeight="1">
      <c r="C21" s="10"/>
      <c r="D21" s="26"/>
      <c r="E21" s="215"/>
      <c r="F21" s="215"/>
      <c r="G21" s="203"/>
      <c r="H21" s="203"/>
      <c r="I21" s="315"/>
      <c r="M21" s="245"/>
      <c r="N21" s="245"/>
      <c r="O21" s="245"/>
      <c r="P21" s="245"/>
      <c r="Q21" s="203"/>
      <c r="R21" s="203"/>
      <c r="S21" s="203"/>
      <c r="T21" s="203"/>
      <c r="U21" s="203"/>
      <c r="V21" s="203"/>
      <c r="W21" s="203"/>
      <c r="X21" s="203"/>
      <c r="Y21" s="203"/>
      <c r="Z21" s="203"/>
      <c r="AA21" s="203"/>
      <c r="AB21" s="203"/>
      <c r="AC21" s="203"/>
      <c r="AD21" s="203"/>
      <c r="AE21" s="203"/>
      <c r="AF21" s="203"/>
    </row>
    <row r="22" spans="3:32" ht="15" customHeight="1">
      <c r="C22" s="10"/>
      <c r="D22" s="26"/>
      <c r="E22" s="215"/>
      <c r="F22" s="215"/>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3:32" ht="15" customHeight="1">
      <c r="C23" s="10"/>
      <c r="D23" s="26"/>
      <c r="E23" s="215"/>
      <c r="F23" s="215"/>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3:32" ht="15" customHeight="1">
      <c r="C24" s="10"/>
      <c r="D24" s="26"/>
      <c r="E24" s="215"/>
      <c r="F24" s="215"/>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3:32" ht="15" customHeight="1">
      <c r="C25" s="10"/>
      <c r="D25" s="26"/>
      <c r="E25" s="215"/>
      <c r="F25" s="215"/>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3:32" ht="15" customHeight="1">
      <c r="C26" s="10"/>
      <c r="D26" s="26"/>
      <c r="E26" s="215"/>
      <c r="F26" s="215"/>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3:32" ht="15" customHeight="1">
      <c r="C27" s="10"/>
      <c r="D27" s="26"/>
      <c r="E27" s="215"/>
      <c r="F27" s="215"/>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3:32" ht="15" customHeight="1">
      <c r="C28" s="10"/>
      <c r="D28" s="26"/>
      <c r="E28" s="215"/>
      <c r="F28" s="215"/>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3:32" ht="15" customHeight="1">
      <c r="C29" s="10"/>
      <c r="D29" s="26"/>
      <c r="E29" s="215"/>
      <c r="F29" s="215"/>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3:32" ht="15" customHeight="1">
      <c r="C30" s="10"/>
      <c r="D30" s="26"/>
      <c r="E30" s="215"/>
      <c r="F30" s="215"/>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3:32" ht="15" customHeight="1">
      <c r="C31" s="10"/>
      <c r="D31" s="26"/>
      <c r="E31" s="215"/>
      <c r="F31" s="215"/>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3:32" ht="15" customHeight="1">
      <c r="C32" s="10"/>
      <c r="D32" s="26"/>
      <c r="E32" s="215"/>
      <c r="F32" s="215"/>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2:32" ht="15" customHeight="1">
      <c r="C33" s="10"/>
      <c r="D33" s="26"/>
      <c r="E33" s="215"/>
      <c r="F33" s="215"/>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2:32" ht="15" customHeight="1">
      <c r="C34" s="10"/>
      <c r="D34" s="26"/>
      <c r="E34" s="215"/>
      <c r="F34" s="215"/>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2:32" ht="15" customHeight="1">
      <c r="C35" s="10"/>
      <c r="D35" s="26"/>
      <c r="E35" s="215"/>
      <c r="F35" s="215"/>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2:32" ht="15" customHeight="1">
      <c r="C36" s="10"/>
      <c r="D36" s="26"/>
      <c r="E36" s="215"/>
      <c r="F36" s="215"/>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2:32" ht="15" customHeight="1">
      <c r="C37" s="10"/>
      <c r="D37" s="26"/>
      <c r="E37" s="215"/>
      <c r="F37" s="215"/>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2:32" ht="15" customHeight="1">
      <c r="C38" s="10"/>
    </row>
    <row r="39" spans="2:32" ht="15" customHeight="1">
      <c r="B39" s="315"/>
      <c r="C39" s="10"/>
      <c r="D39" s="26"/>
      <c r="E39" s="215"/>
      <c r="F39" s="215"/>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2:32" ht="15" customHeight="1">
      <c r="C40" s="10"/>
      <c r="D40" s="26"/>
      <c r="E40" s="215"/>
      <c r="F40" s="215"/>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2:32" ht="15" customHeight="1">
      <c r="C41" s="10"/>
      <c r="D41" s="26"/>
      <c r="E41" s="215"/>
      <c r="F41" s="215"/>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row r="42" spans="2:32" ht="15" customHeight="1">
      <c r="C42" s="10"/>
      <c r="D42" s="26"/>
      <c r="E42" s="215"/>
      <c r="F42" s="215"/>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row>
    <row r="43" spans="2:32" ht="15" customHeight="1">
      <c r="C43" s="10"/>
      <c r="D43" s="26"/>
      <c r="E43" s="215"/>
      <c r="F43" s="215"/>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row>
    <row r="44" spans="2:32" ht="15" customHeight="1">
      <c r="C44" s="10"/>
      <c r="D44" s="26"/>
      <c r="E44" s="215"/>
      <c r="F44" s="215"/>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row>
    <row r="45" spans="2:32" ht="15" customHeight="1">
      <c r="C45" s="10"/>
      <c r="D45" s="26"/>
      <c r="E45" s="215"/>
      <c r="F45" s="215"/>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row>
    <row r="46" spans="2:32" ht="15" customHeight="1">
      <c r="C46" s="10"/>
      <c r="D46" s="26"/>
      <c r="E46" s="215"/>
      <c r="F46" s="215"/>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row>
    <row r="47" spans="2:32" ht="15" customHeight="1">
      <c r="C47" s="10"/>
      <c r="D47" s="26"/>
      <c r="E47" s="215"/>
      <c r="F47" s="215"/>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row>
    <row r="48" spans="2:32" ht="15" customHeight="1">
      <c r="C48" s="10"/>
      <c r="D48" s="26"/>
      <c r="E48" s="215"/>
      <c r="F48" s="215"/>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row>
    <row r="49" spans="3:32" ht="15" customHeight="1">
      <c r="C49" s="10"/>
      <c r="D49" s="26"/>
      <c r="E49" s="215"/>
      <c r="F49" s="215"/>
      <c r="G49" s="203"/>
      <c r="H49" s="203"/>
      <c r="I49" s="203"/>
      <c r="J49" s="203"/>
      <c r="K49" s="203"/>
      <c r="L49" s="203"/>
      <c r="M49" s="203"/>
      <c r="N49" s="203"/>
      <c r="O49" s="203"/>
      <c r="P49" s="203"/>
      <c r="Q49" s="203"/>
      <c r="R49" s="203"/>
      <c r="S49" s="203"/>
      <c r="T49" s="203"/>
      <c r="U49" s="203"/>
      <c r="V49" s="203"/>
      <c r="W49" s="203"/>
      <c r="X49" s="203"/>
      <c r="Y49" s="203"/>
      <c r="Z49" s="203"/>
      <c r="AA49" s="203"/>
      <c r="AB49" s="203"/>
      <c r="AC49" s="203"/>
      <c r="AD49" s="203"/>
      <c r="AE49" s="203"/>
      <c r="AF49" s="203"/>
    </row>
    <row r="50" spans="3:32" ht="15" customHeight="1">
      <c r="C50" s="10"/>
      <c r="D50" s="26"/>
      <c r="E50" s="215"/>
      <c r="F50" s="215"/>
      <c r="G50" s="203"/>
      <c r="H50" s="203"/>
      <c r="I50" s="203"/>
      <c r="J50" s="203"/>
      <c r="K50" s="203"/>
      <c r="L50" s="203"/>
      <c r="M50" s="203"/>
      <c r="N50" s="203"/>
      <c r="O50" s="203"/>
      <c r="P50" s="203"/>
      <c r="Q50" s="203"/>
      <c r="R50" s="203"/>
      <c r="S50" s="203"/>
      <c r="T50" s="203"/>
      <c r="U50" s="203"/>
      <c r="V50" s="203"/>
      <c r="W50" s="203"/>
      <c r="X50" s="203"/>
      <c r="Y50" s="203"/>
      <c r="Z50" s="203"/>
      <c r="AA50" s="203"/>
      <c r="AB50" s="203"/>
      <c r="AC50" s="203"/>
      <c r="AD50" s="203"/>
      <c r="AE50" s="203"/>
      <c r="AF50" s="203"/>
    </row>
    <row r="51" spans="3:32" ht="15" customHeight="1">
      <c r="C51" s="10"/>
      <c r="D51" s="26"/>
      <c r="E51" s="215"/>
      <c r="F51" s="215"/>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row>
    <row r="52" spans="3:32" ht="15" customHeight="1">
      <c r="C52" s="10"/>
      <c r="D52" s="26"/>
      <c r="E52" s="215"/>
      <c r="F52" s="215"/>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row>
    <row r="53" spans="3:32" ht="15" customHeight="1">
      <c r="C53" s="10"/>
      <c r="D53" s="26"/>
      <c r="E53" s="215"/>
      <c r="F53" s="215"/>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row>
    <row r="54" spans="3:32" ht="15" customHeight="1">
      <c r="C54" s="10"/>
      <c r="D54" s="26"/>
      <c r="E54" s="215"/>
      <c r="F54" s="215"/>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row>
    <row r="55" spans="3:32" ht="15" customHeight="1">
      <c r="C55" s="10"/>
      <c r="D55" s="26"/>
      <c r="E55" s="215"/>
      <c r="F55" s="215"/>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row>
    <row r="56" spans="3:32" ht="15" customHeight="1">
      <c r="C56" s="10"/>
      <c r="D56" s="26"/>
      <c r="E56" s="215"/>
      <c r="F56" s="215"/>
      <c r="G56" s="203"/>
      <c r="H56" s="203"/>
      <c r="I56" s="203"/>
      <c r="J56" s="203"/>
      <c r="K56" s="203"/>
      <c r="L56" s="203"/>
      <c r="M56" s="203"/>
      <c r="N56" s="203"/>
      <c r="O56" s="203"/>
      <c r="P56" s="203"/>
      <c r="Q56" s="203"/>
      <c r="R56" s="203"/>
      <c r="S56" s="203"/>
      <c r="T56" s="203"/>
      <c r="U56" s="203"/>
      <c r="V56" s="203"/>
      <c r="W56" s="203"/>
      <c r="X56" s="203"/>
      <c r="Y56" s="203"/>
      <c r="Z56" s="203"/>
      <c r="AA56" s="203"/>
      <c r="AB56" s="203"/>
      <c r="AC56" s="203"/>
      <c r="AD56" s="203"/>
      <c r="AE56" s="203"/>
      <c r="AF56" s="203"/>
    </row>
    <row r="57" spans="3:32" ht="15" customHeight="1">
      <c r="C57" s="10"/>
      <c r="D57" s="26"/>
      <c r="E57" s="215"/>
      <c r="F57" s="215"/>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row>
    <row r="58" spans="3:32" ht="15" customHeight="1">
      <c r="C58" s="10"/>
      <c r="D58" s="26"/>
      <c r="E58" s="215"/>
      <c r="F58" s="215"/>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row>
    <row r="59" spans="3:32" ht="15" customHeight="1">
      <c r="C59" s="10"/>
      <c r="D59" s="26"/>
      <c r="E59" s="215"/>
      <c r="F59" s="215"/>
      <c r="G59" s="203"/>
      <c r="H59" s="203"/>
      <c r="I59" s="203"/>
      <c r="J59" s="203"/>
      <c r="K59" s="203"/>
      <c r="L59" s="203"/>
      <c r="M59" s="203"/>
      <c r="N59" s="203"/>
      <c r="O59" s="203"/>
      <c r="P59" s="203"/>
      <c r="Q59" s="203"/>
      <c r="R59" s="203"/>
      <c r="S59" s="203"/>
      <c r="T59" s="203"/>
      <c r="U59" s="203"/>
      <c r="V59" s="203"/>
      <c r="W59" s="203"/>
      <c r="X59" s="203"/>
      <c r="Y59" s="203"/>
      <c r="Z59" s="203"/>
      <c r="AA59" s="203"/>
      <c r="AB59" s="203"/>
      <c r="AC59" s="203"/>
      <c r="AD59" s="203"/>
      <c r="AE59" s="203"/>
      <c r="AF59" s="203"/>
    </row>
    <row r="60" spans="3:32" ht="15" customHeight="1">
      <c r="C60" s="10"/>
      <c r="D60" s="26"/>
      <c r="E60" s="215"/>
      <c r="F60" s="215"/>
      <c r="G60" s="203"/>
      <c r="H60" s="203"/>
      <c r="I60" s="203"/>
      <c r="J60" s="203"/>
      <c r="K60" s="203"/>
      <c r="L60" s="203"/>
      <c r="M60" s="203"/>
      <c r="N60" s="203"/>
      <c r="O60" s="203"/>
      <c r="P60" s="203"/>
      <c r="Q60" s="203"/>
      <c r="R60" s="203"/>
      <c r="S60" s="203"/>
      <c r="T60" s="203"/>
      <c r="U60" s="203"/>
      <c r="V60" s="203"/>
      <c r="W60" s="203"/>
      <c r="X60" s="203"/>
      <c r="Y60" s="203"/>
      <c r="Z60" s="203"/>
      <c r="AA60" s="203"/>
      <c r="AB60" s="203"/>
      <c r="AC60" s="203"/>
      <c r="AD60" s="203"/>
      <c r="AE60" s="203"/>
      <c r="AF60" s="203"/>
    </row>
    <row r="61" spans="3:32" ht="15" customHeight="1">
      <c r="C61" s="10"/>
      <c r="D61" s="26"/>
      <c r="E61" s="215"/>
      <c r="F61" s="215"/>
      <c r="G61" s="203"/>
      <c r="H61" s="203"/>
      <c r="I61" s="203"/>
      <c r="J61" s="203"/>
      <c r="K61" s="203"/>
      <c r="L61" s="203"/>
      <c r="M61" s="203"/>
      <c r="N61" s="203"/>
      <c r="O61" s="203"/>
      <c r="P61" s="203"/>
      <c r="Q61" s="203"/>
      <c r="R61" s="203"/>
      <c r="S61" s="203"/>
      <c r="T61" s="203"/>
      <c r="U61" s="203"/>
      <c r="V61" s="203"/>
      <c r="W61" s="203"/>
      <c r="X61" s="203"/>
      <c r="Y61" s="203"/>
      <c r="Z61" s="203"/>
      <c r="AA61" s="203"/>
      <c r="AB61" s="203"/>
      <c r="AC61" s="203"/>
      <c r="AD61" s="203"/>
      <c r="AE61" s="203"/>
      <c r="AF61" s="203"/>
    </row>
    <row r="62" spans="3:32" ht="15" customHeight="1">
      <c r="C62" s="10"/>
      <c r="D62" s="26"/>
      <c r="E62" s="215"/>
      <c r="F62" s="215"/>
      <c r="G62" s="203"/>
      <c r="H62" s="203"/>
      <c r="I62" s="203"/>
      <c r="J62" s="203"/>
      <c r="K62" s="203"/>
      <c r="L62" s="203"/>
      <c r="M62" s="203"/>
      <c r="N62" s="203"/>
      <c r="O62" s="203"/>
      <c r="P62" s="203"/>
      <c r="Q62" s="203"/>
      <c r="R62" s="203"/>
      <c r="S62" s="203"/>
      <c r="T62" s="203"/>
      <c r="U62" s="203"/>
      <c r="V62" s="203"/>
      <c r="W62" s="203"/>
      <c r="X62" s="203"/>
      <c r="Y62" s="203"/>
      <c r="Z62" s="203"/>
      <c r="AA62" s="203"/>
      <c r="AB62" s="203"/>
      <c r="AC62" s="203"/>
      <c r="AD62" s="203"/>
      <c r="AE62" s="203"/>
      <c r="AF62" s="203"/>
    </row>
    <row r="63" spans="3:32" ht="15" customHeight="1">
      <c r="C63" s="10"/>
      <c r="D63" s="26"/>
      <c r="E63" s="215"/>
      <c r="F63" s="215"/>
      <c r="G63" s="203"/>
      <c r="H63" s="203"/>
      <c r="I63" s="203"/>
      <c r="J63" s="203"/>
      <c r="K63" s="203"/>
      <c r="L63" s="203"/>
      <c r="M63" s="203"/>
      <c r="N63" s="203"/>
      <c r="O63" s="203"/>
      <c r="P63" s="203"/>
      <c r="Q63" s="203"/>
      <c r="R63" s="203"/>
      <c r="S63" s="203"/>
      <c r="T63" s="203"/>
      <c r="U63" s="203"/>
      <c r="V63" s="203"/>
      <c r="W63" s="203"/>
      <c r="X63" s="203"/>
      <c r="Y63" s="203"/>
      <c r="Z63" s="203"/>
      <c r="AA63" s="203"/>
      <c r="AB63" s="203"/>
      <c r="AC63" s="203"/>
      <c r="AD63" s="203"/>
      <c r="AE63" s="203"/>
      <c r="AF63" s="203"/>
    </row>
    <row r="64" spans="3:32" ht="15" customHeight="1">
      <c r="C64" s="10"/>
    </row>
    <row r="65" spans="2:32" ht="15" customHeight="1">
      <c r="B65" s="315"/>
      <c r="C65" s="10"/>
      <c r="D65" s="26"/>
      <c r="E65" s="215"/>
      <c r="F65" s="215"/>
      <c r="G65" s="203"/>
      <c r="H65" s="203"/>
      <c r="I65" s="203"/>
      <c r="J65" s="203"/>
      <c r="K65" s="203"/>
      <c r="L65" s="203"/>
      <c r="M65" s="203"/>
      <c r="N65" s="203"/>
      <c r="O65" s="203"/>
      <c r="P65" s="203"/>
      <c r="Q65" s="203"/>
      <c r="R65" s="203"/>
      <c r="S65" s="203"/>
      <c r="T65" s="203"/>
      <c r="U65" s="203"/>
      <c r="V65" s="203"/>
      <c r="W65" s="203"/>
      <c r="X65" s="203"/>
      <c r="Y65" s="203"/>
      <c r="Z65" s="203"/>
      <c r="AA65" s="203"/>
      <c r="AB65" s="203"/>
      <c r="AC65" s="203"/>
      <c r="AD65" s="203"/>
      <c r="AE65" s="203"/>
      <c r="AF65" s="203"/>
    </row>
    <row r="66" spans="2:32" ht="15" customHeight="1">
      <c r="C66" s="10"/>
      <c r="D66" s="26"/>
      <c r="E66" s="215"/>
      <c r="F66" s="215"/>
      <c r="G66" s="203"/>
      <c r="H66" s="203"/>
      <c r="I66" s="203"/>
      <c r="J66" s="203"/>
      <c r="K66" s="203"/>
      <c r="L66" s="203"/>
      <c r="M66" s="203"/>
      <c r="N66" s="203"/>
      <c r="O66" s="203"/>
      <c r="P66" s="203"/>
      <c r="Q66" s="203"/>
      <c r="R66" s="203"/>
      <c r="S66" s="203"/>
      <c r="T66" s="203"/>
      <c r="U66" s="203"/>
      <c r="V66" s="203"/>
      <c r="W66" s="203"/>
      <c r="X66" s="203"/>
      <c r="Y66" s="203"/>
      <c r="Z66" s="203"/>
      <c r="AA66" s="203"/>
      <c r="AB66" s="203"/>
      <c r="AC66" s="203"/>
      <c r="AD66" s="203"/>
      <c r="AE66" s="203"/>
      <c r="AF66" s="203"/>
    </row>
    <row r="67" spans="2:32" ht="15" customHeight="1">
      <c r="C67" s="10"/>
      <c r="D67" s="26"/>
      <c r="E67" s="215"/>
      <c r="F67" s="215"/>
      <c r="G67" s="203"/>
      <c r="H67" s="203"/>
      <c r="I67" s="203"/>
      <c r="J67" s="203"/>
      <c r="K67" s="203"/>
      <c r="L67" s="203"/>
      <c r="M67" s="203"/>
      <c r="N67" s="203"/>
      <c r="O67" s="203"/>
      <c r="P67" s="203"/>
      <c r="Q67" s="203"/>
      <c r="R67" s="203"/>
      <c r="S67" s="203"/>
      <c r="T67" s="203"/>
      <c r="U67" s="203"/>
      <c r="V67" s="203"/>
      <c r="W67" s="203"/>
      <c r="X67" s="203"/>
      <c r="Y67" s="203"/>
      <c r="Z67" s="203"/>
      <c r="AA67" s="203"/>
      <c r="AB67" s="203"/>
      <c r="AC67" s="203"/>
      <c r="AD67" s="203"/>
      <c r="AE67" s="203"/>
      <c r="AF67" s="203"/>
    </row>
    <row r="68" spans="2:32" ht="15" customHeight="1">
      <c r="C68" s="10"/>
      <c r="D68" s="26"/>
      <c r="E68" s="215"/>
      <c r="F68" s="215"/>
      <c r="G68" s="203"/>
      <c r="H68" s="203"/>
      <c r="I68" s="203"/>
      <c r="J68" s="203"/>
      <c r="K68" s="203"/>
      <c r="L68" s="203"/>
      <c r="M68" s="203"/>
      <c r="N68" s="203"/>
      <c r="O68" s="203"/>
      <c r="P68" s="203"/>
      <c r="Q68" s="203"/>
      <c r="R68" s="203"/>
      <c r="S68" s="203"/>
      <c r="T68" s="203"/>
      <c r="U68" s="203"/>
      <c r="V68" s="203"/>
      <c r="W68" s="203"/>
      <c r="X68" s="203"/>
      <c r="Y68" s="203"/>
      <c r="Z68" s="203"/>
      <c r="AA68" s="203"/>
      <c r="AB68" s="203"/>
      <c r="AC68" s="203"/>
      <c r="AD68" s="203"/>
      <c r="AE68" s="203"/>
      <c r="AF68" s="203"/>
    </row>
    <row r="69" spans="2:32" ht="15" customHeight="1">
      <c r="C69" s="10"/>
      <c r="D69" s="26"/>
      <c r="E69" s="215"/>
      <c r="F69" s="215"/>
      <c r="G69" s="203"/>
      <c r="H69" s="203"/>
      <c r="I69" s="203"/>
      <c r="J69" s="203"/>
      <c r="K69" s="203"/>
      <c r="L69" s="203"/>
      <c r="M69" s="203"/>
      <c r="N69" s="203"/>
      <c r="O69" s="203"/>
      <c r="P69" s="203"/>
      <c r="Q69" s="203"/>
      <c r="R69" s="203"/>
      <c r="S69" s="203"/>
      <c r="T69" s="203"/>
      <c r="U69" s="203"/>
      <c r="V69" s="203"/>
      <c r="W69" s="203"/>
      <c r="X69" s="203"/>
      <c r="Y69" s="203"/>
      <c r="Z69" s="203"/>
      <c r="AA69" s="203"/>
      <c r="AB69" s="203"/>
      <c r="AC69" s="203"/>
      <c r="AD69" s="203"/>
      <c r="AE69" s="203"/>
      <c r="AF69" s="203"/>
    </row>
    <row r="70" spans="2:32" ht="15" customHeight="1">
      <c r="C70" s="10"/>
      <c r="D70" s="26"/>
      <c r="E70" s="215"/>
      <c r="F70" s="215"/>
      <c r="G70" s="203"/>
      <c r="H70" s="203"/>
      <c r="I70" s="203"/>
      <c r="J70" s="203"/>
      <c r="K70" s="203"/>
      <c r="L70" s="203"/>
      <c r="M70" s="203"/>
      <c r="N70" s="203"/>
      <c r="O70" s="203"/>
      <c r="P70" s="203"/>
      <c r="Q70" s="203"/>
      <c r="R70" s="203"/>
      <c r="S70" s="203"/>
      <c r="T70" s="203"/>
      <c r="U70" s="203"/>
      <c r="V70" s="203"/>
      <c r="W70" s="203"/>
      <c r="X70" s="203"/>
      <c r="Y70" s="203"/>
      <c r="Z70" s="203"/>
      <c r="AA70" s="203"/>
      <c r="AB70" s="203"/>
      <c r="AC70" s="203"/>
      <c r="AD70" s="203"/>
      <c r="AE70" s="203"/>
      <c r="AF70" s="203"/>
    </row>
    <row r="71" spans="2:32" ht="15" customHeight="1">
      <c r="C71" s="10"/>
      <c r="D71" s="26"/>
      <c r="E71" s="215"/>
      <c r="F71" s="215"/>
      <c r="G71" s="203"/>
      <c r="H71" s="203"/>
      <c r="I71" s="203"/>
      <c r="J71" s="203"/>
      <c r="K71" s="203"/>
      <c r="L71" s="203"/>
      <c r="M71" s="203"/>
      <c r="N71" s="203"/>
      <c r="O71" s="203"/>
      <c r="P71" s="203"/>
      <c r="Q71" s="203"/>
      <c r="R71" s="203"/>
      <c r="S71" s="203"/>
      <c r="T71" s="203"/>
      <c r="U71" s="203"/>
      <c r="V71" s="203"/>
      <c r="W71" s="203"/>
      <c r="X71" s="203"/>
      <c r="Y71" s="203"/>
      <c r="Z71" s="203"/>
      <c r="AA71" s="203"/>
      <c r="AB71" s="203"/>
      <c r="AC71" s="203"/>
      <c r="AD71" s="203"/>
      <c r="AE71" s="203"/>
      <c r="AF71" s="203"/>
    </row>
    <row r="72" spans="2:32" ht="15" customHeight="1">
      <c r="C72" s="10"/>
      <c r="D72" s="26"/>
      <c r="E72" s="215"/>
      <c r="F72" s="215"/>
      <c r="G72" s="203"/>
      <c r="H72" s="203"/>
      <c r="I72" s="203"/>
      <c r="J72" s="203"/>
      <c r="K72" s="203"/>
      <c r="L72" s="203"/>
      <c r="M72" s="203"/>
      <c r="N72" s="203"/>
      <c r="O72" s="203"/>
      <c r="P72" s="203"/>
      <c r="Q72" s="203"/>
      <c r="R72" s="203"/>
      <c r="S72" s="203"/>
      <c r="T72" s="203"/>
      <c r="U72" s="203"/>
      <c r="V72" s="203"/>
      <c r="W72" s="203"/>
      <c r="X72" s="203"/>
      <c r="Y72" s="203"/>
      <c r="Z72" s="203"/>
      <c r="AA72" s="203"/>
      <c r="AB72" s="203"/>
      <c r="AC72" s="203"/>
      <c r="AD72" s="203"/>
      <c r="AE72" s="203"/>
      <c r="AF72" s="203"/>
    </row>
    <row r="73" spans="2:32" ht="15" customHeight="1">
      <c r="C73" s="10"/>
      <c r="D73" s="26"/>
      <c r="E73" s="215"/>
      <c r="F73" s="215"/>
      <c r="G73" s="203"/>
      <c r="H73" s="203"/>
      <c r="I73" s="203"/>
      <c r="J73" s="203"/>
      <c r="K73" s="203"/>
      <c r="L73" s="203"/>
      <c r="M73" s="203"/>
      <c r="N73" s="203"/>
      <c r="O73" s="203"/>
      <c r="P73" s="203"/>
      <c r="Q73" s="203"/>
      <c r="R73" s="203"/>
      <c r="S73" s="203"/>
      <c r="T73" s="203"/>
      <c r="U73" s="203"/>
      <c r="V73" s="203"/>
      <c r="W73" s="203"/>
      <c r="X73" s="203"/>
      <c r="Y73" s="203"/>
      <c r="Z73" s="203"/>
      <c r="AA73" s="203"/>
      <c r="AB73" s="203"/>
      <c r="AC73" s="203"/>
      <c r="AD73" s="203"/>
      <c r="AE73" s="203"/>
      <c r="AF73" s="203"/>
    </row>
    <row r="74" spans="2:32" ht="15" customHeight="1">
      <c r="C74" s="10"/>
      <c r="D74" s="26"/>
      <c r="E74" s="215"/>
      <c r="F74" s="215"/>
      <c r="G74" s="203"/>
      <c r="H74" s="203"/>
      <c r="I74" s="203"/>
      <c r="J74" s="203"/>
      <c r="K74" s="203"/>
      <c r="L74" s="203"/>
      <c r="M74" s="203"/>
      <c r="N74" s="203"/>
      <c r="O74" s="203"/>
      <c r="P74" s="203"/>
      <c r="Q74" s="203"/>
      <c r="R74" s="203"/>
      <c r="S74" s="203"/>
      <c r="T74" s="203"/>
      <c r="U74" s="203"/>
      <c r="V74" s="203"/>
      <c r="W74" s="203"/>
      <c r="X74" s="203"/>
      <c r="Y74" s="203"/>
      <c r="Z74" s="203"/>
      <c r="AA74" s="203"/>
      <c r="AB74" s="203"/>
      <c r="AC74" s="203"/>
      <c r="AD74" s="203"/>
      <c r="AE74" s="203"/>
      <c r="AF74" s="203"/>
    </row>
    <row r="75" spans="2:32" ht="15" customHeight="1">
      <c r="C75" s="10"/>
      <c r="D75" s="26"/>
      <c r="E75" s="215"/>
      <c r="F75" s="215"/>
      <c r="G75" s="203"/>
      <c r="H75" s="203"/>
      <c r="I75" s="203"/>
      <c r="J75" s="203"/>
      <c r="K75" s="203"/>
      <c r="L75" s="203"/>
      <c r="M75" s="203"/>
      <c r="N75" s="203"/>
      <c r="O75" s="203"/>
      <c r="P75" s="203"/>
      <c r="Q75" s="203"/>
      <c r="R75" s="203"/>
      <c r="S75" s="203"/>
      <c r="T75" s="203"/>
      <c r="U75" s="203"/>
      <c r="V75" s="203"/>
      <c r="W75" s="203"/>
      <c r="X75" s="203"/>
      <c r="Y75" s="203"/>
      <c r="Z75" s="203"/>
      <c r="AA75" s="203"/>
      <c r="AB75" s="203"/>
      <c r="AC75" s="203"/>
      <c r="AD75" s="203"/>
      <c r="AE75" s="203"/>
      <c r="AF75" s="203"/>
    </row>
    <row r="76" spans="2:32" ht="15" customHeight="1">
      <c r="C76" s="10"/>
      <c r="D76" s="26"/>
      <c r="E76" s="215"/>
      <c r="F76" s="215"/>
      <c r="G76" s="203"/>
      <c r="H76" s="203"/>
      <c r="I76" s="203"/>
      <c r="J76" s="203"/>
      <c r="K76" s="203"/>
      <c r="L76" s="203"/>
      <c r="M76" s="203"/>
      <c r="N76" s="203"/>
      <c r="O76" s="203"/>
      <c r="P76" s="203"/>
      <c r="Q76" s="203"/>
      <c r="R76" s="203"/>
      <c r="S76" s="203"/>
      <c r="T76" s="203"/>
      <c r="U76" s="203"/>
      <c r="V76" s="203"/>
      <c r="W76" s="203"/>
      <c r="X76" s="203"/>
      <c r="Y76" s="203"/>
      <c r="Z76" s="203"/>
      <c r="AA76" s="203"/>
      <c r="AB76" s="203"/>
      <c r="AC76" s="203"/>
      <c r="AD76" s="203"/>
      <c r="AE76" s="203"/>
      <c r="AF76" s="203"/>
    </row>
    <row r="77" spans="2:32" ht="15" customHeight="1">
      <c r="C77" s="10"/>
      <c r="D77" s="26"/>
      <c r="E77" s="215"/>
      <c r="F77" s="215"/>
      <c r="G77" s="203"/>
      <c r="H77" s="203"/>
      <c r="I77" s="203"/>
      <c r="J77" s="203"/>
      <c r="K77" s="203"/>
      <c r="L77" s="203"/>
      <c r="M77" s="203"/>
      <c r="N77" s="203"/>
      <c r="O77" s="203"/>
      <c r="P77" s="203"/>
      <c r="Q77" s="203"/>
      <c r="R77" s="203"/>
      <c r="S77" s="203"/>
      <c r="T77" s="203"/>
      <c r="U77" s="203"/>
      <c r="V77" s="203"/>
      <c r="W77" s="203"/>
      <c r="X77" s="203"/>
      <c r="Y77" s="203"/>
      <c r="Z77" s="203"/>
      <c r="AA77" s="203"/>
      <c r="AB77" s="203"/>
      <c r="AC77" s="203"/>
      <c r="AD77" s="203"/>
      <c r="AE77" s="203"/>
      <c r="AF77" s="203"/>
    </row>
    <row r="78" spans="2:32" ht="15" customHeight="1">
      <c r="C78" s="10"/>
      <c r="D78" s="26"/>
      <c r="E78" s="215"/>
      <c r="F78" s="215"/>
      <c r="G78" s="203"/>
      <c r="H78" s="203"/>
      <c r="I78" s="203"/>
      <c r="J78" s="203"/>
      <c r="K78" s="203"/>
      <c r="L78" s="203"/>
      <c r="M78" s="203"/>
      <c r="N78" s="203"/>
      <c r="O78" s="203"/>
      <c r="P78" s="203"/>
      <c r="Q78" s="203"/>
      <c r="R78" s="203"/>
      <c r="S78" s="203"/>
      <c r="T78" s="203"/>
      <c r="U78" s="203"/>
      <c r="V78" s="203"/>
      <c r="W78" s="203"/>
      <c r="X78" s="203"/>
      <c r="Y78" s="203"/>
      <c r="Z78" s="203"/>
      <c r="AA78" s="203"/>
      <c r="AB78" s="203"/>
      <c r="AC78" s="203"/>
      <c r="AD78" s="203"/>
      <c r="AE78" s="203"/>
      <c r="AF78" s="203"/>
    </row>
    <row r="79" spans="2:32" ht="15" customHeight="1">
      <c r="C79" s="10"/>
      <c r="D79" s="26"/>
      <c r="E79" s="215"/>
      <c r="F79" s="215"/>
      <c r="G79" s="203"/>
      <c r="H79" s="203"/>
      <c r="I79" s="203"/>
      <c r="J79" s="203"/>
      <c r="K79" s="203"/>
      <c r="L79" s="203"/>
      <c r="M79" s="203"/>
      <c r="N79" s="203"/>
      <c r="O79" s="203"/>
      <c r="P79" s="203"/>
      <c r="Q79" s="203"/>
      <c r="R79" s="203"/>
      <c r="S79" s="203"/>
      <c r="T79" s="203"/>
      <c r="U79" s="203"/>
      <c r="V79" s="203"/>
      <c r="W79" s="203"/>
      <c r="X79" s="203"/>
      <c r="Y79" s="203"/>
      <c r="Z79" s="203"/>
      <c r="AA79" s="203"/>
      <c r="AB79" s="203"/>
      <c r="AC79" s="203"/>
      <c r="AD79" s="203"/>
      <c r="AE79" s="203"/>
      <c r="AF79" s="203"/>
    </row>
    <row r="80" spans="2:32" ht="15" customHeight="1">
      <c r="C80" s="10"/>
      <c r="D80" s="26"/>
      <c r="E80" s="215"/>
      <c r="F80" s="215"/>
      <c r="G80" s="203"/>
      <c r="H80" s="203"/>
      <c r="I80" s="203"/>
      <c r="J80" s="203"/>
      <c r="K80" s="203"/>
      <c r="L80" s="203"/>
      <c r="M80" s="203"/>
      <c r="N80" s="203"/>
      <c r="O80" s="203"/>
      <c r="P80" s="203"/>
      <c r="Q80" s="203"/>
      <c r="R80" s="203"/>
      <c r="S80" s="203"/>
      <c r="T80" s="203"/>
      <c r="U80" s="203"/>
      <c r="V80" s="203"/>
      <c r="W80" s="203"/>
      <c r="X80" s="203"/>
      <c r="Y80" s="203"/>
      <c r="Z80" s="203"/>
      <c r="AA80" s="203"/>
      <c r="AB80" s="203"/>
      <c r="AC80" s="203"/>
      <c r="AD80" s="203"/>
      <c r="AE80" s="203"/>
      <c r="AF80" s="203"/>
    </row>
    <row r="81" spans="2:32" ht="15" customHeight="1">
      <c r="C81" s="10"/>
      <c r="D81" s="26"/>
      <c r="E81" s="215"/>
      <c r="F81" s="215"/>
      <c r="G81" s="203"/>
      <c r="H81" s="203"/>
      <c r="I81" s="203"/>
      <c r="J81" s="203"/>
      <c r="K81" s="203"/>
      <c r="L81" s="203"/>
      <c r="M81" s="203"/>
      <c r="N81" s="203"/>
      <c r="O81" s="203"/>
      <c r="P81" s="203"/>
      <c r="Q81" s="203"/>
      <c r="R81" s="203"/>
      <c r="S81" s="203"/>
      <c r="T81" s="203"/>
      <c r="U81" s="203"/>
      <c r="V81" s="203"/>
      <c r="W81" s="203"/>
      <c r="X81" s="203"/>
      <c r="Y81" s="203"/>
      <c r="Z81" s="203"/>
      <c r="AA81" s="203"/>
      <c r="AB81" s="203"/>
      <c r="AC81" s="203"/>
      <c r="AD81" s="203"/>
      <c r="AE81" s="203"/>
      <c r="AF81" s="203"/>
    </row>
    <row r="82" spans="2:32" ht="15" customHeight="1">
      <c r="C82" s="10"/>
      <c r="D82" s="26"/>
      <c r="E82" s="215"/>
      <c r="F82" s="215"/>
      <c r="G82" s="203"/>
      <c r="H82" s="203"/>
      <c r="I82" s="203"/>
      <c r="J82" s="203"/>
      <c r="K82" s="203"/>
      <c r="L82" s="203"/>
      <c r="M82" s="203"/>
      <c r="N82" s="203"/>
      <c r="O82" s="203"/>
      <c r="P82" s="203"/>
      <c r="Q82" s="203"/>
      <c r="R82" s="203"/>
      <c r="S82" s="203"/>
      <c r="T82" s="203"/>
      <c r="U82" s="203"/>
      <c r="V82" s="203"/>
      <c r="W82" s="203"/>
      <c r="X82" s="203"/>
      <c r="Y82" s="203"/>
      <c r="Z82" s="203"/>
      <c r="AA82" s="203"/>
      <c r="AB82" s="203"/>
      <c r="AC82" s="203"/>
      <c r="AD82" s="203"/>
      <c r="AE82" s="203"/>
      <c r="AF82" s="203"/>
    </row>
    <row r="83" spans="2:32" ht="15" customHeight="1">
      <c r="C83" s="10"/>
      <c r="D83" s="26"/>
      <c r="E83" s="215"/>
      <c r="F83" s="215"/>
      <c r="G83" s="203"/>
      <c r="H83" s="203"/>
      <c r="I83" s="203"/>
      <c r="J83" s="203"/>
      <c r="K83" s="203"/>
      <c r="L83" s="203"/>
      <c r="M83" s="203"/>
      <c r="N83" s="203"/>
      <c r="O83" s="203"/>
      <c r="P83" s="203"/>
      <c r="Q83" s="203"/>
      <c r="R83" s="203"/>
      <c r="S83" s="203"/>
      <c r="T83" s="203"/>
      <c r="U83" s="203"/>
      <c r="V83" s="203"/>
      <c r="W83" s="203"/>
      <c r="X83" s="203"/>
      <c r="Y83" s="203"/>
      <c r="Z83" s="203"/>
      <c r="AA83" s="203"/>
      <c r="AB83" s="203"/>
      <c r="AC83" s="203"/>
      <c r="AD83" s="203"/>
      <c r="AE83" s="203"/>
      <c r="AF83" s="203"/>
    </row>
    <row r="84" spans="2:32" ht="15" customHeight="1">
      <c r="C84" s="10"/>
      <c r="D84" s="26"/>
      <c r="E84" s="215"/>
      <c r="F84" s="215"/>
      <c r="G84" s="203"/>
      <c r="H84" s="203"/>
      <c r="I84" s="203"/>
      <c r="J84" s="203"/>
      <c r="K84" s="203"/>
      <c r="L84" s="203"/>
      <c r="M84" s="203"/>
      <c r="N84" s="203"/>
      <c r="O84" s="203"/>
      <c r="P84" s="203"/>
      <c r="Q84" s="203"/>
      <c r="R84" s="203"/>
      <c r="S84" s="203"/>
      <c r="T84" s="203"/>
      <c r="U84" s="203"/>
      <c r="V84" s="203"/>
      <c r="W84" s="203"/>
      <c r="X84" s="203"/>
      <c r="Y84" s="203"/>
      <c r="Z84" s="203"/>
      <c r="AA84" s="203"/>
      <c r="AB84" s="203"/>
      <c r="AC84" s="203"/>
      <c r="AD84" s="203"/>
      <c r="AE84" s="203"/>
      <c r="AF84" s="203"/>
    </row>
    <row r="85" spans="2:32" ht="15" customHeight="1">
      <c r="C85" s="10"/>
      <c r="D85" s="26"/>
      <c r="E85" s="215"/>
      <c r="F85" s="215"/>
      <c r="G85" s="203"/>
      <c r="H85" s="203"/>
      <c r="I85" s="203"/>
      <c r="J85" s="203"/>
      <c r="K85" s="203"/>
      <c r="L85" s="203"/>
      <c r="M85" s="203"/>
      <c r="N85" s="203"/>
      <c r="O85" s="203"/>
      <c r="P85" s="203"/>
      <c r="Q85" s="203"/>
      <c r="R85" s="203"/>
      <c r="S85" s="203"/>
      <c r="T85" s="203"/>
      <c r="U85" s="203"/>
      <c r="V85" s="203"/>
      <c r="W85" s="203"/>
      <c r="X85" s="203"/>
      <c r="Y85" s="203"/>
      <c r="Z85" s="203"/>
      <c r="AA85" s="203"/>
      <c r="AB85" s="203"/>
      <c r="AC85" s="203"/>
      <c r="AD85" s="203"/>
      <c r="AE85" s="203"/>
      <c r="AF85" s="203"/>
    </row>
    <row r="86" spans="2:32" ht="15" customHeight="1">
      <c r="C86" s="10"/>
      <c r="D86" s="26"/>
      <c r="E86" s="215"/>
      <c r="F86" s="215"/>
      <c r="G86" s="203"/>
      <c r="H86" s="203"/>
      <c r="I86" s="203"/>
      <c r="J86" s="203"/>
      <c r="K86" s="203"/>
      <c r="L86" s="203"/>
      <c r="M86" s="203"/>
      <c r="N86" s="203"/>
      <c r="O86" s="203"/>
      <c r="P86" s="203"/>
      <c r="Q86" s="203"/>
      <c r="R86" s="203"/>
      <c r="S86" s="203"/>
      <c r="T86" s="203"/>
      <c r="U86" s="203"/>
      <c r="V86" s="203"/>
      <c r="W86" s="203"/>
      <c r="X86" s="203"/>
      <c r="Y86" s="203"/>
      <c r="Z86" s="203"/>
      <c r="AA86" s="203"/>
      <c r="AB86" s="203"/>
      <c r="AC86" s="203"/>
      <c r="AD86" s="203"/>
      <c r="AE86" s="203"/>
      <c r="AF86" s="203"/>
    </row>
    <row r="87" spans="2:32" ht="15" customHeight="1">
      <c r="C87" s="10"/>
      <c r="D87" s="26"/>
      <c r="E87" s="215"/>
      <c r="F87" s="215"/>
      <c r="G87" s="203"/>
      <c r="H87" s="203"/>
      <c r="I87" s="203"/>
      <c r="J87" s="203"/>
      <c r="K87" s="203"/>
      <c r="L87" s="203"/>
      <c r="M87" s="203"/>
      <c r="N87" s="203"/>
      <c r="O87" s="203"/>
      <c r="P87" s="203"/>
      <c r="Q87" s="203"/>
      <c r="R87" s="203"/>
      <c r="S87" s="203"/>
      <c r="T87" s="203"/>
      <c r="U87" s="203"/>
      <c r="V87" s="203"/>
      <c r="W87" s="203"/>
      <c r="X87" s="203"/>
      <c r="Y87" s="203"/>
      <c r="Z87" s="203"/>
      <c r="AA87" s="203"/>
      <c r="AB87" s="203"/>
      <c r="AC87" s="203"/>
      <c r="AD87" s="203"/>
      <c r="AE87" s="203"/>
      <c r="AF87" s="203"/>
    </row>
    <row r="88" spans="2:32" ht="15" customHeight="1">
      <c r="C88" s="10"/>
      <c r="D88" s="26"/>
      <c r="E88" s="215"/>
      <c r="F88" s="215"/>
      <c r="G88" s="203"/>
      <c r="H88" s="203"/>
      <c r="I88" s="203"/>
      <c r="J88" s="203"/>
      <c r="K88" s="203"/>
      <c r="L88" s="203"/>
      <c r="M88" s="203"/>
      <c r="N88" s="203"/>
      <c r="O88" s="203"/>
      <c r="P88" s="203"/>
      <c r="Q88" s="203"/>
      <c r="R88" s="203"/>
      <c r="S88" s="203"/>
      <c r="T88" s="203"/>
      <c r="U88" s="203"/>
      <c r="V88" s="203"/>
      <c r="W88" s="203"/>
      <c r="X88" s="203"/>
      <c r="Y88" s="203"/>
      <c r="Z88" s="203"/>
      <c r="AA88" s="203"/>
      <c r="AB88" s="203"/>
      <c r="AC88" s="203"/>
      <c r="AD88" s="203"/>
      <c r="AE88" s="203"/>
      <c r="AF88" s="203"/>
    </row>
    <row r="89" spans="2:32" ht="15" customHeight="1">
      <c r="C89" s="10"/>
      <c r="D89" s="26"/>
      <c r="E89" s="215"/>
      <c r="F89" s="215"/>
      <c r="G89" s="203"/>
      <c r="H89" s="203"/>
      <c r="I89" s="203"/>
      <c r="J89" s="203"/>
      <c r="K89" s="203"/>
      <c r="L89" s="203"/>
      <c r="M89" s="203"/>
      <c r="N89" s="203"/>
      <c r="O89" s="203"/>
      <c r="P89" s="203"/>
      <c r="Q89" s="203"/>
      <c r="R89" s="203"/>
      <c r="S89" s="203"/>
      <c r="T89" s="203"/>
      <c r="U89" s="203"/>
      <c r="V89" s="203"/>
      <c r="W89" s="203"/>
      <c r="X89" s="203"/>
      <c r="Y89" s="203"/>
      <c r="Z89" s="203"/>
      <c r="AA89" s="203"/>
      <c r="AB89" s="203"/>
      <c r="AC89" s="203"/>
      <c r="AD89" s="203"/>
      <c r="AE89" s="203"/>
      <c r="AF89" s="203"/>
    </row>
    <row r="90" spans="2:32" ht="15" customHeight="1">
      <c r="C90" s="10"/>
    </row>
    <row r="91" spans="2:32" ht="15" customHeight="1">
      <c r="B91" s="315"/>
      <c r="C91" s="10"/>
      <c r="D91" s="26"/>
      <c r="E91" s="215"/>
      <c r="F91" s="215"/>
      <c r="G91" s="203"/>
      <c r="H91" s="203"/>
      <c r="I91" s="203"/>
      <c r="J91" s="203"/>
      <c r="K91" s="203"/>
      <c r="L91" s="203"/>
      <c r="M91" s="203"/>
      <c r="N91" s="203"/>
      <c r="O91" s="203"/>
      <c r="P91" s="203"/>
      <c r="Q91" s="203"/>
      <c r="R91" s="203"/>
      <c r="S91" s="203"/>
      <c r="T91" s="203"/>
      <c r="U91" s="203"/>
      <c r="V91" s="203"/>
      <c r="W91" s="203"/>
      <c r="X91" s="203"/>
      <c r="Y91" s="203"/>
      <c r="Z91" s="203"/>
      <c r="AA91" s="203"/>
      <c r="AB91" s="203"/>
      <c r="AC91" s="203"/>
      <c r="AD91" s="203"/>
      <c r="AE91" s="203"/>
      <c r="AF91" s="203"/>
    </row>
    <row r="92" spans="2:32" ht="15" customHeight="1">
      <c r="C92" s="10"/>
      <c r="D92" s="26"/>
      <c r="E92" s="215"/>
      <c r="F92" s="215"/>
      <c r="G92" s="203"/>
      <c r="H92" s="203"/>
      <c r="I92" s="203"/>
      <c r="J92" s="203"/>
      <c r="K92" s="203"/>
      <c r="L92" s="203"/>
      <c r="M92" s="203"/>
      <c r="N92" s="203"/>
      <c r="O92" s="203"/>
      <c r="P92" s="203"/>
      <c r="Q92" s="203"/>
      <c r="R92" s="203"/>
      <c r="S92" s="203"/>
      <c r="T92" s="203"/>
      <c r="U92" s="203"/>
      <c r="V92" s="203"/>
      <c r="W92" s="203"/>
      <c r="X92" s="203"/>
      <c r="Y92" s="203"/>
      <c r="Z92" s="203"/>
      <c r="AA92" s="203"/>
      <c r="AB92" s="203"/>
      <c r="AC92" s="203"/>
      <c r="AD92" s="203"/>
      <c r="AE92" s="203"/>
      <c r="AF92" s="203"/>
    </row>
    <row r="93" spans="2:32" ht="15" customHeight="1">
      <c r="C93" s="10"/>
      <c r="D93" s="26"/>
      <c r="E93" s="215"/>
      <c r="F93" s="215"/>
      <c r="G93" s="203"/>
      <c r="H93" s="203"/>
      <c r="I93" s="203"/>
      <c r="J93" s="203"/>
      <c r="K93" s="203"/>
      <c r="L93" s="203"/>
      <c r="M93" s="203"/>
      <c r="N93" s="203"/>
      <c r="O93" s="203"/>
      <c r="P93" s="203"/>
      <c r="Q93" s="203"/>
      <c r="R93" s="203"/>
      <c r="S93" s="203"/>
      <c r="T93" s="203"/>
      <c r="U93" s="203"/>
      <c r="V93" s="203"/>
      <c r="W93" s="203"/>
      <c r="X93" s="203"/>
      <c r="Y93" s="203"/>
      <c r="Z93" s="203"/>
      <c r="AA93" s="203"/>
      <c r="AB93" s="203"/>
      <c r="AC93" s="203"/>
      <c r="AD93" s="203"/>
      <c r="AE93" s="203"/>
      <c r="AF93" s="203"/>
    </row>
    <row r="94" spans="2:32" ht="15" customHeight="1">
      <c r="C94" s="10"/>
      <c r="D94" s="26"/>
      <c r="E94" s="215"/>
      <c r="F94" s="215"/>
      <c r="G94" s="203"/>
      <c r="H94" s="203"/>
      <c r="I94" s="203"/>
      <c r="J94" s="203"/>
      <c r="K94" s="203"/>
      <c r="L94" s="203"/>
      <c r="M94" s="203"/>
      <c r="N94" s="203"/>
      <c r="O94" s="203"/>
      <c r="P94" s="203"/>
      <c r="Q94" s="203"/>
      <c r="R94" s="203"/>
      <c r="S94" s="203"/>
      <c r="T94" s="203"/>
      <c r="U94" s="203"/>
      <c r="V94" s="203"/>
      <c r="W94" s="203"/>
      <c r="X94" s="203"/>
      <c r="Y94" s="203"/>
      <c r="Z94" s="203"/>
      <c r="AA94" s="203"/>
      <c r="AB94" s="203"/>
      <c r="AC94" s="203"/>
      <c r="AD94" s="203"/>
      <c r="AE94" s="203"/>
      <c r="AF94" s="203"/>
    </row>
    <row r="95" spans="2:32" ht="15" customHeight="1">
      <c r="C95" s="10"/>
      <c r="D95" s="26"/>
      <c r="E95" s="215"/>
      <c r="F95" s="215"/>
      <c r="G95" s="203"/>
      <c r="H95" s="203"/>
      <c r="I95" s="203"/>
      <c r="J95" s="203"/>
      <c r="K95" s="203"/>
      <c r="L95" s="203"/>
      <c r="M95" s="203"/>
      <c r="N95" s="203"/>
      <c r="O95" s="203"/>
      <c r="P95" s="203"/>
      <c r="Q95" s="203"/>
      <c r="R95" s="203"/>
      <c r="S95" s="203"/>
      <c r="T95" s="203"/>
      <c r="U95" s="203"/>
      <c r="V95" s="203"/>
      <c r="W95" s="203"/>
      <c r="X95" s="203"/>
      <c r="Y95" s="203"/>
      <c r="Z95" s="203"/>
      <c r="AA95" s="203"/>
      <c r="AB95" s="203"/>
      <c r="AC95" s="203"/>
      <c r="AD95" s="203"/>
      <c r="AE95" s="203"/>
      <c r="AF95" s="203"/>
    </row>
    <row r="96" spans="2:32" ht="15" customHeight="1">
      <c r="C96" s="10"/>
      <c r="D96" s="26"/>
      <c r="E96" s="215"/>
      <c r="F96" s="215"/>
      <c r="G96" s="203"/>
      <c r="H96" s="203"/>
      <c r="I96" s="203"/>
      <c r="J96" s="203"/>
      <c r="K96" s="203"/>
      <c r="L96" s="203"/>
      <c r="M96" s="203"/>
      <c r="N96" s="203"/>
      <c r="O96" s="203"/>
      <c r="P96" s="203"/>
      <c r="Q96" s="203"/>
      <c r="R96" s="203"/>
      <c r="S96" s="203"/>
      <c r="T96" s="203"/>
      <c r="U96" s="203"/>
      <c r="V96" s="203"/>
      <c r="W96" s="203"/>
      <c r="X96" s="203"/>
      <c r="Y96" s="203"/>
      <c r="Z96" s="203"/>
      <c r="AA96" s="203"/>
      <c r="AB96" s="203"/>
      <c r="AC96" s="203"/>
      <c r="AD96" s="203"/>
      <c r="AE96" s="203"/>
      <c r="AF96" s="203"/>
    </row>
    <row r="97" spans="3:32" ht="15" customHeight="1">
      <c r="C97" s="10"/>
      <c r="D97" s="26"/>
      <c r="E97" s="215"/>
      <c r="F97" s="215"/>
      <c r="G97" s="203"/>
      <c r="H97" s="203"/>
      <c r="I97" s="203"/>
      <c r="J97" s="203"/>
      <c r="K97" s="203"/>
      <c r="L97" s="203"/>
      <c r="M97" s="203"/>
      <c r="N97" s="203"/>
      <c r="O97" s="203"/>
      <c r="P97" s="203"/>
      <c r="Q97" s="203"/>
      <c r="R97" s="203"/>
      <c r="S97" s="203"/>
      <c r="T97" s="203"/>
      <c r="U97" s="203"/>
      <c r="V97" s="203"/>
      <c r="W97" s="203"/>
      <c r="X97" s="203"/>
      <c r="Y97" s="203"/>
      <c r="Z97" s="203"/>
      <c r="AA97" s="203"/>
      <c r="AB97" s="203"/>
      <c r="AC97" s="203"/>
      <c r="AD97" s="203"/>
      <c r="AE97" s="203"/>
      <c r="AF97" s="203"/>
    </row>
    <row r="98" spans="3:32" ht="15" customHeight="1">
      <c r="C98" s="10"/>
      <c r="D98" s="26"/>
      <c r="E98" s="215"/>
      <c r="F98" s="215"/>
      <c r="G98" s="203"/>
      <c r="H98" s="203"/>
      <c r="I98" s="203"/>
      <c r="J98" s="203"/>
      <c r="K98" s="203"/>
      <c r="L98" s="203"/>
      <c r="M98" s="203"/>
      <c r="N98" s="203"/>
      <c r="O98" s="203"/>
      <c r="P98" s="203"/>
      <c r="Q98" s="203"/>
      <c r="R98" s="203"/>
      <c r="S98" s="203"/>
      <c r="T98" s="203"/>
      <c r="U98" s="203"/>
      <c r="V98" s="203"/>
      <c r="W98" s="203"/>
      <c r="X98" s="203"/>
      <c r="Y98" s="203"/>
      <c r="Z98" s="203"/>
      <c r="AA98" s="203"/>
      <c r="AB98" s="203"/>
      <c r="AC98" s="203"/>
      <c r="AD98" s="203"/>
      <c r="AE98" s="203"/>
      <c r="AF98" s="203"/>
    </row>
    <row r="99" spans="3:32" ht="15" customHeight="1">
      <c r="C99" s="10"/>
      <c r="D99" s="26"/>
      <c r="E99" s="215"/>
      <c r="F99" s="215"/>
      <c r="G99" s="203"/>
      <c r="H99" s="203"/>
      <c r="I99" s="203"/>
      <c r="J99" s="203"/>
      <c r="K99" s="203"/>
      <c r="L99" s="203"/>
      <c r="M99" s="203"/>
      <c r="N99" s="203"/>
      <c r="O99" s="203"/>
      <c r="P99" s="203"/>
      <c r="Q99" s="203"/>
      <c r="R99" s="203"/>
      <c r="S99" s="203"/>
      <c r="T99" s="203"/>
      <c r="U99" s="203"/>
      <c r="V99" s="203"/>
      <c r="W99" s="203"/>
      <c r="X99" s="203"/>
      <c r="Y99" s="203"/>
      <c r="Z99" s="203"/>
      <c r="AA99" s="203"/>
      <c r="AB99" s="203"/>
      <c r="AC99" s="203"/>
      <c r="AD99" s="203"/>
      <c r="AE99" s="203"/>
      <c r="AF99" s="203"/>
    </row>
    <row r="100" spans="3:32" ht="15" customHeight="1">
      <c r="C100" s="10"/>
      <c r="D100" s="26"/>
      <c r="E100" s="215"/>
      <c r="F100" s="215"/>
      <c r="G100" s="203"/>
      <c r="H100" s="203"/>
      <c r="I100" s="203"/>
      <c r="J100" s="203"/>
      <c r="K100" s="203"/>
      <c r="L100" s="203"/>
      <c r="M100" s="203"/>
      <c r="N100" s="203"/>
      <c r="O100" s="203"/>
      <c r="P100" s="203"/>
      <c r="Q100" s="203"/>
      <c r="R100" s="203"/>
      <c r="S100" s="203"/>
      <c r="T100" s="203"/>
      <c r="U100" s="203"/>
      <c r="V100" s="203"/>
      <c r="W100" s="203"/>
      <c r="X100" s="203"/>
      <c r="Y100" s="203"/>
      <c r="Z100" s="203"/>
      <c r="AA100" s="203"/>
      <c r="AB100" s="203"/>
      <c r="AC100" s="203"/>
      <c r="AD100" s="203"/>
      <c r="AE100" s="203"/>
      <c r="AF100" s="203"/>
    </row>
    <row r="101" spans="3:32" ht="15" customHeight="1">
      <c r="C101" s="10"/>
      <c r="D101" s="26"/>
      <c r="E101" s="215"/>
      <c r="F101" s="215"/>
      <c r="G101" s="203"/>
      <c r="H101" s="203"/>
      <c r="I101" s="203"/>
      <c r="J101" s="203"/>
      <c r="K101" s="203"/>
      <c r="L101" s="203"/>
      <c r="M101" s="203"/>
      <c r="N101" s="203"/>
      <c r="O101" s="203"/>
      <c r="P101" s="203"/>
      <c r="Q101" s="203"/>
      <c r="R101" s="203"/>
      <c r="S101" s="203"/>
      <c r="T101" s="203"/>
      <c r="U101" s="203"/>
      <c r="V101" s="203"/>
      <c r="W101" s="203"/>
      <c r="X101" s="203"/>
      <c r="Y101" s="203"/>
      <c r="Z101" s="203"/>
      <c r="AA101" s="203"/>
      <c r="AB101" s="203"/>
      <c r="AC101" s="203"/>
      <c r="AD101" s="203"/>
      <c r="AE101" s="203"/>
      <c r="AF101" s="203"/>
    </row>
    <row r="102" spans="3:32" ht="15" customHeight="1">
      <c r="C102" s="10"/>
      <c r="D102" s="26"/>
      <c r="E102" s="215"/>
      <c r="F102" s="215"/>
      <c r="G102" s="203"/>
      <c r="H102" s="203"/>
      <c r="I102" s="203"/>
      <c r="J102" s="203"/>
      <c r="K102" s="203"/>
      <c r="L102" s="203"/>
      <c r="M102" s="203"/>
      <c r="N102" s="203"/>
      <c r="O102" s="203"/>
      <c r="P102" s="203"/>
      <c r="Q102" s="203"/>
      <c r="R102" s="203"/>
      <c r="S102" s="203"/>
      <c r="T102" s="203"/>
      <c r="U102" s="203"/>
      <c r="V102" s="203"/>
      <c r="W102" s="203"/>
      <c r="X102" s="203"/>
      <c r="Y102" s="203"/>
      <c r="Z102" s="203"/>
      <c r="AA102" s="203"/>
      <c r="AB102" s="203"/>
      <c r="AC102" s="203"/>
      <c r="AD102" s="203"/>
      <c r="AE102" s="203"/>
      <c r="AF102" s="203"/>
    </row>
    <row r="103" spans="3:32" ht="15" customHeight="1">
      <c r="C103" s="10"/>
      <c r="D103" s="26"/>
      <c r="E103" s="215"/>
      <c r="F103" s="215"/>
      <c r="G103" s="203"/>
      <c r="H103" s="203"/>
      <c r="I103" s="203"/>
      <c r="J103" s="203"/>
      <c r="K103" s="203"/>
      <c r="L103" s="203"/>
      <c r="M103" s="203"/>
      <c r="N103" s="203"/>
      <c r="O103" s="203"/>
      <c r="P103" s="203"/>
      <c r="Q103" s="203"/>
      <c r="R103" s="203"/>
      <c r="S103" s="203"/>
      <c r="T103" s="203"/>
      <c r="U103" s="203"/>
      <c r="V103" s="203"/>
      <c r="W103" s="203"/>
      <c r="X103" s="203"/>
      <c r="Y103" s="203"/>
      <c r="Z103" s="203"/>
      <c r="AA103" s="203"/>
      <c r="AB103" s="203"/>
      <c r="AC103" s="203"/>
      <c r="AD103" s="203"/>
      <c r="AE103" s="203"/>
      <c r="AF103" s="203"/>
    </row>
    <row r="104" spans="3:32" ht="15" customHeight="1">
      <c r="C104" s="10"/>
      <c r="D104" s="26"/>
      <c r="E104" s="215"/>
      <c r="F104" s="215"/>
      <c r="G104" s="203"/>
      <c r="H104" s="203"/>
      <c r="I104" s="203"/>
      <c r="J104" s="203"/>
      <c r="K104" s="203"/>
      <c r="L104" s="203"/>
      <c r="M104" s="203"/>
      <c r="N104" s="203"/>
      <c r="O104" s="203"/>
      <c r="P104" s="203"/>
      <c r="Q104" s="203"/>
      <c r="R104" s="203"/>
      <c r="S104" s="203"/>
      <c r="T104" s="203"/>
      <c r="U104" s="203"/>
      <c r="V104" s="203"/>
      <c r="W104" s="203"/>
      <c r="X104" s="203"/>
      <c r="Y104" s="203"/>
      <c r="Z104" s="203"/>
      <c r="AA104" s="203"/>
      <c r="AB104" s="203"/>
      <c r="AC104" s="203"/>
      <c r="AD104" s="203"/>
      <c r="AE104" s="203"/>
      <c r="AF104" s="203"/>
    </row>
    <row r="105" spans="3:32" ht="15" customHeight="1">
      <c r="C105" s="10"/>
      <c r="D105" s="26"/>
      <c r="E105" s="215"/>
      <c r="F105" s="215"/>
      <c r="G105" s="203"/>
      <c r="H105" s="203"/>
      <c r="I105" s="203"/>
      <c r="J105" s="203"/>
      <c r="K105" s="203"/>
      <c r="L105" s="203"/>
      <c r="M105" s="203"/>
      <c r="N105" s="203"/>
      <c r="O105" s="203"/>
      <c r="P105" s="203"/>
      <c r="Q105" s="203"/>
      <c r="R105" s="203"/>
      <c r="S105" s="203"/>
      <c r="T105" s="203"/>
      <c r="U105" s="203"/>
      <c r="V105" s="203"/>
      <c r="W105" s="203"/>
      <c r="X105" s="203"/>
      <c r="Y105" s="203"/>
      <c r="Z105" s="203"/>
      <c r="AA105" s="203"/>
      <c r="AB105" s="203"/>
      <c r="AC105" s="203"/>
      <c r="AD105" s="203"/>
      <c r="AE105" s="203"/>
      <c r="AF105" s="203"/>
    </row>
    <row r="106" spans="3:32" ht="15" customHeight="1">
      <c r="C106" s="10"/>
      <c r="D106" s="26"/>
      <c r="E106" s="215"/>
      <c r="F106" s="215"/>
      <c r="G106" s="203"/>
      <c r="H106" s="203"/>
      <c r="I106" s="203"/>
      <c r="J106" s="203"/>
      <c r="K106" s="203"/>
      <c r="L106" s="203"/>
      <c r="M106" s="203"/>
      <c r="N106" s="203"/>
      <c r="O106" s="203"/>
      <c r="P106" s="203"/>
      <c r="Q106" s="203"/>
      <c r="R106" s="203"/>
      <c r="S106" s="203"/>
      <c r="T106" s="203"/>
      <c r="U106" s="203"/>
      <c r="V106" s="203"/>
      <c r="W106" s="203"/>
      <c r="X106" s="203"/>
      <c r="Y106" s="203"/>
      <c r="Z106" s="203"/>
      <c r="AA106" s="203"/>
      <c r="AB106" s="203"/>
      <c r="AC106" s="203"/>
      <c r="AD106" s="203"/>
      <c r="AE106" s="203"/>
      <c r="AF106" s="203"/>
    </row>
    <row r="107" spans="3:32" ht="15" customHeight="1">
      <c r="C107" s="10"/>
      <c r="D107" s="26"/>
      <c r="E107" s="215"/>
      <c r="F107" s="215"/>
      <c r="G107" s="203"/>
      <c r="H107" s="203"/>
      <c r="I107" s="203"/>
      <c r="J107" s="203"/>
      <c r="K107" s="203"/>
      <c r="L107" s="203"/>
      <c r="M107" s="203"/>
      <c r="N107" s="203"/>
      <c r="O107" s="203"/>
      <c r="P107" s="203"/>
      <c r="Q107" s="203"/>
      <c r="R107" s="203"/>
      <c r="S107" s="203"/>
      <c r="T107" s="203"/>
      <c r="U107" s="203"/>
      <c r="V107" s="203"/>
      <c r="W107" s="203"/>
      <c r="X107" s="203"/>
      <c r="Y107" s="203"/>
      <c r="Z107" s="203"/>
      <c r="AA107" s="203"/>
      <c r="AB107" s="203"/>
      <c r="AC107" s="203"/>
      <c r="AD107" s="203"/>
      <c r="AE107" s="203"/>
      <c r="AF107" s="203"/>
    </row>
    <row r="108" spans="3:32" ht="15" customHeight="1">
      <c r="C108" s="10"/>
      <c r="D108" s="26"/>
      <c r="E108" s="215"/>
      <c r="F108" s="215"/>
      <c r="G108" s="203"/>
      <c r="H108" s="203"/>
      <c r="I108" s="203"/>
      <c r="J108" s="203"/>
      <c r="K108" s="203"/>
      <c r="L108" s="203"/>
      <c r="M108" s="203"/>
      <c r="N108" s="203"/>
      <c r="O108" s="203"/>
      <c r="P108" s="203"/>
      <c r="Q108" s="203"/>
      <c r="R108" s="203"/>
      <c r="S108" s="203"/>
      <c r="T108" s="203"/>
      <c r="U108" s="203"/>
      <c r="V108" s="203"/>
      <c r="W108" s="203"/>
      <c r="X108" s="203"/>
      <c r="Y108" s="203"/>
      <c r="Z108" s="203"/>
      <c r="AA108" s="203"/>
      <c r="AB108" s="203"/>
      <c r="AC108" s="203"/>
      <c r="AD108" s="203"/>
      <c r="AE108" s="203"/>
      <c r="AF108" s="203"/>
    </row>
    <row r="109" spans="3:32" ht="15" customHeight="1">
      <c r="C109" s="10"/>
      <c r="D109" s="26"/>
      <c r="E109" s="215"/>
      <c r="F109" s="215"/>
      <c r="G109" s="203"/>
      <c r="H109" s="203"/>
      <c r="I109" s="203"/>
      <c r="J109" s="203"/>
      <c r="K109" s="203"/>
      <c r="L109" s="203"/>
      <c r="M109" s="203"/>
      <c r="N109" s="203"/>
      <c r="O109" s="203"/>
      <c r="P109" s="203"/>
      <c r="Q109" s="203"/>
      <c r="R109" s="203"/>
      <c r="S109" s="203"/>
      <c r="T109" s="203"/>
      <c r="U109" s="203"/>
      <c r="V109" s="203"/>
      <c r="W109" s="203"/>
      <c r="X109" s="203"/>
      <c r="Y109" s="203"/>
      <c r="Z109" s="203"/>
      <c r="AA109" s="203"/>
      <c r="AB109" s="203"/>
      <c r="AC109" s="203"/>
      <c r="AD109" s="203"/>
      <c r="AE109" s="203"/>
      <c r="AF109" s="203"/>
    </row>
    <row r="110" spans="3:32" ht="15" customHeight="1">
      <c r="C110" s="10"/>
      <c r="D110" s="26"/>
      <c r="E110" s="215"/>
      <c r="F110" s="215"/>
      <c r="G110" s="203"/>
      <c r="H110" s="203"/>
      <c r="I110" s="203"/>
      <c r="J110" s="203"/>
      <c r="K110" s="203"/>
      <c r="L110" s="203"/>
      <c r="M110" s="203"/>
      <c r="N110" s="203"/>
      <c r="O110" s="203"/>
      <c r="P110" s="203"/>
      <c r="Q110" s="203"/>
      <c r="R110" s="203"/>
      <c r="S110" s="203"/>
      <c r="T110" s="203"/>
      <c r="U110" s="203"/>
      <c r="V110" s="203"/>
      <c r="W110" s="203"/>
      <c r="X110" s="203"/>
      <c r="Y110" s="203"/>
      <c r="Z110" s="203"/>
      <c r="AA110" s="203"/>
      <c r="AB110" s="203"/>
      <c r="AC110" s="203"/>
      <c r="AD110" s="203"/>
      <c r="AE110" s="203"/>
      <c r="AF110" s="203"/>
    </row>
    <row r="111" spans="3:32" ht="15" customHeight="1">
      <c r="C111" s="10"/>
      <c r="D111" s="26"/>
      <c r="E111" s="215"/>
      <c r="F111" s="215"/>
      <c r="G111" s="203"/>
      <c r="H111" s="203"/>
      <c r="I111" s="203"/>
      <c r="J111" s="203"/>
      <c r="K111" s="203"/>
      <c r="L111" s="203"/>
      <c r="M111" s="203"/>
      <c r="N111" s="203"/>
      <c r="O111" s="203"/>
      <c r="P111" s="203"/>
      <c r="Q111" s="203"/>
      <c r="R111" s="203"/>
      <c r="S111" s="203"/>
      <c r="T111" s="203"/>
      <c r="U111" s="203"/>
      <c r="V111" s="203"/>
      <c r="W111" s="203"/>
      <c r="X111" s="203"/>
      <c r="Y111" s="203"/>
      <c r="Z111" s="203"/>
      <c r="AA111" s="203"/>
      <c r="AB111" s="203"/>
      <c r="AC111" s="203"/>
      <c r="AD111" s="203"/>
      <c r="AE111" s="203"/>
      <c r="AF111" s="203"/>
    </row>
    <row r="112" spans="3:32" ht="15" customHeight="1">
      <c r="C112" s="10"/>
      <c r="D112" s="26"/>
      <c r="E112" s="215"/>
      <c r="F112" s="215"/>
      <c r="G112" s="203"/>
      <c r="H112" s="203"/>
      <c r="I112" s="203"/>
      <c r="J112" s="203"/>
      <c r="K112" s="203"/>
      <c r="L112" s="203"/>
      <c r="M112" s="203"/>
      <c r="N112" s="203"/>
      <c r="O112" s="203"/>
      <c r="P112" s="203"/>
      <c r="Q112" s="203"/>
      <c r="R112" s="203"/>
      <c r="S112" s="203"/>
      <c r="T112" s="203"/>
      <c r="U112" s="203"/>
      <c r="V112" s="203"/>
      <c r="W112" s="203"/>
      <c r="X112" s="203"/>
      <c r="Y112" s="203"/>
      <c r="Z112" s="203"/>
      <c r="AA112" s="203"/>
      <c r="AB112" s="203"/>
      <c r="AC112" s="203"/>
      <c r="AD112" s="203"/>
      <c r="AE112" s="203"/>
      <c r="AF112" s="203"/>
    </row>
    <row r="113" spans="2:32" ht="15" customHeight="1">
      <c r="C113" s="10"/>
      <c r="D113" s="26"/>
      <c r="E113" s="215"/>
      <c r="F113" s="215"/>
      <c r="G113" s="203"/>
      <c r="H113" s="203"/>
      <c r="I113" s="203"/>
      <c r="J113" s="203"/>
      <c r="K113" s="203"/>
      <c r="L113" s="203"/>
      <c r="M113" s="203"/>
      <c r="N113" s="203"/>
      <c r="O113" s="203"/>
      <c r="P113" s="203"/>
      <c r="Q113" s="203"/>
      <c r="R113" s="203"/>
      <c r="S113" s="203"/>
      <c r="T113" s="203"/>
      <c r="U113" s="203"/>
      <c r="V113" s="203"/>
      <c r="W113" s="203"/>
      <c r="X113" s="203"/>
      <c r="Y113" s="203"/>
      <c r="Z113" s="203"/>
      <c r="AA113" s="203"/>
      <c r="AB113" s="203"/>
      <c r="AC113" s="203"/>
      <c r="AD113" s="203"/>
      <c r="AE113" s="203"/>
      <c r="AF113" s="203"/>
    </row>
    <row r="114" spans="2:32" ht="15" customHeight="1">
      <c r="C114" s="10"/>
      <c r="D114" s="26"/>
      <c r="E114" s="215"/>
      <c r="F114" s="215"/>
      <c r="G114" s="203"/>
      <c r="H114" s="203"/>
      <c r="I114" s="203"/>
      <c r="J114" s="203"/>
      <c r="K114" s="203"/>
      <c r="L114" s="203"/>
      <c r="M114" s="203"/>
      <c r="N114" s="203"/>
      <c r="O114" s="203"/>
      <c r="P114" s="203"/>
      <c r="Q114" s="203"/>
      <c r="R114" s="203"/>
      <c r="S114" s="203"/>
      <c r="T114" s="203"/>
      <c r="U114" s="203"/>
      <c r="V114" s="203"/>
      <c r="W114" s="203"/>
      <c r="X114" s="203"/>
      <c r="Y114" s="203"/>
      <c r="Z114" s="203"/>
      <c r="AA114" s="203"/>
      <c r="AB114" s="203"/>
      <c r="AC114" s="203"/>
      <c r="AD114" s="203"/>
      <c r="AE114" s="203"/>
      <c r="AF114" s="203"/>
    </row>
    <row r="115" spans="2:32" ht="15" customHeight="1">
      <c r="C115" s="10"/>
      <c r="D115" s="26"/>
      <c r="E115" s="215"/>
      <c r="F115" s="215"/>
      <c r="G115" s="203"/>
      <c r="H115" s="203"/>
      <c r="I115" s="203"/>
      <c r="J115" s="203"/>
      <c r="K115" s="203"/>
      <c r="L115" s="203"/>
      <c r="M115" s="203"/>
      <c r="N115" s="203"/>
      <c r="O115" s="203"/>
      <c r="P115" s="203"/>
      <c r="Q115" s="203"/>
      <c r="R115" s="203"/>
      <c r="S115" s="203"/>
      <c r="T115" s="203"/>
      <c r="U115" s="203"/>
      <c r="V115" s="203"/>
      <c r="W115" s="203"/>
      <c r="X115" s="203"/>
      <c r="Y115" s="203"/>
      <c r="Z115" s="203"/>
      <c r="AA115" s="203"/>
      <c r="AB115" s="203"/>
      <c r="AC115" s="203"/>
      <c r="AD115" s="203"/>
      <c r="AE115" s="203"/>
      <c r="AF115" s="203"/>
    </row>
    <row r="116" spans="2:32" ht="15" customHeight="1">
      <c r="C116" s="10"/>
    </row>
    <row r="117" spans="2:32" ht="15" customHeight="1">
      <c r="B117" s="315"/>
      <c r="C117" s="10"/>
      <c r="D117" s="26"/>
      <c r="E117" s="215"/>
      <c r="F117" s="215"/>
      <c r="G117" s="203"/>
      <c r="H117" s="203"/>
      <c r="I117" s="203"/>
      <c r="J117" s="203"/>
      <c r="K117" s="203"/>
      <c r="L117" s="203"/>
      <c r="M117" s="203"/>
      <c r="N117" s="203"/>
      <c r="O117" s="203"/>
      <c r="P117" s="203"/>
      <c r="Q117" s="203"/>
      <c r="R117" s="203"/>
      <c r="S117" s="203"/>
      <c r="T117" s="203"/>
      <c r="U117" s="203"/>
      <c r="V117" s="203"/>
      <c r="W117" s="203"/>
      <c r="X117" s="203"/>
      <c r="Y117" s="203"/>
      <c r="Z117" s="203"/>
      <c r="AA117" s="203"/>
      <c r="AB117" s="203"/>
      <c r="AC117" s="203"/>
      <c r="AD117" s="203"/>
      <c r="AE117" s="203"/>
      <c r="AF117" s="203"/>
    </row>
    <row r="118" spans="2:32" ht="15" customHeight="1">
      <c r="C118" s="10"/>
      <c r="D118" s="26"/>
      <c r="E118" s="215"/>
      <c r="F118" s="215"/>
      <c r="G118" s="203"/>
      <c r="H118" s="203"/>
      <c r="I118" s="203"/>
      <c r="J118" s="203"/>
      <c r="K118" s="203"/>
      <c r="L118" s="203"/>
      <c r="M118" s="203"/>
      <c r="N118" s="203"/>
      <c r="O118" s="203"/>
      <c r="P118" s="203"/>
      <c r="Q118" s="203"/>
      <c r="R118" s="203"/>
      <c r="S118" s="203"/>
      <c r="T118" s="203"/>
      <c r="U118" s="203"/>
      <c r="V118" s="203"/>
      <c r="W118" s="203"/>
      <c r="X118" s="203"/>
      <c r="Y118" s="203"/>
      <c r="Z118" s="203"/>
      <c r="AA118" s="203"/>
      <c r="AB118" s="203"/>
      <c r="AC118" s="203"/>
      <c r="AD118" s="203"/>
      <c r="AE118" s="203"/>
      <c r="AF118" s="203"/>
    </row>
    <row r="119" spans="2:32" ht="15" customHeight="1">
      <c r="C119" s="10"/>
      <c r="D119" s="26"/>
      <c r="E119" s="215"/>
      <c r="F119" s="215"/>
      <c r="G119" s="203"/>
      <c r="H119" s="203"/>
      <c r="I119" s="203"/>
      <c r="J119" s="203"/>
      <c r="K119" s="203"/>
      <c r="L119" s="203"/>
      <c r="M119" s="203"/>
      <c r="N119" s="203"/>
      <c r="O119" s="203"/>
      <c r="P119" s="203"/>
      <c r="Q119" s="203"/>
      <c r="R119" s="203"/>
      <c r="S119" s="203"/>
      <c r="T119" s="203"/>
      <c r="U119" s="203"/>
      <c r="V119" s="203"/>
      <c r="W119" s="203"/>
      <c r="X119" s="203"/>
      <c r="Y119" s="203"/>
      <c r="Z119" s="203"/>
      <c r="AA119" s="203"/>
      <c r="AB119" s="203"/>
      <c r="AC119" s="203"/>
      <c r="AD119" s="203"/>
      <c r="AE119" s="203"/>
      <c r="AF119" s="203"/>
    </row>
    <row r="120" spans="2:32" ht="15" customHeight="1">
      <c r="C120" s="10"/>
      <c r="D120" s="26"/>
      <c r="E120" s="215"/>
      <c r="F120" s="215"/>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row>
    <row r="121" spans="2:32" ht="15" customHeight="1">
      <c r="C121" s="10"/>
      <c r="D121" s="26"/>
      <c r="E121" s="215"/>
      <c r="F121" s="215"/>
      <c r="G121" s="203"/>
      <c r="H121" s="203"/>
      <c r="I121" s="203"/>
      <c r="J121" s="203"/>
      <c r="K121" s="203"/>
      <c r="L121" s="203"/>
      <c r="M121" s="203"/>
      <c r="N121" s="203"/>
      <c r="O121" s="203"/>
      <c r="P121" s="203"/>
      <c r="Q121" s="203"/>
      <c r="R121" s="203"/>
      <c r="S121" s="203"/>
      <c r="T121" s="203"/>
      <c r="U121" s="203"/>
      <c r="V121" s="203"/>
      <c r="W121" s="203"/>
      <c r="X121" s="203"/>
      <c r="Y121" s="203"/>
      <c r="Z121" s="203"/>
      <c r="AA121" s="203"/>
      <c r="AB121" s="203"/>
      <c r="AC121" s="203"/>
      <c r="AD121" s="203"/>
      <c r="AE121" s="203"/>
      <c r="AF121" s="203"/>
    </row>
    <row r="122" spans="2:32" ht="15" customHeight="1">
      <c r="C122" s="10"/>
      <c r="D122" s="26"/>
      <c r="E122" s="215"/>
      <c r="F122" s="215"/>
      <c r="G122" s="203"/>
      <c r="H122" s="203"/>
      <c r="I122" s="203"/>
      <c r="J122" s="203"/>
      <c r="K122" s="203"/>
      <c r="L122" s="203"/>
      <c r="M122" s="203"/>
      <c r="N122" s="203"/>
      <c r="O122" s="203"/>
      <c r="P122" s="203"/>
      <c r="Q122" s="203"/>
      <c r="R122" s="203"/>
      <c r="S122" s="203"/>
      <c r="T122" s="203"/>
      <c r="U122" s="203"/>
      <c r="V122" s="203"/>
      <c r="W122" s="203"/>
      <c r="X122" s="203"/>
      <c r="Y122" s="203"/>
      <c r="Z122" s="203"/>
      <c r="AA122" s="203"/>
      <c r="AB122" s="203"/>
      <c r="AC122" s="203"/>
      <c r="AD122" s="203"/>
      <c r="AE122" s="203"/>
      <c r="AF122" s="203"/>
    </row>
    <row r="123" spans="2:32" ht="15" customHeight="1">
      <c r="C123" s="10"/>
      <c r="D123" s="26"/>
      <c r="E123" s="215"/>
      <c r="F123" s="215"/>
      <c r="G123" s="203"/>
      <c r="H123" s="203"/>
      <c r="I123" s="203"/>
      <c r="J123" s="203"/>
      <c r="K123" s="203"/>
      <c r="L123" s="203"/>
      <c r="M123" s="203"/>
      <c r="N123" s="203"/>
      <c r="O123" s="203"/>
      <c r="P123" s="203"/>
      <c r="Q123" s="203"/>
      <c r="R123" s="203"/>
      <c r="S123" s="203"/>
      <c r="T123" s="203"/>
      <c r="U123" s="203"/>
      <c r="V123" s="203"/>
      <c r="W123" s="203"/>
      <c r="X123" s="203"/>
      <c r="Y123" s="203"/>
      <c r="Z123" s="203"/>
      <c r="AA123" s="203"/>
      <c r="AB123" s="203"/>
      <c r="AC123" s="203"/>
      <c r="AD123" s="203"/>
      <c r="AE123" s="203"/>
      <c r="AF123" s="203"/>
    </row>
    <row r="124" spans="2:32" ht="15" customHeight="1">
      <c r="C124" s="10"/>
      <c r="D124" s="26"/>
      <c r="E124" s="215"/>
      <c r="F124" s="215"/>
      <c r="G124" s="203"/>
      <c r="H124" s="203"/>
      <c r="I124" s="203"/>
      <c r="J124" s="203"/>
      <c r="K124" s="203"/>
      <c r="L124" s="203"/>
      <c r="M124" s="203"/>
      <c r="N124" s="203"/>
      <c r="O124" s="203"/>
      <c r="P124" s="203"/>
      <c r="Q124" s="203"/>
      <c r="R124" s="203"/>
      <c r="S124" s="203"/>
      <c r="T124" s="203"/>
      <c r="U124" s="203"/>
      <c r="V124" s="203"/>
      <c r="W124" s="203"/>
      <c r="X124" s="203"/>
      <c r="Y124" s="203"/>
      <c r="Z124" s="203"/>
      <c r="AA124" s="203"/>
      <c r="AB124" s="203"/>
      <c r="AC124" s="203"/>
      <c r="AD124" s="203"/>
      <c r="AE124" s="203"/>
      <c r="AF124" s="203"/>
    </row>
    <row r="125" spans="2:32" ht="15" customHeight="1">
      <c r="C125" s="10"/>
      <c r="D125" s="26"/>
      <c r="E125" s="215"/>
      <c r="F125" s="215"/>
      <c r="G125" s="203"/>
      <c r="H125" s="203"/>
      <c r="I125" s="203"/>
      <c r="J125" s="203"/>
      <c r="K125" s="203"/>
      <c r="L125" s="203"/>
      <c r="M125" s="203"/>
      <c r="N125" s="203"/>
      <c r="O125" s="203"/>
      <c r="P125" s="203"/>
      <c r="Q125" s="203"/>
      <c r="R125" s="203"/>
      <c r="S125" s="203"/>
      <c r="T125" s="203"/>
      <c r="U125" s="203"/>
      <c r="V125" s="203"/>
      <c r="W125" s="203"/>
      <c r="X125" s="203"/>
      <c r="Y125" s="203"/>
      <c r="Z125" s="203"/>
      <c r="AA125" s="203"/>
      <c r="AB125" s="203"/>
      <c r="AC125" s="203"/>
      <c r="AD125" s="203"/>
      <c r="AE125" s="203"/>
      <c r="AF125" s="203"/>
    </row>
    <row r="126" spans="2:32" ht="15" customHeight="1">
      <c r="C126" s="10"/>
      <c r="D126" s="26"/>
      <c r="E126" s="215"/>
      <c r="F126" s="215"/>
      <c r="G126" s="203"/>
      <c r="H126" s="203"/>
      <c r="I126" s="203"/>
      <c r="J126" s="203"/>
      <c r="K126" s="203"/>
      <c r="L126" s="203"/>
      <c r="M126" s="203"/>
      <c r="N126" s="203"/>
      <c r="O126" s="203"/>
      <c r="P126" s="203"/>
      <c r="Q126" s="203"/>
      <c r="R126" s="203"/>
      <c r="S126" s="203"/>
      <c r="T126" s="203"/>
      <c r="U126" s="203"/>
      <c r="V126" s="203"/>
      <c r="W126" s="203"/>
      <c r="X126" s="203"/>
      <c r="Y126" s="203"/>
      <c r="Z126" s="203"/>
      <c r="AA126" s="203"/>
      <c r="AB126" s="203"/>
      <c r="AC126" s="203"/>
      <c r="AD126" s="203"/>
      <c r="AE126" s="203"/>
      <c r="AF126" s="203"/>
    </row>
    <row r="127" spans="2:32" ht="15" customHeight="1">
      <c r="C127" s="10"/>
      <c r="D127" s="26"/>
      <c r="E127" s="215"/>
      <c r="F127" s="215"/>
      <c r="G127" s="203"/>
      <c r="H127" s="203"/>
      <c r="I127" s="203"/>
      <c r="J127" s="203"/>
      <c r="K127" s="203"/>
      <c r="L127" s="203"/>
      <c r="M127" s="203"/>
      <c r="N127" s="203"/>
      <c r="O127" s="203"/>
      <c r="P127" s="203"/>
      <c r="Q127" s="203"/>
      <c r="R127" s="203"/>
      <c r="S127" s="203"/>
      <c r="T127" s="203"/>
      <c r="U127" s="203"/>
      <c r="V127" s="203"/>
      <c r="W127" s="203"/>
      <c r="X127" s="203"/>
      <c r="Y127" s="203"/>
      <c r="Z127" s="203"/>
      <c r="AA127" s="203"/>
      <c r="AB127" s="203"/>
      <c r="AC127" s="203"/>
      <c r="AD127" s="203"/>
      <c r="AE127" s="203"/>
      <c r="AF127" s="203"/>
    </row>
    <row r="128" spans="2:32" ht="15" customHeight="1">
      <c r="C128" s="10"/>
      <c r="D128" s="26"/>
      <c r="E128" s="215"/>
      <c r="F128" s="215"/>
      <c r="G128" s="203"/>
      <c r="H128" s="203"/>
      <c r="I128" s="203"/>
      <c r="J128" s="203"/>
      <c r="K128" s="203"/>
      <c r="L128" s="203"/>
      <c r="M128" s="203"/>
      <c r="N128" s="203"/>
      <c r="O128" s="203"/>
      <c r="P128" s="203"/>
      <c r="Q128" s="203"/>
      <c r="R128" s="203"/>
      <c r="S128" s="203"/>
      <c r="T128" s="203"/>
      <c r="U128" s="203"/>
      <c r="V128" s="203"/>
      <c r="W128" s="203"/>
      <c r="X128" s="203"/>
      <c r="Y128" s="203"/>
      <c r="Z128" s="203"/>
      <c r="AA128" s="203"/>
      <c r="AB128" s="203"/>
      <c r="AC128" s="203"/>
      <c r="AD128" s="203"/>
      <c r="AE128" s="203"/>
      <c r="AF128" s="203"/>
    </row>
    <row r="129" spans="2:32" ht="15" customHeight="1">
      <c r="C129" s="10"/>
      <c r="D129" s="26"/>
      <c r="E129" s="215"/>
      <c r="F129" s="215"/>
      <c r="G129" s="203"/>
      <c r="H129" s="203"/>
      <c r="I129" s="203"/>
      <c r="J129" s="203"/>
      <c r="K129" s="203"/>
      <c r="L129" s="203"/>
      <c r="M129" s="203"/>
      <c r="N129" s="203"/>
      <c r="O129" s="203"/>
      <c r="P129" s="203"/>
      <c r="Q129" s="203"/>
      <c r="R129" s="203"/>
      <c r="S129" s="203"/>
      <c r="T129" s="203"/>
      <c r="U129" s="203"/>
      <c r="V129" s="203"/>
      <c r="W129" s="203"/>
      <c r="X129" s="203"/>
      <c r="Y129" s="203"/>
      <c r="Z129" s="203"/>
      <c r="AA129" s="203"/>
      <c r="AB129" s="203"/>
      <c r="AC129" s="203"/>
      <c r="AD129" s="203"/>
      <c r="AE129" s="203"/>
      <c r="AF129" s="203"/>
    </row>
    <row r="130" spans="2:32" ht="15" customHeight="1">
      <c r="C130" s="10"/>
      <c r="D130" s="26"/>
      <c r="E130" s="215"/>
      <c r="F130" s="215"/>
      <c r="G130" s="203"/>
      <c r="H130" s="203"/>
      <c r="I130" s="203"/>
      <c r="J130" s="203"/>
      <c r="K130" s="203"/>
      <c r="L130" s="203"/>
      <c r="M130" s="203"/>
      <c r="N130" s="203"/>
      <c r="O130" s="203"/>
      <c r="P130" s="203"/>
      <c r="Q130" s="203"/>
      <c r="R130" s="203"/>
      <c r="S130" s="203"/>
      <c r="T130" s="203"/>
      <c r="U130" s="203"/>
      <c r="V130" s="203"/>
      <c r="W130" s="203"/>
      <c r="X130" s="203"/>
      <c r="Y130" s="203"/>
      <c r="Z130" s="203"/>
      <c r="AA130" s="203"/>
      <c r="AB130" s="203"/>
      <c r="AC130" s="203"/>
      <c r="AD130" s="203"/>
      <c r="AE130" s="203"/>
      <c r="AF130" s="203"/>
    </row>
    <row r="131" spans="2:32" ht="15" customHeight="1">
      <c r="C131" s="10"/>
      <c r="D131" s="26"/>
      <c r="E131" s="215"/>
      <c r="F131" s="215"/>
      <c r="G131" s="203"/>
      <c r="H131" s="203"/>
      <c r="I131" s="203"/>
      <c r="J131" s="203"/>
      <c r="K131" s="203"/>
      <c r="L131" s="203"/>
      <c r="M131" s="203"/>
      <c r="N131" s="203"/>
      <c r="O131" s="203"/>
      <c r="P131" s="203"/>
      <c r="Q131" s="203"/>
      <c r="R131" s="203"/>
      <c r="S131" s="203"/>
      <c r="T131" s="203"/>
      <c r="U131" s="203"/>
      <c r="V131" s="203"/>
      <c r="W131" s="203"/>
      <c r="X131" s="203"/>
      <c r="Y131" s="203"/>
      <c r="Z131" s="203"/>
      <c r="AA131" s="203"/>
      <c r="AB131" s="203"/>
      <c r="AC131" s="203"/>
      <c r="AD131" s="203"/>
      <c r="AE131" s="203"/>
      <c r="AF131" s="203"/>
    </row>
    <row r="132" spans="2:32" ht="15" customHeight="1">
      <c r="C132" s="10"/>
      <c r="D132" s="26"/>
      <c r="E132" s="215"/>
      <c r="F132" s="215"/>
      <c r="G132" s="203"/>
      <c r="H132" s="203"/>
      <c r="I132" s="203"/>
      <c r="J132" s="203"/>
      <c r="K132" s="203"/>
      <c r="L132" s="203"/>
      <c r="M132" s="203"/>
      <c r="N132" s="203"/>
      <c r="O132" s="203"/>
      <c r="P132" s="203"/>
      <c r="Q132" s="203"/>
      <c r="R132" s="203"/>
      <c r="S132" s="203"/>
      <c r="T132" s="203"/>
      <c r="U132" s="203"/>
      <c r="V132" s="203"/>
      <c r="W132" s="203"/>
      <c r="X132" s="203"/>
      <c r="Y132" s="203"/>
      <c r="Z132" s="203"/>
      <c r="AA132" s="203"/>
      <c r="AB132" s="203"/>
      <c r="AC132" s="203"/>
      <c r="AD132" s="203"/>
      <c r="AE132" s="203"/>
      <c r="AF132" s="203"/>
    </row>
    <row r="133" spans="2:32" ht="15" customHeight="1">
      <c r="C133" s="10"/>
      <c r="D133" s="26"/>
      <c r="E133" s="215"/>
      <c r="F133" s="215"/>
      <c r="G133" s="203"/>
      <c r="H133" s="203"/>
      <c r="I133" s="203"/>
      <c r="J133" s="203"/>
      <c r="K133" s="203"/>
      <c r="L133" s="203"/>
      <c r="M133" s="203"/>
      <c r="N133" s="203"/>
      <c r="O133" s="203"/>
      <c r="P133" s="203"/>
      <c r="Q133" s="203"/>
      <c r="R133" s="203"/>
      <c r="S133" s="203"/>
      <c r="T133" s="203"/>
      <c r="U133" s="203"/>
      <c r="V133" s="203"/>
      <c r="W133" s="203"/>
      <c r="X133" s="203"/>
      <c r="Y133" s="203"/>
      <c r="Z133" s="203"/>
      <c r="AA133" s="203"/>
      <c r="AB133" s="203"/>
      <c r="AC133" s="203"/>
      <c r="AD133" s="203"/>
      <c r="AE133" s="203"/>
      <c r="AF133" s="203"/>
    </row>
    <row r="134" spans="2:32" ht="15" customHeight="1">
      <c r="C134" s="10"/>
      <c r="D134" s="26"/>
      <c r="E134" s="215"/>
      <c r="F134" s="215"/>
      <c r="G134" s="203"/>
      <c r="H134" s="203"/>
      <c r="I134" s="203"/>
      <c r="J134" s="203"/>
      <c r="K134" s="203"/>
      <c r="L134" s="203"/>
      <c r="M134" s="203"/>
      <c r="N134" s="203"/>
      <c r="O134" s="203"/>
      <c r="P134" s="203"/>
      <c r="Q134" s="203"/>
      <c r="R134" s="203"/>
      <c r="S134" s="203"/>
      <c r="T134" s="203"/>
      <c r="U134" s="203"/>
      <c r="V134" s="203"/>
      <c r="W134" s="203"/>
      <c r="X134" s="203"/>
      <c r="Y134" s="203"/>
      <c r="Z134" s="203"/>
      <c r="AA134" s="203"/>
      <c r="AB134" s="203"/>
      <c r="AC134" s="203"/>
      <c r="AD134" s="203"/>
      <c r="AE134" s="203"/>
      <c r="AF134" s="203"/>
    </row>
    <row r="135" spans="2:32" ht="15" customHeight="1">
      <c r="C135" s="10"/>
      <c r="D135" s="26"/>
      <c r="E135" s="215"/>
      <c r="F135" s="215"/>
      <c r="G135" s="203"/>
      <c r="H135" s="203"/>
      <c r="I135" s="203"/>
      <c r="J135" s="203"/>
      <c r="K135" s="203"/>
      <c r="L135" s="203"/>
      <c r="M135" s="203"/>
      <c r="N135" s="203"/>
      <c r="O135" s="203"/>
      <c r="P135" s="203"/>
      <c r="Q135" s="203"/>
      <c r="R135" s="203"/>
      <c r="S135" s="203"/>
      <c r="T135" s="203"/>
      <c r="U135" s="203"/>
      <c r="V135" s="203"/>
      <c r="W135" s="203"/>
      <c r="X135" s="203"/>
      <c r="Y135" s="203"/>
      <c r="Z135" s="203"/>
      <c r="AA135" s="203"/>
      <c r="AB135" s="203"/>
      <c r="AC135" s="203"/>
      <c r="AD135" s="203"/>
      <c r="AE135" s="203"/>
      <c r="AF135" s="203"/>
    </row>
    <row r="136" spans="2:32" ht="15" customHeight="1">
      <c r="C136" s="10"/>
      <c r="D136" s="26"/>
      <c r="E136" s="215"/>
      <c r="F136" s="215"/>
      <c r="G136" s="203"/>
      <c r="H136" s="203"/>
      <c r="I136" s="203"/>
      <c r="J136" s="203"/>
      <c r="K136" s="203"/>
      <c r="L136" s="203"/>
      <c r="M136" s="203"/>
      <c r="N136" s="203"/>
      <c r="O136" s="203"/>
      <c r="P136" s="203"/>
      <c r="Q136" s="203"/>
      <c r="R136" s="203"/>
      <c r="S136" s="203"/>
      <c r="T136" s="203"/>
      <c r="U136" s="203"/>
      <c r="V136" s="203"/>
      <c r="W136" s="203"/>
      <c r="X136" s="203"/>
      <c r="Y136" s="203"/>
      <c r="Z136" s="203"/>
      <c r="AA136" s="203"/>
      <c r="AB136" s="203"/>
      <c r="AC136" s="203"/>
      <c r="AD136" s="203"/>
      <c r="AE136" s="203"/>
      <c r="AF136" s="203"/>
    </row>
    <row r="137" spans="2:32" ht="15" customHeight="1">
      <c r="C137" s="10"/>
      <c r="D137" s="26"/>
      <c r="E137" s="215"/>
      <c r="F137" s="215"/>
      <c r="G137" s="203"/>
      <c r="H137" s="203"/>
      <c r="I137" s="203"/>
      <c r="J137" s="203"/>
      <c r="K137" s="203"/>
      <c r="L137" s="203"/>
      <c r="M137" s="203"/>
      <c r="N137" s="203"/>
      <c r="O137" s="203"/>
      <c r="P137" s="203"/>
      <c r="Q137" s="203"/>
      <c r="R137" s="203"/>
      <c r="S137" s="203"/>
      <c r="T137" s="203"/>
      <c r="U137" s="203"/>
      <c r="V137" s="203"/>
      <c r="W137" s="203"/>
      <c r="X137" s="203"/>
      <c r="Y137" s="203"/>
      <c r="Z137" s="203"/>
      <c r="AA137" s="203"/>
      <c r="AB137" s="203"/>
      <c r="AC137" s="203"/>
      <c r="AD137" s="203"/>
      <c r="AE137" s="203"/>
      <c r="AF137" s="203"/>
    </row>
    <row r="138" spans="2:32" ht="15" customHeight="1">
      <c r="C138" s="10"/>
      <c r="D138" s="26"/>
      <c r="E138" s="215"/>
      <c r="F138" s="215"/>
      <c r="G138" s="203"/>
      <c r="H138" s="203"/>
      <c r="I138" s="203"/>
      <c r="J138" s="203"/>
      <c r="K138" s="203"/>
      <c r="L138" s="203"/>
      <c r="M138" s="203"/>
      <c r="N138" s="203"/>
      <c r="O138" s="203"/>
      <c r="P138" s="203"/>
      <c r="Q138" s="203"/>
      <c r="R138" s="203"/>
      <c r="S138" s="203"/>
      <c r="T138" s="203"/>
      <c r="U138" s="203"/>
      <c r="V138" s="203"/>
      <c r="W138" s="203"/>
      <c r="X138" s="203"/>
      <c r="Y138" s="203"/>
      <c r="Z138" s="203"/>
      <c r="AA138" s="203"/>
      <c r="AB138" s="203"/>
      <c r="AC138" s="203"/>
      <c r="AD138" s="203"/>
      <c r="AE138" s="203"/>
      <c r="AF138" s="203"/>
    </row>
    <row r="139" spans="2:32" ht="15" customHeight="1">
      <c r="C139" s="10"/>
      <c r="D139" s="26"/>
      <c r="E139" s="215"/>
      <c r="F139" s="215"/>
      <c r="G139" s="203"/>
      <c r="H139" s="203"/>
      <c r="I139" s="203"/>
      <c r="J139" s="203"/>
      <c r="K139" s="203"/>
      <c r="L139" s="203"/>
      <c r="M139" s="203"/>
      <c r="N139" s="203"/>
      <c r="O139" s="203"/>
      <c r="P139" s="203"/>
      <c r="Q139" s="203"/>
      <c r="R139" s="203"/>
      <c r="S139" s="203"/>
      <c r="T139" s="203"/>
      <c r="U139" s="203"/>
      <c r="V139" s="203"/>
      <c r="W139" s="203"/>
      <c r="X139" s="203"/>
      <c r="Y139" s="203"/>
      <c r="Z139" s="203"/>
      <c r="AA139" s="203"/>
      <c r="AB139" s="203"/>
      <c r="AC139" s="203"/>
      <c r="AD139" s="203"/>
      <c r="AE139" s="203"/>
      <c r="AF139" s="203"/>
    </row>
    <row r="140" spans="2:32" ht="15" customHeight="1">
      <c r="C140" s="10"/>
      <c r="D140" s="26"/>
      <c r="E140" s="215"/>
      <c r="F140" s="215"/>
      <c r="G140" s="203"/>
      <c r="H140" s="203"/>
      <c r="I140" s="203"/>
      <c r="J140" s="203"/>
      <c r="K140" s="203"/>
      <c r="L140" s="203"/>
      <c r="M140" s="203"/>
      <c r="N140" s="203"/>
      <c r="O140" s="203"/>
      <c r="P140" s="203"/>
      <c r="Q140" s="203"/>
      <c r="R140" s="203"/>
      <c r="S140" s="203"/>
      <c r="T140" s="203"/>
      <c r="U140" s="203"/>
      <c r="V140" s="203"/>
      <c r="W140" s="203"/>
      <c r="X140" s="203"/>
      <c r="Y140" s="203"/>
      <c r="Z140" s="203"/>
      <c r="AA140" s="203"/>
      <c r="AB140" s="203"/>
      <c r="AC140" s="203"/>
      <c r="AD140" s="203"/>
      <c r="AE140" s="203"/>
      <c r="AF140" s="203"/>
    </row>
    <row r="141" spans="2:32" ht="15" customHeight="1">
      <c r="C141" s="10"/>
      <c r="D141" s="26"/>
      <c r="E141" s="215"/>
      <c r="F141" s="215"/>
      <c r="G141" s="203"/>
      <c r="H141" s="203"/>
      <c r="I141" s="203"/>
      <c r="J141" s="203"/>
      <c r="K141" s="203"/>
      <c r="L141" s="203"/>
      <c r="M141" s="203"/>
      <c r="N141" s="203"/>
      <c r="O141" s="203"/>
      <c r="P141" s="203"/>
      <c r="Q141" s="203"/>
      <c r="R141" s="203"/>
      <c r="S141" s="203"/>
      <c r="T141" s="203"/>
      <c r="U141" s="203"/>
      <c r="V141" s="203"/>
      <c r="W141" s="203"/>
      <c r="X141" s="203"/>
      <c r="Y141" s="203"/>
      <c r="Z141" s="203"/>
      <c r="AA141" s="203"/>
      <c r="AB141" s="203"/>
      <c r="AC141" s="203"/>
      <c r="AD141" s="203"/>
      <c r="AE141" s="203"/>
      <c r="AF141" s="203"/>
    </row>
    <row r="142" spans="2:32" ht="15" customHeight="1">
      <c r="C142" s="10"/>
    </row>
    <row r="143" spans="2:32" ht="15" customHeight="1">
      <c r="B143" s="315"/>
      <c r="C143" s="10"/>
      <c r="D143" s="26"/>
      <c r="E143" s="215"/>
      <c r="F143" s="215"/>
      <c r="G143" s="203"/>
      <c r="H143" s="203"/>
      <c r="I143" s="203"/>
      <c r="J143" s="203"/>
      <c r="K143" s="203"/>
      <c r="L143" s="203"/>
      <c r="M143" s="203"/>
      <c r="N143" s="203"/>
      <c r="O143" s="203"/>
      <c r="P143" s="203"/>
      <c r="Q143" s="203"/>
      <c r="R143" s="203"/>
      <c r="S143" s="203"/>
      <c r="T143" s="203"/>
      <c r="U143" s="203"/>
      <c r="V143" s="203"/>
      <c r="W143" s="203"/>
      <c r="X143" s="203"/>
      <c r="Y143" s="203"/>
      <c r="Z143" s="203"/>
      <c r="AA143" s="203"/>
      <c r="AB143" s="203"/>
      <c r="AC143" s="203"/>
      <c r="AD143" s="203"/>
      <c r="AE143" s="203"/>
      <c r="AF143" s="203"/>
    </row>
    <row r="144" spans="2:32" ht="15" customHeight="1">
      <c r="C144" s="10"/>
      <c r="D144" s="26"/>
      <c r="E144" s="215"/>
      <c r="F144" s="215"/>
      <c r="G144" s="203"/>
      <c r="H144" s="203"/>
      <c r="I144" s="203"/>
      <c r="J144" s="203"/>
      <c r="K144" s="203"/>
      <c r="L144" s="203"/>
      <c r="M144" s="203"/>
      <c r="N144" s="203"/>
      <c r="O144" s="203"/>
      <c r="P144" s="203"/>
      <c r="Q144" s="203"/>
      <c r="R144" s="203"/>
      <c r="S144" s="203"/>
      <c r="T144" s="203"/>
      <c r="U144" s="203"/>
      <c r="V144" s="203"/>
      <c r="W144" s="203"/>
      <c r="X144" s="203"/>
      <c r="Y144" s="203"/>
      <c r="Z144" s="203"/>
      <c r="AA144" s="203"/>
      <c r="AB144" s="203"/>
      <c r="AC144" s="203"/>
      <c r="AD144" s="203"/>
      <c r="AE144" s="203"/>
      <c r="AF144" s="203"/>
    </row>
    <row r="145" spans="3:32" ht="15" customHeight="1">
      <c r="C145" s="10"/>
      <c r="D145" s="26"/>
      <c r="E145" s="215"/>
      <c r="F145" s="215"/>
      <c r="G145" s="203"/>
      <c r="H145" s="203"/>
      <c r="I145" s="203"/>
      <c r="J145" s="203"/>
      <c r="K145" s="203"/>
      <c r="L145" s="203"/>
      <c r="M145" s="203"/>
      <c r="N145" s="203"/>
      <c r="O145" s="203"/>
      <c r="P145" s="203"/>
      <c r="Q145" s="203"/>
      <c r="R145" s="203"/>
      <c r="S145" s="203"/>
      <c r="T145" s="203"/>
      <c r="U145" s="203"/>
      <c r="V145" s="203"/>
      <c r="W145" s="203"/>
      <c r="X145" s="203"/>
      <c r="Y145" s="203"/>
      <c r="Z145" s="203"/>
      <c r="AA145" s="203"/>
      <c r="AB145" s="203"/>
      <c r="AC145" s="203"/>
      <c r="AD145" s="203"/>
      <c r="AE145" s="203"/>
      <c r="AF145" s="203"/>
    </row>
    <row r="146" spans="3:32" ht="15" customHeight="1">
      <c r="C146" s="10"/>
      <c r="D146" s="26"/>
      <c r="E146" s="215"/>
      <c r="F146" s="215"/>
      <c r="G146" s="203"/>
      <c r="H146" s="203"/>
      <c r="I146" s="203"/>
      <c r="J146" s="203"/>
      <c r="K146" s="203"/>
      <c r="L146" s="203"/>
      <c r="M146" s="203"/>
      <c r="N146" s="203"/>
      <c r="O146" s="203"/>
      <c r="P146" s="203"/>
      <c r="Q146" s="203"/>
      <c r="R146" s="203"/>
      <c r="S146" s="203"/>
      <c r="T146" s="203"/>
      <c r="U146" s="203"/>
      <c r="V146" s="203"/>
      <c r="W146" s="203"/>
      <c r="X146" s="203"/>
      <c r="Y146" s="203"/>
      <c r="Z146" s="203"/>
      <c r="AA146" s="203"/>
      <c r="AB146" s="203"/>
      <c r="AC146" s="203"/>
      <c r="AD146" s="203"/>
      <c r="AE146" s="203"/>
      <c r="AF146" s="203"/>
    </row>
    <row r="147" spans="3:32" ht="15" customHeight="1">
      <c r="C147" s="10"/>
      <c r="D147" s="26"/>
      <c r="E147" s="215"/>
      <c r="F147" s="215"/>
      <c r="G147" s="203"/>
      <c r="H147" s="203"/>
      <c r="I147" s="203"/>
      <c r="J147" s="203"/>
      <c r="K147" s="203"/>
      <c r="L147" s="203"/>
      <c r="M147" s="203"/>
      <c r="N147" s="203"/>
      <c r="O147" s="203"/>
      <c r="P147" s="203"/>
      <c r="Q147" s="203"/>
      <c r="R147" s="203"/>
      <c r="S147" s="203"/>
      <c r="T147" s="203"/>
      <c r="U147" s="203"/>
      <c r="V147" s="203"/>
      <c r="W147" s="203"/>
      <c r="X147" s="203"/>
      <c r="Y147" s="203"/>
      <c r="Z147" s="203"/>
      <c r="AA147" s="203"/>
      <c r="AB147" s="203"/>
      <c r="AC147" s="203"/>
      <c r="AD147" s="203"/>
      <c r="AE147" s="203"/>
      <c r="AF147" s="203"/>
    </row>
    <row r="148" spans="3:32" ht="15" customHeight="1">
      <c r="C148" s="10"/>
      <c r="D148" s="26"/>
      <c r="E148" s="215"/>
      <c r="F148" s="215"/>
      <c r="G148" s="203"/>
      <c r="H148" s="203"/>
      <c r="I148" s="203"/>
      <c r="J148" s="203"/>
      <c r="K148" s="203"/>
      <c r="L148" s="203"/>
      <c r="M148" s="203"/>
      <c r="N148" s="203"/>
      <c r="O148" s="203"/>
      <c r="P148" s="203"/>
      <c r="Q148" s="203"/>
      <c r="R148" s="203"/>
      <c r="S148" s="203"/>
      <c r="T148" s="203"/>
      <c r="U148" s="203"/>
      <c r="V148" s="203"/>
      <c r="W148" s="203"/>
      <c r="X148" s="203"/>
      <c r="Y148" s="203"/>
      <c r="Z148" s="203"/>
      <c r="AA148" s="203"/>
      <c r="AB148" s="203"/>
      <c r="AC148" s="203"/>
      <c r="AD148" s="203"/>
      <c r="AE148" s="203"/>
      <c r="AF148" s="203"/>
    </row>
    <row r="149" spans="3:32" ht="15" customHeight="1">
      <c r="C149" s="10"/>
      <c r="D149" s="26"/>
      <c r="E149" s="215"/>
      <c r="F149" s="215"/>
      <c r="G149" s="203"/>
      <c r="H149" s="203"/>
      <c r="I149" s="203"/>
      <c r="J149" s="203"/>
      <c r="K149" s="203"/>
      <c r="L149" s="203"/>
      <c r="M149" s="203"/>
      <c r="N149" s="203"/>
      <c r="O149" s="203"/>
      <c r="P149" s="203"/>
      <c r="Q149" s="203"/>
      <c r="R149" s="203"/>
      <c r="S149" s="203"/>
      <c r="T149" s="203"/>
      <c r="U149" s="203"/>
      <c r="V149" s="203"/>
      <c r="W149" s="203"/>
      <c r="X149" s="203"/>
      <c r="Y149" s="203"/>
      <c r="Z149" s="203"/>
      <c r="AA149" s="203"/>
      <c r="AB149" s="203"/>
      <c r="AC149" s="203"/>
      <c r="AD149" s="203"/>
      <c r="AE149" s="203"/>
      <c r="AF149" s="203"/>
    </row>
    <row r="150" spans="3:32" ht="15" customHeight="1">
      <c r="C150" s="10"/>
      <c r="D150" s="26"/>
      <c r="E150" s="215"/>
      <c r="F150" s="215"/>
      <c r="G150" s="203"/>
      <c r="H150" s="203"/>
      <c r="I150" s="203"/>
      <c r="J150" s="203"/>
      <c r="K150" s="203"/>
      <c r="L150" s="203"/>
      <c r="M150" s="203"/>
      <c r="N150" s="203"/>
      <c r="O150" s="203"/>
      <c r="P150" s="203"/>
      <c r="Q150" s="203"/>
      <c r="R150" s="203"/>
      <c r="S150" s="203"/>
      <c r="T150" s="203"/>
      <c r="U150" s="203"/>
      <c r="V150" s="203"/>
      <c r="W150" s="203"/>
      <c r="X150" s="203"/>
      <c r="Y150" s="203"/>
      <c r="Z150" s="203"/>
      <c r="AA150" s="203"/>
      <c r="AB150" s="203"/>
      <c r="AC150" s="203"/>
      <c r="AD150" s="203"/>
      <c r="AE150" s="203"/>
      <c r="AF150" s="203"/>
    </row>
    <row r="151" spans="3:32" ht="15" customHeight="1">
      <c r="C151" s="10"/>
      <c r="D151" s="26"/>
      <c r="E151" s="215"/>
      <c r="F151" s="215"/>
      <c r="G151" s="203"/>
      <c r="H151" s="203"/>
      <c r="I151" s="203"/>
      <c r="J151" s="203"/>
      <c r="K151" s="203"/>
      <c r="L151" s="203"/>
      <c r="M151" s="203"/>
      <c r="N151" s="203"/>
      <c r="O151" s="203"/>
      <c r="P151" s="203"/>
      <c r="Q151" s="203"/>
      <c r="R151" s="203"/>
      <c r="S151" s="203"/>
      <c r="T151" s="203"/>
      <c r="U151" s="203"/>
      <c r="V151" s="203"/>
      <c r="W151" s="203"/>
      <c r="X151" s="203"/>
      <c r="Y151" s="203"/>
      <c r="Z151" s="203"/>
      <c r="AA151" s="203"/>
      <c r="AB151" s="203"/>
      <c r="AC151" s="203"/>
      <c r="AD151" s="203"/>
      <c r="AE151" s="203"/>
      <c r="AF151" s="203"/>
    </row>
    <row r="152" spans="3:32" ht="15" customHeight="1">
      <c r="C152" s="10"/>
      <c r="D152" s="26"/>
      <c r="E152" s="215"/>
      <c r="F152" s="215"/>
      <c r="G152" s="203"/>
      <c r="H152" s="203"/>
      <c r="I152" s="203"/>
      <c r="J152" s="203"/>
      <c r="K152" s="203"/>
      <c r="L152" s="203"/>
      <c r="M152" s="203"/>
      <c r="N152" s="203"/>
      <c r="O152" s="203"/>
      <c r="P152" s="203"/>
      <c r="Q152" s="203"/>
      <c r="R152" s="203"/>
      <c r="S152" s="203"/>
      <c r="T152" s="203"/>
      <c r="U152" s="203"/>
      <c r="V152" s="203"/>
      <c r="W152" s="203"/>
      <c r="X152" s="203"/>
      <c r="Y152" s="203"/>
      <c r="Z152" s="203"/>
      <c r="AA152" s="203"/>
      <c r="AB152" s="203"/>
      <c r="AC152" s="203"/>
      <c r="AD152" s="203"/>
      <c r="AE152" s="203"/>
      <c r="AF152" s="203"/>
    </row>
    <row r="153" spans="3:32" ht="15" customHeight="1">
      <c r="C153" s="10"/>
      <c r="D153" s="26"/>
      <c r="E153" s="215"/>
      <c r="F153" s="215"/>
      <c r="G153" s="203"/>
      <c r="H153" s="203"/>
      <c r="I153" s="203"/>
      <c r="J153" s="203"/>
      <c r="K153" s="203"/>
      <c r="L153" s="203"/>
      <c r="M153" s="203"/>
      <c r="N153" s="203"/>
      <c r="O153" s="203"/>
      <c r="P153" s="203"/>
      <c r="Q153" s="203"/>
      <c r="R153" s="203"/>
      <c r="S153" s="203"/>
      <c r="T153" s="203"/>
      <c r="U153" s="203"/>
      <c r="V153" s="203"/>
      <c r="W153" s="203"/>
      <c r="X153" s="203"/>
      <c r="Y153" s="203"/>
      <c r="Z153" s="203"/>
      <c r="AA153" s="203"/>
      <c r="AB153" s="203"/>
      <c r="AC153" s="203"/>
      <c r="AD153" s="203"/>
      <c r="AE153" s="203"/>
      <c r="AF153" s="203"/>
    </row>
    <row r="154" spans="3:32" ht="15" customHeight="1">
      <c r="C154" s="10"/>
      <c r="D154" s="26"/>
      <c r="E154" s="215"/>
      <c r="F154" s="215"/>
      <c r="G154" s="203"/>
      <c r="H154" s="203"/>
      <c r="I154" s="203"/>
      <c r="J154" s="203"/>
      <c r="K154" s="203"/>
      <c r="L154" s="203"/>
      <c r="M154" s="203"/>
      <c r="N154" s="203"/>
      <c r="O154" s="203"/>
      <c r="P154" s="203"/>
      <c r="Q154" s="203"/>
      <c r="R154" s="203"/>
      <c r="S154" s="203"/>
      <c r="T154" s="203"/>
      <c r="U154" s="203"/>
      <c r="V154" s="203"/>
      <c r="W154" s="203"/>
      <c r="X154" s="203"/>
      <c r="Y154" s="203"/>
      <c r="Z154" s="203"/>
      <c r="AA154" s="203"/>
      <c r="AB154" s="203"/>
      <c r="AC154" s="203"/>
      <c r="AD154" s="203"/>
      <c r="AE154" s="203"/>
      <c r="AF154" s="203"/>
    </row>
    <row r="155" spans="3:32" ht="15" customHeight="1">
      <c r="C155" s="10"/>
      <c r="D155" s="26"/>
      <c r="E155" s="215"/>
      <c r="F155" s="215"/>
      <c r="G155" s="203"/>
      <c r="H155" s="203"/>
      <c r="I155" s="203"/>
      <c r="J155" s="203"/>
      <c r="K155" s="203"/>
      <c r="L155" s="203"/>
      <c r="M155" s="203"/>
      <c r="N155" s="203"/>
      <c r="O155" s="203"/>
      <c r="P155" s="203"/>
      <c r="Q155" s="203"/>
      <c r="R155" s="203"/>
      <c r="S155" s="203"/>
      <c r="T155" s="203"/>
      <c r="U155" s="203"/>
      <c r="V155" s="203"/>
      <c r="W155" s="203"/>
      <c r="X155" s="203"/>
      <c r="Y155" s="203"/>
      <c r="Z155" s="203"/>
      <c r="AA155" s="203"/>
      <c r="AB155" s="203"/>
      <c r="AC155" s="203"/>
      <c r="AD155" s="203"/>
      <c r="AE155" s="203"/>
      <c r="AF155" s="203"/>
    </row>
    <row r="156" spans="3:32" ht="15" customHeight="1">
      <c r="C156" s="10"/>
      <c r="D156" s="26"/>
      <c r="E156" s="215"/>
      <c r="F156" s="215"/>
      <c r="G156" s="203"/>
      <c r="H156" s="203"/>
      <c r="I156" s="203"/>
      <c r="J156" s="203"/>
      <c r="K156" s="203"/>
      <c r="L156" s="203"/>
      <c r="M156" s="203"/>
      <c r="N156" s="203"/>
      <c r="O156" s="203"/>
      <c r="P156" s="203"/>
      <c r="Q156" s="203"/>
      <c r="R156" s="203"/>
      <c r="S156" s="203"/>
      <c r="T156" s="203"/>
      <c r="U156" s="203"/>
      <c r="V156" s="203"/>
      <c r="W156" s="203"/>
      <c r="X156" s="203"/>
      <c r="Y156" s="203"/>
      <c r="Z156" s="203"/>
      <c r="AA156" s="203"/>
      <c r="AB156" s="203"/>
      <c r="AC156" s="203"/>
      <c r="AD156" s="203"/>
      <c r="AE156" s="203"/>
      <c r="AF156" s="203"/>
    </row>
    <row r="157" spans="3:32" ht="15" customHeight="1">
      <c r="C157" s="10"/>
      <c r="D157" s="26"/>
      <c r="E157" s="215"/>
      <c r="F157" s="215"/>
      <c r="G157" s="203"/>
      <c r="H157" s="203"/>
      <c r="I157" s="203"/>
      <c r="J157" s="203"/>
      <c r="K157" s="203"/>
      <c r="L157" s="203"/>
      <c r="M157" s="203"/>
      <c r="N157" s="203"/>
      <c r="O157" s="203"/>
      <c r="P157" s="203"/>
      <c r="Q157" s="203"/>
      <c r="R157" s="203"/>
      <c r="S157" s="203"/>
      <c r="T157" s="203"/>
      <c r="U157" s="203"/>
      <c r="V157" s="203"/>
      <c r="W157" s="203"/>
      <c r="X157" s="203"/>
      <c r="Y157" s="203"/>
      <c r="Z157" s="203"/>
      <c r="AA157" s="203"/>
      <c r="AB157" s="203"/>
      <c r="AC157" s="203"/>
      <c r="AD157" s="203"/>
      <c r="AE157" s="203"/>
      <c r="AF157" s="203"/>
    </row>
    <row r="158" spans="3:32" ht="15" customHeight="1">
      <c r="C158" s="10"/>
      <c r="D158" s="26"/>
      <c r="E158" s="215"/>
      <c r="F158" s="215"/>
      <c r="G158" s="203"/>
      <c r="H158" s="203"/>
      <c r="I158" s="203"/>
      <c r="J158" s="203"/>
      <c r="K158" s="203"/>
      <c r="L158" s="203"/>
      <c r="M158" s="203"/>
      <c r="N158" s="203"/>
      <c r="O158" s="203"/>
      <c r="P158" s="203"/>
      <c r="Q158" s="203"/>
      <c r="R158" s="203"/>
      <c r="S158" s="203"/>
      <c r="T158" s="203"/>
      <c r="U158" s="203"/>
      <c r="V158" s="203"/>
      <c r="W158" s="203"/>
      <c r="X158" s="203"/>
      <c r="Y158" s="203"/>
      <c r="Z158" s="203"/>
      <c r="AA158" s="203"/>
      <c r="AB158" s="203"/>
      <c r="AC158" s="203"/>
      <c r="AD158" s="203"/>
      <c r="AE158" s="203"/>
      <c r="AF158" s="203"/>
    </row>
    <row r="159" spans="3:32" ht="15" customHeight="1">
      <c r="C159" s="10"/>
      <c r="D159" s="26"/>
      <c r="E159" s="215"/>
      <c r="F159" s="215"/>
      <c r="G159" s="203"/>
      <c r="H159" s="203"/>
      <c r="I159" s="203"/>
      <c r="J159" s="203"/>
      <c r="K159" s="203"/>
      <c r="L159" s="203"/>
      <c r="M159" s="203"/>
      <c r="N159" s="203"/>
      <c r="O159" s="203"/>
      <c r="P159" s="203"/>
      <c r="Q159" s="203"/>
      <c r="R159" s="203"/>
      <c r="S159" s="203"/>
      <c r="T159" s="203"/>
      <c r="U159" s="203"/>
      <c r="V159" s="203"/>
      <c r="W159" s="203"/>
      <c r="X159" s="203"/>
      <c r="Y159" s="203"/>
      <c r="Z159" s="203"/>
      <c r="AA159" s="203"/>
      <c r="AB159" s="203"/>
      <c r="AC159" s="203"/>
      <c r="AD159" s="203"/>
      <c r="AE159" s="203"/>
      <c r="AF159" s="203"/>
    </row>
    <row r="160" spans="3:32" ht="15" customHeight="1">
      <c r="C160" s="10"/>
      <c r="D160" s="26"/>
      <c r="E160" s="215"/>
      <c r="F160" s="215"/>
      <c r="G160" s="203"/>
      <c r="H160" s="203"/>
      <c r="I160" s="203"/>
      <c r="J160" s="203"/>
      <c r="K160" s="203"/>
      <c r="L160" s="203"/>
      <c r="M160" s="203"/>
      <c r="N160" s="203"/>
      <c r="O160" s="203"/>
      <c r="P160" s="203"/>
      <c r="Q160" s="203"/>
      <c r="R160" s="203"/>
      <c r="S160" s="203"/>
      <c r="T160" s="203"/>
      <c r="U160" s="203"/>
      <c r="V160" s="203"/>
      <c r="W160" s="203"/>
      <c r="X160" s="203"/>
      <c r="Y160" s="203"/>
      <c r="Z160" s="203"/>
      <c r="AA160" s="203"/>
      <c r="AB160" s="203"/>
      <c r="AC160" s="203"/>
      <c r="AD160" s="203"/>
      <c r="AE160" s="203"/>
      <c r="AF160" s="203"/>
    </row>
    <row r="161" spans="2:32" ht="15" customHeight="1">
      <c r="C161" s="10"/>
      <c r="D161" s="26"/>
      <c r="E161" s="215"/>
      <c r="F161" s="215"/>
      <c r="G161" s="203"/>
      <c r="H161" s="203"/>
      <c r="I161" s="203"/>
      <c r="J161" s="203"/>
      <c r="K161" s="203"/>
      <c r="L161" s="203"/>
      <c r="M161" s="203"/>
      <c r="N161" s="203"/>
      <c r="O161" s="203"/>
      <c r="P161" s="203"/>
      <c r="Q161" s="203"/>
      <c r="R161" s="203"/>
      <c r="S161" s="203"/>
      <c r="T161" s="203"/>
      <c r="U161" s="203"/>
      <c r="V161" s="203"/>
      <c r="W161" s="203"/>
      <c r="X161" s="203"/>
      <c r="Y161" s="203"/>
      <c r="Z161" s="203"/>
      <c r="AA161" s="203"/>
      <c r="AB161" s="203"/>
      <c r="AC161" s="203"/>
      <c r="AD161" s="203"/>
      <c r="AE161" s="203"/>
      <c r="AF161" s="203"/>
    </row>
    <row r="162" spans="2:32" ht="15" customHeight="1">
      <c r="C162" s="10"/>
      <c r="D162" s="26"/>
      <c r="E162" s="215"/>
      <c r="F162" s="215"/>
      <c r="G162" s="203"/>
      <c r="H162" s="203"/>
      <c r="I162" s="203"/>
      <c r="J162" s="203"/>
      <c r="K162" s="203"/>
      <c r="L162" s="203"/>
      <c r="M162" s="203"/>
      <c r="N162" s="203"/>
      <c r="O162" s="203"/>
      <c r="P162" s="203"/>
      <c r="Q162" s="203"/>
      <c r="R162" s="203"/>
      <c r="S162" s="203"/>
      <c r="T162" s="203"/>
      <c r="U162" s="203"/>
      <c r="V162" s="203"/>
      <c r="W162" s="203"/>
      <c r="X162" s="203"/>
      <c r="Y162" s="203"/>
      <c r="Z162" s="203"/>
      <c r="AA162" s="203"/>
      <c r="AB162" s="203"/>
      <c r="AC162" s="203"/>
      <c r="AD162" s="203"/>
      <c r="AE162" s="203"/>
      <c r="AF162" s="203"/>
    </row>
    <row r="163" spans="2:32" ht="15" customHeight="1">
      <c r="C163" s="10"/>
      <c r="D163" s="26"/>
      <c r="E163" s="215"/>
      <c r="F163" s="215"/>
      <c r="G163" s="203"/>
      <c r="H163" s="203"/>
      <c r="I163" s="203"/>
      <c r="J163" s="203"/>
      <c r="K163" s="203"/>
      <c r="L163" s="203"/>
      <c r="M163" s="203"/>
      <c r="N163" s="203"/>
      <c r="O163" s="203"/>
      <c r="P163" s="203"/>
      <c r="Q163" s="203"/>
      <c r="R163" s="203"/>
      <c r="S163" s="203"/>
      <c r="T163" s="203"/>
      <c r="U163" s="203"/>
      <c r="V163" s="203"/>
      <c r="W163" s="203"/>
      <c r="X163" s="203"/>
      <c r="Y163" s="203"/>
      <c r="Z163" s="203"/>
      <c r="AA163" s="203"/>
      <c r="AB163" s="203"/>
      <c r="AC163" s="203"/>
      <c r="AD163" s="203"/>
      <c r="AE163" s="203"/>
      <c r="AF163" s="203"/>
    </row>
    <row r="164" spans="2:32" ht="15" customHeight="1">
      <c r="C164" s="10"/>
      <c r="D164" s="26"/>
      <c r="E164" s="215"/>
      <c r="F164" s="215"/>
      <c r="G164" s="203"/>
      <c r="H164" s="203"/>
      <c r="I164" s="203"/>
      <c r="J164" s="203"/>
      <c r="K164" s="203"/>
      <c r="L164" s="203"/>
      <c r="M164" s="203"/>
      <c r="N164" s="203"/>
      <c r="O164" s="203"/>
      <c r="P164" s="203"/>
      <c r="Q164" s="203"/>
      <c r="R164" s="203"/>
      <c r="S164" s="203"/>
      <c r="T164" s="203"/>
      <c r="U164" s="203"/>
      <c r="V164" s="203"/>
      <c r="W164" s="203"/>
      <c r="X164" s="203"/>
      <c r="Y164" s="203"/>
      <c r="Z164" s="203"/>
      <c r="AA164" s="203"/>
      <c r="AB164" s="203"/>
      <c r="AC164" s="203"/>
      <c r="AD164" s="203"/>
      <c r="AE164" s="203"/>
      <c r="AF164" s="203"/>
    </row>
    <row r="165" spans="2:32" ht="15" customHeight="1">
      <c r="C165" s="10"/>
      <c r="D165" s="26"/>
      <c r="E165" s="215"/>
      <c r="F165" s="215"/>
      <c r="G165" s="203"/>
      <c r="H165" s="203"/>
      <c r="I165" s="203"/>
      <c r="J165" s="203"/>
      <c r="K165" s="203"/>
      <c r="L165" s="203"/>
      <c r="M165" s="203"/>
      <c r="N165" s="203"/>
      <c r="O165" s="203"/>
      <c r="P165" s="203"/>
      <c r="Q165" s="203"/>
      <c r="R165" s="203"/>
      <c r="S165" s="203"/>
      <c r="T165" s="203"/>
      <c r="U165" s="203"/>
      <c r="V165" s="203"/>
      <c r="W165" s="203"/>
      <c r="X165" s="203"/>
      <c r="Y165" s="203"/>
      <c r="Z165" s="203"/>
      <c r="AA165" s="203"/>
      <c r="AB165" s="203"/>
      <c r="AC165" s="203"/>
      <c r="AD165" s="203"/>
      <c r="AE165" s="203"/>
      <c r="AF165" s="203"/>
    </row>
    <row r="166" spans="2:32" ht="15" customHeight="1">
      <c r="C166" s="10"/>
      <c r="D166" s="26"/>
      <c r="E166" s="215"/>
      <c r="F166" s="215"/>
      <c r="G166" s="203"/>
      <c r="H166" s="203"/>
      <c r="I166" s="203"/>
      <c r="J166" s="203"/>
      <c r="K166" s="203"/>
      <c r="L166" s="203"/>
      <c r="M166" s="203"/>
      <c r="N166" s="203"/>
      <c r="O166" s="203"/>
      <c r="P166" s="203"/>
      <c r="Q166" s="203"/>
      <c r="R166" s="203"/>
      <c r="S166" s="203"/>
      <c r="T166" s="203"/>
      <c r="U166" s="203"/>
      <c r="V166" s="203"/>
      <c r="W166" s="203"/>
      <c r="X166" s="203"/>
      <c r="Y166" s="203"/>
      <c r="Z166" s="203"/>
      <c r="AA166" s="203"/>
      <c r="AB166" s="203"/>
      <c r="AC166" s="203"/>
      <c r="AD166" s="203"/>
      <c r="AE166" s="203"/>
      <c r="AF166" s="203"/>
    </row>
    <row r="167" spans="2:32" ht="15" customHeight="1">
      <c r="C167" s="10"/>
      <c r="D167" s="26"/>
      <c r="E167" s="215"/>
      <c r="F167" s="215"/>
      <c r="G167" s="203"/>
      <c r="H167" s="203"/>
      <c r="I167" s="203"/>
      <c r="J167" s="203"/>
      <c r="K167" s="203"/>
      <c r="L167" s="203"/>
      <c r="M167" s="203"/>
      <c r="N167" s="203"/>
      <c r="O167" s="203"/>
      <c r="P167" s="203"/>
      <c r="Q167" s="203"/>
      <c r="R167" s="203"/>
      <c r="S167" s="203"/>
      <c r="T167" s="203"/>
      <c r="U167" s="203"/>
      <c r="V167" s="203"/>
      <c r="W167" s="203"/>
      <c r="X167" s="203"/>
      <c r="Y167" s="203"/>
      <c r="Z167" s="203"/>
      <c r="AA167" s="203"/>
      <c r="AB167" s="203"/>
      <c r="AC167" s="203"/>
      <c r="AD167" s="203"/>
      <c r="AE167" s="203"/>
      <c r="AF167" s="203"/>
    </row>
    <row r="168" spans="2:32" ht="15" customHeight="1">
      <c r="C168" s="10"/>
    </row>
    <row r="169" spans="2:32" ht="15" customHeight="1">
      <c r="B169" s="315"/>
      <c r="C169" s="10"/>
      <c r="D169" s="26"/>
      <c r="E169" s="215"/>
      <c r="F169" s="215"/>
      <c r="G169" s="203"/>
      <c r="H169" s="203"/>
      <c r="I169" s="203"/>
      <c r="J169" s="203"/>
      <c r="K169" s="203"/>
      <c r="L169" s="203"/>
      <c r="M169" s="203"/>
      <c r="N169" s="203"/>
      <c r="O169" s="203"/>
      <c r="P169" s="203"/>
      <c r="Q169" s="203"/>
      <c r="R169" s="203"/>
      <c r="S169" s="203"/>
      <c r="T169" s="203"/>
      <c r="U169" s="203"/>
      <c r="V169" s="203"/>
      <c r="W169" s="203"/>
      <c r="X169" s="203"/>
      <c r="Y169" s="203"/>
      <c r="Z169" s="203"/>
      <c r="AA169" s="203"/>
      <c r="AB169" s="203"/>
      <c r="AC169" s="203"/>
      <c r="AD169" s="203"/>
      <c r="AE169" s="203"/>
      <c r="AF169" s="203"/>
    </row>
    <row r="170" spans="2:32" ht="15" customHeight="1">
      <c r="C170" s="10"/>
      <c r="D170" s="26"/>
      <c r="E170" s="215"/>
      <c r="F170" s="215"/>
      <c r="G170" s="203"/>
      <c r="H170" s="203"/>
      <c r="I170" s="203"/>
      <c r="J170" s="203"/>
      <c r="K170" s="203"/>
      <c r="L170" s="203"/>
      <c r="M170" s="203"/>
      <c r="N170" s="203"/>
      <c r="O170" s="203"/>
      <c r="P170" s="203"/>
      <c r="Q170" s="203"/>
      <c r="R170" s="203"/>
      <c r="S170" s="203"/>
      <c r="T170" s="203"/>
      <c r="U170" s="203"/>
      <c r="V170" s="203"/>
      <c r="W170" s="203"/>
      <c r="X170" s="203"/>
      <c r="Y170" s="203"/>
      <c r="Z170" s="203"/>
      <c r="AA170" s="203"/>
      <c r="AB170" s="203"/>
      <c r="AC170" s="203"/>
      <c r="AD170" s="203"/>
      <c r="AE170" s="203"/>
      <c r="AF170" s="203"/>
    </row>
    <row r="171" spans="2:32" ht="15" customHeight="1">
      <c r="C171" s="10"/>
      <c r="D171" s="26"/>
      <c r="E171" s="215"/>
      <c r="F171" s="215"/>
      <c r="G171" s="203"/>
      <c r="H171" s="203"/>
      <c r="I171" s="203"/>
      <c r="J171" s="203"/>
      <c r="K171" s="203"/>
      <c r="L171" s="203"/>
      <c r="M171" s="203"/>
      <c r="N171" s="203"/>
      <c r="O171" s="203"/>
      <c r="P171" s="203"/>
      <c r="Q171" s="203"/>
      <c r="R171" s="203"/>
      <c r="S171" s="203"/>
      <c r="T171" s="203"/>
      <c r="U171" s="203"/>
      <c r="V171" s="203"/>
      <c r="W171" s="203"/>
      <c r="X171" s="203"/>
      <c r="Y171" s="203"/>
      <c r="Z171" s="203"/>
      <c r="AA171" s="203"/>
      <c r="AB171" s="203"/>
      <c r="AC171" s="203"/>
      <c r="AD171" s="203"/>
      <c r="AE171" s="203"/>
      <c r="AF171" s="203"/>
    </row>
    <row r="172" spans="2:32" ht="15" customHeight="1">
      <c r="C172" s="10"/>
      <c r="D172" s="26"/>
      <c r="E172" s="215"/>
      <c r="F172" s="215"/>
      <c r="G172" s="203"/>
      <c r="H172" s="203"/>
      <c r="I172" s="203"/>
      <c r="J172" s="203"/>
      <c r="K172" s="203"/>
      <c r="L172" s="203"/>
      <c r="M172" s="203"/>
      <c r="N172" s="203"/>
      <c r="O172" s="203"/>
      <c r="P172" s="203"/>
      <c r="Q172" s="203"/>
      <c r="R172" s="203"/>
      <c r="S172" s="203"/>
      <c r="T172" s="203"/>
      <c r="U172" s="203"/>
      <c r="V172" s="203"/>
      <c r="W172" s="203"/>
      <c r="X172" s="203"/>
      <c r="Y172" s="203"/>
      <c r="Z172" s="203"/>
      <c r="AA172" s="203"/>
      <c r="AB172" s="203"/>
      <c r="AC172" s="203"/>
      <c r="AD172" s="203"/>
      <c r="AE172" s="203"/>
      <c r="AF172" s="203"/>
    </row>
    <row r="173" spans="2:32" ht="15" customHeight="1">
      <c r="C173" s="10"/>
      <c r="D173" s="26"/>
      <c r="E173" s="215"/>
      <c r="F173" s="215"/>
      <c r="G173" s="203"/>
      <c r="H173" s="203"/>
      <c r="I173" s="203"/>
      <c r="J173" s="203"/>
      <c r="K173" s="203"/>
      <c r="L173" s="203"/>
      <c r="M173" s="203"/>
      <c r="N173" s="203"/>
      <c r="O173" s="203"/>
      <c r="P173" s="203"/>
      <c r="Q173" s="203"/>
      <c r="R173" s="203"/>
      <c r="S173" s="203"/>
      <c r="T173" s="203"/>
      <c r="U173" s="203"/>
      <c r="V173" s="203"/>
      <c r="W173" s="203"/>
      <c r="X173" s="203"/>
      <c r="Y173" s="203"/>
      <c r="Z173" s="203"/>
      <c r="AA173" s="203"/>
      <c r="AB173" s="203"/>
      <c r="AC173" s="203"/>
      <c r="AD173" s="203"/>
      <c r="AE173" s="203"/>
      <c r="AF173" s="203"/>
    </row>
    <row r="174" spans="2:32" ht="15" customHeight="1">
      <c r="C174" s="10"/>
      <c r="D174" s="26"/>
      <c r="E174" s="215"/>
      <c r="F174" s="215"/>
      <c r="G174" s="203"/>
      <c r="H174" s="203"/>
      <c r="I174" s="203"/>
      <c r="J174" s="203"/>
      <c r="K174" s="203"/>
      <c r="L174" s="203"/>
      <c r="M174" s="203"/>
      <c r="N174" s="203"/>
      <c r="O174" s="203"/>
      <c r="P174" s="203"/>
      <c r="Q174" s="203"/>
      <c r="R174" s="203"/>
      <c r="S174" s="203"/>
      <c r="T174" s="203"/>
      <c r="U174" s="203"/>
      <c r="V174" s="203"/>
      <c r="W174" s="203"/>
      <c r="X174" s="203"/>
      <c r="Y174" s="203"/>
      <c r="Z174" s="203"/>
      <c r="AA174" s="203"/>
      <c r="AB174" s="203"/>
      <c r="AC174" s="203"/>
      <c r="AD174" s="203"/>
      <c r="AE174" s="203"/>
      <c r="AF174" s="203"/>
    </row>
    <row r="175" spans="2:32" ht="15" customHeight="1">
      <c r="C175" s="10"/>
      <c r="D175" s="26"/>
      <c r="E175" s="215"/>
      <c r="F175" s="215"/>
      <c r="G175" s="203"/>
      <c r="H175" s="203"/>
      <c r="I175" s="203"/>
      <c r="J175" s="203"/>
      <c r="K175" s="203"/>
      <c r="L175" s="203"/>
      <c r="M175" s="203"/>
      <c r="N175" s="203"/>
      <c r="O175" s="203"/>
      <c r="P175" s="203"/>
      <c r="Q175" s="203"/>
      <c r="R175" s="203"/>
      <c r="S175" s="203"/>
      <c r="T175" s="203"/>
      <c r="U175" s="203"/>
      <c r="V175" s="203"/>
      <c r="W175" s="203"/>
      <c r="X175" s="203"/>
      <c r="Y175" s="203"/>
      <c r="Z175" s="203"/>
      <c r="AA175" s="203"/>
      <c r="AB175" s="203"/>
      <c r="AC175" s="203"/>
      <c r="AD175" s="203"/>
      <c r="AE175" s="203"/>
      <c r="AF175" s="203"/>
    </row>
    <row r="176" spans="2:32" ht="15" customHeight="1">
      <c r="C176" s="10"/>
      <c r="D176" s="26"/>
      <c r="E176" s="215"/>
      <c r="F176" s="215"/>
      <c r="G176" s="203"/>
      <c r="H176" s="203"/>
      <c r="I176" s="203"/>
      <c r="J176" s="203"/>
      <c r="K176" s="203"/>
      <c r="L176" s="203"/>
      <c r="M176" s="203"/>
      <c r="N176" s="203"/>
      <c r="O176" s="203"/>
      <c r="P176" s="203"/>
      <c r="Q176" s="203"/>
      <c r="R176" s="203"/>
      <c r="S176" s="203"/>
      <c r="T176" s="203"/>
      <c r="U176" s="203"/>
      <c r="V176" s="203"/>
      <c r="W176" s="203"/>
      <c r="X176" s="203"/>
      <c r="Y176" s="203"/>
      <c r="Z176" s="203"/>
      <c r="AA176" s="203"/>
      <c r="AB176" s="203"/>
      <c r="AC176" s="203"/>
      <c r="AD176" s="203"/>
      <c r="AE176" s="203"/>
      <c r="AF176" s="203"/>
    </row>
    <row r="177" spans="3:32" ht="15" customHeight="1">
      <c r="C177" s="10"/>
      <c r="D177" s="26"/>
      <c r="E177" s="215"/>
      <c r="F177" s="215"/>
      <c r="G177" s="203"/>
      <c r="H177" s="203"/>
      <c r="I177" s="203"/>
      <c r="J177" s="203"/>
      <c r="K177" s="203"/>
      <c r="L177" s="203"/>
      <c r="M177" s="203"/>
      <c r="N177" s="203"/>
      <c r="O177" s="203"/>
      <c r="P177" s="203"/>
      <c r="Q177" s="203"/>
      <c r="R177" s="203"/>
      <c r="S177" s="203"/>
      <c r="T177" s="203"/>
      <c r="U177" s="203"/>
      <c r="V177" s="203"/>
      <c r="W177" s="203"/>
      <c r="X177" s="203"/>
      <c r="Y177" s="203"/>
      <c r="Z177" s="203"/>
      <c r="AA177" s="203"/>
      <c r="AB177" s="203"/>
      <c r="AC177" s="203"/>
      <c r="AD177" s="203"/>
      <c r="AE177" s="203"/>
      <c r="AF177" s="203"/>
    </row>
    <row r="178" spans="3:32" ht="15" customHeight="1">
      <c r="C178" s="10"/>
      <c r="D178" s="26"/>
      <c r="E178" s="215"/>
      <c r="F178" s="215"/>
      <c r="G178" s="203"/>
      <c r="H178" s="203"/>
      <c r="I178" s="203"/>
      <c r="J178" s="203"/>
      <c r="K178" s="203"/>
      <c r="L178" s="203"/>
      <c r="M178" s="203"/>
      <c r="N178" s="203"/>
      <c r="O178" s="203"/>
      <c r="P178" s="203"/>
      <c r="Q178" s="203"/>
      <c r="R178" s="203"/>
      <c r="S178" s="203"/>
      <c r="T178" s="203"/>
      <c r="U178" s="203"/>
      <c r="V178" s="203"/>
      <c r="W178" s="203"/>
      <c r="X178" s="203"/>
      <c r="Y178" s="203"/>
      <c r="Z178" s="203"/>
      <c r="AA178" s="203"/>
      <c r="AB178" s="203"/>
      <c r="AC178" s="203"/>
      <c r="AD178" s="203"/>
      <c r="AE178" s="203"/>
      <c r="AF178" s="203"/>
    </row>
    <row r="179" spans="3:32" ht="15" customHeight="1">
      <c r="C179" s="10"/>
      <c r="D179" s="26"/>
      <c r="E179" s="215"/>
      <c r="F179" s="215"/>
      <c r="G179" s="203"/>
      <c r="H179" s="203"/>
      <c r="I179" s="203"/>
      <c r="J179" s="203"/>
      <c r="K179" s="203"/>
      <c r="L179" s="203"/>
      <c r="M179" s="203"/>
      <c r="N179" s="203"/>
      <c r="O179" s="203"/>
      <c r="P179" s="203"/>
      <c r="Q179" s="203"/>
      <c r="R179" s="203"/>
      <c r="S179" s="203"/>
      <c r="T179" s="203"/>
      <c r="U179" s="203"/>
      <c r="V179" s="203"/>
      <c r="W179" s="203"/>
      <c r="X179" s="203"/>
      <c r="Y179" s="203"/>
      <c r="Z179" s="203"/>
      <c r="AA179" s="203"/>
      <c r="AB179" s="203"/>
      <c r="AC179" s="203"/>
      <c r="AD179" s="203"/>
      <c r="AE179" s="203"/>
      <c r="AF179" s="203"/>
    </row>
    <row r="180" spans="3:32" ht="15" customHeight="1">
      <c r="C180" s="10"/>
      <c r="D180" s="26"/>
      <c r="E180" s="215"/>
      <c r="F180" s="215"/>
      <c r="G180" s="203"/>
      <c r="H180" s="203"/>
      <c r="I180" s="203"/>
      <c r="J180" s="203"/>
      <c r="K180" s="203"/>
      <c r="L180" s="203"/>
      <c r="M180" s="203"/>
      <c r="N180" s="203"/>
      <c r="O180" s="203"/>
      <c r="P180" s="203"/>
      <c r="Q180" s="203"/>
      <c r="R180" s="203"/>
      <c r="S180" s="203"/>
      <c r="T180" s="203"/>
      <c r="U180" s="203"/>
      <c r="V180" s="203"/>
      <c r="W180" s="203"/>
      <c r="X180" s="203"/>
      <c r="Y180" s="203"/>
      <c r="Z180" s="203"/>
      <c r="AA180" s="203"/>
      <c r="AB180" s="203"/>
      <c r="AC180" s="203"/>
      <c r="AD180" s="203"/>
      <c r="AE180" s="203"/>
      <c r="AF180" s="203"/>
    </row>
    <row r="181" spans="3:32" ht="15" customHeight="1">
      <c r="C181" s="10"/>
      <c r="D181" s="26"/>
      <c r="E181" s="215"/>
      <c r="F181" s="215"/>
      <c r="G181" s="203"/>
      <c r="H181" s="203"/>
      <c r="I181" s="203"/>
      <c r="J181" s="203"/>
      <c r="K181" s="203"/>
      <c r="L181" s="203"/>
      <c r="M181" s="203"/>
      <c r="N181" s="203"/>
      <c r="O181" s="203"/>
      <c r="P181" s="203"/>
      <c r="Q181" s="203"/>
      <c r="R181" s="203"/>
      <c r="S181" s="203"/>
      <c r="T181" s="203"/>
      <c r="U181" s="203"/>
      <c r="V181" s="203"/>
      <c r="W181" s="203"/>
      <c r="X181" s="203"/>
      <c r="Y181" s="203"/>
      <c r="Z181" s="203"/>
      <c r="AA181" s="203"/>
      <c r="AB181" s="203"/>
      <c r="AC181" s="203"/>
      <c r="AD181" s="203"/>
      <c r="AE181" s="203"/>
      <c r="AF181" s="203"/>
    </row>
    <row r="182" spans="3:32" ht="15" customHeight="1">
      <c r="C182" s="10"/>
      <c r="D182" s="26"/>
      <c r="E182" s="215"/>
      <c r="F182" s="215"/>
      <c r="G182" s="203"/>
      <c r="H182" s="203"/>
      <c r="I182" s="203"/>
      <c r="J182" s="203"/>
      <c r="K182" s="203"/>
      <c r="L182" s="203"/>
      <c r="M182" s="203"/>
      <c r="N182" s="203"/>
      <c r="O182" s="203"/>
      <c r="P182" s="203"/>
      <c r="Q182" s="203"/>
      <c r="R182" s="203"/>
      <c r="S182" s="203"/>
      <c r="T182" s="203"/>
      <c r="U182" s="203"/>
      <c r="V182" s="203"/>
      <c r="W182" s="203"/>
      <c r="X182" s="203"/>
      <c r="Y182" s="203"/>
      <c r="Z182" s="203"/>
      <c r="AA182" s="203"/>
      <c r="AB182" s="203"/>
      <c r="AC182" s="203"/>
      <c r="AD182" s="203"/>
      <c r="AE182" s="203"/>
      <c r="AF182" s="203"/>
    </row>
    <row r="183" spans="3:32" ht="15" customHeight="1">
      <c r="C183" s="10"/>
      <c r="D183" s="26"/>
      <c r="E183" s="215"/>
      <c r="F183" s="215"/>
      <c r="G183" s="203"/>
      <c r="H183" s="203"/>
      <c r="I183" s="203"/>
      <c r="J183" s="203"/>
      <c r="K183" s="203"/>
      <c r="L183" s="203"/>
      <c r="M183" s="203"/>
      <c r="N183" s="203"/>
      <c r="O183" s="203"/>
      <c r="P183" s="203"/>
      <c r="Q183" s="203"/>
      <c r="R183" s="203"/>
      <c r="S183" s="203"/>
      <c r="T183" s="203"/>
      <c r="U183" s="203"/>
      <c r="V183" s="203"/>
      <c r="W183" s="203"/>
      <c r="X183" s="203"/>
      <c r="Y183" s="203"/>
      <c r="Z183" s="203"/>
      <c r="AA183" s="203"/>
      <c r="AB183" s="203"/>
      <c r="AC183" s="203"/>
      <c r="AD183" s="203"/>
      <c r="AE183" s="203"/>
      <c r="AF183" s="203"/>
    </row>
    <row r="184" spans="3:32" ht="15" customHeight="1">
      <c r="C184" s="10"/>
      <c r="D184" s="26"/>
      <c r="E184" s="215"/>
      <c r="F184" s="215"/>
      <c r="G184" s="203"/>
      <c r="H184" s="203"/>
      <c r="I184" s="203"/>
      <c r="J184" s="203"/>
      <c r="K184" s="203"/>
      <c r="L184" s="203"/>
      <c r="M184" s="203"/>
      <c r="N184" s="203"/>
      <c r="O184" s="203"/>
      <c r="P184" s="203"/>
      <c r="Q184" s="203"/>
      <c r="R184" s="203"/>
      <c r="S184" s="203"/>
      <c r="T184" s="203"/>
      <c r="U184" s="203"/>
      <c r="V184" s="203"/>
      <c r="W184" s="203"/>
      <c r="X184" s="203"/>
      <c r="Y184" s="203"/>
      <c r="Z184" s="203"/>
      <c r="AA184" s="203"/>
      <c r="AB184" s="203"/>
      <c r="AC184" s="203"/>
      <c r="AD184" s="203"/>
      <c r="AE184" s="203"/>
      <c r="AF184" s="203"/>
    </row>
    <row r="185" spans="3:32" ht="15" customHeight="1">
      <c r="C185" s="10"/>
      <c r="D185" s="26"/>
      <c r="E185" s="215"/>
      <c r="F185" s="215"/>
      <c r="G185" s="203"/>
      <c r="H185" s="203"/>
      <c r="I185" s="203"/>
      <c r="J185" s="203"/>
      <c r="K185" s="203"/>
      <c r="L185" s="203"/>
      <c r="M185" s="203"/>
      <c r="N185" s="203"/>
      <c r="O185" s="203"/>
      <c r="P185" s="203"/>
      <c r="Q185" s="203"/>
      <c r="R185" s="203"/>
      <c r="S185" s="203"/>
      <c r="T185" s="203"/>
      <c r="U185" s="203"/>
      <c r="V185" s="203"/>
      <c r="W185" s="203"/>
      <c r="X185" s="203"/>
      <c r="Y185" s="203"/>
      <c r="Z185" s="203"/>
      <c r="AA185" s="203"/>
      <c r="AB185" s="203"/>
      <c r="AC185" s="203"/>
      <c r="AD185" s="203"/>
      <c r="AE185" s="203"/>
      <c r="AF185" s="203"/>
    </row>
    <row r="186" spans="3:32" ht="15" customHeight="1">
      <c r="C186" s="10"/>
      <c r="D186" s="26"/>
      <c r="E186" s="215"/>
      <c r="F186" s="215"/>
      <c r="G186" s="203"/>
      <c r="H186" s="203"/>
      <c r="I186" s="203"/>
      <c r="J186" s="203"/>
      <c r="K186" s="203"/>
      <c r="L186" s="203"/>
      <c r="M186" s="203"/>
      <c r="N186" s="203"/>
      <c r="O186" s="203"/>
      <c r="P186" s="203"/>
      <c r="Q186" s="203"/>
      <c r="R186" s="203"/>
      <c r="S186" s="203"/>
      <c r="T186" s="203"/>
      <c r="U186" s="203"/>
      <c r="V186" s="203"/>
      <c r="W186" s="203"/>
      <c r="X186" s="203"/>
      <c r="Y186" s="203"/>
      <c r="Z186" s="203"/>
      <c r="AA186" s="203"/>
      <c r="AB186" s="203"/>
      <c r="AC186" s="203"/>
      <c r="AD186" s="203"/>
      <c r="AE186" s="203"/>
      <c r="AF186" s="203"/>
    </row>
    <row r="187" spans="3:32" ht="15" customHeight="1">
      <c r="C187" s="10"/>
      <c r="D187" s="26"/>
      <c r="E187" s="215"/>
      <c r="F187" s="215"/>
      <c r="G187" s="203"/>
      <c r="H187" s="203"/>
      <c r="I187" s="203"/>
      <c r="J187" s="203"/>
      <c r="K187" s="203"/>
      <c r="L187" s="203"/>
      <c r="M187" s="203"/>
      <c r="N187" s="203"/>
      <c r="O187" s="203"/>
      <c r="P187" s="203"/>
      <c r="Q187" s="203"/>
      <c r="R187" s="203"/>
      <c r="S187" s="203"/>
      <c r="T187" s="203"/>
      <c r="U187" s="203"/>
      <c r="V187" s="203"/>
      <c r="W187" s="203"/>
      <c r="X187" s="203"/>
      <c r="Y187" s="203"/>
      <c r="Z187" s="203"/>
      <c r="AA187" s="203"/>
      <c r="AB187" s="203"/>
      <c r="AC187" s="203"/>
      <c r="AD187" s="203"/>
      <c r="AE187" s="203"/>
      <c r="AF187" s="203"/>
    </row>
    <row r="188" spans="3:32" ht="15" customHeight="1">
      <c r="C188" s="10"/>
      <c r="D188" s="26"/>
      <c r="E188" s="215"/>
      <c r="F188" s="215"/>
      <c r="G188" s="203"/>
      <c r="H188" s="203"/>
      <c r="I188" s="203"/>
      <c r="J188" s="203"/>
      <c r="K188" s="203"/>
      <c r="L188" s="203"/>
      <c r="M188" s="203"/>
      <c r="N188" s="203"/>
      <c r="O188" s="203"/>
      <c r="P188" s="203"/>
      <c r="Q188" s="203"/>
      <c r="R188" s="203"/>
      <c r="S188" s="203"/>
      <c r="T188" s="203"/>
      <c r="U188" s="203"/>
      <c r="V188" s="203"/>
      <c r="W188" s="203"/>
      <c r="X188" s="203"/>
      <c r="Y188" s="203"/>
      <c r="Z188" s="203"/>
      <c r="AA188" s="203"/>
      <c r="AB188" s="203"/>
      <c r="AC188" s="203"/>
      <c r="AD188" s="203"/>
      <c r="AE188" s="203"/>
      <c r="AF188" s="203"/>
    </row>
    <row r="189" spans="3:32" ht="15" customHeight="1">
      <c r="C189" s="10"/>
      <c r="D189" s="26"/>
      <c r="E189" s="215"/>
      <c r="F189" s="215"/>
      <c r="G189" s="203"/>
      <c r="H189" s="203"/>
      <c r="I189" s="203"/>
      <c r="J189" s="203"/>
      <c r="K189" s="203"/>
      <c r="L189" s="203"/>
      <c r="M189" s="203"/>
      <c r="N189" s="203"/>
      <c r="O189" s="203"/>
      <c r="P189" s="203"/>
      <c r="Q189" s="203"/>
      <c r="R189" s="203"/>
      <c r="S189" s="203"/>
      <c r="T189" s="203"/>
      <c r="U189" s="203"/>
      <c r="V189" s="203"/>
      <c r="W189" s="203"/>
      <c r="X189" s="203"/>
      <c r="Y189" s="203"/>
      <c r="Z189" s="203"/>
      <c r="AA189" s="203"/>
      <c r="AB189" s="203"/>
      <c r="AC189" s="203"/>
      <c r="AD189" s="203"/>
      <c r="AE189" s="203"/>
      <c r="AF189" s="203"/>
    </row>
    <row r="190" spans="3:32" ht="15" customHeight="1">
      <c r="C190" s="10"/>
      <c r="D190" s="26"/>
      <c r="E190" s="215"/>
      <c r="F190" s="215"/>
      <c r="G190" s="203"/>
      <c r="H190" s="203"/>
      <c r="I190" s="203"/>
      <c r="J190" s="203"/>
      <c r="K190" s="203"/>
      <c r="L190" s="203"/>
      <c r="M190" s="203"/>
      <c r="N190" s="203"/>
      <c r="O190" s="203"/>
      <c r="P190" s="203"/>
      <c r="Q190" s="203"/>
      <c r="R190" s="203"/>
      <c r="S190" s="203"/>
      <c r="T190" s="203"/>
      <c r="U190" s="203"/>
      <c r="V190" s="203"/>
      <c r="W190" s="203"/>
      <c r="X190" s="203"/>
      <c r="Y190" s="203"/>
      <c r="Z190" s="203"/>
      <c r="AA190" s="203"/>
      <c r="AB190" s="203"/>
      <c r="AC190" s="203"/>
      <c r="AD190" s="203"/>
      <c r="AE190" s="203"/>
      <c r="AF190" s="203"/>
    </row>
    <row r="191" spans="3:32" ht="15" customHeight="1">
      <c r="C191" s="10"/>
      <c r="D191" s="26"/>
      <c r="E191" s="215"/>
      <c r="F191" s="215"/>
      <c r="G191" s="203"/>
      <c r="H191" s="203"/>
      <c r="I191" s="203"/>
      <c r="J191" s="203"/>
      <c r="K191" s="203"/>
      <c r="L191" s="203"/>
      <c r="M191" s="203"/>
      <c r="N191" s="203"/>
      <c r="O191" s="203"/>
      <c r="P191" s="203"/>
      <c r="Q191" s="203"/>
      <c r="R191" s="203"/>
      <c r="S191" s="203"/>
      <c r="T191" s="203"/>
      <c r="U191" s="203"/>
      <c r="V191" s="203"/>
      <c r="W191" s="203"/>
      <c r="X191" s="203"/>
      <c r="Y191" s="203"/>
      <c r="Z191" s="203"/>
      <c r="AA191" s="203"/>
      <c r="AB191" s="203"/>
      <c r="AC191" s="203"/>
      <c r="AD191" s="203"/>
      <c r="AE191" s="203"/>
      <c r="AF191" s="203"/>
    </row>
    <row r="192" spans="3:32" ht="15" customHeight="1">
      <c r="C192" s="10"/>
      <c r="D192" s="26"/>
      <c r="E192" s="215"/>
      <c r="F192" s="215"/>
      <c r="G192" s="203"/>
      <c r="H192" s="203"/>
      <c r="I192" s="203"/>
      <c r="J192" s="203"/>
      <c r="K192" s="203"/>
      <c r="L192" s="203"/>
      <c r="M192" s="203"/>
      <c r="N192" s="203"/>
      <c r="O192" s="203"/>
      <c r="P192" s="203"/>
      <c r="Q192" s="203"/>
      <c r="R192" s="203"/>
      <c r="S192" s="203"/>
      <c r="T192" s="203"/>
      <c r="U192" s="203"/>
      <c r="V192" s="203"/>
      <c r="W192" s="203"/>
      <c r="X192" s="203"/>
      <c r="Y192" s="203"/>
      <c r="Z192" s="203"/>
      <c r="AA192" s="203"/>
      <c r="AB192" s="203"/>
      <c r="AC192" s="203"/>
      <c r="AD192" s="203"/>
      <c r="AE192" s="203"/>
      <c r="AF192" s="203"/>
    </row>
    <row r="193" spans="3:32" ht="15" customHeight="1">
      <c r="C193" s="10"/>
      <c r="D193" s="26"/>
      <c r="E193" s="215"/>
      <c r="F193" s="215"/>
      <c r="G193" s="203"/>
      <c r="H193" s="203"/>
      <c r="I193" s="203"/>
      <c r="J193" s="203"/>
      <c r="K193" s="203"/>
      <c r="L193" s="203"/>
      <c r="M193" s="203"/>
      <c r="N193" s="203"/>
      <c r="O193" s="203"/>
      <c r="P193" s="203"/>
      <c r="Q193" s="203"/>
      <c r="R193" s="203"/>
      <c r="S193" s="203"/>
      <c r="T193" s="203"/>
      <c r="U193" s="203"/>
      <c r="V193" s="203"/>
      <c r="W193" s="203"/>
      <c r="X193" s="203"/>
      <c r="Y193" s="203"/>
      <c r="Z193" s="203"/>
      <c r="AA193" s="203"/>
      <c r="AB193" s="203"/>
      <c r="AC193" s="203"/>
      <c r="AD193" s="203"/>
      <c r="AE193" s="203"/>
      <c r="AF193" s="203"/>
    </row>
    <row r="194" spans="3:32" ht="15" customHeight="1"/>
    <row r="195" spans="3:32" ht="15" customHeight="1"/>
    <row r="196" spans="3:32" ht="15" customHeight="1"/>
    <row r="197" spans="3:32" ht="15" customHeight="1"/>
    <row r="198" spans="3:32" ht="15" customHeight="1"/>
    <row r="199" spans="3:32" ht="15" customHeight="1"/>
    <row r="200" spans="3:32" ht="15" customHeight="1"/>
    <row r="201" spans="3:32" ht="15" customHeight="1"/>
    <row r="202" spans="3:32" ht="15" customHeight="1"/>
    <row r="203" spans="3:32" ht="15" customHeight="1"/>
    <row r="204" spans="3:32" ht="15" customHeight="1"/>
    <row r="205" spans="3:32" ht="15" customHeight="1"/>
    <row r="206" spans="3:32" ht="15" customHeight="1"/>
    <row r="207" spans="3:32" ht="15" customHeight="1"/>
    <row r="208" spans="3: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35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1" operator="greaterThan" id="{3D67B932-2FC6-4C33-A621-780BC0B602DC}">
            <xm:f>ControlPanel!$D$59-1</xm:f>
            <x14:dxf>
              <font>
                <color rgb="FF9C6500"/>
              </font>
              <fill>
                <patternFill>
                  <fgColor indexed="64"/>
                  <bgColor rgb="FFFFEB9C"/>
                </patternFill>
              </fill>
            </x14:dxf>
          </x14:cfRule>
          <x14:cfRule type="cellIs" priority="2" operator="lessThan" id="{1464C1D3-D304-4989-95AF-BBB8007FA84A}">
            <xm:f>ControlPanel!$D$59</xm:f>
            <x14:dxf>
              <font>
                <color rgb="FF006100"/>
              </font>
              <fill>
                <patternFill>
                  <fgColor indexed="64"/>
                  <bgColor rgb="FFC6EFCE"/>
                </patternFill>
              </fill>
            </x14:dxf>
          </x14:cfRule>
          <x14:cfRule type="cellIs" priority="3" operator="lessThan" id="{CA21CBD0-8714-481D-8A60-D7FFFB7D4CAC}">
            <xm:f>ControlPanel!$D$59+1</xm:f>
            <x14:dxf>
              <font>
                <color rgb="FF006100"/>
              </font>
              <fill>
                <patternFill>
                  <fgColor indexed="64"/>
                  <bgColor rgb="FFC6EFCE"/>
                </patternFill>
              </fill>
            </x14:dxf>
          </x14:cfRule>
          <xm:sqref>G4:AF4</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Tabelle72">
    <tabColor theme="9" tint="-0.499984740745262"/>
  </sheetPr>
  <dimension ref="A1:AF1191"/>
  <sheetViews>
    <sheetView zoomScaleNormal="100" workbookViewId="0">
      <selection activeCell="F7" sqref="F7"/>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5" width="17" style="10" customWidth="1"/>
    <col min="6" max="6" width="64.5546875" style="10" customWidth="1"/>
    <col min="7" max="15" width="8.6640625" style="9" customWidth="1"/>
    <col min="16" max="32" width="8.6640625" style="9" customWidth="1" outlineLevel="1"/>
    <col min="33" max="16384" width="11.5546875" style="9"/>
  </cols>
  <sheetData>
    <row r="1" spans="1:32">
      <c r="A1" s="41" t="s">
        <v>74</v>
      </c>
      <c r="B1" s="61" t="s">
        <v>965</v>
      </c>
      <c r="C1" s="61"/>
      <c r="D1" s="19"/>
      <c r="E1" s="19"/>
      <c r="F1" s="19"/>
    </row>
    <row r="2" spans="1:32">
      <c r="B2" s="37"/>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F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F5" s="16"/>
      <c r="G5" s="323" t="s">
        <v>34</v>
      </c>
      <c r="H5" s="323" t="s">
        <v>34</v>
      </c>
      <c r="I5" s="323" t="s">
        <v>34</v>
      </c>
      <c r="J5" s="323" t="s">
        <v>34</v>
      </c>
      <c r="K5" s="323" t="s">
        <v>34</v>
      </c>
      <c r="L5" s="323" t="s">
        <v>34</v>
      </c>
      <c r="M5" s="323" t="s">
        <v>34</v>
      </c>
      <c r="N5" s="323" t="s">
        <v>34</v>
      </c>
      <c r="O5" s="323" t="s">
        <v>34</v>
      </c>
      <c r="P5" s="323" t="s">
        <v>34</v>
      </c>
      <c r="Q5" s="323" t="s">
        <v>34</v>
      </c>
      <c r="R5" s="323" t="s">
        <v>34</v>
      </c>
      <c r="S5" s="323" t="s">
        <v>34</v>
      </c>
      <c r="T5" s="323" t="s">
        <v>34</v>
      </c>
      <c r="U5" s="323" t="s">
        <v>34</v>
      </c>
      <c r="V5" s="323" t="s">
        <v>34</v>
      </c>
      <c r="W5" s="323" t="s">
        <v>34</v>
      </c>
      <c r="X5" s="323" t="s">
        <v>34</v>
      </c>
      <c r="Y5" s="323" t="s">
        <v>34</v>
      </c>
      <c r="Z5" s="323" t="s">
        <v>34</v>
      </c>
      <c r="AA5" s="323" t="s">
        <v>34</v>
      </c>
      <c r="AB5" s="323" t="s">
        <v>34</v>
      </c>
      <c r="AC5" s="323" t="s">
        <v>34</v>
      </c>
      <c r="AD5" s="323" t="s">
        <v>34</v>
      </c>
      <c r="AE5" s="323" t="s">
        <v>34</v>
      </c>
      <c r="AF5" s="323" t="s">
        <v>34</v>
      </c>
    </row>
    <row r="6" spans="1:32" ht="84" customHeight="1" thickBot="1">
      <c r="B6" s="166" t="s">
        <v>529</v>
      </c>
      <c r="C6" s="175" t="s">
        <v>409</v>
      </c>
      <c r="D6" s="15" t="s">
        <v>48</v>
      </c>
      <c r="E6" s="15" t="s">
        <v>228</v>
      </c>
      <c r="F6" s="1062" t="s">
        <v>966</v>
      </c>
      <c r="G6" s="14">
        <v>3.8975169999999988</v>
      </c>
      <c r="H6" s="14">
        <v>3.8975169999999988</v>
      </c>
      <c r="I6" s="14">
        <v>3.8347169999999986</v>
      </c>
      <c r="J6" s="14">
        <v>3.964421269999999</v>
      </c>
      <c r="K6" s="14">
        <v>4.1173359999999999</v>
      </c>
      <c r="L6" s="14">
        <v>4.0858899999999991</v>
      </c>
      <c r="M6" s="14">
        <v>4.0858899999999991</v>
      </c>
      <c r="N6" s="14">
        <v>4.0858899999999991</v>
      </c>
      <c r="O6" s="14">
        <v>4.0858899999999991</v>
      </c>
      <c r="P6" s="14">
        <v>4.0858899999999991</v>
      </c>
      <c r="Q6" s="14">
        <v>4.0858899999999991</v>
      </c>
      <c r="R6" s="14">
        <v>4.0858899999999991</v>
      </c>
      <c r="S6" s="14">
        <v>4.0858899999999991</v>
      </c>
      <c r="T6" s="14">
        <v>4.0858899999999991</v>
      </c>
      <c r="U6" s="14">
        <v>4.0858899999999991</v>
      </c>
      <c r="V6" s="14">
        <v>4.0858899999999991</v>
      </c>
      <c r="W6" s="14">
        <v>4.0858899999999991</v>
      </c>
      <c r="X6" s="14">
        <v>4.0858899999999991</v>
      </c>
      <c r="Y6" s="14">
        <v>4.0858899999999991</v>
      </c>
      <c r="Z6" s="14">
        <v>4.0858899999999991</v>
      </c>
      <c r="AA6" s="14">
        <v>4.0858899999999991</v>
      </c>
      <c r="AB6" s="14">
        <v>4.0858899999999991</v>
      </c>
      <c r="AC6" s="14">
        <v>4.0858899999999991</v>
      </c>
      <c r="AD6" s="14">
        <v>4.0858899999999991</v>
      </c>
      <c r="AE6" s="14">
        <v>4.0858899999999991</v>
      </c>
      <c r="AF6" s="14">
        <v>4.0858899999999991</v>
      </c>
    </row>
    <row r="7" spans="1:32" ht="33" customHeight="1" thickBot="1">
      <c r="B7" s="165" t="s">
        <v>349</v>
      </c>
      <c r="C7" s="175" t="s">
        <v>409</v>
      </c>
      <c r="D7" s="15" t="s">
        <v>48</v>
      </c>
      <c r="E7" s="15" t="s">
        <v>49</v>
      </c>
      <c r="F7" s="1062" t="s">
        <v>967</v>
      </c>
      <c r="G7" s="14">
        <v>0</v>
      </c>
      <c r="H7" s="14">
        <v>0</v>
      </c>
      <c r="I7" s="14">
        <v>0</v>
      </c>
      <c r="J7" s="14">
        <v>0</v>
      </c>
      <c r="K7" s="14">
        <v>0</v>
      </c>
      <c r="L7" s="14">
        <v>0</v>
      </c>
      <c r="M7" s="14">
        <v>0</v>
      </c>
      <c r="N7" s="14">
        <v>0</v>
      </c>
      <c r="O7" s="14">
        <v>0</v>
      </c>
      <c r="P7" s="14">
        <v>0</v>
      </c>
      <c r="Q7" s="14">
        <v>0</v>
      </c>
      <c r="R7" s="14">
        <v>0</v>
      </c>
      <c r="S7" s="14">
        <v>0</v>
      </c>
      <c r="T7" s="14">
        <v>0</v>
      </c>
      <c r="U7" s="14">
        <v>0</v>
      </c>
      <c r="V7" s="14">
        <v>0</v>
      </c>
      <c r="W7" s="14">
        <v>0</v>
      </c>
      <c r="X7" s="14">
        <v>0</v>
      </c>
      <c r="Y7" s="14">
        <v>0</v>
      </c>
      <c r="Z7" s="14">
        <v>0</v>
      </c>
      <c r="AA7" s="14">
        <v>0</v>
      </c>
      <c r="AB7" s="14">
        <v>0</v>
      </c>
      <c r="AC7" s="14">
        <v>0</v>
      </c>
      <c r="AD7" s="14">
        <v>0</v>
      </c>
      <c r="AE7" s="14">
        <v>0</v>
      </c>
      <c r="AF7" s="14">
        <v>0</v>
      </c>
    </row>
    <row r="8" spans="1:32" ht="81" customHeight="1" thickBot="1">
      <c r="B8" s="165" t="s">
        <v>11</v>
      </c>
      <c r="C8" s="175" t="s">
        <v>409</v>
      </c>
      <c r="D8" s="15" t="s">
        <v>48</v>
      </c>
      <c r="E8" s="15" t="s">
        <v>229</v>
      </c>
      <c r="F8" s="1062" t="s">
        <v>968</v>
      </c>
      <c r="G8" s="14">
        <v>0.94257419999999925</v>
      </c>
      <c r="H8" s="14">
        <v>0.94257419999999925</v>
      </c>
      <c r="I8" s="14">
        <v>0.93184419999999868</v>
      </c>
      <c r="J8" s="14">
        <v>1.3050080999999993</v>
      </c>
      <c r="K8" s="14">
        <v>1.3916451999999984</v>
      </c>
      <c r="L8" s="14">
        <v>1.4620892599999982</v>
      </c>
      <c r="M8" s="14">
        <v>1.4620892599999982</v>
      </c>
      <c r="N8" s="14">
        <v>1.4620892599999982</v>
      </c>
      <c r="O8" s="14">
        <v>1.4620892599999982</v>
      </c>
      <c r="P8" s="14">
        <v>1.4620892599999982</v>
      </c>
      <c r="Q8" s="14">
        <v>1.4620892599999982</v>
      </c>
      <c r="R8" s="14">
        <v>1.4620892599999982</v>
      </c>
      <c r="S8" s="14">
        <v>1.4620892599999982</v>
      </c>
      <c r="T8" s="14">
        <v>1.4620892599999982</v>
      </c>
      <c r="U8" s="14">
        <v>1.4620892599999982</v>
      </c>
      <c r="V8" s="14">
        <v>1.4620892599999982</v>
      </c>
      <c r="W8" s="14">
        <v>1.4620892599999982</v>
      </c>
      <c r="X8" s="14">
        <v>1.4620892599999982</v>
      </c>
      <c r="Y8" s="14">
        <v>1.4620892599999982</v>
      </c>
      <c r="Z8" s="14">
        <v>1.4620892599999982</v>
      </c>
      <c r="AA8" s="14">
        <v>1.4620892599999982</v>
      </c>
      <c r="AB8" s="14">
        <v>1.4620892599999982</v>
      </c>
      <c r="AC8" s="14">
        <v>1.4620892599999982</v>
      </c>
      <c r="AD8" s="14">
        <v>1.4620892599999982</v>
      </c>
      <c r="AE8" s="14">
        <v>1.4620892599999982</v>
      </c>
      <c r="AF8" s="14">
        <v>1.4620892599999982</v>
      </c>
    </row>
    <row r="9" spans="1:32" ht="33" customHeight="1" thickBot="1">
      <c r="B9" s="165" t="s">
        <v>10</v>
      </c>
      <c r="C9" s="175" t="s">
        <v>409</v>
      </c>
      <c r="D9" s="15" t="s">
        <v>48</v>
      </c>
      <c r="E9" s="15" t="s">
        <v>49</v>
      </c>
      <c r="F9" s="1062" t="s">
        <v>967</v>
      </c>
      <c r="G9" s="14">
        <v>0</v>
      </c>
      <c r="H9" s="14">
        <v>0</v>
      </c>
      <c r="I9" s="14">
        <v>0</v>
      </c>
      <c r="J9" s="14">
        <v>0</v>
      </c>
      <c r="K9" s="14">
        <v>0</v>
      </c>
      <c r="L9" s="14">
        <v>0</v>
      </c>
      <c r="M9" s="14">
        <v>0</v>
      </c>
      <c r="N9" s="14">
        <v>0</v>
      </c>
      <c r="O9" s="14">
        <v>0</v>
      </c>
      <c r="P9" s="14">
        <v>0</v>
      </c>
      <c r="Q9" s="14">
        <v>0</v>
      </c>
      <c r="R9" s="14">
        <v>0</v>
      </c>
      <c r="S9" s="14">
        <v>0</v>
      </c>
      <c r="T9" s="14">
        <v>0</v>
      </c>
      <c r="U9" s="14">
        <v>0</v>
      </c>
      <c r="V9" s="14">
        <v>0</v>
      </c>
      <c r="W9" s="14">
        <v>0</v>
      </c>
      <c r="X9" s="14">
        <v>0</v>
      </c>
      <c r="Y9" s="14">
        <v>0</v>
      </c>
      <c r="Z9" s="14">
        <v>0</v>
      </c>
      <c r="AA9" s="14">
        <v>0</v>
      </c>
      <c r="AB9" s="14">
        <v>0</v>
      </c>
      <c r="AC9" s="14">
        <v>0</v>
      </c>
      <c r="AD9" s="14">
        <v>0</v>
      </c>
      <c r="AE9" s="14">
        <v>0</v>
      </c>
      <c r="AF9" s="14">
        <v>0</v>
      </c>
    </row>
    <row r="10" spans="1:32" ht="33" customHeight="1" thickBot="1">
      <c r="B10" s="165" t="s">
        <v>339</v>
      </c>
      <c r="C10" s="175" t="s">
        <v>409</v>
      </c>
      <c r="D10" s="15" t="s">
        <v>48</v>
      </c>
      <c r="E10" s="15" t="s">
        <v>49</v>
      </c>
      <c r="F10" s="1062" t="s">
        <v>967</v>
      </c>
      <c r="G10" s="14">
        <v>0</v>
      </c>
      <c r="H10" s="14">
        <v>0</v>
      </c>
      <c r="I10" s="14">
        <v>0</v>
      </c>
      <c r="J10" s="14">
        <v>0</v>
      </c>
      <c r="K10" s="14">
        <v>0</v>
      </c>
      <c r="L10" s="14">
        <v>0</v>
      </c>
      <c r="M10" s="14">
        <v>0</v>
      </c>
      <c r="N10" s="14">
        <v>0</v>
      </c>
      <c r="O10" s="14">
        <v>0</v>
      </c>
      <c r="P10" s="14">
        <v>0</v>
      </c>
      <c r="Q10" s="14">
        <v>0</v>
      </c>
      <c r="R10" s="14">
        <v>0</v>
      </c>
      <c r="S10" s="14">
        <v>0</v>
      </c>
      <c r="T10" s="14">
        <v>0</v>
      </c>
      <c r="U10" s="14">
        <v>0</v>
      </c>
      <c r="V10" s="14">
        <v>0</v>
      </c>
      <c r="W10" s="14">
        <v>0</v>
      </c>
      <c r="X10" s="14">
        <v>0</v>
      </c>
      <c r="Y10" s="14">
        <v>0</v>
      </c>
      <c r="Z10" s="14">
        <v>0</v>
      </c>
      <c r="AA10" s="14">
        <v>0</v>
      </c>
      <c r="AB10" s="14">
        <v>0</v>
      </c>
      <c r="AC10" s="14">
        <v>0</v>
      </c>
      <c r="AD10" s="14">
        <v>0</v>
      </c>
      <c r="AE10" s="14">
        <v>0</v>
      </c>
      <c r="AF10" s="14">
        <v>0</v>
      </c>
    </row>
    <row r="11" spans="1:32" ht="33" customHeight="1" thickBot="1">
      <c r="B11" s="165" t="s">
        <v>340</v>
      </c>
      <c r="C11" s="175" t="s">
        <v>409</v>
      </c>
      <c r="D11" s="15" t="s">
        <v>48</v>
      </c>
      <c r="E11" s="15" t="s">
        <v>49</v>
      </c>
      <c r="F11" s="1062" t="s">
        <v>967</v>
      </c>
      <c r="G11" s="14">
        <v>0</v>
      </c>
      <c r="H11" s="14">
        <v>0</v>
      </c>
      <c r="I11" s="14">
        <v>0</v>
      </c>
      <c r="J11" s="14">
        <v>0</v>
      </c>
      <c r="K11" s="14">
        <v>0</v>
      </c>
      <c r="L11" s="14">
        <v>0</v>
      </c>
      <c r="M11" s="14">
        <v>0</v>
      </c>
      <c r="N11" s="14">
        <v>0</v>
      </c>
      <c r="O11" s="14">
        <v>0</v>
      </c>
      <c r="P11" s="14">
        <v>0</v>
      </c>
      <c r="Q11" s="14">
        <v>0</v>
      </c>
      <c r="R11" s="14">
        <v>0</v>
      </c>
      <c r="S11" s="14">
        <v>0</v>
      </c>
      <c r="T11" s="14">
        <v>0</v>
      </c>
      <c r="U11" s="14">
        <v>0</v>
      </c>
      <c r="V11" s="14">
        <v>0</v>
      </c>
      <c r="W11" s="14">
        <v>0</v>
      </c>
      <c r="X11" s="14">
        <v>0</v>
      </c>
      <c r="Y11" s="14">
        <v>0</v>
      </c>
      <c r="Z11" s="14">
        <v>0</v>
      </c>
      <c r="AA11" s="14">
        <v>0</v>
      </c>
      <c r="AB11" s="14">
        <v>0</v>
      </c>
      <c r="AC11" s="14">
        <v>0</v>
      </c>
      <c r="AD11" s="14">
        <v>0</v>
      </c>
      <c r="AE11" s="14">
        <v>0</v>
      </c>
      <c r="AF11" s="14">
        <v>0</v>
      </c>
    </row>
    <row r="12" spans="1:32" ht="52.5" customHeight="1" thickBot="1">
      <c r="B12" s="167" t="s">
        <v>530</v>
      </c>
      <c r="C12" s="175" t="s">
        <v>409</v>
      </c>
      <c r="D12" s="15" t="s">
        <v>48</v>
      </c>
      <c r="E12" s="15" t="s">
        <v>49</v>
      </c>
      <c r="F12" s="1062" t="s">
        <v>967</v>
      </c>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row>
    <row r="13" spans="1:32" ht="15" customHeight="1">
      <c r="B13" s="315"/>
      <c r="C13" s="10"/>
      <c r="D13" s="26"/>
      <c r="E13" s="215"/>
      <c r="F13" s="215"/>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ht="15" customHeight="1">
      <c r="C14" s="10"/>
      <c r="D14" s="26"/>
      <c r="E14" s="215"/>
      <c r="F14" s="215"/>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row>
    <row r="15" spans="1:32" ht="15" customHeight="1">
      <c r="C15" s="10"/>
      <c r="D15" s="26"/>
      <c r="E15" s="215"/>
      <c r="F15" s="215"/>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row>
    <row r="16" spans="1:32" ht="15" customHeight="1">
      <c r="C16" s="10"/>
      <c r="D16" s="26"/>
      <c r="E16" s="215"/>
      <c r="F16" s="215"/>
      <c r="G16" s="203"/>
      <c r="H16" s="203"/>
      <c r="I16" s="203"/>
      <c r="J16" s="203"/>
      <c r="K16" s="203"/>
      <c r="L16" s="203"/>
      <c r="M16" s="203"/>
      <c r="N16" s="203"/>
      <c r="O16" s="203"/>
      <c r="P16" s="203"/>
      <c r="Q16" s="203"/>
      <c r="R16" s="203"/>
      <c r="S16" s="203"/>
      <c r="T16" s="203"/>
      <c r="U16" s="203"/>
      <c r="V16" s="203"/>
      <c r="W16" s="203"/>
      <c r="X16" s="203"/>
      <c r="Y16" s="203"/>
      <c r="Z16" s="203"/>
      <c r="AA16" s="203"/>
      <c r="AB16" s="203"/>
      <c r="AC16" s="203"/>
      <c r="AD16" s="203"/>
      <c r="AE16" s="203"/>
      <c r="AF16" s="203"/>
    </row>
    <row r="17" spans="3:32" ht="15" customHeight="1">
      <c r="C17" s="10"/>
      <c r="D17" s="26"/>
      <c r="E17" s="215"/>
      <c r="F17" s="215"/>
      <c r="G17" s="203"/>
      <c r="H17" s="203"/>
      <c r="I17" s="203"/>
      <c r="J17" s="203"/>
      <c r="K17" s="203"/>
      <c r="L17" s="203"/>
      <c r="M17" s="203"/>
      <c r="N17" s="203"/>
      <c r="O17" s="203"/>
      <c r="P17" s="203"/>
      <c r="Q17" s="203"/>
      <c r="R17" s="203"/>
      <c r="S17" s="203"/>
      <c r="T17" s="203"/>
      <c r="U17" s="203"/>
      <c r="V17" s="203"/>
      <c r="W17" s="203"/>
      <c r="X17" s="203"/>
      <c r="Y17" s="203"/>
      <c r="Z17" s="203"/>
      <c r="AA17" s="203"/>
      <c r="AB17" s="203"/>
      <c r="AC17" s="203"/>
      <c r="AD17" s="203"/>
      <c r="AE17" s="203"/>
      <c r="AF17" s="203"/>
    </row>
    <row r="18" spans="3:32" ht="15" customHeight="1">
      <c r="C18" s="10"/>
      <c r="D18" s="26"/>
      <c r="E18" s="215"/>
      <c r="F18" s="215"/>
      <c r="G18" s="203"/>
      <c r="H18" s="203"/>
      <c r="I18" s="20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3:32" ht="15" customHeight="1">
      <c r="C19" s="10"/>
      <c r="D19" s="26"/>
      <c r="E19" s="215"/>
      <c r="F19" s="215"/>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3:32" ht="15" customHeight="1">
      <c r="C20" s="10"/>
      <c r="D20" s="26"/>
      <c r="E20" s="215"/>
      <c r="F20" s="215"/>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3:32" ht="15" customHeight="1">
      <c r="C21" s="10"/>
      <c r="D21" s="26"/>
      <c r="E21" s="215"/>
      <c r="F21" s="215"/>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3:32" ht="15" customHeight="1">
      <c r="C22" s="10"/>
      <c r="D22" s="26"/>
      <c r="E22" s="215"/>
      <c r="F22" s="215"/>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3:32" ht="15" customHeight="1">
      <c r="C23" s="10"/>
      <c r="D23" s="26"/>
      <c r="E23" s="215"/>
      <c r="F23" s="215"/>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3:32" ht="15" customHeight="1">
      <c r="C24" s="10"/>
      <c r="D24" s="26"/>
      <c r="E24" s="215"/>
      <c r="F24" s="215"/>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3:32" ht="15" customHeight="1">
      <c r="C25" s="10"/>
      <c r="D25" s="26"/>
      <c r="E25" s="215"/>
      <c r="F25" s="215"/>
      <c r="G25" s="644"/>
      <c r="H25" s="644"/>
      <c r="I25" s="644"/>
      <c r="J25" s="644"/>
      <c r="K25" s="645"/>
      <c r="L25" s="203"/>
      <c r="M25" s="203"/>
      <c r="N25" s="203"/>
      <c r="O25" s="203"/>
      <c r="P25" s="203"/>
      <c r="Q25" s="203"/>
      <c r="R25" s="203"/>
      <c r="S25" s="203"/>
      <c r="T25" s="203"/>
      <c r="U25" s="203"/>
      <c r="V25" s="203"/>
      <c r="W25" s="203"/>
      <c r="X25" s="203"/>
      <c r="Y25" s="203"/>
      <c r="Z25" s="203"/>
      <c r="AA25" s="203"/>
      <c r="AB25" s="203"/>
      <c r="AC25" s="203"/>
      <c r="AD25" s="203"/>
      <c r="AE25" s="203"/>
      <c r="AF25" s="203"/>
    </row>
    <row r="26" spans="3:32" ht="15" customHeight="1">
      <c r="C26" s="10"/>
      <c r="D26" s="26"/>
      <c r="E26" s="215"/>
      <c r="F26" s="215"/>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3:32" ht="15" customHeight="1">
      <c r="C27" s="10"/>
      <c r="D27" s="26"/>
      <c r="E27" s="215"/>
      <c r="F27" s="215"/>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3:32" ht="15" customHeight="1">
      <c r="C28" s="10"/>
      <c r="D28" s="26"/>
      <c r="E28" s="215"/>
      <c r="F28" s="215"/>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3:32" ht="15" customHeight="1">
      <c r="C29" s="10"/>
      <c r="D29" s="26"/>
      <c r="E29" s="215"/>
      <c r="F29" s="215"/>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3:32" ht="15" customHeight="1">
      <c r="C30" s="10"/>
      <c r="D30" s="26"/>
      <c r="E30" s="215"/>
      <c r="F30" s="215"/>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3:32" ht="15" customHeight="1">
      <c r="C31" s="10"/>
      <c r="D31" s="26"/>
      <c r="E31" s="215"/>
      <c r="F31" s="215"/>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3:32" ht="15" customHeight="1">
      <c r="C32" s="10"/>
      <c r="D32" s="26"/>
      <c r="E32" s="215"/>
      <c r="F32" s="215"/>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2:32" ht="15" customHeight="1">
      <c r="C33" s="10"/>
      <c r="D33" s="26"/>
      <c r="E33" s="215"/>
      <c r="F33" s="215"/>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2:32" ht="15" customHeight="1">
      <c r="C34" s="10"/>
      <c r="D34" s="26"/>
      <c r="E34" s="215"/>
      <c r="F34" s="215"/>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2:32" ht="15" customHeight="1">
      <c r="C35" s="10"/>
      <c r="D35" s="26"/>
      <c r="E35" s="215"/>
      <c r="F35" s="215"/>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2:32" ht="15" customHeight="1">
      <c r="C36" s="10"/>
      <c r="D36" s="26"/>
      <c r="E36" s="215"/>
      <c r="F36" s="215"/>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2:32" ht="15" customHeight="1">
      <c r="C37" s="10"/>
      <c r="D37" s="26"/>
      <c r="E37" s="215"/>
      <c r="F37" s="215"/>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2:32" ht="15" customHeight="1">
      <c r="C38" s="10"/>
    </row>
    <row r="39" spans="2:32" ht="15" customHeight="1">
      <c r="B39" s="315"/>
      <c r="C39" s="10"/>
      <c r="D39" s="26"/>
      <c r="E39" s="215"/>
      <c r="F39" s="215"/>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2:32" ht="15" customHeight="1">
      <c r="C40" s="10"/>
      <c r="D40" s="26"/>
      <c r="E40" s="215"/>
      <c r="F40" s="215"/>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2:32" ht="15" customHeight="1">
      <c r="C41" s="10"/>
      <c r="D41" s="26"/>
      <c r="E41" s="215"/>
      <c r="F41" s="215"/>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row r="42" spans="2:32" ht="15" customHeight="1">
      <c r="C42" s="10"/>
      <c r="D42" s="26"/>
      <c r="E42" s="215"/>
      <c r="F42" s="215"/>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row>
    <row r="43" spans="2:32" ht="15" customHeight="1">
      <c r="C43" s="10"/>
      <c r="D43" s="26"/>
      <c r="E43" s="215"/>
      <c r="F43" s="215"/>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row>
    <row r="44" spans="2:32" ht="15" customHeight="1">
      <c r="C44" s="10"/>
      <c r="D44" s="26"/>
      <c r="E44" s="215"/>
      <c r="F44" s="215"/>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row>
    <row r="45" spans="2:32" ht="15" customHeight="1">
      <c r="C45" s="10"/>
      <c r="D45" s="26"/>
      <c r="E45" s="215"/>
      <c r="F45" s="215"/>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row>
    <row r="46" spans="2:32" ht="15" customHeight="1">
      <c r="C46" s="10"/>
      <c r="D46" s="26"/>
      <c r="E46" s="215"/>
      <c r="F46" s="215"/>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row>
    <row r="47" spans="2:32" ht="15" customHeight="1">
      <c r="C47" s="10"/>
      <c r="D47" s="26"/>
      <c r="E47" s="215"/>
      <c r="F47" s="215"/>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row>
    <row r="48" spans="2:32" ht="15" customHeight="1">
      <c r="C48" s="10"/>
      <c r="D48" s="26"/>
      <c r="E48" s="215"/>
      <c r="F48" s="215"/>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row>
    <row r="49" spans="3:32" ht="15" customHeight="1">
      <c r="C49" s="10"/>
      <c r="D49" s="26"/>
      <c r="E49" s="215"/>
      <c r="F49" s="215"/>
      <c r="G49" s="203"/>
      <c r="H49" s="203"/>
      <c r="I49" s="203"/>
      <c r="J49" s="203"/>
      <c r="K49" s="203"/>
      <c r="L49" s="203"/>
      <c r="M49" s="203"/>
      <c r="N49" s="203"/>
      <c r="O49" s="203"/>
      <c r="P49" s="203"/>
      <c r="Q49" s="203"/>
      <c r="R49" s="203"/>
      <c r="S49" s="203"/>
      <c r="T49" s="203"/>
      <c r="U49" s="203"/>
      <c r="V49" s="203"/>
      <c r="W49" s="203"/>
      <c r="X49" s="203"/>
      <c r="Y49" s="203"/>
      <c r="Z49" s="203"/>
      <c r="AA49" s="203"/>
      <c r="AB49" s="203"/>
      <c r="AC49" s="203"/>
      <c r="AD49" s="203"/>
      <c r="AE49" s="203"/>
      <c r="AF49" s="203"/>
    </row>
    <row r="50" spans="3:32" ht="15" customHeight="1">
      <c r="C50" s="10"/>
      <c r="D50" s="26"/>
      <c r="E50" s="215"/>
      <c r="F50" s="215"/>
      <c r="G50" s="203"/>
      <c r="H50" s="203"/>
      <c r="I50" s="203"/>
      <c r="J50" s="203"/>
      <c r="K50" s="203"/>
      <c r="L50" s="203"/>
      <c r="M50" s="203"/>
      <c r="N50" s="203"/>
      <c r="O50" s="203"/>
      <c r="P50" s="203"/>
      <c r="Q50" s="203"/>
      <c r="R50" s="203"/>
      <c r="S50" s="203"/>
      <c r="T50" s="203"/>
      <c r="U50" s="203"/>
      <c r="V50" s="203"/>
      <c r="W50" s="203"/>
      <c r="X50" s="203"/>
      <c r="Y50" s="203"/>
      <c r="Z50" s="203"/>
      <c r="AA50" s="203"/>
      <c r="AB50" s="203"/>
      <c r="AC50" s="203"/>
      <c r="AD50" s="203"/>
      <c r="AE50" s="203"/>
      <c r="AF50" s="203"/>
    </row>
    <row r="51" spans="3:32" ht="15" customHeight="1">
      <c r="C51" s="10"/>
      <c r="D51" s="26"/>
      <c r="E51" s="215"/>
      <c r="F51" s="215"/>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row>
    <row r="52" spans="3:32" ht="15" customHeight="1">
      <c r="C52" s="10"/>
      <c r="D52" s="26"/>
      <c r="E52" s="215"/>
      <c r="F52" s="215"/>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row>
    <row r="53" spans="3:32" ht="15" customHeight="1">
      <c r="C53" s="10"/>
      <c r="D53" s="26"/>
      <c r="E53" s="215"/>
      <c r="F53" s="215"/>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row>
    <row r="54" spans="3:32" ht="15" customHeight="1">
      <c r="C54" s="10"/>
      <c r="D54" s="26"/>
      <c r="E54" s="215"/>
      <c r="F54" s="215"/>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row>
    <row r="55" spans="3:32" ht="15" customHeight="1">
      <c r="C55" s="10"/>
      <c r="D55" s="26"/>
      <c r="E55" s="215"/>
      <c r="F55" s="215"/>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row>
    <row r="56" spans="3:32" ht="15" customHeight="1">
      <c r="C56" s="10"/>
      <c r="D56" s="26"/>
      <c r="E56" s="215"/>
      <c r="F56" s="215"/>
      <c r="G56" s="203"/>
      <c r="H56" s="203"/>
      <c r="I56" s="203"/>
      <c r="J56" s="203"/>
      <c r="K56" s="203"/>
      <c r="L56" s="203"/>
      <c r="M56" s="203"/>
      <c r="N56" s="203"/>
      <c r="O56" s="203"/>
      <c r="P56" s="203"/>
      <c r="Q56" s="203"/>
      <c r="R56" s="203"/>
      <c r="S56" s="203"/>
      <c r="T56" s="203"/>
      <c r="U56" s="203"/>
      <c r="V56" s="203"/>
      <c r="W56" s="203"/>
      <c r="X56" s="203"/>
      <c r="Y56" s="203"/>
      <c r="Z56" s="203"/>
      <c r="AA56" s="203"/>
      <c r="AB56" s="203"/>
      <c r="AC56" s="203"/>
      <c r="AD56" s="203"/>
      <c r="AE56" s="203"/>
      <c r="AF56" s="203"/>
    </row>
    <row r="57" spans="3:32" ht="15" customHeight="1">
      <c r="C57" s="10"/>
      <c r="D57" s="26"/>
      <c r="E57" s="215"/>
      <c r="F57" s="215"/>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row>
    <row r="58" spans="3:32" ht="15" customHeight="1">
      <c r="C58" s="10"/>
      <c r="D58" s="26"/>
      <c r="E58" s="215"/>
      <c r="F58" s="215"/>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row>
    <row r="59" spans="3:32" ht="15" customHeight="1">
      <c r="C59" s="10"/>
      <c r="D59" s="26"/>
      <c r="E59" s="215"/>
      <c r="F59" s="215"/>
      <c r="G59" s="203"/>
      <c r="H59" s="203"/>
      <c r="I59" s="203"/>
      <c r="J59" s="203"/>
      <c r="K59" s="203"/>
      <c r="L59" s="203"/>
      <c r="M59" s="203"/>
      <c r="N59" s="203"/>
      <c r="O59" s="203"/>
      <c r="P59" s="203"/>
      <c r="Q59" s="203"/>
      <c r="R59" s="203"/>
      <c r="S59" s="203"/>
      <c r="T59" s="203"/>
      <c r="U59" s="203"/>
      <c r="V59" s="203"/>
      <c r="W59" s="203"/>
      <c r="X59" s="203"/>
      <c r="Y59" s="203"/>
      <c r="Z59" s="203"/>
      <c r="AA59" s="203"/>
      <c r="AB59" s="203"/>
      <c r="AC59" s="203"/>
      <c r="AD59" s="203"/>
      <c r="AE59" s="203"/>
      <c r="AF59" s="203"/>
    </row>
    <row r="60" spans="3:32" ht="15" customHeight="1">
      <c r="C60" s="10"/>
      <c r="D60" s="26"/>
      <c r="E60" s="215"/>
      <c r="F60" s="215"/>
      <c r="G60" s="203"/>
      <c r="H60" s="203"/>
      <c r="I60" s="203"/>
      <c r="J60" s="203"/>
      <c r="K60" s="203"/>
      <c r="L60" s="203"/>
      <c r="M60" s="203"/>
      <c r="N60" s="203"/>
      <c r="O60" s="203"/>
      <c r="P60" s="203"/>
      <c r="Q60" s="203"/>
      <c r="R60" s="203"/>
      <c r="S60" s="203"/>
      <c r="T60" s="203"/>
      <c r="U60" s="203"/>
      <c r="V60" s="203"/>
      <c r="W60" s="203"/>
      <c r="X60" s="203"/>
      <c r="Y60" s="203"/>
      <c r="Z60" s="203"/>
      <c r="AA60" s="203"/>
      <c r="AB60" s="203"/>
      <c r="AC60" s="203"/>
      <c r="AD60" s="203"/>
      <c r="AE60" s="203"/>
      <c r="AF60" s="203"/>
    </row>
    <row r="61" spans="3:32" ht="15" customHeight="1">
      <c r="C61" s="10"/>
      <c r="D61" s="26"/>
      <c r="E61" s="215"/>
      <c r="F61" s="215"/>
      <c r="G61" s="203"/>
      <c r="H61" s="203"/>
      <c r="I61" s="203"/>
      <c r="J61" s="203"/>
      <c r="K61" s="203"/>
      <c r="L61" s="203"/>
      <c r="M61" s="203"/>
      <c r="N61" s="203"/>
      <c r="O61" s="203"/>
      <c r="P61" s="203"/>
      <c r="Q61" s="203"/>
      <c r="R61" s="203"/>
      <c r="S61" s="203"/>
      <c r="T61" s="203"/>
      <c r="U61" s="203"/>
      <c r="V61" s="203"/>
      <c r="W61" s="203"/>
      <c r="X61" s="203"/>
      <c r="Y61" s="203"/>
      <c r="Z61" s="203"/>
      <c r="AA61" s="203"/>
      <c r="AB61" s="203"/>
      <c r="AC61" s="203"/>
      <c r="AD61" s="203"/>
      <c r="AE61" s="203"/>
      <c r="AF61" s="203"/>
    </row>
    <row r="62" spans="3:32" ht="15" customHeight="1">
      <c r="C62" s="10"/>
      <c r="D62" s="26"/>
      <c r="E62" s="215"/>
      <c r="F62" s="215"/>
      <c r="G62" s="203"/>
      <c r="H62" s="203"/>
      <c r="I62" s="203"/>
      <c r="J62" s="203"/>
      <c r="K62" s="203"/>
      <c r="L62" s="203"/>
      <c r="M62" s="203"/>
      <c r="N62" s="203"/>
      <c r="O62" s="203"/>
      <c r="P62" s="203"/>
      <c r="Q62" s="203"/>
      <c r="R62" s="203"/>
      <c r="S62" s="203"/>
      <c r="T62" s="203"/>
      <c r="U62" s="203"/>
      <c r="V62" s="203"/>
      <c r="W62" s="203"/>
      <c r="X62" s="203"/>
      <c r="Y62" s="203"/>
      <c r="Z62" s="203"/>
      <c r="AA62" s="203"/>
      <c r="AB62" s="203"/>
      <c r="AC62" s="203"/>
      <c r="AD62" s="203"/>
      <c r="AE62" s="203"/>
      <c r="AF62" s="203"/>
    </row>
    <row r="63" spans="3:32" ht="15" customHeight="1">
      <c r="C63" s="10"/>
      <c r="D63" s="26"/>
      <c r="E63" s="215"/>
      <c r="F63" s="215"/>
      <c r="G63" s="203"/>
      <c r="H63" s="203"/>
      <c r="I63" s="203"/>
      <c r="J63" s="203"/>
      <c r="K63" s="203"/>
      <c r="L63" s="203"/>
      <c r="M63" s="203"/>
      <c r="N63" s="203"/>
      <c r="O63" s="203"/>
      <c r="P63" s="203"/>
      <c r="Q63" s="203"/>
      <c r="R63" s="203"/>
      <c r="S63" s="203"/>
      <c r="T63" s="203"/>
      <c r="U63" s="203"/>
      <c r="V63" s="203"/>
      <c r="W63" s="203"/>
      <c r="X63" s="203"/>
      <c r="Y63" s="203"/>
      <c r="Z63" s="203"/>
      <c r="AA63" s="203"/>
      <c r="AB63" s="203"/>
      <c r="AC63" s="203"/>
      <c r="AD63" s="203"/>
      <c r="AE63" s="203"/>
      <c r="AF63" s="203"/>
    </row>
    <row r="64" spans="3:32" ht="15" customHeight="1">
      <c r="C64" s="10"/>
    </row>
    <row r="65" spans="2:32" ht="15" customHeight="1">
      <c r="B65" s="315"/>
      <c r="C65" s="10"/>
      <c r="D65" s="26"/>
      <c r="E65" s="215"/>
      <c r="F65" s="215"/>
      <c r="G65" s="203"/>
      <c r="H65" s="203"/>
      <c r="I65" s="203"/>
      <c r="J65" s="203"/>
      <c r="K65" s="203"/>
      <c r="L65" s="203"/>
      <c r="M65" s="203"/>
      <c r="N65" s="203"/>
      <c r="O65" s="203"/>
      <c r="P65" s="203"/>
      <c r="Q65" s="203"/>
      <c r="R65" s="203"/>
      <c r="S65" s="203"/>
      <c r="T65" s="203"/>
      <c r="U65" s="203"/>
      <c r="V65" s="203"/>
      <c r="W65" s="203"/>
      <c r="X65" s="203"/>
      <c r="Y65" s="203"/>
      <c r="Z65" s="203"/>
      <c r="AA65" s="203"/>
      <c r="AB65" s="203"/>
      <c r="AC65" s="203"/>
      <c r="AD65" s="203"/>
      <c r="AE65" s="203"/>
      <c r="AF65" s="203"/>
    </row>
    <row r="66" spans="2:32" ht="15" customHeight="1">
      <c r="C66" s="10"/>
      <c r="D66" s="26"/>
      <c r="E66" s="215"/>
      <c r="F66" s="215"/>
      <c r="G66" s="203"/>
      <c r="H66" s="203"/>
      <c r="I66" s="203"/>
      <c r="J66" s="203"/>
      <c r="K66" s="203"/>
      <c r="L66" s="203"/>
      <c r="M66" s="203"/>
      <c r="N66" s="203"/>
      <c r="O66" s="203"/>
      <c r="P66" s="203"/>
      <c r="Q66" s="203"/>
      <c r="R66" s="203"/>
      <c r="S66" s="203"/>
      <c r="T66" s="203"/>
      <c r="U66" s="203"/>
      <c r="V66" s="203"/>
      <c r="W66" s="203"/>
      <c r="X66" s="203"/>
      <c r="Y66" s="203"/>
      <c r="Z66" s="203"/>
      <c r="AA66" s="203"/>
      <c r="AB66" s="203"/>
      <c r="AC66" s="203"/>
      <c r="AD66" s="203"/>
      <c r="AE66" s="203"/>
      <c r="AF66" s="203"/>
    </row>
    <row r="67" spans="2:32" ht="15" customHeight="1">
      <c r="C67" s="10"/>
      <c r="D67" s="26"/>
      <c r="E67" s="215"/>
      <c r="F67" s="215"/>
      <c r="G67" s="203"/>
      <c r="H67" s="203"/>
      <c r="I67" s="203"/>
      <c r="J67" s="203"/>
      <c r="K67" s="203"/>
      <c r="L67" s="203"/>
      <c r="M67" s="203"/>
      <c r="N67" s="203"/>
      <c r="O67" s="203"/>
      <c r="P67" s="203"/>
      <c r="Q67" s="203"/>
      <c r="R67" s="203"/>
      <c r="S67" s="203"/>
      <c r="T67" s="203"/>
      <c r="U67" s="203"/>
      <c r="V67" s="203"/>
      <c r="W67" s="203"/>
      <c r="X67" s="203"/>
      <c r="Y67" s="203"/>
      <c r="Z67" s="203"/>
      <c r="AA67" s="203"/>
      <c r="AB67" s="203"/>
      <c r="AC67" s="203"/>
      <c r="AD67" s="203"/>
      <c r="AE67" s="203"/>
      <c r="AF67" s="203"/>
    </row>
    <row r="68" spans="2:32" ht="15" customHeight="1">
      <c r="C68" s="10"/>
      <c r="D68" s="26"/>
      <c r="E68" s="215"/>
      <c r="F68" s="215"/>
      <c r="G68" s="203"/>
      <c r="H68" s="203"/>
      <c r="I68" s="203"/>
      <c r="J68" s="203"/>
      <c r="K68" s="203"/>
      <c r="L68" s="203"/>
      <c r="M68" s="203"/>
      <c r="N68" s="203"/>
      <c r="O68" s="203"/>
      <c r="P68" s="203"/>
      <c r="Q68" s="203"/>
      <c r="R68" s="203"/>
      <c r="S68" s="203"/>
      <c r="T68" s="203"/>
      <c r="U68" s="203"/>
      <c r="V68" s="203"/>
      <c r="W68" s="203"/>
      <c r="X68" s="203"/>
      <c r="Y68" s="203"/>
      <c r="Z68" s="203"/>
      <c r="AA68" s="203"/>
      <c r="AB68" s="203"/>
      <c r="AC68" s="203"/>
      <c r="AD68" s="203"/>
      <c r="AE68" s="203"/>
      <c r="AF68" s="203"/>
    </row>
    <row r="69" spans="2:32" ht="15" customHeight="1">
      <c r="C69" s="10"/>
      <c r="D69" s="26"/>
      <c r="E69" s="215"/>
      <c r="F69" s="215"/>
      <c r="G69" s="203"/>
      <c r="H69" s="203"/>
      <c r="I69" s="203"/>
      <c r="J69" s="203"/>
      <c r="K69" s="203"/>
      <c r="L69" s="203"/>
      <c r="M69" s="203"/>
      <c r="N69" s="203"/>
      <c r="O69" s="203"/>
      <c r="P69" s="203"/>
      <c r="Q69" s="203"/>
      <c r="R69" s="203"/>
      <c r="S69" s="203"/>
      <c r="T69" s="203"/>
      <c r="U69" s="203"/>
      <c r="V69" s="203"/>
      <c r="W69" s="203"/>
      <c r="X69" s="203"/>
      <c r="Y69" s="203"/>
      <c r="Z69" s="203"/>
      <c r="AA69" s="203"/>
      <c r="AB69" s="203"/>
      <c r="AC69" s="203"/>
      <c r="AD69" s="203"/>
      <c r="AE69" s="203"/>
      <c r="AF69" s="203"/>
    </row>
    <row r="70" spans="2:32" ht="15" customHeight="1">
      <c r="C70" s="10"/>
      <c r="D70" s="26"/>
      <c r="E70" s="215"/>
      <c r="F70" s="215"/>
      <c r="G70" s="203"/>
      <c r="H70" s="203"/>
      <c r="I70" s="203"/>
      <c r="J70" s="203"/>
      <c r="K70" s="203"/>
      <c r="L70" s="203"/>
      <c r="M70" s="203"/>
      <c r="N70" s="203"/>
      <c r="O70" s="203"/>
      <c r="P70" s="203"/>
      <c r="Q70" s="203"/>
      <c r="R70" s="203"/>
      <c r="S70" s="203"/>
      <c r="T70" s="203"/>
      <c r="U70" s="203"/>
      <c r="V70" s="203"/>
      <c r="W70" s="203"/>
      <c r="X70" s="203"/>
      <c r="Y70" s="203"/>
      <c r="Z70" s="203"/>
      <c r="AA70" s="203"/>
      <c r="AB70" s="203"/>
      <c r="AC70" s="203"/>
      <c r="AD70" s="203"/>
      <c r="AE70" s="203"/>
      <c r="AF70" s="203"/>
    </row>
    <row r="71" spans="2:32" ht="15" customHeight="1">
      <c r="C71" s="10"/>
      <c r="D71" s="26"/>
      <c r="E71" s="215"/>
      <c r="F71" s="215"/>
      <c r="G71" s="203"/>
      <c r="H71" s="203"/>
      <c r="I71" s="203"/>
      <c r="J71" s="203"/>
      <c r="K71" s="203"/>
      <c r="L71" s="203"/>
      <c r="M71" s="203"/>
      <c r="N71" s="203"/>
      <c r="O71" s="203"/>
      <c r="P71" s="203"/>
      <c r="Q71" s="203"/>
      <c r="R71" s="203"/>
      <c r="S71" s="203"/>
      <c r="T71" s="203"/>
      <c r="U71" s="203"/>
      <c r="V71" s="203"/>
      <c r="W71" s="203"/>
      <c r="X71" s="203"/>
      <c r="Y71" s="203"/>
      <c r="Z71" s="203"/>
      <c r="AA71" s="203"/>
      <c r="AB71" s="203"/>
      <c r="AC71" s="203"/>
      <c r="AD71" s="203"/>
      <c r="AE71" s="203"/>
      <c r="AF71" s="203"/>
    </row>
    <row r="72" spans="2:32" ht="15" customHeight="1">
      <c r="C72" s="10"/>
      <c r="D72" s="26"/>
      <c r="E72" s="215"/>
      <c r="F72" s="215"/>
      <c r="G72" s="203"/>
      <c r="H72" s="203"/>
      <c r="I72" s="203"/>
      <c r="J72" s="203"/>
      <c r="K72" s="203"/>
      <c r="L72" s="203"/>
      <c r="M72" s="203"/>
      <c r="N72" s="203"/>
      <c r="O72" s="203"/>
      <c r="P72" s="203"/>
      <c r="Q72" s="203"/>
      <c r="R72" s="203"/>
      <c r="S72" s="203"/>
      <c r="T72" s="203"/>
      <c r="U72" s="203"/>
      <c r="V72" s="203"/>
      <c r="W72" s="203"/>
      <c r="X72" s="203"/>
      <c r="Y72" s="203"/>
      <c r="Z72" s="203"/>
      <c r="AA72" s="203"/>
      <c r="AB72" s="203"/>
      <c r="AC72" s="203"/>
      <c r="AD72" s="203"/>
      <c r="AE72" s="203"/>
      <c r="AF72" s="203"/>
    </row>
    <row r="73" spans="2:32" ht="15" customHeight="1">
      <c r="C73" s="10"/>
      <c r="D73" s="26"/>
      <c r="E73" s="215"/>
      <c r="F73" s="215"/>
      <c r="G73" s="203"/>
      <c r="H73" s="203"/>
      <c r="I73" s="203"/>
      <c r="J73" s="203"/>
      <c r="K73" s="203"/>
      <c r="L73" s="203"/>
      <c r="M73" s="203"/>
      <c r="N73" s="203"/>
      <c r="O73" s="203"/>
      <c r="P73" s="203"/>
      <c r="Q73" s="203"/>
      <c r="R73" s="203"/>
      <c r="S73" s="203"/>
      <c r="T73" s="203"/>
      <c r="U73" s="203"/>
      <c r="V73" s="203"/>
      <c r="W73" s="203"/>
      <c r="X73" s="203"/>
      <c r="Y73" s="203"/>
      <c r="Z73" s="203"/>
      <c r="AA73" s="203"/>
      <c r="AB73" s="203"/>
      <c r="AC73" s="203"/>
      <c r="AD73" s="203"/>
      <c r="AE73" s="203"/>
      <c r="AF73" s="203"/>
    </row>
    <row r="74" spans="2:32" ht="15" customHeight="1">
      <c r="C74" s="10"/>
      <c r="D74" s="26"/>
      <c r="E74" s="215"/>
      <c r="F74" s="215"/>
      <c r="G74" s="203"/>
      <c r="H74" s="203"/>
      <c r="I74" s="203"/>
      <c r="J74" s="203"/>
      <c r="K74" s="203"/>
      <c r="L74" s="203"/>
      <c r="M74" s="203"/>
      <c r="N74" s="203"/>
      <c r="O74" s="203"/>
      <c r="P74" s="203"/>
      <c r="Q74" s="203"/>
      <c r="R74" s="203"/>
      <c r="S74" s="203"/>
      <c r="T74" s="203"/>
      <c r="U74" s="203"/>
      <c r="V74" s="203"/>
      <c r="W74" s="203"/>
      <c r="X74" s="203"/>
      <c r="Y74" s="203"/>
      <c r="Z74" s="203"/>
      <c r="AA74" s="203"/>
      <c r="AB74" s="203"/>
      <c r="AC74" s="203"/>
      <c r="AD74" s="203"/>
      <c r="AE74" s="203"/>
      <c r="AF74" s="203"/>
    </row>
    <row r="75" spans="2:32" ht="15" customHeight="1">
      <c r="C75" s="10"/>
      <c r="D75" s="26"/>
      <c r="E75" s="215"/>
      <c r="F75" s="215"/>
      <c r="G75" s="203"/>
      <c r="H75" s="203"/>
      <c r="I75" s="203"/>
      <c r="J75" s="203"/>
      <c r="K75" s="203"/>
      <c r="L75" s="203"/>
      <c r="M75" s="203"/>
      <c r="N75" s="203"/>
      <c r="O75" s="203"/>
      <c r="P75" s="203"/>
      <c r="Q75" s="203"/>
      <c r="R75" s="203"/>
      <c r="S75" s="203"/>
      <c r="T75" s="203"/>
      <c r="U75" s="203"/>
      <c r="V75" s="203"/>
      <c r="W75" s="203"/>
      <c r="X75" s="203"/>
      <c r="Y75" s="203"/>
      <c r="Z75" s="203"/>
      <c r="AA75" s="203"/>
      <c r="AB75" s="203"/>
      <c r="AC75" s="203"/>
      <c r="AD75" s="203"/>
      <c r="AE75" s="203"/>
      <c r="AF75" s="203"/>
    </row>
    <row r="76" spans="2:32" ht="15" customHeight="1">
      <c r="C76" s="10"/>
      <c r="D76" s="26"/>
      <c r="E76" s="215"/>
      <c r="F76" s="215"/>
      <c r="G76" s="203"/>
      <c r="H76" s="203"/>
      <c r="I76" s="203"/>
      <c r="J76" s="203"/>
      <c r="K76" s="203"/>
      <c r="L76" s="203"/>
      <c r="M76" s="203"/>
      <c r="N76" s="203"/>
      <c r="O76" s="203"/>
      <c r="P76" s="203"/>
      <c r="Q76" s="203"/>
      <c r="R76" s="203"/>
      <c r="S76" s="203"/>
      <c r="T76" s="203"/>
      <c r="U76" s="203"/>
      <c r="V76" s="203"/>
      <c r="W76" s="203"/>
      <c r="X76" s="203"/>
      <c r="Y76" s="203"/>
      <c r="Z76" s="203"/>
      <c r="AA76" s="203"/>
      <c r="AB76" s="203"/>
      <c r="AC76" s="203"/>
      <c r="AD76" s="203"/>
      <c r="AE76" s="203"/>
      <c r="AF76" s="203"/>
    </row>
    <row r="77" spans="2:32" ht="15" customHeight="1">
      <c r="C77" s="10"/>
      <c r="D77" s="26"/>
      <c r="E77" s="215"/>
      <c r="F77" s="215"/>
      <c r="G77" s="203"/>
      <c r="H77" s="203"/>
      <c r="I77" s="203"/>
      <c r="J77" s="203"/>
      <c r="K77" s="203"/>
      <c r="L77" s="203"/>
      <c r="M77" s="203"/>
      <c r="N77" s="203"/>
      <c r="O77" s="203"/>
      <c r="P77" s="203"/>
      <c r="Q77" s="203"/>
      <c r="R77" s="203"/>
      <c r="S77" s="203"/>
      <c r="T77" s="203"/>
      <c r="U77" s="203"/>
      <c r="V77" s="203"/>
      <c r="W77" s="203"/>
      <c r="X77" s="203"/>
      <c r="Y77" s="203"/>
      <c r="Z77" s="203"/>
      <c r="AA77" s="203"/>
      <c r="AB77" s="203"/>
      <c r="AC77" s="203"/>
      <c r="AD77" s="203"/>
      <c r="AE77" s="203"/>
      <c r="AF77" s="203"/>
    </row>
    <row r="78" spans="2:32" ht="15" customHeight="1">
      <c r="C78" s="10"/>
      <c r="D78" s="26"/>
      <c r="E78" s="215"/>
      <c r="F78" s="215"/>
      <c r="G78" s="203"/>
      <c r="H78" s="203"/>
      <c r="I78" s="203"/>
      <c r="J78" s="203"/>
      <c r="K78" s="203"/>
      <c r="L78" s="203"/>
      <c r="M78" s="203"/>
      <c r="N78" s="203"/>
      <c r="O78" s="203"/>
      <c r="P78" s="203"/>
      <c r="Q78" s="203"/>
      <c r="R78" s="203"/>
      <c r="S78" s="203"/>
      <c r="T78" s="203"/>
      <c r="U78" s="203"/>
      <c r="V78" s="203"/>
      <c r="W78" s="203"/>
      <c r="X78" s="203"/>
      <c r="Y78" s="203"/>
      <c r="Z78" s="203"/>
      <c r="AA78" s="203"/>
      <c r="AB78" s="203"/>
      <c r="AC78" s="203"/>
      <c r="AD78" s="203"/>
      <c r="AE78" s="203"/>
      <c r="AF78" s="203"/>
    </row>
    <row r="79" spans="2:32" ht="15" customHeight="1">
      <c r="C79" s="10"/>
      <c r="D79" s="26"/>
      <c r="E79" s="215"/>
      <c r="F79" s="215"/>
      <c r="G79" s="203"/>
      <c r="H79" s="203"/>
      <c r="I79" s="203"/>
      <c r="J79" s="203"/>
      <c r="K79" s="203"/>
      <c r="L79" s="203"/>
      <c r="M79" s="203"/>
      <c r="N79" s="203"/>
      <c r="O79" s="203"/>
      <c r="P79" s="203"/>
      <c r="Q79" s="203"/>
      <c r="R79" s="203"/>
      <c r="S79" s="203"/>
      <c r="T79" s="203"/>
      <c r="U79" s="203"/>
      <c r="V79" s="203"/>
      <c r="W79" s="203"/>
      <c r="X79" s="203"/>
      <c r="Y79" s="203"/>
      <c r="Z79" s="203"/>
      <c r="AA79" s="203"/>
      <c r="AB79" s="203"/>
      <c r="AC79" s="203"/>
      <c r="AD79" s="203"/>
      <c r="AE79" s="203"/>
      <c r="AF79" s="203"/>
    </row>
    <row r="80" spans="2:32" ht="15" customHeight="1">
      <c r="C80" s="10"/>
      <c r="D80" s="26"/>
      <c r="E80" s="215"/>
      <c r="F80" s="215"/>
      <c r="G80" s="203"/>
      <c r="H80" s="203"/>
      <c r="I80" s="203"/>
      <c r="J80" s="203"/>
      <c r="K80" s="203"/>
      <c r="L80" s="203"/>
      <c r="M80" s="203"/>
      <c r="N80" s="203"/>
      <c r="O80" s="203"/>
      <c r="P80" s="203"/>
      <c r="Q80" s="203"/>
      <c r="R80" s="203"/>
      <c r="S80" s="203"/>
      <c r="T80" s="203"/>
      <c r="U80" s="203"/>
      <c r="V80" s="203"/>
      <c r="W80" s="203"/>
      <c r="X80" s="203"/>
      <c r="Y80" s="203"/>
      <c r="Z80" s="203"/>
      <c r="AA80" s="203"/>
      <c r="AB80" s="203"/>
      <c r="AC80" s="203"/>
      <c r="AD80" s="203"/>
      <c r="AE80" s="203"/>
      <c r="AF80" s="203"/>
    </row>
    <row r="81" spans="2:32" ht="15" customHeight="1">
      <c r="C81" s="10"/>
      <c r="D81" s="26"/>
      <c r="E81" s="215"/>
      <c r="F81" s="215"/>
      <c r="G81" s="203"/>
      <c r="H81" s="203"/>
      <c r="I81" s="203"/>
      <c r="J81" s="203"/>
      <c r="K81" s="203"/>
      <c r="L81" s="203"/>
      <c r="M81" s="203"/>
      <c r="N81" s="203"/>
      <c r="O81" s="203"/>
      <c r="P81" s="203"/>
      <c r="Q81" s="203"/>
      <c r="R81" s="203"/>
      <c r="S81" s="203"/>
      <c r="T81" s="203"/>
      <c r="U81" s="203"/>
      <c r="V81" s="203"/>
      <c r="W81" s="203"/>
      <c r="X81" s="203"/>
      <c r="Y81" s="203"/>
      <c r="Z81" s="203"/>
      <c r="AA81" s="203"/>
      <c r="AB81" s="203"/>
      <c r="AC81" s="203"/>
      <c r="AD81" s="203"/>
      <c r="AE81" s="203"/>
      <c r="AF81" s="203"/>
    </row>
    <row r="82" spans="2:32" ht="15" customHeight="1">
      <c r="C82" s="10"/>
      <c r="D82" s="26"/>
      <c r="E82" s="215"/>
      <c r="F82" s="215"/>
      <c r="G82" s="203"/>
      <c r="H82" s="203"/>
      <c r="I82" s="203"/>
      <c r="J82" s="203"/>
      <c r="K82" s="203"/>
      <c r="L82" s="203"/>
      <c r="M82" s="203"/>
      <c r="N82" s="203"/>
      <c r="O82" s="203"/>
      <c r="P82" s="203"/>
      <c r="Q82" s="203"/>
      <c r="R82" s="203"/>
      <c r="S82" s="203"/>
      <c r="T82" s="203"/>
      <c r="U82" s="203"/>
      <c r="V82" s="203"/>
      <c r="W82" s="203"/>
      <c r="X82" s="203"/>
      <c r="Y82" s="203"/>
      <c r="Z82" s="203"/>
      <c r="AA82" s="203"/>
      <c r="AB82" s="203"/>
      <c r="AC82" s="203"/>
      <c r="AD82" s="203"/>
      <c r="AE82" s="203"/>
      <c r="AF82" s="203"/>
    </row>
    <row r="83" spans="2:32" ht="15" customHeight="1">
      <c r="C83" s="10"/>
      <c r="D83" s="26"/>
      <c r="E83" s="215"/>
      <c r="F83" s="215"/>
      <c r="G83" s="203"/>
      <c r="H83" s="203"/>
      <c r="I83" s="203"/>
      <c r="J83" s="203"/>
      <c r="K83" s="203"/>
      <c r="L83" s="203"/>
      <c r="M83" s="203"/>
      <c r="N83" s="203"/>
      <c r="O83" s="203"/>
      <c r="P83" s="203"/>
      <c r="Q83" s="203"/>
      <c r="R83" s="203"/>
      <c r="S83" s="203"/>
      <c r="T83" s="203"/>
      <c r="U83" s="203"/>
      <c r="V83" s="203"/>
      <c r="W83" s="203"/>
      <c r="X83" s="203"/>
      <c r="Y83" s="203"/>
      <c r="Z83" s="203"/>
      <c r="AA83" s="203"/>
      <c r="AB83" s="203"/>
      <c r="AC83" s="203"/>
      <c r="AD83" s="203"/>
      <c r="AE83" s="203"/>
      <c r="AF83" s="203"/>
    </row>
    <row r="84" spans="2:32" ht="15" customHeight="1">
      <c r="C84" s="10"/>
      <c r="D84" s="26"/>
      <c r="E84" s="215"/>
      <c r="F84" s="215"/>
      <c r="G84" s="203"/>
      <c r="H84" s="203"/>
      <c r="I84" s="203"/>
      <c r="J84" s="203"/>
      <c r="K84" s="203"/>
      <c r="L84" s="203"/>
      <c r="M84" s="203"/>
      <c r="N84" s="203"/>
      <c r="O84" s="203"/>
      <c r="P84" s="203"/>
      <c r="Q84" s="203"/>
      <c r="R84" s="203"/>
      <c r="S84" s="203"/>
      <c r="T84" s="203"/>
      <c r="U84" s="203"/>
      <c r="V84" s="203"/>
      <c r="W84" s="203"/>
      <c r="X84" s="203"/>
      <c r="Y84" s="203"/>
      <c r="Z84" s="203"/>
      <c r="AA84" s="203"/>
      <c r="AB84" s="203"/>
      <c r="AC84" s="203"/>
      <c r="AD84" s="203"/>
      <c r="AE84" s="203"/>
      <c r="AF84" s="203"/>
    </row>
    <row r="85" spans="2:32" ht="15" customHeight="1">
      <c r="C85" s="10"/>
      <c r="D85" s="26"/>
      <c r="E85" s="215"/>
      <c r="F85" s="215"/>
      <c r="G85" s="203"/>
      <c r="H85" s="203"/>
      <c r="I85" s="203"/>
      <c r="J85" s="203"/>
      <c r="K85" s="203"/>
      <c r="L85" s="203"/>
      <c r="M85" s="203"/>
      <c r="N85" s="203"/>
      <c r="O85" s="203"/>
      <c r="P85" s="203"/>
      <c r="Q85" s="203"/>
      <c r="R85" s="203"/>
      <c r="S85" s="203"/>
      <c r="T85" s="203"/>
      <c r="U85" s="203"/>
      <c r="V85" s="203"/>
      <c r="W85" s="203"/>
      <c r="X85" s="203"/>
      <c r="Y85" s="203"/>
      <c r="Z85" s="203"/>
      <c r="AA85" s="203"/>
      <c r="AB85" s="203"/>
      <c r="AC85" s="203"/>
      <c r="AD85" s="203"/>
      <c r="AE85" s="203"/>
      <c r="AF85" s="203"/>
    </row>
    <row r="86" spans="2:32" ht="15" customHeight="1">
      <c r="C86" s="10"/>
      <c r="D86" s="26"/>
      <c r="E86" s="215"/>
      <c r="F86" s="215"/>
      <c r="G86" s="203"/>
      <c r="H86" s="203"/>
      <c r="I86" s="203"/>
      <c r="J86" s="203"/>
      <c r="K86" s="203"/>
      <c r="L86" s="203"/>
      <c r="M86" s="203"/>
      <c r="N86" s="203"/>
      <c r="O86" s="203"/>
      <c r="P86" s="203"/>
      <c r="Q86" s="203"/>
      <c r="R86" s="203"/>
      <c r="S86" s="203"/>
      <c r="T86" s="203"/>
      <c r="U86" s="203"/>
      <c r="V86" s="203"/>
      <c r="W86" s="203"/>
      <c r="X86" s="203"/>
      <c r="Y86" s="203"/>
      <c r="Z86" s="203"/>
      <c r="AA86" s="203"/>
      <c r="AB86" s="203"/>
      <c r="AC86" s="203"/>
      <c r="AD86" s="203"/>
      <c r="AE86" s="203"/>
      <c r="AF86" s="203"/>
    </row>
    <row r="87" spans="2:32" ht="15" customHeight="1">
      <c r="C87" s="10"/>
      <c r="D87" s="26"/>
      <c r="E87" s="215"/>
      <c r="F87" s="215"/>
      <c r="G87" s="203"/>
      <c r="H87" s="203"/>
      <c r="I87" s="203"/>
      <c r="J87" s="203"/>
      <c r="K87" s="203"/>
      <c r="L87" s="203"/>
      <c r="M87" s="203"/>
      <c r="N87" s="203"/>
      <c r="O87" s="203"/>
      <c r="P87" s="203"/>
      <c r="Q87" s="203"/>
      <c r="R87" s="203"/>
      <c r="S87" s="203"/>
      <c r="T87" s="203"/>
      <c r="U87" s="203"/>
      <c r="V87" s="203"/>
      <c r="W87" s="203"/>
      <c r="X87" s="203"/>
      <c r="Y87" s="203"/>
      <c r="Z87" s="203"/>
      <c r="AA87" s="203"/>
      <c r="AB87" s="203"/>
      <c r="AC87" s="203"/>
      <c r="AD87" s="203"/>
      <c r="AE87" s="203"/>
      <c r="AF87" s="203"/>
    </row>
    <row r="88" spans="2:32" ht="15" customHeight="1">
      <c r="C88" s="10"/>
      <c r="D88" s="26"/>
      <c r="E88" s="215"/>
      <c r="F88" s="215"/>
      <c r="G88" s="203"/>
      <c r="H88" s="203"/>
      <c r="I88" s="203"/>
      <c r="J88" s="203"/>
      <c r="K88" s="203"/>
      <c r="L88" s="203"/>
      <c r="M88" s="203"/>
      <c r="N88" s="203"/>
      <c r="O88" s="203"/>
      <c r="P88" s="203"/>
      <c r="Q88" s="203"/>
      <c r="R88" s="203"/>
      <c r="S88" s="203"/>
      <c r="T88" s="203"/>
      <c r="U88" s="203"/>
      <c r="V88" s="203"/>
      <c r="W88" s="203"/>
      <c r="X88" s="203"/>
      <c r="Y88" s="203"/>
      <c r="Z88" s="203"/>
      <c r="AA88" s="203"/>
      <c r="AB88" s="203"/>
      <c r="AC88" s="203"/>
      <c r="AD88" s="203"/>
      <c r="AE88" s="203"/>
      <c r="AF88" s="203"/>
    </row>
    <row r="89" spans="2:32" ht="15" customHeight="1">
      <c r="C89" s="10"/>
      <c r="D89" s="26"/>
      <c r="E89" s="215"/>
      <c r="F89" s="215"/>
      <c r="G89" s="203"/>
      <c r="H89" s="203"/>
      <c r="I89" s="203"/>
      <c r="J89" s="203"/>
      <c r="K89" s="203"/>
      <c r="L89" s="203"/>
      <c r="M89" s="203"/>
      <c r="N89" s="203"/>
      <c r="O89" s="203"/>
      <c r="P89" s="203"/>
      <c r="Q89" s="203"/>
      <c r="R89" s="203"/>
      <c r="S89" s="203"/>
      <c r="T89" s="203"/>
      <c r="U89" s="203"/>
      <c r="V89" s="203"/>
      <c r="W89" s="203"/>
      <c r="X89" s="203"/>
      <c r="Y89" s="203"/>
      <c r="Z89" s="203"/>
      <c r="AA89" s="203"/>
      <c r="AB89" s="203"/>
      <c r="AC89" s="203"/>
      <c r="AD89" s="203"/>
      <c r="AE89" s="203"/>
      <c r="AF89" s="203"/>
    </row>
    <row r="90" spans="2:32" ht="15" customHeight="1">
      <c r="C90" s="10"/>
    </row>
    <row r="91" spans="2:32" ht="15" customHeight="1">
      <c r="B91" s="315"/>
      <c r="C91" s="10"/>
      <c r="D91" s="26"/>
      <c r="E91" s="215"/>
      <c r="F91" s="215"/>
      <c r="G91" s="203"/>
      <c r="H91" s="203"/>
      <c r="I91" s="203"/>
      <c r="J91" s="203"/>
      <c r="K91" s="203"/>
      <c r="L91" s="203"/>
      <c r="M91" s="203"/>
      <c r="N91" s="203"/>
      <c r="O91" s="203"/>
      <c r="P91" s="203"/>
      <c r="Q91" s="203"/>
      <c r="R91" s="203"/>
      <c r="S91" s="203"/>
      <c r="T91" s="203"/>
      <c r="U91" s="203"/>
      <c r="V91" s="203"/>
      <c r="W91" s="203"/>
      <c r="X91" s="203"/>
      <c r="Y91" s="203"/>
      <c r="Z91" s="203"/>
      <c r="AA91" s="203"/>
      <c r="AB91" s="203"/>
      <c r="AC91" s="203"/>
      <c r="AD91" s="203"/>
      <c r="AE91" s="203"/>
      <c r="AF91" s="203"/>
    </row>
    <row r="92" spans="2:32" ht="15" customHeight="1">
      <c r="C92" s="10"/>
      <c r="D92" s="26"/>
      <c r="E92" s="215"/>
      <c r="F92" s="215"/>
      <c r="G92" s="203"/>
      <c r="H92" s="203"/>
      <c r="I92" s="203"/>
      <c r="J92" s="203"/>
      <c r="K92" s="203"/>
      <c r="L92" s="203"/>
      <c r="M92" s="203"/>
      <c r="N92" s="203"/>
      <c r="O92" s="203"/>
      <c r="P92" s="203"/>
      <c r="Q92" s="203"/>
      <c r="R92" s="203"/>
      <c r="S92" s="203"/>
      <c r="T92" s="203"/>
      <c r="U92" s="203"/>
      <c r="V92" s="203"/>
      <c r="W92" s="203"/>
      <c r="X92" s="203"/>
      <c r="Y92" s="203"/>
      <c r="Z92" s="203"/>
      <c r="AA92" s="203"/>
      <c r="AB92" s="203"/>
      <c r="AC92" s="203"/>
      <c r="AD92" s="203"/>
      <c r="AE92" s="203"/>
      <c r="AF92" s="203"/>
    </row>
    <row r="93" spans="2:32" ht="15" customHeight="1">
      <c r="C93" s="10"/>
      <c r="D93" s="26"/>
      <c r="E93" s="215"/>
      <c r="F93" s="215"/>
      <c r="G93" s="203"/>
      <c r="H93" s="203"/>
      <c r="I93" s="203"/>
      <c r="J93" s="203"/>
      <c r="K93" s="203"/>
      <c r="L93" s="203"/>
      <c r="M93" s="203"/>
      <c r="N93" s="203"/>
      <c r="O93" s="203"/>
      <c r="P93" s="203"/>
      <c r="Q93" s="203"/>
      <c r="R93" s="203"/>
      <c r="S93" s="203"/>
      <c r="T93" s="203"/>
      <c r="U93" s="203"/>
      <c r="V93" s="203"/>
      <c r="W93" s="203"/>
      <c r="X93" s="203"/>
      <c r="Y93" s="203"/>
      <c r="Z93" s="203"/>
      <c r="AA93" s="203"/>
      <c r="AB93" s="203"/>
      <c r="AC93" s="203"/>
      <c r="AD93" s="203"/>
      <c r="AE93" s="203"/>
      <c r="AF93" s="203"/>
    </row>
    <row r="94" spans="2:32" ht="15" customHeight="1">
      <c r="C94" s="10"/>
      <c r="D94" s="26"/>
      <c r="E94" s="215"/>
      <c r="F94" s="215"/>
      <c r="G94" s="203"/>
      <c r="H94" s="203"/>
      <c r="I94" s="203"/>
      <c r="J94" s="203"/>
      <c r="K94" s="203"/>
      <c r="L94" s="203"/>
      <c r="M94" s="203"/>
      <c r="N94" s="203"/>
      <c r="O94" s="203"/>
      <c r="P94" s="203"/>
      <c r="Q94" s="203"/>
      <c r="R94" s="203"/>
      <c r="S94" s="203"/>
      <c r="T94" s="203"/>
      <c r="U94" s="203"/>
      <c r="V94" s="203"/>
      <c r="W94" s="203"/>
      <c r="X94" s="203"/>
      <c r="Y94" s="203"/>
      <c r="Z94" s="203"/>
      <c r="AA94" s="203"/>
      <c r="AB94" s="203"/>
      <c r="AC94" s="203"/>
      <c r="AD94" s="203"/>
      <c r="AE94" s="203"/>
      <c r="AF94" s="203"/>
    </row>
    <row r="95" spans="2:32" ht="15" customHeight="1">
      <c r="C95" s="10"/>
      <c r="D95" s="26"/>
      <c r="E95" s="215"/>
      <c r="F95" s="215"/>
      <c r="G95" s="203"/>
      <c r="H95" s="203"/>
      <c r="I95" s="203"/>
      <c r="J95" s="203"/>
      <c r="K95" s="203"/>
      <c r="L95" s="203"/>
      <c r="M95" s="203"/>
      <c r="N95" s="203"/>
      <c r="O95" s="203"/>
      <c r="P95" s="203"/>
      <c r="Q95" s="203"/>
      <c r="R95" s="203"/>
      <c r="S95" s="203"/>
      <c r="T95" s="203"/>
      <c r="U95" s="203"/>
      <c r="V95" s="203"/>
      <c r="W95" s="203"/>
      <c r="X95" s="203"/>
      <c r="Y95" s="203"/>
      <c r="Z95" s="203"/>
      <c r="AA95" s="203"/>
      <c r="AB95" s="203"/>
      <c r="AC95" s="203"/>
      <c r="AD95" s="203"/>
      <c r="AE95" s="203"/>
      <c r="AF95" s="203"/>
    </row>
    <row r="96" spans="2:32" ht="15" customHeight="1">
      <c r="C96" s="10"/>
      <c r="D96" s="26"/>
      <c r="E96" s="215"/>
      <c r="F96" s="215"/>
      <c r="G96" s="203"/>
      <c r="H96" s="203"/>
      <c r="I96" s="203"/>
      <c r="J96" s="203"/>
      <c r="K96" s="203"/>
      <c r="L96" s="203"/>
      <c r="M96" s="203"/>
      <c r="N96" s="203"/>
      <c r="O96" s="203"/>
      <c r="P96" s="203"/>
      <c r="Q96" s="203"/>
      <c r="R96" s="203"/>
      <c r="S96" s="203"/>
      <c r="T96" s="203"/>
      <c r="U96" s="203"/>
      <c r="V96" s="203"/>
      <c r="W96" s="203"/>
      <c r="X96" s="203"/>
      <c r="Y96" s="203"/>
      <c r="Z96" s="203"/>
      <c r="AA96" s="203"/>
      <c r="AB96" s="203"/>
      <c r="AC96" s="203"/>
      <c r="AD96" s="203"/>
      <c r="AE96" s="203"/>
      <c r="AF96" s="203"/>
    </row>
    <row r="97" spans="3:32" ht="15" customHeight="1">
      <c r="C97" s="10"/>
      <c r="D97" s="26"/>
      <c r="E97" s="215"/>
      <c r="F97" s="215"/>
      <c r="G97" s="203"/>
      <c r="H97" s="203"/>
      <c r="I97" s="203"/>
      <c r="J97" s="203"/>
      <c r="K97" s="203"/>
      <c r="L97" s="203"/>
      <c r="M97" s="203"/>
      <c r="N97" s="203"/>
      <c r="O97" s="203"/>
      <c r="P97" s="203"/>
      <c r="Q97" s="203"/>
      <c r="R97" s="203"/>
      <c r="S97" s="203"/>
      <c r="T97" s="203"/>
      <c r="U97" s="203"/>
      <c r="V97" s="203"/>
      <c r="W97" s="203"/>
      <c r="X97" s="203"/>
      <c r="Y97" s="203"/>
      <c r="Z97" s="203"/>
      <c r="AA97" s="203"/>
      <c r="AB97" s="203"/>
      <c r="AC97" s="203"/>
      <c r="AD97" s="203"/>
      <c r="AE97" s="203"/>
      <c r="AF97" s="203"/>
    </row>
    <row r="98" spans="3:32" ht="15" customHeight="1">
      <c r="C98" s="10"/>
      <c r="D98" s="26"/>
      <c r="E98" s="215"/>
      <c r="F98" s="215"/>
      <c r="G98" s="203"/>
      <c r="H98" s="203"/>
      <c r="I98" s="203"/>
      <c r="J98" s="203"/>
      <c r="K98" s="203"/>
      <c r="L98" s="203"/>
      <c r="M98" s="203"/>
      <c r="N98" s="203"/>
      <c r="O98" s="203"/>
      <c r="P98" s="203"/>
      <c r="Q98" s="203"/>
      <c r="R98" s="203"/>
      <c r="S98" s="203"/>
      <c r="T98" s="203"/>
      <c r="U98" s="203"/>
      <c r="V98" s="203"/>
      <c r="W98" s="203"/>
      <c r="X98" s="203"/>
      <c r="Y98" s="203"/>
      <c r="Z98" s="203"/>
      <c r="AA98" s="203"/>
      <c r="AB98" s="203"/>
      <c r="AC98" s="203"/>
      <c r="AD98" s="203"/>
      <c r="AE98" s="203"/>
      <c r="AF98" s="203"/>
    </row>
    <row r="99" spans="3:32" ht="15" customHeight="1">
      <c r="C99" s="10"/>
      <c r="D99" s="26"/>
      <c r="E99" s="215"/>
      <c r="F99" s="215"/>
      <c r="G99" s="203"/>
      <c r="H99" s="203"/>
      <c r="I99" s="203"/>
      <c r="J99" s="203"/>
      <c r="K99" s="203"/>
      <c r="L99" s="203"/>
      <c r="M99" s="203"/>
      <c r="N99" s="203"/>
      <c r="O99" s="203"/>
      <c r="P99" s="203"/>
      <c r="Q99" s="203"/>
      <c r="R99" s="203"/>
      <c r="S99" s="203"/>
      <c r="T99" s="203"/>
      <c r="U99" s="203"/>
      <c r="V99" s="203"/>
      <c r="W99" s="203"/>
      <c r="X99" s="203"/>
      <c r="Y99" s="203"/>
      <c r="Z99" s="203"/>
      <c r="AA99" s="203"/>
      <c r="AB99" s="203"/>
      <c r="AC99" s="203"/>
      <c r="AD99" s="203"/>
      <c r="AE99" s="203"/>
      <c r="AF99" s="203"/>
    </row>
    <row r="100" spans="3:32" ht="15" customHeight="1">
      <c r="C100" s="10"/>
      <c r="D100" s="26"/>
      <c r="E100" s="215"/>
      <c r="F100" s="215"/>
      <c r="G100" s="203"/>
      <c r="H100" s="203"/>
      <c r="I100" s="203"/>
      <c r="J100" s="203"/>
      <c r="K100" s="203"/>
      <c r="L100" s="203"/>
      <c r="M100" s="203"/>
      <c r="N100" s="203"/>
      <c r="O100" s="203"/>
      <c r="P100" s="203"/>
      <c r="Q100" s="203"/>
      <c r="R100" s="203"/>
      <c r="S100" s="203"/>
      <c r="T100" s="203"/>
      <c r="U100" s="203"/>
      <c r="V100" s="203"/>
      <c r="W100" s="203"/>
      <c r="X100" s="203"/>
      <c r="Y100" s="203"/>
      <c r="Z100" s="203"/>
      <c r="AA100" s="203"/>
      <c r="AB100" s="203"/>
      <c r="AC100" s="203"/>
      <c r="AD100" s="203"/>
      <c r="AE100" s="203"/>
      <c r="AF100" s="203"/>
    </row>
    <row r="101" spans="3:32" ht="15" customHeight="1">
      <c r="C101" s="10"/>
      <c r="D101" s="26"/>
      <c r="E101" s="215"/>
      <c r="F101" s="215"/>
      <c r="G101" s="203"/>
      <c r="H101" s="203"/>
      <c r="I101" s="203"/>
      <c r="J101" s="203"/>
      <c r="K101" s="203"/>
      <c r="L101" s="203"/>
      <c r="M101" s="203"/>
      <c r="N101" s="203"/>
      <c r="O101" s="203"/>
      <c r="P101" s="203"/>
      <c r="Q101" s="203"/>
      <c r="R101" s="203"/>
      <c r="S101" s="203"/>
      <c r="T101" s="203"/>
      <c r="U101" s="203"/>
      <c r="V101" s="203"/>
      <c r="W101" s="203"/>
      <c r="X101" s="203"/>
      <c r="Y101" s="203"/>
      <c r="Z101" s="203"/>
      <c r="AA101" s="203"/>
      <c r="AB101" s="203"/>
      <c r="AC101" s="203"/>
      <c r="AD101" s="203"/>
      <c r="AE101" s="203"/>
      <c r="AF101" s="203"/>
    </row>
    <row r="102" spans="3:32" ht="15" customHeight="1">
      <c r="C102" s="10"/>
      <c r="D102" s="26"/>
      <c r="E102" s="215"/>
      <c r="F102" s="215"/>
      <c r="G102" s="203"/>
      <c r="H102" s="203"/>
      <c r="I102" s="203"/>
      <c r="J102" s="203"/>
      <c r="K102" s="203"/>
      <c r="L102" s="203"/>
      <c r="M102" s="203"/>
      <c r="N102" s="203"/>
      <c r="O102" s="203"/>
      <c r="P102" s="203"/>
      <c r="Q102" s="203"/>
      <c r="R102" s="203"/>
      <c r="S102" s="203"/>
      <c r="T102" s="203"/>
      <c r="U102" s="203"/>
      <c r="V102" s="203"/>
      <c r="W102" s="203"/>
      <c r="X102" s="203"/>
      <c r="Y102" s="203"/>
      <c r="Z102" s="203"/>
      <c r="AA102" s="203"/>
      <c r="AB102" s="203"/>
      <c r="AC102" s="203"/>
      <c r="AD102" s="203"/>
      <c r="AE102" s="203"/>
      <c r="AF102" s="203"/>
    </row>
    <row r="103" spans="3:32" ht="15" customHeight="1">
      <c r="C103" s="10"/>
      <c r="D103" s="26"/>
      <c r="E103" s="215"/>
      <c r="F103" s="215"/>
      <c r="G103" s="203"/>
      <c r="H103" s="203"/>
      <c r="I103" s="203"/>
      <c r="J103" s="203"/>
      <c r="K103" s="203"/>
      <c r="L103" s="203"/>
      <c r="M103" s="203"/>
      <c r="N103" s="203"/>
      <c r="O103" s="203"/>
      <c r="P103" s="203"/>
      <c r="Q103" s="203"/>
      <c r="R103" s="203"/>
      <c r="S103" s="203"/>
      <c r="T103" s="203"/>
      <c r="U103" s="203"/>
      <c r="V103" s="203"/>
      <c r="W103" s="203"/>
      <c r="X103" s="203"/>
      <c r="Y103" s="203"/>
      <c r="Z103" s="203"/>
      <c r="AA103" s="203"/>
      <c r="AB103" s="203"/>
      <c r="AC103" s="203"/>
      <c r="AD103" s="203"/>
      <c r="AE103" s="203"/>
      <c r="AF103" s="203"/>
    </row>
    <row r="104" spans="3:32" ht="15" customHeight="1">
      <c r="C104" s="10"/>
      <c r="D104" s="26"/>
      <c r="E104" s="215"/>
      <c r="F104" s="215"/>
      <c r="G104" s="203"/>
      <c r="H104" s="203"/>
      <c r="I104" s="203"/>
      <c r="J104" s="203"/>
      <c r="K104" s="203"/>
      <c r="L104" s="203"/>
      <c r="M104" s="203"/>
      <c r="N104" s="203"/>
      <c r="O104" s="203"/>
      <c r="P104" s="203"/>
      <c r="Q104" s="203"/>
      <c r="R104" s="203"/>
      <c r="S104" s="203"/>
      <c r="T104" s="203"/>
      <c r="U104" s="203"/>
      <c r="V104" s="203"/>
      <c r="W104" s="203"/>
      <c r="X104" s="203"/>
      <c r="Y104" s="203"/>
      <c r="Z104" s="203"/>
      <c r="AA104" s="203"/>
      <c r="AB104" s="203"/>
      <c r="AC104" s="203"/>
      <c r="AD104" s="203"/>
      <c r="AE104" s="203"/>
      <c r="AF104" s="203"/>
    </row>
    <row r="105" spans="3:32" ht="15" customHeight="1">
      <c r="C105" s="10"/>
      <c r="D105" s="26"/>
      <c r="E105" s="215"/>
      <c r="F105" s="215"/>
      <c r="G105" s="203"/>
      <c r="H105" s="203"/>
      <c r="I105" s="203"/>
      <c r="J105" s="203"/>
      <c r="K105" s="203"/>
      <c r="L105" s="203"/>
      <c r="M105" s="203"/>
      <c r="N105" s="203"/>
      <c r="O105" s="203"/>
      <c r="P105" s="203"/>
      <c r="Q105" s="203"/>
      <c r="R105" s="203"/>
      <c r="S105" s="203"/>
      <c r="T105" s="203"/>
      <c r="U105" s="203"/>
      <c r="V105" s="203"/>
      <c r="W105" s="203"/>
      <c r="X105" s="203"/>
      <c r="Y105" s="203"/>
      <c r="Z105" s="203"/>
      <c r="AA105" s="203"/>
      <c r="AB105" s="203"/>
      <c r="AC105" s="203"/>
      <c r="AD105" s="203"/>
      <c r="AE105" s="203"/>
      <c r="AF105" s="203"/>
    </row>
    <row r="106" spans="3:32" ht="15" customHeight="1">
      <c r="C106" s="10"/>
      <c r="D106" s="26"/>
      <c r="E106" s="215"/>
      <c r="F106" s="215"/>
      <c r="G106" s="203"/>
      <c r="H106" s="203"/>
      <c r="I106" s="203"/>
      <c r="J106" s="203"/>
      <c r="K106" s="203"/>
      <c r="L106" s="203"/>
      <c r="M106" s="203"/>
      <c r="N106" s="203"/>
      <c r="O106" s="203"/>
      <c r="P106" s="203"/>
      <c r="Q106" s="203"/>
      <c r="R106" s="203"/>
      <c r="S106" s="203"/>
      <c r="T106" s="203"/>
      <c r="U106" s="203"/>
      <c r="V106" s="203"/>
      <c r="W106" s="203"/>
      <c r="X106" s="203"/>
      <c r="Y106" s="203"/>
      <c r="Z106" s="203"/>
      <c r="AA106" s="203"/>
      <c r="AB106" s="203"/>
      <c r="AC106" s="203"/>
      <c r="AD106" s="203"/>
      <c r="AE106" s="203"/>
      <c r="AF106" s="203"/>
    </row>
    <row r="107" spans="3:32" ht="15" customHeight="1">
      <c r="C107" s="10"/>
      <c r="D107" s="26"/>
      <c r="E107" s="215"/>
      <c r="F107" s="215"/>
      <c r="G107" s="203"/>
      <c r="H107" s="203"/>
      <c r="I107" s="203"/>
      <c r="J107" s="203"/>
      <c r="K107" s="203"/>
      <c r="L107" s="203"/>
      <c r="M107" s="203"/>
      <c r="N107" s="203"/>
      <c r="O107" s="203"/>
      <c r="P107" s="203"/>
      <c r="Q107" s="203"/>
      <c r="R107" s="203"/>
      <c r="S107" s="203"/>
      <c r="T107" s="203"/>
      <c r="U107" s="203"/>
      <c r="V107" s="203"/>
      <c r="W107" s="203"/>
      <c r="X107" s="203"/>
      <c r="Y107" s="203"/>
      <c r="Z107" s="203"/>
      <c r="AA107" s="203"/>
      <c r="AB107" s="203"/>
      <c r="AC107" s="203"/>
      <c r="AD107" s="203"/>
      <c r="AE107" s="203"/>
      <c r="AF107" s="203"/>
    </row>
    <row r="108" spans="3:32" ht="15" customHeight="1">
      <c r="C108" s="10"/>
      <c r="D108" s="26"/>
      <c r="E108" s="215"/>
      <c r="F108" s="215"/>
      <c r="G108" s="203"/>
      <c r="H108" s="203"/>
      <c r="I108" s="203"/>
      <c r="J108" s="203"/>
      <c r="K108" s="203"/>
      <c r="L108" s="203"/>
      <c r="M108" s="203"/>
      <c r="N108" s="203"/>
      <c r="O108" s="203"/>
      <c r="P108" s="203"/>
      <c r="Q108" s="203"/>
      <c r="R108" s="203"/>
      <c r="S108" s="203"/>
      <c r="T108" s="203"/>
      <c r="U108" s="203"/>
      <c r="V108" s="203"/>
      <c r="W108" s="203"/>
      <c r="X108" s="203"/>
      <c r="Y108" s="203"/>
      <c r="Z108" s="203"/>
      <c r="AA108" s="203"/>
      <c r="AB108" s="203"/>
      <c r="AC108" s="203"/>
      <c r="AD108" s="203"/>
      <c r="AE108" s="203"/>
      <c r="AF108" s="203"/>
    </row>
    <row r="109" spans="3:32" ht="15" customHeight="1">
      <c r="C109" s="10"/>
      <c r="D109" s="26"/>
      <c r="E109" s="215"/>
      <c r="F109" s="215"/>
      <c r="G109" s="203"/>
      <c r="H109" s="203"/>
      <c r="I109" s="203"/>
      <c r="J109" s="203"/>
      <c r="K109" s="203"/>
      <c r="L109" s="203"/>
      <c r="M109" s="203"/>
      <c r="N109" s="203"/>
      <c r="O109" s="203"/>
      <c r="P109" s="203"/>
      <c r="Q109" s="203"/>
      <c r="R109" s="203"/>
      <c r="S109" s="203"/>
      <c r="T109" s="203"/>
      <c r="U109" s="203"/>
      <c r="V109" s="203"/>
      <c r="W109" s="203"/>
      <c r="X109" s="203"/>
      <c r="Y109" s="203"/>
      <c r="Z109" s="203"/>
      <c r="AA109" s="203"/>
      <c r="AB109" s="203"/>
      <c r="AC109" s="203"/>
      <c r="AD109" s="203"/>
      <c r="AE109" s="203"/>
      <c r="AF109" s="203"/>
    </row>
    <row r="110" spans="3:32" ht="15" customHeight="1">
      <c r="C110" s="10"/>
      <c r="D110" s="26"/>
      <c r="E110" s="215"/>
      <c r="F110" s="215"/>
      <c r="G110" s="203"/>
      <c r="H110" s="203"/>
      <c r="I110" s="203"/>
      <c r="J110" s="203"/>
      <c r="K110" s="203"/>
      <c r="L110" s="203"/>
      <c r="M110" s="203"/>
      <c r="N110" s="203"/>
      <c r="O110" s="203"/>
      <c r="P110" s="203"/>
      <c r="Q110" s="203"/>
      <c r="R110" s="203"/>
      <c r="S110" s="203"/>
      <c r="T110" s="203"/>
      <c r="U110" s="203"/>
      <c r="V110" s="203"/>
      <c r="W110" s="203"/>
      <c r="X110" s="203"/>
      <c r="Y110" s="203"/>
      <c r="Z110" s="203"/>
      <c r="AA110" s="203"/>
      <c r="AB110" s="203"/>
      <c r="AC110" s="203"/>
      <c r="AD110" s="203"/>
      <c r="AE110" s="203"/>
      <c r="AF110" s="203"/>
    </row>
    <row r="111" spans="3:32" ht="15" customHeight="1">
      <c r="C111" s="10"/>
      <c r="D111" s="26"/>
      <c r="E111" s="215"/>
      <c r="F111" s="215"/>
      <c r="G111" s="203"/>
      <c r="H111" s="203"/>
      <c r="I111" s="203"/>
      <c r="J111" s="203"/>
      <c r="K111" s="203"/>
      <c r="L111" s="203"/>
      <c r="M111" s="203"/>
      <c r="N111" s="203"/>
      <c r="O111" s="203"/>
      <c r="P111" s="203"/>
      <c r="Q111" s="203"/>
      <c r="R111" s="203"/>
      <c r="S111" s="203"/>
      <c r="T111" s="203"/>
      <c r="U111" s="203"/>
      <c r="V111" s="203"/>
      <c r="W111" s="203"/>
      <c r="X111" s="203"/>
      <c r="Y111" s="203"/>
      <c r="Z111" s="203"/>
      <c r="AA111" s="203"/>
      <c r="AB111" s="203"/>
      <c r="AC111" s="203"/>
      <c r="AD111" s="203"/>
      <c r="AE111" s="203"/>
      <c r="AF111" s="203"/>
    </row>
    <row r="112" spans="3:32" ht="15" customHeight="1">
      <c r="C112" s="10"/>
      <c r="D112" s="26"/>
      <c r="E112" s="215"/>
      <c r="F112" s="215"/>
      <c r="G112" s="203"/>
      <c r="H112" s="203"/>
      <c r="I112" s="203"/>
      <c r="J112" s="203"/>
      <c r="K112" s="203"/>
      <c r="L112" s="203"/>
      <c r="M112" s="203"/>
      <c r="N112" s="203"/>
      <c r="O112" s="203"/>
      <c r="P112" s="203"/>
      <c r="Q112" s="203"/>
      <c r="R112" s="203"/>
      <c r="S112" s="203"/>
      <c r="T112" s="203"/>
      <c r="U112" s="203"/>
      <c r="V112" s="203"/>
      <c r="W112" s="203"/>
      <c r="X112" s="203"/>
      <c r="Y112" s="203"/>
      <c r="Z112" s="203"/>
      <c r="AA112" s="203"/>
      <c r="AB112" s="203"/>
      <c r="AC112" s="203"/>
      <c r="AD112" s="203"/>
      <c r="AE112" s="203"/>
      <c r="AF112" s="203"/>
    </row>
    <row r="113" spans="2:32" ht="15" customHeight="1">
      <c r="C113" s="10"/>
      <c r="D113" s="26"/>
      <c r="E113" s="215"/>
      <c r="F113" s="215"/>
      <c r="G113" s="203"/>
      <c r="H113" s="203"/>
      <c r="I113" s="203"/>
      <c r="J113" s="203"/>
      <c r="K113" s="203"/>
      <c r="L113" s="203"/>
      <c r="M113" s="203"/>
      <c r="N113" s="203"/>
      <c r="O113" s="203"/>
      <c r="P113" s="203"/>
      <c r="Q113" s="203"/>
      <c r="R113" s="203"/>
      <c r="S113" s="203"/>
      <c r="T113" s="203"/>
      <c r="U113" s="203"/>
      <c r="V113" s="203"/>
      <c r="W113" s="203"/>
      <c r="X113" s="203"/>
      <c r="Y113" s="203"/>
      <c r="Z113" s="203"/>
      <c r="AA113" s="203"/>
      <c r="AB113" s="203"/>
      <c r="AC113" s="203"/>
      <c r="AD113" s="203"/>
      <c r="AE113" s="203"/>
      <c r="AF113" s="203"/>
    </row>
    <row r="114" spans="2:32" ht="15" customHeight="1">
      <c r="C114" s="10"/>
      <c r="D114" s="26"/>
      <c r="E114" s="215"/>
      <c r="F114" s="215"/>
      <c r="G114" s="203"/>
      <c r="H114" s="203"/>
      <c r="I114" s="203"/>
      <c r="J114" s="203"/>
      <c r="K114" s="203"/>
      <c r="L114" s="203"/>
      <c r="M114" s="203"/>
      <c r="N114" s="203"/>
      <c r="O114" s="203"/>
      <c r="P114" s="203"/>
      <c r="Q114" s="203"/>
      <c r="R114" s="203"/>
      <c r="S114" s="203"/>
      <c r="T114" s="203"/>
      <c r="U114" s="203"/>
      <c r="V114" s="203"/>
      <c r="W114" s="203"/>
      <c r="X114" s="203"/>
      <c r="Y114" s="203"/>
      <c r="Z114" s="203"/>
      <c r="AA114" s="203"/>
      <c r="AB114" s="203"/>
      <c r="AC114" s="203"/>
      <c r="AD114" s="203"/>
      <c r="AE114" s="203"/>
      <c r="AF114" s="203"/>
    </row>
    <row r="115" spans="2:32" ht="15" customHeight="1">
      <c r="C115" s="10"/>
      <c r="D115" s="26"/>
      <c r="E115" s="215"/>
      <c r="F115" s="215"/>
      <c r="G115" s="203"/>
      <c r="H115" s="203"/>
      <c r="I115" s="203"/>
      <c r="J115" s="203"/>
      <c r="K115" s="203"/>
      <c r="L115" s="203"/>
      <c r="M115" s="203"/>
      <c r="N115" s="203"/>
      <c r="O115" s="203"/>
      <c r="P115" s="203"/>
      <c r="Q115" s="203"/>
      <c r="R115" s="203"/>
      <c r="S115" s="203"/>
      <c r="T115" s="203"/>
      <c r="U115" s="203"/>
      <c r="V115" s="203"/>
      <c r="W115" s="203"/>
      <c r="X115" s="203"/>
      <c r="Y115" s="203"/>
      <c r="Z115" s="203"/>
      <c r="AA115" s="203"/>
      <c r="AB115" s="203"/>
      <c r="AC115" s="203"/>
      <c r="AD115" s="203"/>
      <c r="AE115" s="203"/>
      <c r="AF115" s="203"/>
    </row>
    <row r="116" spans="2:32" ht="15" customHeight="1">
      <c r="C116" s="10"/>
    </row>
    <row r="117" spans="2:32" ht="15" customHeight="1">
      <c r="B117" s="315"/>
      <c r="C117" s="10"/>
      <c r="D117" s="26"/>
      <c r="E117" s="215"/>
      <c r="F117" s="215"/>
      <c r="G117" s="203"/>
      <c r="H117" s="203"/>
      <c r="I117" s="203"/>
      <c r="J117" s="203"/>
      <c r="K117" s="203"/>
      <c r="L117" s="203"/>
      <c r="M117" s="203"/>
      <c r="N117" s="203"/>
      <c r="O117" s="203"/>
      <c r="P117" s="203"/>
      <c r="Q117" s="203"/>
      <c r="R117" s="203"/>
      <c r="S117" s="203"/>
      <c r="T117" s="203"/>
      <c r="U117" s="203"/>
      <c r="V117" s="203"/>
      <c r="W117" s="203"/>
      <c r="X117" s="203"/>
      <c r="Y117" s="203"/>
      <c r="Z117" s="203"/>
      <c r="AA117" s="203"/>
      <c r="AB117" s="203"/>
      <c r="AC117" s="203"/>
      <c r="AD117" s="203"/>
      <c r="AE117" s="203"/>
      <c r="AF117" s="203"/>
    </row>
    <row r="118" spans="2:32" ht="15" customHeight="1">
      <c r="C118" s="10"/>
      <c r="D118" s="26"/>
      <c r="E118" s="215"/>
      <c r="F118" s="215"/>
      <c r="G118" s="203"/>
      <c r="H118" s="203"/>
      <c r="I118" s="203"/>
      <c r="J118" s="203"/>
      <c r="K118" s="203"/>
      <c r="L118" s="203"/>
      <c r="M118" s="203"/>
      <c r="N118" s="203"/>
      <c r="O118" s="203"/>
      <c r="P118" s="203"/>
      <c r="Q118" s="203"/>
      <c r="R118" s="203"/>
      <c r="S118" s="203"/>
      <c r="T118" s="203"/>
      <c r="U118" s="203"/>
      <c r="V118" s="203"/>
      <c r="W118" s="203"/>
      <c r="X118" s="203"/>
      <c r="Y118" s="203"/>
      <c r="Z118" s="203"/>
      <c r="AA118" s="203"/>
      <c r="AB118" s="203"/>
      <c r="AC118" s="203"/>
      <c r="AD118" s="203"/>
      <c r="AE118" s="203"/>
      <c r="AF118" s="203"/>
    </row>
    <row r="119" spans="2:32" ht="15" customHeight="1">
      <c r="C119" s="10"/>
      <c r="D119" s="26"/>
      <c r="E119" s="215"/>
      <c r="F119" s="215"/>
      <c r="G119" s="203"/>
      <c r="H119" s="203"/>
      <c r="I119" s="203"/>
      <c r="J119" s="203"/>
      <c r="K119" s="203"/>
      <c r="L119" s="203"/>
      <c r="M119" s="203"/>
      <c r="N119" s="203"/>
      <c r="O119" s="203"/>
      <c r="P119" s="203"/>
      <c r="Q119" s="203"/>
      <c r="R119" s="203"/>
      <c r="S119" s="203"/>
      <c r="T119" s="203"/>
      <c r="U119" s="203"/>
      <c r="V119" s="203"/>
      <c r="W119" s="203"/>
      <c r="X119" s="203"/>
      <c r="Y119" s="203"/>
      <c r="Z119" s="203"/>
      <c r="AA119" s="203"/>
      <c r="AB119" s="203"/>
      <c r="AC119" s="203"/>
      <c r="AD119" s="203"/>
      <c r="AE119" s="203"/>
      <c r="AF119" s="203"/>
    </row>
    <row r="120" spans="2:32" ht="15" customHeight="1">
      <c r="C120" s="10"/>
      <c r="D120" s="26"/>
      <c r="E120" s="215"/>
      <c r="F120" s="215"/>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row>
    <row r="121" spans="2:32" ht="15" customHeight="1">
      <c r="C121" s="10"/>
      <c r="D121" s="26"/>
      <c r="E121" s="215"/>
      <c r="F121" s="215"/>
      <c r="G121" s="203"/>
      <c r="H121" s="203"/>
      <c r="I121" s="203"/>
      <c r="J121" s="203"/>
      <c r="K121" s="203"/>
      <c r="L121" s="203"/>
      <c r="M121" s="203"/>
      <c r="N121" s="203"/>
      <c r="O121" s="203"/>
      <c r="P121" s="203"/>
      <c r="Q121" s="203"/>
      <c r="R121" s="203"/>
      <c r="S121" s="203"/>
      <c r="T121" s="203"/>
      <c r="U121" s="203"/>
      <c r="V121" s="203"/>
      <c r="W121" s="203"/>
      <c r="X121" s="203"/>
      <c r="Y121" s="203"/>
      <c r="Z121" s="203"/>
      <c r="AA121" s="203"/>
      <c r="AB121" s="203"/>
      <c r="AC121" s="203"/>
      <c r="AD121" s="203"/>
      <c r="AE121" s="203"/>
      <c r="AF121" s="203"/>
    </row>
    <row r="122" spans="2:32" ht="15" customHeight="1">
      <c r="C122" s="10"/>
      <c r="D122" s="26"/>
      <c r="E122" s="215"/>
      <c r="F122" s="215"/>
      <c r="G122" s="203"/>
      <c r="H122" s="203"/>
      <c r="I122" s="203"/>
      <c r="J122" s="203"/>
      <c r="K122" s="203"/>
      <c r="L122" s="203"/>
      <c r="M122" s="203"/>
      <c r="N122" s="203"/>
      <c r="O122" s="203"/>
      <c r="P122" s="203"/>
      <c r="Q122" s="203"/>
      <c r="R122" s="203"/>
      <c r="S122" s="203"/>
      <c r="T122" s="203"/>
      <c r="U122" s="203"/>
      <c r="V122" s="203"/>
      <c r="W122" s="203"/>
      <c r="X122" s="203"/>
      <c r="Y122" s="203"/>
      <c r="Z122" s="203"/>
      <c r="AA122" s="203"/>
      <c r="AB122" s="203"/>
      <c r="AC122" s="203"/>
      <c r="AD122" s="203"/>
      <c r="AE122" s="203"/>
      <c r="AF122" s="203"/>
    </row>
    <row r="123" spans="2:32" ht="15" customHeight="1">
      <c r="C123" s="10"/>
      <c r="D123" s="26"/>
      <c r="E123" s="215"/>
      <c r="F123" s="215"/>
      <c r="G123" s="203"/>
      <c r="H123" s="203"/>
      <c r="I123" s="203"/>
      <c r="J123" s="203"/>
      <c r="K123" s="203"/>
      <c r="L123" s="203"/>
      <c r="M123" s="203"/>
      <c r="N123" s="203"/>
      <c r="O123" s="203"/>
      <c r="P123" s="203"/>
      <c r="Q123" s="203"/>
      <c r="R123" s="203"/>
      <c r="S123" s="203"/>
      <c r="T123" s="203"/>
      <c r="U123" s="203"/>
      <c r="V123" s="203"/>
      <c r="W123" s="203"/>
      <c r="X123" s="203"/>
      <c r="Y123" s="203"/>
      <c r="Z123" s="203"/>
      <c r="AA123" s="203"/>
      <c r="AB123" s="203"/>
      <c r="AC123" s="203"/>
      <c r="AD123" s="203"/>
      <c r="AE123" s="203"/>
      <c r="AF123" s="203"/>
    </row>
    <row r="124" spans="2:32" ht="15" customHeight="1">
      <c r="C124" s="10"/>
      <c r="D124" s="26"/>
      <c r="E124" s="215"/>
      <c r="F124" s="215"/>
      <c r="G124" s="203"/>
      <c r="H124" s="203"/>
      <c r="I124" s="203"/>
      <c r="J124" s="203"/>
      <c r="K124" s="203"/>
      <c r="L124" s="203"/>
      <c r="M124" s="203"/>
      <c r="N124" s="203"/>
      <c r="O124" s="203"/>
      <c r="P124" s="203"/>
      <c r="Q124" s="203"/>
      <c r="R124" s="203"/>
      <c r="S124" s="203"/>
      <c r="T124" s="203"/>
      <c r="U124" s="203"/>
      <c r="V124" s="203"/>
      <c r="W124" s="203"/>
      <c r="X124" s="203"/>
      <c r="Y124" s="203"/>
      <c r="Z124" s="203"/>
      <c r="AA124" s="203"/>
      <c r="AB124" s="203"/>
      <c r="AC124" s="203"/>
      <c r="AD124" s="203"/>
      <c r="AE124" s="203"/>
      <c r="AF124" s="203"/>
    </row>
    <row r="125" spans="2:32" ht="15" customHeight="1">
      <c r="C125" s="10"/>
      <c r="D125" s="26"/>
      <c r="E125" s="215"/>
      <c r="F125" s="215"/>
      <c r="G125" s="203"/>
      <c r="H125" s="203"/>
      <c r="I125" s="203"/>
      <c r="J125" s="203"/>
      <c r="K125" s="203"/>
      <c r="L125" s="203"/>
      <c r="M125" s="203"/>
      <c r="N125" s="203"/>
      <c r="O125" s="203"/>
      <c r="P125" s="203"/>
      <c r="Q125" s="203"/>
      <c r="R125" s="203"/>
      <c r="S125" s="203"/>
      <c r="T125" s="203"/>
      <c r="U125" s="203"/>
      <c r="V125" s="203"/>
      <c r="W125" s="203"/>
      <c r="X125" s="203"/>
      <c r="Y125" s="203"/>
      <c r="Z125" s="203"/>
      <c r="AA125" s="203"/>
      <c r="AB125" s="203"/>
      <c r="AC125" s="203"/>
      <c r="AD125" s="203"/>
      <c r="AE125" s="203"/>
      <c r="AF125" s="203"/>
    </row>
    <row r="126" spans="2:32" ht="15" customHeight="1">
      <c r="C126" s="10"/>
      <c r="D126" s="26"/>
      <c r="E126" s="215"/>
      <c r="F126" s="215"/>
      <c r="G126" s="203"/>
      <c r="H126" s="203"/>
      <c r="I126" s="203"/>
      <c r="J126" s="203"/>
      <c r="K126" s="203"/>
      <c r="L126" s="203"/>
      <c r="M126" s="203"/>
      <c r="N126" s="203"/>
      <c r="O126" s="203"/>
      <c r="P126" s="203"/>
      <c r="Q126" s="203"/>
      <c r="R126" s="203"/>
      <c r="S126" s="203"/>
      <c r="T126" s="203"/>
      <c r="U126" s="203"/>
      <c r="V126" s="203"/>
      <c r="W126" s="203"/>
      <c r="X126" s="203"/>
      <c r="Y126" s="203"/>
      <c r="Z126" s="203"/>
      <c r="AA126" s="203"/>
      <c r="AB126" s="203"/>
      <c r="AC126" s="203"/>
      <c r="AD126" s="203"/>
      <c r="AE126" s="203"/>
      <c r="AF126" s="203"/>
    </row>
    <row r="127" spans="2:32" ht="15" customHeight="1">
      <c r="C127" s="10"/>
      <c r="D127" s="26"/>
      <c r="E127" s="215"/>
      <c r="F127" s="215"/>
      <c r="G127" s="203"/>
      <c r="H127" s="203"/>
      <c r="I127" s="203"/>
      <c r="J127" s="203"/>
      <c r="K127" s="203"/>
      <c r="L127" s="203"/>
      <c r="M127" s="203"/>
      <c r="N127" s="203"/>
      <c r="O127" s="203"/>
      <c r="P127" s="203"/>
      <c r="Q127" s="203"/>
      <c r="R127" s="203"/>
      <c r="S127" s="203"/>
      <c r="T127" s="203"/>
      <c r="U127" s="203"/>
      <c r="V127" s="203"/>
      <c r="W127" s="203"/>
      <c r="X127" s="203"/>
      <c r="Y127" s="203"/>
      <c r="Z127" s="203"/>
      <c r="AA127" s="203"/>
      <c r="AB127" s="203"/>
      <c r="AC127" s="203"/>
      <c r="AD127" s="203"/>
      <c r="AE127" s="203"/>
      <c r="AF127" s="203"/>
    </row>
    <row r="128" spans="2:32" ht="15" customHeight="1">
      <c r="C128" s="10"/>
      <c r="D128" s="26"/>
      <c r="E128" s="215"/>
      <c r="F128" s="215"/>
      <c r="G128" s="203"/>
      <c r="H128" s="203"/>
      <c r="I128" s="203"/>
      <c r="J128" s="203"/>
      <c r="K128" s="203"/>
      <c r="L128" s="203"/>
      <c r="M128" s="203"/>
      <c r="N128" s="203"/>
      <c r="O128" s="203"/>
      <c r="P128" s="203"/>
      <c r="Q128" s="203"/>
      <c r="R128" s="203"/>
      <c r="S128" s="203"/>
      <c r="T128" s="203"/>
      <c r="U128" s="203"/>
      <c r="V128" s="203"/>
      <c r="W128" s="203"/>
      <c r="X128" s="203"/>
      <c r="Y128" s="203"/>
      <c r="Z128" s="203"/>
      <c r="AA128" s="203"/>
      <c r="AB128" s="203"/>
      <c r="AC128" s="203"/>
      <c r="AD128" s="203"/>
      <c r="AE128" s="203"/>
      <c r="AF128" s="203"/>
    </row>
    <row r="129" spans="2:32" ht="15" customHeight="1">
      <c r="C129" s="10"/>
      <c r="D129" s="26"/>
      <c r="E129" s="215"/>
      <c r="F129" s="215"/>
      <c r="G129" s="203"/>
      <c r="H129" s="203"/>
      <c r="I129" s="203"/>
      <c r="J129" s="203"/>
      <c r="K129" s="203"/>
      <c r="L129" s="203"/>
      <c r="M129" s="203"/>
      <c r="N129" s="203"/>
      <c r="O129" s="203"/>
      <c r="P129" s="203"/>
      <c r="Q129" s="203"/>
      <c r="R129" s="203"/>
      <c r="S129" s="203"/>
      <c r="T129" s="203"/>
      <c r="U129" s="203"/>
      <c r="V129" s="203"/>
      <c r="W129" s="203"/>
      <c r="X129" s="203"/>
      <c r="Y129" s="203"/>
      <c r="Z129" s="203"/>
      <c r="AA129" s="203"/>
      <c r="AB129" s="203"/>
      <c r="AC129" s="203"/>
      <c r="AD129" s="203"/>
      <c r="AE129" s="203"/>
      <c r="AF129" s="203"/>
    </row>
    <row r="130" spans="2:32" ht="15" customHeight="1">
      <c r="C130" s="10"/>
      <c r="D130" s="26"/>
      <c r="E130" s="215"/>
      <c r="F130" s="215"/>
      <c r="G130" s="203"/>
      <c r="H130" s="203"/>
      <c r="I130" s="203"/>
      <c r="J130" s="203"/>
      <c r="K130" s="203"/>
      <c r="L130" s="203"/>
      <c r="M130" s="203"/>
      <c r="N130" s="203"/>
      <c r="O130" s="203"/>
      <c r="P130" s="203"/>
      <c r="Q130" s="203"/>
      <c r="R130" s="203"/>
      <c r="S130" s="203"/>
      <c r="T130" s="203"/>
      <c r="U130" s="203"/>
      <c r="V130" s="203"/>
      <c r="W130" s="203"/>
      <c r="X130" s="203"/>
      <c r="Y130" s="203"/>
      <c r="Z130" s="203"/>
      <c r="AA130" s="203"/>
      <c r="AB130" s="203"/>
      <c r="AC130" s="203"/>
      <c r="AD130" s="203"/>
      <c r="AE130" s="203"/>
      <c r="AF130" s="203"/>
    </row>
    <row r="131" spans="2:32" ht="15" customHeight="1">
      <c r="C131" s="10"/>
      <c r="D131" s="26"/>
      <c r="E131" s="215"/>
      <c r="F131" s="215"/>
      <c r="G131" s="203"/>
      <c r="H131" s="203"/>
      <c r="I131" s="203"/>
      <c r="J131" s="203"/>
      <c r="K131" s="203"/>
      <c r="L131" s="203"/>
      <c r="M131" s="203"/>
      <c r="N131" s="203"/>
      <c r="O131" s="203"/>
      <c r="P131" s="203"/>
      <c r="Q131" s="203"/>
      <c r="R131" s="203"/>
      <c r="S131" s="203"/>
      <c r="T131" s="203"/>
      <c r="U131" s="203"/>
      <c r="V131" s="203"/>
      <c r="W131" s="203"/>
      <c r="X131" s="203"/>
      <c r="Y131" s="203"/>
      <c r="Z131" s="203"/>
      <c r="AA131" s="203"/>
      <c r="AB131" s="203"/>
      <c r="AC131" s="203"/>
      <c r="AD131" s="203"/>
      <c r="AE131" s="203"/>
      <c r="AF131" s="203"/>
    </row>
    <row r="132" spans="2:32" ht="15" customHeight="1">
      <c r="C132" s="10"/>
      <c r="D132" s="26"/>
      <c r="E132" s="215"/>
      <c r="F132" s="215"/>
      <c r="G132" s="203"/>
      <c r="H132" s="203"/>
      <c r="I132" s="203"/>
      <c r="J132" s="203"/>
      <c r="K132" s="203"/>
      <c r="L132" s="203"/>
      <c r="M132" s="203"/>
      <c r="N132" s="203"/>
      <c r="O132" s="203"/>
      <c r="P132" s="203"/>
      <c r="Q132" s="203"/>
      <c r="R132" s="203"/>
      <c r="S132" s="203"/>
      <c r="T132" s="203"/>
      <c r="U132" s="203"/>
      <c r="V132" s="203"/>
      <c r="W132" s="203"/>
      <c r="X132" s="203"/>
      <c r="Y132" s="203"/>
      <c r="Z132" s="203"/>
      <c r="AA132" s="203"/>
      <c r="AB132" s="203"/>
      <c r="AC132" s="203"/>
      <c r="AD132" s="203"/>
      <c r="AE132" s="203"/>
      <c r="AF132" s="203"/>
    </row>
    <row r="133" spans="2:32" ht="15" customHeight="1">
      <c r="C133" s="10"/>
      <c r="D133" s="26"/>
      <c r="E133" s="215"/>
      <c r="F133" s="215"/>
      <c r="G133" s="203"/>
      <c r="H133" s="203"/>
      <c r="I133" s="203"/>
      <c r="J133" s="203"/>
      <c r="K133" s="203"/>
      <c r="L133" s="203"/>
      <c r="M133" s="203"/>
      <c r="N133" s="203"/>
      <c r="O133" s="203"/>
      <c r="P133" s="203"/>
      <c r="Q133" s="203"/>
      <c r="R133" s="203"/>
      <c r="S133" s="203"/>
      <c r="T133" s="203"/>
      <c r="U133" s="203"/>
      <c r="V133" s="203"/>
      <c r="W133" s="203"/>
      <c r="X133" s="203"/>
      <c r="Y133" s="203"/>
      <c r="Z133" s="203"/>
      <c r="AA133" s="203"/>
      <c r="AB133" s="203"/>
      <c r="AC133" s="203"/>
      <c r="AD133" s="203"/>
      <c r="AE133" s="203"/>
      <c r="AF133" s="203"/>
    </row>
    <row r="134" spans="2:32" ht="15" customHeight="1">
      <c r="C134" s="10"/>
      <c r="D134" s="26"/>
      <c r="E134" s="215"/>
      <c r="F134" s="215"/>
      <c r="G134" s="203"/>
      <c r="H134" s="203"/>
      <c r="I134" s="203"/>
      <c r="J134" s="203"/>
      <c r="K134" s="203"/>
      <c r="L134" s="203"/>
      <c r="M134" s="203"/>
      <c r="N134" s="203"/>
      <c r="O134" s="203"/>
      <c r="P134" s="203"/>
      <c r="Q134" s="203"/>
      <c r="R134" s="203"/>
      <c r="S134" s="203"/>
      <c r="T134" s="203"/>
      <c r="U134" s="203"/>
      <c r="V134" s="203"/>
      <c r="W134" s="203"/>
      <c r="X134" s="203"/>
      <c r="Y134" s="203"/>
      <c r="Z134" s="203"/>
      <c r="AA134" s="203"/>
      <c r="AB134" s="203"/>
      <c r="AC134" s="203"/>
      <c r="AD134" s="203"/>
      <c r="AE134" s="203"/>
      <c r="AF134" s="203"/>
    </row>
    <row r="135" spans="2:32" ht="15" customHeight="1">
      <c r="C135" s="10"/>
      <c r="D135" s="26"/>
      <c r="E135" s="215"/>
      <c r="F135" s="215"/>
      <c r="G135" s="203"/>
      <c r="H135" s="203"/>
      <c r="I135" s="203"/>
      <c r="J135" s="203"/>
      <c r="K135" s="203"/>
      <c r="L135" s="203"/>
      <c r="M135" s="203"/>
      <c r="N135" s="203"/>
      <c r="O135" s="203"/>
      <c r="P135" s="203"/>
      <c r="Q135" s="203"/>
      <c r="R135" s="203"/>
      <c r="S135" s="203"/>
      <c r="T135" s="203"/>
      <c r="U135" s="203"/>
      <c r="V135" s="203"/>
      <c r="W135" s="203"/>
      <c r="X135" s="203"/>
      <c r="Y135" s="203"/>
      <c r="Z135" s="203"/>
      <c r="AA135" s="203"/>
      <c r="AB135" s="203"/>
      <c r="AC135" s="203"/>
      <c r="AD135" s="203"/>
      <c r="AE135" s="203"/>
      <c r="AF135" s="203"/>
    </row>
    <row r="136" spans="2:32" ht="15" customHeight="1">
      <c r="C136" s="10"/>
      <c r="D136" s="26"/>
      <c r="E136" s="215"/>
      <c r="F136" s="215"/>
      <c r="G136" s="203"/>
      <c r="H136" s="203"/>
      <c r="I136" s="203"/>
      <c r="J136" s="203"/>
      <c r="K136" s="203"/>
      <c r="L136" s="203"/>
      <c r="M136" s="203"/>
      <c r="N136" s="203"/>
      <c r="O136" s="203"/>
      <c r="P136" s="203"/>
      <c r="Q136" s="203"/>
      <c r="R136" s="203"/>
      <c r="S136" s="203"/>
      <c r="T136" s="203"/>
      <c r="U136" s="203"/>
      <c r="V136" s="203"/>
      <c r="W136" s="203"/>
      <c r="X136" s="203"/>
      <c r="Y136" s="203"/>
      <c r="Z136" s="203"/>
      <c r="AA136" s="203"/>
      <c r="AB136" s="203"/>
      <c r="AC136" s="203"/>
      <c r="AD136" s="203"/>
      <c r="AE136" s="203"/>
      <c r="AF136" s="203"/>
    </row>
    <row r="137" spans="2:32" ht="15" customHeight="1">
      <c r="C137" s="10"/>
      <c r="D137" s="26"/>
      <c r="E137" s="215"/>
      <c r="F137" s="215"/>
      <c r="G137" s="203"/>
      <c r="H137" s="203"/>
      <c r="I137" s="203"/>
      <c r="J137" s="203"/>
      <c r="K137" s="203"/>
      <c r="L137" s="203"/>
      <c r="M137" s="203"/>
      <c r="N137" s="203"/>
      <c r="O137" s="203"/>
      <c r="P137" s="203"/>
      <c r="Q137" s="203"/>
      <c r="R137" s="203"/>
      <c r="S137" s="203"/>
      <c r="T137" s="203"/>
      <c r="U137" s="203"/>
      <c r="V137" s="203"/>
      <c r="W137" s="203"/>
      <c r="X137" s="203"/>
      <c r="Y137" s="203"/>
      <c r="Z137" s="203"/>
      <c r="AA137" s="203"/>
      <c r="AB137" s="203"/>
      <c r="AC137" s="203"/>
      <c r="AD137" s="203"/>
      <c r="AE137" s="203"/>
      <c r="AF137" s="203"/>
    </row>
    <row r="138" spans="2:32" ht="15" customHeight="1">
      <c r="C138" s="10"/>
      <c r="D138" s="26"/>
      <c r="E138" s="215"/>
      <c r="F138" s="215"/>
      <c r="G138" s="203"/>
      <c r="H138" s="203"/>
      <c r="I138" s="203"/>
      <c r="J138" s="203"/>
      <c r="K138" s="203"/>
      <c r="L138" s="203"/>
      <c r="M138" s="203"/>
      <c r="N138" s="203"/>
      <c r="O138" s="203"/>
      <c r="P138" s="203"/>
      <c r="Q138" s="203"/>
      <c r="R138" s="203"/>
      <c r="S138" s="203"/>
      <c r="T138" s="203"/>
      <c r="U138" s="203"/>
      <c r="V138" s="203"/>
      <c r="W138" s="203"/>
      <c r="X138" s="203"/>
      <c r="Y138" s="203"/>
      <c r="Z138" s="203"/>
      <c r="AA138" s="203"/>
      <c r="AB138" s="203"/>
      <c r="AC138" s="203"/>
      <c r="AD138" s="203"/>
      <c r="AE138" s="203"/>
      <c r="AF138" s="203"/>
    </row>
    <row r="139" spans="2:32" ht="15" customHeight="1">
      <c r="C139" s="10"/>
      <c r="D139" s="26"/>
      <c r="E139" s="215"/>
      <c r="F139" s="215"/>
      <c r="G139" s="203"/>
      <c r="H139" s="203"/>
      <c r="I139" s="203"/>
      <c r="J139" s="203"/>
      <c r="K139" s="203"/>
      <c r="L139" s="203"/>
      <c r="M139" s="203"/>
      <c r="N139" s="203"/>
      <c r="O139" s="203"/>
      <c r="P139" s="203"/>
      <c r="Q139" s="203"/>
      <c r="R139" s="203"/>
      <c r="S139" s="203"/>
      <c r="T139" s="203"/>
      <c r="U139" s="203"/>
      <c r="V139" s="203"/>
      <c r="W139" s="203"/>
      <c r="X139" s="203"/>
      <c r="Y139" s="203"/>
      <c r="Z139" s="203"/>
      <c r="AA139" s="203"/>
      <c r="AB139" s="203"/>
      <c r="AC139" s="203"/>
      <c r="AD139" s="203"/>
      <c r="AE139" s="203"/>
      <c r="AF139" s="203"/>
    </row>
    <row r="140" spans="2:32" ht="15" customHeight="1">
      <c r="C140" s="10"/>
      <c r="D140" s="26"/>
      <c r="E140" s="215"/>
      <c r="F140" s="215"/>
      <c r="G140" s="203"/>
      <c r="H140" s="203"/>
      <c r="I140" s="203"/>
      <c r="J140" s="203"/>
      <c r="K140" s="203"/>
      <c r="L140" s="203"/>
      <c r="M140" s="203"/>
      <c r="N140" s="203"/>
      <c r="O140" s="203"/>
      <c r="P140" s="203"/>
      <c r="Q140" s="203"/>
      <c r="R140" s="203"/>
      <c r="S140" s="203"/>
      <c r="T140" s="203"/>
      <c r="U140" s="203"/>
      <c r="V140" s="203"/>
      <c r="W140" s="203"/>
      <c r="X140" s="203"/>
      <c r="Y140" s="203"/>
      <c r="Z140" s="203"/>
      <c r="AA140" s="203"/>
      <c r="AB140" s="203"/>
      <c r="AC140" s="203"/>
      <c r="AD140" s="203"/>
      <c r="AE140" s="203"/>
      <c r="AF140" s="203"/>
    </row>
    <row r="141" spans="2:32" ht="15" customHeight="1">
      <c r="C141" s="10"/>
      <c r="D141" s="26"/>
      <c r="E141" s="215"/>
      <c r="F141" s="215"/>
      <c r="G141" s="203"/>
      <c r="H141" s="203"/>
      <c r="I141" s="203"/>
      <c r="J141" s="203"/>
      <c r="K141" s="203"/>
      <c r="L141" s="203"/>
      <c r="M141" s="203"/>
      <c r="N141" s="203"/>
      <c r="O141" s="203"/>
      <c r="P141" s="203"/>
      <c r="Q141" s="203"/>
      <c r="R141" s="203"/>
      <c r="S141" s="203"/>
      <c r="T141" s="203"/>
      <c r="U141" s="203"/>
      <c r="V141" s="203"/>
      <c r="W141" s="203"/>
      <c r="X141" s="203"/>
      <c r="Y141" s="203"/>
      <c r="Z141" s="203"/>
      <c r="AA141" s="203"/>
      <c r="AB141" s="203"/>
      <c r="AC141" s="203"/>
      <c r="AD141" s="203"/>
      <c r="AE141" s="203"/>
      <c r="AF141" s="203"/>
    </row>
    <row r="142" spans="2:32" ht="15" customHeight="1">
      <c r="C142" s="10"/>
    </row>
    <row r="143" spans="2:32" ht="15" customHeight="1">
      <c r="B143" s="315"/>
      <c r="C143" s="10"/>
      <c r="D143" s="26"/>
      <c r="E143" s="215"/>
      <c r="F143" s="215"/>
      <c r="G143" s="203"/>
      <c r="H143" s="203"/>
      <c r="I143" s="203"/>
      <c r="J143" s="203"/>
      <c r="K143" s="203"/>
      <c r="L143" s="203"/>
      <c r="M143" s="203"/>
      <c r="N143" s="203"/>
      <c r="O143" s="203"/>
      <c r="P143" s="203"/>
      <c r="Q143" s="203"/>
      <c r="R143" s="203"/>
      <c r="S143" s="203"/>
      <c r="T143" s="203"/>
      <c r="U143" s="203"/>
      <c r="V143" s="203"/>
      <c r="W143" s="203"/>
      <c r="X143" s="203"/>
      <c r="Y143" s="203"/>
      <c r="Z143" s="203"/>
      <c r="AA143" s="203"/>
      <c r="AB143" s="203"/>
      <c r="AC143" s="203"/>
      <c r="AD143" s="203"/>
      <c r="AE143" s="203"/>
      <c r="AF143" s="203"/>
    </row>
    <row r="144" spans="2:32" ht="15" customHeight="1">
      <c r="C144" s="10"/>
      <c r="D144" s="26"/>
      <c r="E144" s="215"/>
      <c r="F144" s="215"/>
      <c r="G144" s="203"/>
      <c r="H144" s="203"/>
      <c r="I144" s="203"/>
      <c r="J144" s="203"/>
      <c r="K144" s="203"/>
      <c r="L144" s="203"/>
      <c r="M144" s="203"/>
      <c r="N144" s="203"/>
      <c r="O144" s="203"/>
      <c r="P144" s="203"/>
      <c r="Q144" s="203"/>
      <c r="R144" s="203"/>
      <c r="S144" s="203"/>
      <c r="T144" s="203"/>
      <c r="U144" s="203"/>
      <c r="V144" s="203"/>
      <c r="W144" s="203"/>
      <c r="X144" s="203"/>
      <c r="Y144" s="203"/>
      <c r="Z144" s="203"/>
      <c r="AA144" s="203"/>
      <c r="AB144" s="203"/>
      <c r="AC144" s="203"/>
      <c r="AD144" s="203"/>
      <c r="AE144" s="203"/>
      <c r="AF144" s="203"/>
    </row>
    <row r="145" spans="3:32" ht="15" customHeight="1">
      <c r="C145" s="10"/>
      <c r="D145" s="26"/>
      <c r="E145" s="215"/>
      <c r="F145" s="215"/>
      <c r="G145" s="203"/>
      <c r="H145" s="203"/>
      <c r="I145" s="203"/>
      <c r="J145" s="203"/>
      <c r="K145" s="203"/>
      <c r="L145" s="203"/>
      <c r="M145" s="203"/>
      <c r="N145" s="203"/>
      <c r="O145" s="203"/>
      <c r="P145" s="203"/>
      <c r="Q145" s="203"/>
      <c r="R145" s="203"/>
      <c r="S145" s="203"/>
      <c r="T145" s="203"/>
      <c r="U145" s="203"/>
      <c r="V145" s="203"/>
      <c r="W145" s="203"/>
      <c r="X145" s="203"/>
      <c r="Y145" s="203"/>
      <c r="Z145" s="203"/>
      <c r="AA145" s="203"/>
      <c r="AB145" s="203"/>
      <c r="AC145" s="203"/>
      <c r="AD145" s="203"/>
      <c r="AE145" s="203"/>
      <c r="AF145" s="203"/>
    </row>
    <row r="146" spans="3:32" ht="15" customHeight="1">
      <c r="C146" s="10"/>
      <c r="D146" s="26"/>
      <c r="E146" s="215"/>
      <c r="F146" s="215"/>
      <c r="G146" s="203"/>
      <c r="H146" s="203"/>
      <c r="I146" s="203"/>
      <c r="J146" s="203"/>
      <c r="K146" s="203"/>
      <c r="L146" s="203"/>
      <c r="M146" s="203"/>
      <c r="N146" s="203"/>
      <c r="O146" s="203"/>
      <c r="P146" s="203"/>
      <c r="Q146" s="203"/>
      <c r="R146" s="203"/>
      <c r="S146" s="203"/>
      <c r="T146" s="203"/>
      <c r="U146" s="203"/>
      <c r="V146" s="203"/>
      <c r="W146" s="203"/>
      <c r="X146" s="203"/>
      <c r="Y146" s="203"/>
      <c r="Z146" s="203"/>
      <c r="AA146" s="203"/>
      <c r="AB146" s="203"/>
      <c r="AC146" s="203"/>
      <c r="AD146" s="203"/>
      <c r="AE146" s="203"/>
      <c r="AF146" s="203"/>
    </row>
    <row r="147" spans="3:32" ht="15" customHeight="1">
      <c r="C147" s="10"/>
      <c r="D147" s="26"/>
      <c r="E147" s="215"/>
      <c r="F147" s="215"/>
      <c r="G147" s="203"/>
      <c r="H147" s="203"/>
      <c r="I147" s="203"/>
      <c r="J147" s="203"/>
      <c r="K147" s="203"/>
      <c r="L147" s="203"/>
      <c r="M147" s="203"/>
      <c r="N147" s="203"/>
      <c r="O147" s="203"/>
      <c r="P147" s="203"/>
      <c r="Q147" s="203"/>
      <c r="R147" s="203"/>
      <c r="S147" s="203"/>
      <c r="T147" s="203"/>
      <c r="U147" s="203"/>
      <c r="V147" s="203"/>
      <c r="W147" s="203"/>
      <c r="X147" s="203"/>
      <c r="Y147" s="203"/>
      <c r="Z147" s="203"/>
      <c r="AA147" s="203"/>
      <c r="AB147" s="203"/>
      <c r="AC147" s="203"/>
      <c r="AD147" s="203"/>
      <c r="AE147" s="203"/>
      <c r="AF147" s="203"/>
    </row>
    <row r="148" spans="3:32" ht="15" customHeight="1">
      <c r="C148" s="10"/>
      <c r="D148" s="26"/>
      <c r="E148" s="215"/>
      <c r="F148" s="215"/>
      <c r="G148" s="203"/>
      <c r="H148" s="203"/>
      <c r="I148" s="203"/>
      <c r="J148" s="203"/>
      <c r="K148" s="203"/>
      <c r="L148" s="203"/>
      <c r="M148" s="203"/>
      <c r="N148" s="203"/>
      <c r="O148" s="203"/>
      <c r="P148" s="203"/>
      <c r="Q148" s="203"/>
      <c r="R148" s="203"/>
      <c r="S148" s="203"/>
      <c r="T148" s="203"/>
      <c r="U148" s="203"/>
      <c r="V148" s="203"/>
      <c r="W148" s="203"/>
      <c r="X148" s="203"/>
      <c r="Y148" s="203"/>
      <c r="Z148" s="203"/>
      <c r="AA148" s="203"/>
      <c r="AB148" s="203"/>
      <c r="AC148" s="203"/>
      <c r="AD148" s="203"/>
      <c r="AE148" s="203"/>
      <c r="AF148" s="203"/>
    </row>
    <row r="149" spans="3:32" ht="15" customHeight="1">
      <c r="C149" s="10"/>
      <c r="D149" s="26"/>
      <c r="E149" s="215"/>
      <c r="F149" s="215"/>
      <c r="G149" s="203"/>
      <c r="H149" s="203"/>
      <c r="I149" s="203"/>
      <c r="J149" s="203"/>
      <c r="K149" s="203"/>
      <c r="L149" s="203"/>
      <c r="M149" s="203"/>
      <c r="N149" s="203"/>
      <c r="O149" s="203"/>
      <c r="P149" s="203"/>
      <c r="Q149" s="203"/>
      <c r="R149" s="203"/>
      <c r="S149" s="203"/>
      <c r="T149" s="203"/>
      <c r="U149" s="203"/>
      <c r="V149" s="203"/>
      <c r="W149" s="203"/>
      <c r="X149" s="203"/>
      <c r="Y149" s="203"/>
      <c r="Z149" s="203"/>
      <c r="AA149" s="203"/>
      <c r="AB149" s="203"/>
      <c r="AC149" s="203"/>
      <c r="AD149" s="203"/>
      <c r="AE149" s="203"/>
      <c r="AF149" s="203"/>
    </row>
    <row r="150" spans="3:32" ht="15" customHeight="1">
      <c r="C150" s="10"/>
      <c r="D150" s="26"/>
      <c r="E150" s="215"/>
      <c r="F150" s="215"/>
      <c r="G150" s="203"/>
      <c r="H150" s="203"/>
      <c r="I150" s="203"/>
      <c r="J150" s="203"/>
      <c r="K150" s="203"/>
      <c r="L150" s="203"/>
      <c r="M150" s="203"/>
      <c r="N150" s="203"/>
      <c r="O150" s="203"/>
      <c r="P150" s="203"/>
      <c r="Q150" s="203"/>
      <c r="R150" s="203"/>
      <c r="S150" s="203"/>
      <c r="T150" s="203"/>
      <c r="U150" s="203"/>
      <c r="V150" s="203"/>
      <c r="W150" s="203"/>
      <c r="X150" s="203"/>
      <c r="Y150" s="203"/>
      <c r="Z150" s="203"/>
      <c r="AA150" s="203"/>
      <c r="AB150" s="203"/>
      <c r="AC150" s="203"/>
      <c r="AD150" s="203"/>
      <c r="AE150" s="203"/>
      <c r="AF150" s="203"/>
    </row>
    <row r="151" spans="3:32" ht="15" customHeight="1">
      <c r="C151" s="10"/>
      <c r="D151" s="26"/>
      <c r="E151" s="215"/>
      <c r="F151" s="215"/>
      <c r="G151" s="203"/>
      <c r="H151" s="203"/>
      <c r="I151" s="203"/>
      <c r="J151" s="203"/>
      <c r="K151" s="203"/>
      <c r="L151" s="203"/>
      <c r="M151" s="203"/>
      <c r="N151" s="203"/>
      <c r="O151" s="203"/>
      <c r="P151" s="203"/>
      <c r="Q151" s="203"/>
      <c r="R151" s="203"/>
      <c r="S151" s="203"/>
      <c r="T151" s="203"/>
      <c r="U151" s="203"/>
      <c r="V151" s="203"/>
      <c r="W151" s="203"/>
      <c r="X151" s="203"/>
      <c r="Y151" s="203"/>
      <c r="Z151" s="203"/>
      <c r="AA151" s="203"/>
      <c r="AB151" s="203"/>
      <c r="AC151" s="203"/>
      <c r="AD151" s="203"/>
      <c r="AE151" s="203"/>
      <c r="AF151" s="203"/>
    </row>
    <row r="152" spans="3:32" ht="15" customHeight="1">
      <c r="C152" s="10"/>
      <c r="D152" s="26"/>
      <c r="E152" s="215"/>
      <c r="F152" s="215"/>
      <c r="G152" s="203"/>
      <c r="H152" s="203"/>
      <c r="I152" s="203"/>
      <c r="J152" s="203"/>
      <c r="K152" s="203"/>
      <c r="L152" s="203"/>
      <c r="M152" s="203"/>
      <c r="N152" s="203"/>
      <c r="O152" s="203"/>
      <c r="P152" s="203"/>
      <c r="Q152" s="203"/>
      <c r="R152" s="203"/>
      <c r="S152" s="203"/>
      <c r="T152" s="203"/>
      <c r="U152" s="203"/>
      <c r="V152" s="203"/>
      <c r="W152" s="203"/>
      <c r="X152" s="203"/>
      <c r="Y152" s="203"/>
      <c r="Z152" s="203"/>
      <c r="AA152" s="203"/>
      <c r="AB152" s="203"/>
      <c r="AC152" s="203"/>
      <c r="AD152" s="203"/>
      <c r="AE152" s="203"/>
      <c r="AF152" s="203"/>
    </row>
    <row r="153" spans="3:32" ht="15" customHeight="1">
      <c r="C153" s="10"/>
      <c r="D153" s="26"/>
      <c r="E153" s="215"/>
      <c r="F153" s="215"/>
      <c r="G153" s="203"/>
      <c r="H153" s="203"/>
      <c r="I153" s="203"/>
      <c r="J153" s="203"/>
      <c r="K153" s="203"/>
      <c r="L153" s="203"/>
      <c r="M153" s="203"/>
      <c r="N153" s="203"/>
      <c r="O153" s="203"/>
      <c r="P153" s="203"/>
      <c r="Q153" s="203"/>
      <c r="R153" s="203"/>
      <c r="S153" s="203"/>
      <c r="T153" s="203"/>
      <c r="U153" s="203"/>
      <c r="V153" s="203"/>
      <c r="W153" s="203"/>
      <c r="X153" s="203"/>
      <c r="Y153" s="203"/>
      <c r="Z153" s="203"/>
      <c r="AA153" s="203"/>
      <c r="AB153" s="203"/>
      <c r="AC153" s="203"/>
      <c r="AD153" s="203"/>
      <c r="AE153" s="203"/>
      <c r="AF153" s="203"/>
    </row>
    <row r="154" spans="3:32" ht="15" customHeight="1">
      <c r="C154" s="10"/>
      <c r="D154" s="26"/>
      <c r="E154" s="215"/>
      <c r="F154" s="215"/>
      <c r="G154" s="203"/>
      <c r="H154" s="203"/>
      <c r="I154" s="203"/>
      <c r="J154" s="203"/>
      <c r="K154" s="203"/>
      <c r="L154" s="203"/>
      <c r="M154" s="203"/>
      <c r="N154" s="203"/>
      <c r="O154" s="203"/>
      <c r="P154" s="203"/>
      <c r="Q154" s="203"/>
      <c r="R154" s="203"/>
      <c r="S154" s="203"/>
      <c r="T154" s="203"/>
      <c r="U154" s="203"/>
      <c r="V154" s="203"/>
      <c r="W154" s="203"/>
      <c r="X154" s="203"/>
      <c r="Y154" s="203"/>
      <c r="Z154" s="203"/>
      <c r="AA154" s="203"/>
      <c r="AB154" s="203"/>
      <c r="AC154" s="203"/>
      <c r="AD154" s="203"/>
      <c r="AE154" s="203"/>
      <c r="AF154" s="203"/>
    </row>
    <row r="155" spans="3:32" ht="15" customHeight="1">
      <c r="C155" s="10"/>
      <c r="D155" s="26"/>
      <c r="E155" s="215"/>
      <c r="F155" s="215"/>
      <c r="G155" s="203"/>
      <c r="H155" s="203"/>
      <c r="I155" s="203"/>
      <c r="J155" s="203"/>
      <c r="K155" s="203"/>
      <c r="L155" s="203"/>
      <c r="M155" s="203"/>
      <c r="N155" s="203"/>
      <c r="O155" s="203"/>
      <c r="P155" s="203"/>
      <c r="Q155" s="203"/>
      <c r="R155" s="203"/>
      <c r="S155" s="203"/>
      <c r="T155" s="203"/>
      <c r="U155" s="203"/>
      <c r="V155" s="203"/>
      <c r="W155" s="203"/>
      <c r="X155" s="203"/>
      <c r="Y155" s="203"/>
      <c r="Z155" s="203"/>
      <c r="AA155" s="203"/>
      <c r="AB155" s="203"/>
      <c r="AC155" s="203"/>
      <c r="AD155" s="203"/>
      <c r="AE155" s="203"/>
      <c r="AF155" s="203"/>
    </row>
    <row r="156" spans="3:32" ht="15" customHeight="1">
      <c r="C156" s="10"/>
      <c r="D156" s="26"/>
      <c r="E156" s="215"/>
      <c r="F156" s="215"/>
      <c r="G156" s="203"/>
      <c r="H156" s="203"/>
      <c r="I156" s="203"/>
      <c r="J156" s="203"/>
      <c r="K156" s="203"/>
      <c r="L156" s="203"/>
      <c r="M156" s="203"/>
      <c r="N156" s="203"/>
      <c r="O156" s="203"/>
      <c r="P156" s="203"/>
      <c r="Q156" s="203"/>
      <c r="R156" s="203"/>
      <c r="S156" s="203"/>
      <c r="T156" s="203"/>
      <c r="U156" s="203"/>
      <c r="V156" s="203"/>
      <c r="W156" s="203"/>
      <c r="X156" s="203"/>
      <c r="Y156" s="203"/>
      <c r="Z156" s="203"/>
      <c r="AA156" s="203"/>
      <c r="AB156" s="203"/>
      <c r="AC156" s="203"/>
      <c r="AD156" s="203"/>
      <c r="AE156" s="203"/>
      <c r="AF156" s="203"/>
    </row>
    <row r="157" spans="3:32" ht="15" customHeight="1">
      <c r="C157" s="10"/>
      <c r="D157" s="26"/>
      <c r="E157" s="215"/>
      <c r="F157" s="215"/>
      <c r="G157" s="203"/>
      <c r="H157" s="203"/>
      <c r="I157" s="203"/>
      <c r="J157" s="203"/>
      <c r="K157" s="203"/>
      <c r="L157" s="203"/>
      <c r="M157" s="203"/>
      <c r="N157" s="203"/>
      <c r="O157" s="203"/>
      <c r="P157" s="203"/>
      <c r="Q157" s="203"/>
      <c r="R157" s="203"/>
      <c r="S157" s="203"/>
      <c r="T157" s="203"/>
      <c r="U157" s="203"/>
      <c r="V157" s="203"/>
      <c r="W157" s="203"/>
      <c r="X157" s="203"/>
      <c r="Y157" s="203"/>
      <c r="Z157" s="203"/>
      <c r="AA157" s="203"/>
      <c r="AB157" s="203"/>
      <c r="AC157" s="203"/>
      <c r="AD157" s="203"/>
      <c r="AE157" s="203"/>
      <c r="AF157" s="203"/>
    </row>
    <row r="158" spans="3:32" ht="15" customHeight="1">
      <c r="C158" s="10"/>
      <c r="D158" s="26"/>
      <c r="E158" s="215"/>
      <c r="F158" s="215"/>
      <c r="G158" s="203"/>
      <c r="H158" s="203"/>
      <c r="I158" s="203"/>
      <c r="J158" s="203"/>
      <c r="K158" s="203"/>
      <c r="L158" s="203"/>
      <c r="M158" s="203"/>
      <c r="N158" s="203"/>
      <c r="O158" s="203"/>
      <c r="P158" s="203"/>
      <c r="Q158" s="203"/>
      <c r="R158" s="203"/>
      <c r="S158" s="203"/>
      <c r="T158" s="203"/>
      <c r="U158" s="203"/>
      <c r="V158" s="203"/>
      <c r="W158" s="203"/>
      <c r="X158" s="203"/>
      <c r="Y158" s="203"/>
      <c r="Z158" s="203"/>
      <c r="AA158" s="203"/>
      <c r="AB158" s="203"/>
      <c r="AC158" s="203"/>
      <c r="AD158" s="203"/>
      <c r="AE158" s="203"/>
      <c r="AF158" s="203"/>
    </row>
    <row r="159" spans="3:32" ht="15" customHeight="1">
      <c r="C159" s="10"/>
      <c r="D159" s="26"/>
      <c r="E159" s="215"/>
      <c r="F159" s="215"/>
      <c r="G159" s="203"/>
      <c r="H159" s="203"/>
      <c r="I159" s="203"/>
      <c r="J159" s="203"/>
      <c r="K159" s="203"/>
      <c r="L159" s="203"/>
      <c r="M159" s="203"/>
      <c r="N159" s="203"/>
      <c r="O159" s="203"/>
      <c r="P159" s="203"/>
      <c r="Q159" s="203"/>
      <c r="R159" s="203"/>
      <c r="S159" s="203"/>
      <c r="T159" s="203"/>
      <c r="U159" s="203"/>
      <c r="V159" s="203"/>
      <c r="W159" s="203"/>
      <c r="X159" s="203"/>
      <c r="Y159" s="203"/>
      <c r="Z159" s="203"/>
      <c r="AA159" s="203"/>
      <c r="AB159" s="203"/>
      <c r="AC159" s="203"/>
      <c r="AD159" s="203"/>
      <c r="AE159" s="203"/>
      <c r="AF159" s="203"/>
    </row>
    <row r="160" spans="3:32" ht="15" customHeight="1">
      <c r="C160" s="10"/>
      <c r="D160" s="26"/>
      <c r="E160" s="215"/>
      <c r="F160" s="215"/>
      <c r="G160" s="203"/>
      <c r="H160" s="203"/>
      <c r="I160" s="203"/>
      <c r="J160" s="203"/>
      <c r="K160" s="203"/>
      <c r="L160" s="203"/>
      <c r="M160" s="203"/>
      <c r="N160" s="203"/>
      <c r="O160" s="203"/>
      <c r="P160" s="203"/>
      <c r="Q160" s="203"/>
      <c r="R160" s="203"/>
      <c r="S160" s="203"/>
      <c r="T160" s="203"/>
      <c r="U160" s="203"/>
      <c r="V160" s="203"/>
      <c r="W160" s="203"/>
      <c r="X160" s="203"/>
      <c r="Y160" s="203"/>
      <c r="Z160" s="203"/>
      <c r="AA160" s="203"/>
      <c r="AB160" s="203"/>
      <c r="AC160" s="203"/>
      <c r="AD160" s="203"/>
      <c r="AE160" s="203"/>
      <c r="AF160" s="203"/>
    </row>
    <row r="161" spans="2:32" ht="15" customHeight="1">
      <c r="C161" s="10"/>
      <c r="D161" s="26"/>
      <c r="E161" s="215"/>
      <c r="F161" s="215"/>
      <c r="G161" s="203"/>
      <c r="H161" s="203"/>
      <c r="I161" s="203"/>
      <c r="J161" s="203"/>
      <c r="K161" s="203"/>
      <c r="L161" s="203"/>
      <c r="M161" s="203"/>
      <c r="N161" s="203"/>
      <c r="O161" s="203"/>
      <c r="P161" s="203"/>
      <c r="Q161" s="203"/>
      <c r="R161" s="203"/>
      <c r="S161" s="203"/>
      <c r="T161" s="203"/>
      <c r="U161" s="203"/>
      <c r="V161" s="203"/>
      <c r="W161" s="203"/>
      <c r="X161" s="203"/>
      <c r="Y161" s="203"/>
      <c r="Z161" s="203"/>
      <c r="AA161" s="203"/>
      <c r="AB161" s="203"/>
      <c r="AC161" s="203"/>
      <c r="AD161" s="203"/>
      <c r="AE161" s="203"/>
      <c r="AF161" s="203"/>
    </row>
    <row r="162" spans="2:32" ht="15" customHeight="1">
      <c r="C162" s="10"/>
      <c r="D162" s="26"/>
      <c r="E162" s="215"/>
      <c r="F162" s="215"/>
      <c r="G162" s="203"/>
      <c r="H162" s="203"/>
      <c r="I162" s="203"/>
      <c r="J162" s="203"/>
      <c r="K162" s="203"/>
      <c r="L162" s="203"/>
      <c r="M162" s="203"/>
      <c r="N162" s="203"/>
      <c r="O162" s="203"/>
      <c r="P162" s="203"/>
      <c r="Q162" s="203"/>
      <c r="R162" s="203"/>
      <c r="S162" s="203"/>
      <c r="T162" s="203"/>
      <c r="U162" s="203"/>
      <c r="V162" s="203"/>
      <c r="W162" s="203"/>
      <c r="X162" s="203"/>
      <c r="Y162" s="203"/>
      <c r="Z162" s="203"/>
      <c r="AA162" s="203"/>
      <c r="AB162" s="203"/>
      <c r="AC162" s="203"/>
      <c r="AD162" s="203"/>
      <c r="AE162" s="203"/>
      <c r="AF162" s="203"/>
    </row>
    <row r="163" spans="2:32" ht="15" customHeight="1">
      <c r="C163" s="10"/>
      <c r="D163" s="26"/>
      <c r="E163" s="215"/>
      <c r="F163" s="215"/>
      <c r="G163" s="203"/>
      <c r="H163" s="203"/>
      <c r="I163" s="203"/>
      <c r="J163" s="203"/>
      <c r="K163" s="203"/>
      <c r="L163" s="203"/>
      <c r="M163" s="203"/>
      <c r="N163" s="203"/>
      <c r="O163" s="203"/>
      <c r="P163" s="203"/>
      <c r="Q163" s="203"/>
      <c r="R163" s="203"/>
      <c r="S163" s="203"/>
      <c r="T163" s="203"/>
      <c r="U163" s="203"/>
      <c r="V163" s="203"/>
      <c r="W163" s="203"/>
      <c r="X163" s="203"/>
      <c r="Y163" s="203"/>
      <c r="Z163" s="203"/>
      <c r="AA163" s="203"/>
      <c r="AB163" s="203"/>
      <c r="AC163" s="203"/>
      <c r="AD163" s="203"/>
      <c r="AE163" s="203"/>
      <c r="AF163" s="203"/>
    </row>
    <row r="164" spans="2:32" ht="15" customHeight="1">
      <c r="C164" s="10"/>
      <c r="D164" s="26"/>
      <c r="E164" s="215"/>
      <c r="F164" s="215"/>
      <c r="G164" s="203"/>
      <c r="H164" s="203"/>
      <c r="I164" s="203"/>
      <c r="J164" s="203"/>
      <c r="K164" s="203"/>
      <c r="L164" s="203"/>
      <c r="M164" s="203"/>
      <c r="N164" s="203"/>
      <c r="O164" s="203"/>
      <c r="P164" s="203"/>
      <c r="Q164" s="203"/>
      <c r="R164" s="203"/>
      <c r="S164" s="203"/>
      <c r="T164" s="203"/>
      <c r="U164" s="203"/>
      <c r="V164" s="203"/>
      <c r="W164" s="203"/>
      <c r="X164" s="203"/>
      <c r="Y164" s="203"/>
      <c r="Z164" s="203"/>
      <c r="AA164" s="203"/>
      <c r="AB164" s="203"/>
      <c r="AC164" s="203"/>
      <c r="AD164" s="203"/>
      <c r="AE164" s="203"/>
      <c r="AF164" s="203"/>
    </row>
    <row r="165" spans="2:32" ht="15" customHeight="1">
      <c r="C165" s="10"/>
      <c r="D165" s="26"/>
      <c r="E165" s="215"/>
      <c r="F165" s="215"/>
      <c r="G165" s="203"/>
      <c r="H165" s="203"/>
      <c r="I165" s="203"/>
      <c r="J165" s="203"/>
      <c r="K165" s="203"/>
      <c r="L165" s="203"/>
      <c r="M165" s="203"/>
      <c r="N165" s="203"/>
      <c r="O165" s="203"/>
      <c r="P165" s="203"/>
      <c r="Q165" s="203"/>
      <c r="R165" s="203"/>
      <c r="S165" s="203"/>
      <c r="T165" s="203"/>
      <c r="U165" s="203"/>
      <c r="V165" s="203"/>
      <c r="W165" s="203"/>
      <c r="X165" s="203"/>
      <c r="Y165" s="203"/>
      <c r="Z165" s="203"/>
      <c r="AA165" s="203"/>
      <c r="AB165" s="203"/>
      <c r="AC165" s="203"/>
      <c r="AD165" s="203"/>
      <c r="AE165" s="203"/>
      <c r="AF165" s="203"/>
    </row>
    <row r="166" spans="2:32" ht="15" customHeight="1">
      <c r="C166" s="10"/>
      <c r="D166" s="26"/>
      <c r="E166" s="215"/>
      <c r="F166" s="215"/>
      <c r="G166" s="203"/>
      <c r="H166" s="203"/>
      <c r="I166" s="203"/>
      <c r="J166" s="203"/>
      <c r="K166" s="203"/>
      <c r="L166" s="203"/>
      <c r="M166" s="203"/>
      <c r="N166" s="203"/>
      <c r="O166" s="203"/>
      <c r="P166" s="203"/>
      <c r="Q166" s="203"/>
      <c r="R166" s="203"/>
      <c r="S166" s="203"/>
      <c r="T166" s="203"/>
      <c r="U166" s="203"/>
      <c r="V166" s="203"/>
      <c r="W166" s="203"/>
      <c r="X166" s="203"/>
      <c r="Y166" s="203"/>
      <c r="Z166" s="203"/>
      <c r="AA166" s="203"/>
      <c r="AB166" s="203"/>
      <c r="AC166" s="203"/>
      <c r="AD166" s="203"/>
      <c r="AE166" s="203"/>
      <c r="AF166" s="203"/>
    </row>
    <row r="167" spans="2:32" ht="15" customHeight="1">
      <c r="C167" s="10"/>
      <c r="D167" s="26"/>
      <c r="E167" s="215"/>
      <c r="F167" s="215"/>
      <c r="G167" s="203"/>
      <c r="H167" s="203"/>
      <c r="I167" s="203"/>
      <c r="J167" s="203"/>
      <c r="K167" s="203"/>
      <c r="L167" s="203"/>
      <c r="M167" s="203"/>
      <c r="N167" s="203"/>
      <c r="O167" s="203"/>
      <c r="P167" s="203"/>
      <c r="Q167" s="203"/>
      <c r="R167" s="203"/>
      <c r="S167" s="203"/>
      <c r="T167" s="203"/>
      <c r="U167" s="203"/>
      <c r="V167" s="203"/>
      <c r="W167" s="203"/>
      <c r="X167" s="203"/>
      <c r="Y167" s="203"/>
      <c r="Z167" s="203"/>
      <c r="AA167" s="203"/>
      <c r="AB167" s="203"/>
      <c r="AC167" s="203"/>
      <c r="AD167" s="203"/>
      <c r="AE167" s="203"/>
      <c r="AF167" s="203"/>
    </row>
    <row r="168" spans="2:32" ht="15" customHeight="1">
      <c r="C168" s="10"/>
    </row>
    <row r="169" spans="2:32" ht="15" customHeight="1">
      <c r="B169" s="315"/>
      <c r="C169" s="10"/>
      <c r="D169" s="26"/>
      <c r="E169" s="215"/>
      <c r="F169" s="215"/>
      <c r="G169" s="203"/>
      <c r="H169" s="203"/>
      <c r="I169" s="203"/>
      <c r="J169" s="203"/>
      <c r="K169" s="203"/>
      <c r="L169" s="203"/>
      <c r="M169" s="203"/>
      <c r="N169" s="203"/>
      <c r="O169" s="203"/>
      <c r="P169" s="203"/>
      <c r="Q169" s="203"/>
      <c r="R169" s="203"/>
      <c r="S169" s="203"/>
      <c r="T169" s="203"/>
      <c r="U169" s="203"/>
      <c r="V169" s="203"/>
      <c r="W169" s="203"/>
      <c r="X169" s="203"/>
      <c r="Y169" s="203"/>
      <c r="Z169" s="203"/>
      <c r="AA169" s="203"/>
      <c r="AB169" s="203"/>
      <c r="AC169" s="203"/>
      <c r="AD169" s="203"/>
      <c r="AE169" s="203"/>
      <c r="AF169" s="203"/>
    </row>
    <row r="170" spans="2:32" ht="15" customHeight="1">
      <c r="C170" s="10"/>
      <c r="D170" s="26"/>
      <c r="E170" s="215"/>
      <c r="F170" s="215"/>
      <c r="G170" s="203"/>
      <c r="H170" s="203"/>
      <c r="I170" s="203"/>
      <c r="J170" s="203"/>
      <c r="K170" s="203"/>
      <c r="L170" s="203"/>
      <c r="M170" s="203"/>
      <c r="N170" s="203"/>
      <c r="O170" s="203"/>
      <c r="P170" s="203"/>
      <c r="Q170" s="203"/>
      <c r="R170" s="203"/>
      <c r="S170" s="203"/>
      <c r="T170" s="203"/>
      <c r="U170" s="203"/>
      <c r="V170" s="203"/>
      <c r="W170" s="203"/>
      <c r="X170" s="203"/>
      <c r="Y170" s="203"/>
      <c r="Z170" s="203"/>
      <c r="AA170" s="203"/>
      <c r="AB170" s="203"/>
      <c r="AC170" s="203"/>
      <c r="AD170" s="203"/>
      <c r="AE170" s="203"/>
      <c r="AF170" s="203"/>
    </row>
    <row r="171" spans="2:32" ht="15" customHeight="1">
      <c r="C171" s="10"/>
      <c r="D171" s="26"/>
      <c r="E171" s="215"/>
      <c r="F171" s="215"/>
      <c r="G171" s="203"/>
      <c r="H171" s="203"/>
      <c r="I171" s="203"/>
      <c r="J171" s="203"/>
      <c r="K171" s="203"/>
      <c r="L171" s="203"/>
      <c r="M171" s="203"/>
      <c r="N171" s="203"/>
      <c r="O171" s="203"/>
      <c r="P171" s="203"/>
      <c r="Q171" s="203"/>
      <c r="R171" s="203"/>
      <c r="S171" s="203"/>
      <c r="T171" s="203"/>
      <c r="U171" s="203"/>
      <c r="V171" s="203"/>
      <c r="W171" s="203"/>
      <c r="X171" s="203"/>
      <c r="Y171" s="203"/>
      <c r="Z171" s="203"/>
      <c r="AA171" s="203"/>
      <c r="AB171" s="203"/>
      <c r="AC171" s="203"/>
      <c r="AD171" s="203"/>
      <c r="AE171" s="203"/>
      <c r="AF171" s="203"/>
    </row>
    <row r="172" spans="2:32" ht="15" customHeight="1">
      <c r="C172" s="10"/>
      <c r="D172" s="26"/>
      <c r="E172" s="215"/>
      <c r="F172" s="215"/>
      <c r="G172" s="203"/>
      <c r="H172" s="203"/>
      <c r="I172" s="203"/>
      <c r="J172" s="203"/>
      <c r="K172" s="203"/>
      <c r="L172" s="203"/>
      <c r="M172" s="203"/>
      <c r="N172" s="203"/>
      <c r="O172" s="203"/>
      <c r="P172" s="203"/>
      <c r="Q172" s="203"/>
      <c r="R172" s="203"/>
      <c r="S172" s="203"/>
      <c r="T172" s="203"/>
      <c r="U172" s="203"/>
      <c r="V172" s="203"/>
      <c r="W172" s="203"/>
      <c r="X172" s="203"/>
      <c r="Y172" s="203"/>
      <c r="Z172" s="203"/>
      <c r="AA172" s="203"/>
      <c r="AB172" s="203"/>
      <c r="AC172" s="203"/>
      <c r="AD172" s="203"/>
      <c r="AE172" s="203"/>
      <c r="AF172" s="203"/>
    </row>
    <row r="173" spans="2:32" ht="15" customHeight="1">
      <c r="C173" s="10"/>
      <c r="D173" s="26"/>
      <c r="E173" s="215"/>
      <c r="F173" s="215"/>
      <c r="G173" s="203"/>
      <c r="H173" s="203"/>
      <c r="I173" s="203"/>
      <c r="J173" s="203"/>
      <c r="K173" s="203"/>
      <c r="L173" s="203"/>
      <c r="M173" s="203"/>
      <c r="N173" s="203"/>
      <c r="O173" s="203"/>
      <c r="P173" s="203"/>
      <c r="Q173" s="203"/>
      <c r="R173" s="203"/>
      <c r="S173" s="203"/>
      <c r="T173" s="203"/>
      <c r="U173" s="203"/>
      <c r="V173" s="203"/>
      <c r="W173" s="203"/>
      <c r="X173" s="203"/>
      <c r="Y173" s="203"/>
      <c r="Z173" s="203"/>
      <c r="AA173" s="203"/>
      <c r="AB173" s="203"/>
      <c r="AC173" s="203"/>
      <c r="AD173" s="203"/>
      <c r="AE173" s="203"/>
      <c r="AF173" s="203"/>
    </row>
    <row r="174" spans="2:32" ht="15" customHeight="1">
      <c r="C174" s="10"/>
      <c r="D174" s="26"/>
      <c r="E174" s="215"/>
      <c r="F174" s="215"/>
      <c r="G174" s="203"/>
      <c r="H174" s="203"/>
      <c r="I174" s="203"/>
      <c r="J174" s="203"/>
      <c r="K174" s="203"/>
      <c r="L174" s="203"/>
      <c r="M174" s="203"/>
      <c r="N174" s="203"/>
      <c r="O174" s="203"/>
      <c r="P174" s="203"/>
      <c r="Q174" s="203"/>
      <c r="R174" s="203"/>
      <c r="S174" s="203"/>
      <c r="T174" s="203"/>
      <c r="U174" s="203"/>
      <c r="V174" s="203"/>
      <c r="W174" s="203"/>
      <c r="X174" s="203"/>
      <c r="Y174" s="203"/>
      <c r="Z174" s="203"/>
      <c r="AA174" s="203"/>
      <c r="AB174" s="203"/>
      <c r="AC174" s="203"/>
      <c r="AD174" s="203"/>
      <c r="AE174" s="203"/>
      <c r="AF174" s="203"/>
    </row>
    <row r="175" spans="2:32" ht="15" customHeight="1">
      <c r="C175" s="10"/>
      <c r="D175" s="26"/>
      <c r="E175" s="215"/>
      <c r="F175" s="215"/>
      <c r="G175" s="203"/>
      <c r="H175" s="203"/>
      <c r="I175" s="203"/>
      <c r="J175" s="203"/>
      <c r="K175" s="203"/>
      <c r="L175" s="203"/>
      <c r="M175" s="203"/>
      <c r="N175" s="203"/>
      <c r="O175" s="203"/>
      <c r="P175" s="203"/>
      <c r="Q175" s="203"/>
      <c r="R175" s="203"/>
      <c r="S175" s="203"/>
      <c r="T175" s="203"/>
      <c r="U175" s="203"/>
      <c r="V175" s="203"/>
      <c r="W175" s="203"/>
      <c r="X175" s="203"/>
      <c r="Y175" s="203"/>
      <c r="Z175" s="203"/>
      <c r="AA175" s="203"/>
      <c r="AB175" s="203"/>
      <c r="AC175" s="203"/>
      <c r="AD175" s="203"/>
      <c r="AE175" s="203"/>
      <c r="AF175" s="203"/>
    </row>
    <row r="176" spans="2:32" ht="15" customHeight="1">
      <c r="C176" s="10"/>
      <c r="D176" s="26"/>
      <c r="E176" s="215"/>
      <c r="F176" s="215"/>
      <c r="G176" s="203"/>
      <c r="H176" s="203"/>
      <c r="I176" s="203"/>
      <c r="J176" s="203"/>
      <c r="K176" s="203"/>
      <c r="L176" s="203"/>
      <c r="M176" s="203"/>
      <c r="N176" s="203"/>
      <c r="O176" s="203"/>
      <c r="P176" s="203"/>
      <c r="Q176" s="203"/>
      <c r="R176" s="203"/>
      <c r="S176" s="203"/>
      <c r="T176" s="203"/>
      <c r="U176" s="203"/>
      <c r="V176" s="203"/>
      <c r="W176" s="203"/>
      <c r="X176" s="203"/>
      <c r="Y176" s="203"/>
      <c r="Z176" s="203"/>
      <c r="AA176" s="203"/>
      <c r="AB176" s="203"/>
      <c r="AC176" s="203"/>
      <c r="AD176" s="203"/>
      <c r="AE176" s="203"/>
      <c r="AF176" s="203"/>
    </row>
    <row r="177" spans="3:32" ht="15" customHeight="1">
      <c r="C177" s="10"/>
      <c r="D177" s="26"/>
      <c r="E177" s="215"/>
      <c r="F177" s="215"/>
      <c r="G177" s="203"/>
      <c r="H177" s="203"/>
      <c r="I177" s="203"/>
      <c r="J177" s="203"/>
      <c r="K177" s="203"/>
      <c r="L177" s="203"/>
      <c r="M177" s="203"/>
      <c r="N177" s="203"/>
      <c r="O177" s="203"/>
      <c r="P177" s="203"/>
      <c r="Q177" s="203"/>
      <c r="R177" s="203"/>
      <c r="S177" s="203"/>
      <c r="T177" s="203"/>
      <c r="U177" s="203"/>
      <c r="V177" s="203"/>
      <c r="W177" s="203"/>
      <c r="X177" s="203"/>
      <c r="Y177" s="203"/>
      <c r="Z177" s="203"/>
      <c r="AA177" s="203"/>
      <c r="AB177" s="203"/>
      <c r="AC177" s="203"/>
      <c r="AD177" s="203"/>
      <c r="AE177" s="203"/>
      <c r="AF177" s="203"/>
    </row>
    <row r="178" spans="3:32" ht="15" customHeight="1">
      <c r="C178" s="10"/>
      <c r="D178" s="26"/>
      <c r="E178" s="215"/>
      <c r="F178" s="215"/>
      <c r="G178" s="203"/>
      <c r="H178" s="203"/>
      <c r="I178" s="203"/>
      <c r="J178" s="203"/>
      <c r="K178" s="203"/>
      <c r="L178" s="203"/>
      <c r="M178" s="203"/>
      <c r="N178" s="203"/>
      <c r="O178" s="203"/>
      <c r="P178" s="203"/>
      <c r="Q178" s="203"/>
      <c r="R178" s="203"/>
      <c r="S178" s="203"/>
      <c r="T178" s="203"/>
      <c r="U178" s="203"/>
      <c r="V178" s="203"/>
      <c r="W178" s="203"/>
      <c r="X178" s="203"/>
      <c r="Y178" s="203"/>
      <c r="Z178" s="203"/>
      <c r="AA178" s="203"/>
      <c r="AB178" s="203"/>
      <c r="AC178" s="203"/>
      <c r="AD178" s="203"/>
      <c r="AE178" s="203"/>
      <c r="AF178" s="203"/>
    </row>
    <row r="179" spans="3:32" ht="15" customHeight="1">
      <c r="C179" s="10"/>
      <c r="D179" s="26"/>
      <c r="E179" s="215"/>
      <c r="F179" s="215"/>
      <c r="G179" s="203"/>
      <c r="H179" s="203"/>
      <c r="I179" s="203"/>
      <c r="J179" s="203"/>
      <c r="K179" s="203"/>
      <c r="L179" s="203"/>
      <c r="M179" s="203"/>
      <c r="N179" s="203"/>
      <c r="O179" s="203"/>
      <c r="P179" s="203"/>
      <c r="Q179" s="203"/>
      <c r="R179" s="203"/>
      <c r="S179" s="203"/>
      <c r="T179" s="203"/>
      <c r="U179" s="203"/>
      <c r="V179" s="203"/>
      <c r="W179" s="203"/>
      <c r="X179" s="203"/>
      <c r="Y179" s="203"/>
      <c r="Z179" s="203"/>
      <c r="AA179" s="203"/>
      <c r="AB179" s="203"/>
      <c r="AC179" s="203"/>
      <c r="AD179" s="203"/>
      <c r="AE179" s="203"/>
      <c r="AF179" s="203"/>
    </row>
    <row r="180" spans="3:32" ht="15" customHeight="1">
      <c r="C180" s="10"/>
      <c r="D180" s="26"/>
      <c r="E180" s="215"/>
      <c r="F180" s="215"/>
      <c r="G180" s="203"/>
      <c r="H180" s="203"/>
      <c r="I180" s="203"/>
      <c r="J180" s="203"/>
      <c r="K180" s="203"/>
      <c r="L180" s="203"/>
      <c r="M180" s="203"/>
      <c r="N180" s="203"/>
      <c r="O180" s="203"/>
      <c r="P180" s="203"/>
      <c r="Q180" s="203"/>
      <c r="R180" s="203"/>
      <c r="S180" s="203"/>
      <c r="T180" s="203"/>
      <c r="U180" s="203"/>
      <c r="V180" s="203"/>
      <c r="W180" s="203"/>
      <c r="X180" s="203"/>
      <c r="Y180" s="203"/>
      <c r="Z180" s="203"/>
      <c r="AA180" s="203"/>
      <c r="AB180" s="203"/>
      <c r="AC180" s="203"/>
      <c r="AD180" s="203"/>
      <c r="AE180" s="203"/>
      <c r="AF180" s="203"/>
    </row>
    <row r="181" spans="3:32" ht="15" customHeight="1">
      <c r="C181" s="10"/>
      <c r="D181" s="26"/>
      <c r="E181" s="215"/>
      <c r="F181" s="215"/>
      <c r="G181" s="203"/>
      <c r="H181" s="203"/>
      <c r="I181" s="203"/>
      <c r="J181" s="203"/>
      <c r="K181" s="203"/>
      <c r="L181" s="203"/>
      <c r="M181" s="203"/>
      <c r="N181" s="203"/>
      <c r="O181" s="203"/>
      <c r="P181" s="203"/>
      <c r="Q181" s="203"/>
      <c r="R181" s="203"/>
      <c r="S181" s="203"/>
      <c r="T181" s="203"/>
      <c r="U181" s="203"/>
      <c r="V181" s="203"/>
      <c r="W181" s="203"/>
      <c r="X181" s="203"/>
      <c r="Y181" s="203"/>
      <c r="Z181" s="203"/>
      <c r="AA181" s="203"/>
      <c r="AB181" s="203"/>
      <c r="AC181" s="203"/>
      <c r="AD181" s="203"/>
      <c r="AE181" s="203"/>
      <c r="AF181" s="203"/>
    </row>
    <row r="182" spans="3:32" ht="15" customHeight="1">
      <c r="C182" s="10"/>
      <c r="D182" s="26"/>
      <c r="E182" s="215"/>
      <c r="F182" s="215"/>
      <c r="G182" s="203"/>
      <c r="H182" s="203"/>
      <c r="I182" s="203"/>
      <c r="J182" s="203"/>
      <c r="K182" s="203"/>
      <c r="L182" s="203"/>
      <c r="M182" s="203"/>
      <c r="N182" s="203"/>
      <c r="O182" s="203"/>
      <c r="P182" s="203"/>
      <c r="Q182" s="203"/>
      <c r="R182" s="203"/>
      <c r="S182" s="203"/>
      <c r="T182" s="203"/>
      <c r="U182" s="203"/>
      <c r="V182" s="203"/>
      <c r="W182" s="203"/>
      <c r="X182" s="203"/>
      <c r="Y182" s="203"/>
      <c r="Z182" s="203"/>
      <c r="AA182" s="203"/>
      <c r="AB182" s="203"/>
      <c r="AC182" s="203"/>
      <c r="AD182" s="203"/>
      <c r="AE182" s="203"/>
      <c r="AF182" s="203"/>
    </row>
    <row r="183" spans="3:32" ht="15" customHeight="1">
      <c r="C183" s="10"/>
      <c r="D183" s="26"/>
      <c r="E183" s="215"/>
      <c r="F183" s="215"/>
      <c r="G183" s="203"/>
      <c r="H183" s="203"/>
      <c r="I183" s="203"/>
      <c r="J183" s="203"/>
      <c r="K183" s="203"/>
      <c r="L183" s="203"/>
      <c r="M183" s="203"/>
      <c r="N183" s="203"/>
      <c r="O183" s="203"/>
      <c r="P183" s="203"/>
      <c r="Q183" s="203"/>
      <c r="R183" s="203"/>
      <c r="S183" s="203"/>
      <c r="T183" s="203"/>
      <c r="U183" s="203"/>
      <c r="V183" s="203"/>
      <c r="W183" s="203"/>
      <c r="X183" s="203"/>
      <c r="Y183" s="203"/>
      <c r="Z183" s="203"/>
      <c r="AA183" s="203"/>
      <c r="AB183" s="203"/>
      <c r="AC183" s="203"/>
      <c r="AD183" s="203"/>
      <c r="AE183" s="203"/>
      <c r="AF183" s="203"/>
    </row>
    <row r="184" spans="3:32" ht="15" customHeight="1">
      <c r="C184" s="10"/>
      <c r="D184" s="26"/>
      <c r="E184" s="215"/>
      <c r="F184" s="215"/>
      <c r="G184" s="203"/>
      <c r="H184" s="203"/>
      <c r="I184" s="203"/>
      <c r="J184" s="203"/>
      <c r="K184" s="203"/>
      <c r="L184" s="203"/>
      <c r="M184" s="203"/>
      <c r="N184" s="203"/>
      <c r="O184" s="203"/>
      <c r="P184" s="203"/>
      <c r="Q184" s="203"/>
      <c r="R184" s="203"/>
      <c r="S184" s="203"/>
      <c r="T184" s="203"/>
      <c r="U184" s="203"/>
      <c r="V184" s="203"/>
      <c r="W184" s="203"/>
      <c r="X184" s="203"/>
      <c r="Y184" s="203"/>
      <c r="Z184" s="203"/>
      <c r="AA184" s="203"/>
      <c r="AB184" s="203"/>
      <c r="AC184" s="203"/>
      <c r="AD184" s="203"/>
      <c r="AE184" s="203"/>
      <c r="AF184" s="203"/>
    </row>
    <row r="185" spans="3:32" ht="15" customHeight="1">
      <c r="C185" s="10"/>
      <c r="D185" s="26"/>
      <c r="E185" s="215"/>
      <c r="F185" s="215"/>
      <c r="G185" s="203"/>
      <c r="H185" s="203"/>
      <c r="I185" s="203"/>
      <c r="J185" s="203"/>
      <c r="K185" s="203"/>
      <c r="L185" s="203"/>
      <c r="M185" s="203"/>
      <c r="N185" s="203"/>
      <c r="O185" s="203"/>
      <c r="P185" s="203"/>
      <c r="Q185" s="203"/>
      <c r="R185" s="203"/>
      <c r="S185" s="203"/>
      <c r="T185" s="203"/>
      <c r="U185" s="203"/>
      <c r="V185" s="203"/>
      <c r="W185" s="203"/>
      <c r="X185" s="203"/>
      <c r="Y185" s="203"/>
      <c r="Z185" s="203"/>
      <c r="AA185" s="203"/>
      <c r="AB185" s="203"/>
      <c r="AC185" s="203"/>
      <c r="AD185" s="203"/>
      <c r="AE185" s="203"/>
      <c r="AF185" s="203"/>
    </row>
    <row r="186" spans="3:32" ht="15" customHeight="1">
      <c r="C186" s="10"/>
      <c r="D186" s="26"/>
      <c r="E186" s="215"/>
      <c r="F186" s="215"/>
      <c r="G186" s="203"/>
      <c r="H186" s="203"/>
      <c r="I186" s="203"/>
      <c r="J186" s="203"/>
      <c r="K186" s="203"/>
      <c r="L186" s="203"/>
      <c r="M186" s="203"/>
      <c r="N186" s="203"/>
      <c r="O186" s="203"/>
      <c r="P186" s="203"/>
      <c r="Q186" s="203"/>
      <c r="R186" s="203"/>
      <c r="S186" s="203"/>
      <c r="T186" s="203"/>
      <c r="U186" s="203"/>
      <c r="V186" s="203"/>
      <c r="W186" s="203"/>
      <c r="X186" s="203"/>
      <c r="Y186" s="203"/>
      <c r="Z186" s="203"/>
      <c r="AA186" s="203"/>
      <c r="AB186" s="203"/>
      <c r="AC186" s="203"/>
      <c r="AD186" s="203"/>
      <c r="AE186" s="203"/>
      <c r="AF186" s="203"/>
    </row>
    <row r="187" spans="3:32" ht="15" customHeight="1">
      <c r="C187" s="10"/>
      <c r="D187" s="26"/>
      <c r="E187" s="215"/>
      <c r="F187" s="215"/>
      <c r="G187" s="203"/>
      <c r="H187" s="203"/>
      <c r="I187" s="203"/>
      <c r="J187" s="203"/>
      <c r="K187" s="203"/>
      <c r="L187" s="203"/>
      <c r="M187" s="203"/>
      <c r="N187" s="203"/>
      <c r="O187" s="203"/>
      <c r="P187" s="203"/>
      <c r="Q187" s="203"/>
      <c r="R187" s="203"/>
      <c r="S187" s="203"/>
      <c r="T187" s="203"/>
      <c r="U187" s="203"/>
      <c r="V187" s="203"/>
      <c r="W187" s="203"/>
      <c r="X187" s="203"/>
      <c r="Y187" s="203"/>
      <c r="Z187" s="203"/>
      <c r="AA187" s="203"/>
      <c r="AB187" s="203"/>
      <c r="AC187" s="203"/>
      <c r="AD187" s="203"/>
      <c r="AE187" s="203"/>
      <c r="AF187" s="203"/>
    </row>
    <row r="188" spans="3:32" ht="15" customHeight="1">
      <c r="C188" s="10"/>
      <c r="D188" s="26"/>
      <c r="E188" s="215"/>
      <c r="F188" s="215"/>
      <c r="G188" s="203"/>
      <c r="H188" s="203"/>
      <c r="I188" s="203"/>
      <c r="J188" s="203"/>
      <c r="K188" s="203"/>
      <c r="L188" s="203"/>
      <c r="M188" s="203"/>
      <c r="N188" s="203"/>
      <c r="O188" s="203"/>
      <c r="P188" s="203"/>
      <c r="Q188" s="203"/>
      <c r="R188" s="203"/>
      <c r="S188" s="203"/>
      <c r="T188" s="203"/>
      <c r="U188" s="203"/>
      <c r="V188" s="203"/>
      <c r="W188" s="203"/>
      <c r="X188" s="203"/>
      <c r="Y188" s="203"/>
      <c r="Z188" s="203"/>
      <c r="AA188" s="203"/>
      <c r="AB188" s="203"/>
      <c r="AC188" s="203"/>
      <c r="AD188" s="203"/>
      <c r="AE188" s="203"/>
      <c r="AF188" s="203"/>
    </row>
    <row r="189" spans="3:32" ht="15" customHeight="1">
      <c r="C189" s="10"/>
      <c r="D189" s="26"/>
      <c r="E189" s="215"/>
      <c r="F189" s="215"/>
      <c r="G189" s="203"/>
      <c r="H189" s="203"/>
      <c r="I189" s="203"/>
      <c r="J189" s="203"/>
      <c r="K189" s="203"/>
      <c r="L189" s="203"/>
      <c r="M189" s="203"/>
      <c r="N189" s="203"/>
      <c r="O189" s="203"/>
      <c r="P189" s="203"/>
      <c r="Q189" s="203"/>
      <c r="R189" s="203"/>
      <c r="S189" s="203"/>
      <c r="T189" s="203"/>
      <c r="U189" s="203"/>
      <c r="V189" s="203"/>
      <c r="W189" s="203"/>
      <c r="X189" s="203"/>
      <c r="Y189" s="203"/>
      <c r="Z189" s="203"/>
      <c r="AA189" s="203"/>
      <c r="AB189" s="203"/>
      <c r="AC189" s="203"/>
      <c r="AD189" s="203"/>
      <c r="AE189" s="203"/>
      <c r="AF189" s="203"/>
    </row>
    <row r="190" spans="3:32" ht="15" customHeight="1">
      <c r="C190" s="10"/>
      <c r="D190" s="26"/>
      <c r="E190" s="215"/>
      <c r="F190" s="215"/>
      <c r="G190" s="203"/>
      <c r="H190" s="203"/>
      <c r="I190" s="203"/>
      <c r="J190" s="203"/>
      <c r="K190" s="203"/>
      <c r="L190" s="203"/>
      <c r="M190" s="203"/>
      <c r="N190" s="203"/>
      <c r="O190" s="203"/>
      <c r="P190" s="203"/>
      <c r="Q190" s="203"/>
      <c r="R190" s="203"/>
      <c r="S190" s="203"/>
      <c r="T190" s="203"/>
      <c r="U190" s="203"/>
      <c r="V190" s="203"/>
      <c r="W190" s="203"/>
      <c r="X190" s="203"/>
      <c r="Y190" s="203"/>
      <c r="Z190" s="203"/>
      <c r="AA190" s="203"/>
      <c r="AB190" s="203"/>
      <c r="AC190" s="203"/>
      <c r="AD190" s="203"/>
      <c r="AE190" s="203"/>
      <c r="AF190" s="203"/>
    </row>
    <row r="191" spans="3:32" ht="15" customHeight="1">
      <c r="C191" s="10"/>
      <c r="D191" s="26"/>
      <c r="E191" s="215"/>
      <c r="F191" s="215"/>
      <c r="G191" s="203"/>
      <c r="H191" s="203"/>
      <c r="I191" s="203"/>
      <c r="J191" s="203"/>
      <c r="K191" s="203"/>
      <c r="L191" s="203"/>
      <c r="M191" s="203"/>
      <c r="N191" s="203"/>
      <c r="O191" s="203"/>
      <c r="P191" s="203"/>
      <c r="Q191" s="203"/>
      <c r="R191" s="203"/>
      <c r="S191" s="203"/>
      <c r="T191" s="203"/>
      <c r="U191" s="203"/>
      <c r="V191" s="203"/>
      <c r="W191" s="203"/>
      <c r="X191" s="203"/>
      <c r="Y191" s="203"/>
      <c r="Z191" s="203"/>
      <c r="AA191" s="203"/>
      <c r="AB191" s="203"/>
      <c r="AC191" s="203"/>
      <c r="AD191" s="203"/>
      <c r="AE191" s="203"/>
      <c r="AF191" s="203"/>
    </row>
    <row r="192" spans="3:32" ht="15" customHeight="1">
      <c r="C192" s="10"/>
      <c r="D192" s="26"/>
      <c r="E192" s="215"/>
      <c r="F192" s="215"/>
      <c r="G192" s="203"/>
      <c r="H192" s="203"/>
      <c r="I192" s="203"/>
      <c r="J192" s="203"/>
      <c r="K192" s="203"/>
      <c r="L192" s="203"/>
      <c r="M192" s="203"/>
      <c r="N192" s="203"/>
      <c r="O192" s="203"/>
      <c r="P192" s="203"/>
      <c r="Q192" s="203"/>
      <c r="R192" s="203"/>
      <c r="S192" s="203"/>
      <c r="T192" s="203"/>
      <c r="U192" s="203"/>
      <c r="V192" s="203"/>
      <c r="W192" s="203"/>
      <c r="X192" s="203"/>
      <c r="Y192" s="203"/>
      <c r="Z192" s="203"/>
      <c r="AA192" s="203"/>
      <c r="AB192" s="203"/>
      <c r="AC192" s="203"/>
      <c r="AD192" s="203"/>
      <c r="AE192" s="203"/>
      <c r="AF192" s="203"/>
    </row>
    <row r="193" spans="3:32" ht="15" customHeight="1">
      <c r="C193" s="10"/>
      <c r="D193" s="26"/>
      <c r="E193" s="215"/>
      <c r="F193" s="215"/>
      <c r="G193" s="203"/>
      <c r="H193" s="203"/>
      <c r="I193" s="203"/>
      <c r="J193" s="203"/>
      <c r="K193" s="203"/>
      <c r="L193" s="203"/>
      <c r="M193" s="203"/>
      <c r="N193" s="203"/>
      <c r="O193" s="203"/>
      <c r="P193" s="203"/>
      <c r="Q193" s="203"/>
      <c r="R193" s="203"/>
      <c r="S193" s="203"/>
      <c r="T193" s="203"/>
      <c r="U193" s="203"/>
      <c r="V193" s="203"/>
      <c r="W193" s="203"/>
      <c r="X193" s="203"/>
      <c r="Y193" s="203"/>
      <c r="Z193" s="203"/>
      <c r="AA193" s="203"/>
      <c r="AB193" s="203"/>
      <c r="AC193" s="203"/>
      <c r="AD193" s="203"/>
      <c r="AE193" s="203"/>
      <c r="AF193" s="203"/>
    </row>
    <row r="194" spans="3:32" ht="15" customHeight="1"/>
    <row r="195" spans="3:32" ht="15" customHeight="1"/>
    <row r="196" spans="3:32" ht="15" customHeight="1"/>
    <row r="197" spans="3:32" ht="15" customHeight="1"/>
    <row r="198" spans="3:32" ht="15" customHeight="1"/>
    <row r="199" spans="3:32" ht="15" customHeight="1"/>
    <row r="200" spans="3:32" ht="15" customHeight="1"/>
    <row r="201" spans="3:32" ht="15" customHeight="1"/>
    <row r="202" spans="3:32" ht="15" customHeight="1"/>
    <row r="203" spans="3:32" ht="15" customHeight="1"/>
    <row r="204" spans="3:32" ht="15" customHeight="1"/>
    <row r="205" spans="3:32" ht="15" customHeight="1"/>
    <row r="206" spans="3:32" ht="15" customHeight="1"/>
    <row r="207" spans="3:32" ht="15" customHeight="1"/>
    <row r="208" spans="3: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36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1" operator="greaterThan" id="{DDD50C9C-CF5E-4CFD-B387-CC4C4B7EF761}">
            <xm:f>ControlPanel!$D$59-1</xm:f>
            <x14:dxf>
              <font>
                <color rgb="FF9C6500"/>
              </font>
              <fill>
                <patternFill>
                  <fgColor indexed="64"/>
                  <bgColor rgb="FFFFEB9C"/>
                </patternFill>
              </fill>
            </x14:dxf>
          </x14:cfRule>
          <x14:cfRule type="cellIs" priority="2" operator="lessThan" id="{0841F134-7D56-42E1-808C-1477BAADC089}">
            <xm:f>ControlPanel!$D$59</xm:f>
            <x14:dxf>
              <font>
                <color rgb="FF006100"/>
              </font>
              <fill>
                <patternFill>
                  <fgColor indexed="64"/>
                  <bgColor rgb="FFC6EFCE"/>
                </patternFill>
              </fill>
            </x14:dxf>
          </x14:cfRule>
          <x14:cfRule type="cellIs" priority="3" operator="lessThan" id="{75E357D8-C2C2-482C-A53F-92788567F11C}">
            <xm:f>ControlPanel!$D$59+1</xm:f>
            <x14:dxf>
              <font>
                <color rgb="FF006100"/>
              </font>
              <fill>
                <patternFill>
                  <fgColor indexed="64"/>
                  <bgColor rgb="FFC6EFCE"/>
                </patternFill>
              </fill>
            </x14:dxf>
          </x14:cfRule>
          <xm:sqref>G4:AF4</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Tabelle70">
    <tabColor theme="9" tint="-0.499984740745262"/>
  </sheetPr>
  <dimension ref="A1:AF1191"/>
  <sheetViews>
    <sheetView zoomScaleNormal="100" workbookViewId="0">
      <selection activeCell="E17" sqref="E17"/>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5" width="8.6640625" style="9" customWidth="1"/>
    <col min="16" max="32" width="8.6640625" style="9" customWidth="1" outlineLevel="1"/>
    <col min="33" max="16384" width="11.5546875" style="9"/>
  </cols>
  <sheetData>
    <row r="1" spans="1:32">
      <c r="A1" s="41" t="s">
        <v>74</v>
      </c>
      <c r="B1" s="61" t="s">
        <v>969</v>
      </c>
      <c r="C1" s="61"/>
      <c r="D1" s="19"/>
      <c r="E1" s="19"/>
      <c r="F1" s="19"/>
    </row>
    <row r="2" spans="1:32">
      <c r="B2" s="37"/>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F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c r="F5" s="16"/>
      <c r="G5" s="323" t="s">
        <v>61</v>
      </c>
      <c r="H5" s="323" t="s">
        <v>61</v>
      </c>
      <c r="I5" s="323" t="s">
        <v>61</v>
      </c>
      <c r="J5" s="323" t="s">
        <v>61</v>
      </c>
      <c r="K5" s="323" t="s">
        <v>61</v>
      </c>
      <c r="L5" s="323" t="s">
        <v>61</v>
      </c>
      <c r="M5" s="323" t="s">
        <v>61</v>
      </c>
      <c r="N5" s="323" t="s">
        <v>61</v>
      </c>
      <c r="O5" s="323" t="s">
        <v>61</v>
      </c>
      <c r="P5" s="323" t="s">
        <v>61</v>
      </c>
      <c r="Q5" s="323" t="s">
        <v>61</v>
      </c>
      <c r="R5" s="323" t="s">
        <v>61</v>
      </c>
      <c r="S5" s="323" t="s">
        <v>61</v>
      </c>
      <c r="T5" s="323" t="s">
        <v>61</v>
      </c>
      <c r="U5" s="323" t="s">
        <v>61</v>
      </c>
      <c r="V5" s="323" t="s">
        <v>61</v>
      </c>
      <c r="W5" s="323" t="s">
        <v>61</v>
      </c>
      <c r="X5" s="323" t="s">
        <v>61</v>
      </c>
      <c r="Y5" s="323" t="s">
        <v>61</v>
      </c>
      <c r="Z5" s="323" t="s">
        <v>61</v>
      </c>
      <c r="AA5" s="323" t="s">
        <v>61</v>
      </c>
      <c r="AB5" s="323" t="s">
        <v>61</v>
      </c>
      <c r="AC5" s="323" t="s">
        <v>61</v>
      </c>
      <c r="AD5" s="323" t="s">
        <v>61</v>
      </c>
      <c r="AE5" s="323" t="s">
        <v>61</v>
      </c>
      <c r="AF5" s="323" t="s">
        <v>61</v>
      </c>
    </row>
    <row r="6" spans="1:32" ht="33" customHeight="1" thickBot="1">
      <c r="B6" s="166" t="s">
        <v>529</v>
      </c>
      <c r="C6" s="175" t="s">
        <v>409</v>
      </c>
      <c r="D6" s="15" t="s">
        <v>48</v>
      </c>
      <c r="E6" s="15" t="s">
        <v>215</v>
      </c>
      <c r="F6" s="1021" t="s">
        <v>970</v>
      </c>
      <c r="G6" s="14">
        <v>15.556000000000001</v>
      </c>
      <c r="H6" s="14">
        <v>11.633254000000001</v>
      </c>
      <c r="I6" s="14">
        <v>16.270144000000002</v>
      </c>
      <c r="J6" s="14">
        <v>16.704712000000001</v>
      </c>
      <c r="K6" s="14">
        <v>13.95</v>
      </c>
      <c r="L6" s="14">
        <v>13.95</v>
      </c>
      <c r="M6" s="14">
        <v>13.95</v>
      </c>
      <c r="N6" s="14">
        <v>13.95</v>
      </c>
      <c r="O6" s="14">
        <v>13.95</v>
      </c>
      <c r="P6" s="14">
        <v>13.95</v>
      </c>
      <c r="Q6" s="14">
        <v>13.95</v>
      </c>
      <c r="R6" s="14">
        <v>13.95</v>
      </c>
      <c r="S6" s="14">
        <v>13.95</v>
      </c>
      <c r="T6" s="14">
        <v>13.95</v>
      </c>
      <c r="U6" s="14">
        <v>13.95</v>
      </c>
      <c r="V6" s="14">
        <v>13.95</v>
      </c>
      <c r="W6" s="14">
        <v>13.95</v>
      </c>
      <c r="X6" s="14">
        <v>13.95</v>
      </c>
      <c r="Y6" s="14">
        <v>13.95</v>
      </c>
      <c r="Z6" s="14">
        <v>13.95</v>
      </c>
      <c r="AA6" s="14">
        <v>13.95</v>
      </c>
      <c r="AB6" s="14">
        <v>13.95</v>
      </c>
      <c r="AC6" s="14">
        <v>13.95</v>
      </c>
      <c r="AD6" s="14">
        <v>13.95</v>
      </c>
      <c r="AE6" s="14">
        <v>13.95</v>
      </c>
      <c r="AF6" s="14">
        <v>13.95</v>
      </c>
    </row>
    <row r="7" spans="1:32" ht="33" customHeight="1" thickBot="1">
      <c r="B7" s="165" t="s">
        <v>349</v>
      </c>
      <c r="C7" s="175" t="s">
        <v>409</v>
      </c>
      <c r="D7" s="15" t="s">
        <v>48</v>
      </c>
      <c r="E7" s="15" t="s">
        <v>49</v>
      </c>
      <c r="F7" s="1021" t="s">
        <v>967</v>
      </c>
      <c r="G7" s="14">
        <v>0</v>
      </c>
      <c r="H7" s="14">
        <v>0</v>
      </c>
      <c r="I7" s="14">
        <v>0</v>
      </c>
      <c r="J7" s="14">
        <v>0</v>
      </c>
      <c r="K7" s="14">
        <v>0</v>
      </c>
      <c r="L7" s="14">
        <v>0</v>
      </c>
      <c r="M7" s="14">
        <v>0</v>
      </c>
      <c r="N7" s="14">
        <v>0</v>
      </c>
      <c r="O7" s="14">
        <v>0</v>
      </c>
      <c r="P7" s="14">
        <v>0</v>
      </c>
      <c r="Q7" s="14">
        <v>0</v>
      </c>
      <c r="R7" s="14">
        <v>0</v>
      </c>
      <c r="S7" s="14">
        <v>0</v>
      </c>
      <c r="T7" s="14">
        <v>0</v>
      </c>
      <c r="U7" s="14">
        <v>0</v>
      </c>
      <c r="V7" s="14">
        <v>0</v>
      </c>
      <c r="W7" s="14">
        <v>0</v>
      </c>
      <c r="X7" s="14">
        <v>0</v>
      </c>
      <c r="Y7" s="14">
        <v>0</v>
      </c>
      <c r="Z7" s="14">
        <v>0</v>
      </c>
      <c r="AA7" s="14">
        <v>0</v>
      </c>
      <c r="AB7" s="14">
        <v>0</v>
      </c>
      <c r="AC7" s="14">
        <v>0</v>
      </c>
      <c r="AD7" s="14">
        <v>0</v>
      </c>
      <c r="AE7" s="14">
        <v>0</v>
      </c>
      <c r="AF7" s="14">
        <v>0</v>
      </c>
    </row>
    <row r="8" spans="1:32" ht="72.599999999999994" customHeight="1" thickBot="1">
      <c r="B8" s="165" t="s">
        <v>11</v>
      </c>
      <c r="C8" s="175" t="s">
        <v>409</v>
      </c>
      <c r="D8" s="15" t="s">
        <v>48</v>
      </c>
      <c r="E8" s="15">
        <v>5.8</v>
      </c>
      <c r="F8" s="1062" t="s">
        <v>971</v>
      </c>
      <c r="G8" s="14">
        <v>4.7</v>
      </c>
      <c r="H8" s="14">
        <v>4.8</v>
      </c>
      <c r="I8" s="14">
        <v>5</v>
      </c>
      <c r="J8" s="14">
        <v>5.4</v>
      </c>
      <c r="K8" s="14">
        <v>6.1</v>
      </c>
      <c r="L8" s="14">
        <v>5.8</v>
      </c>
      <c r="M8" s="14">
        <v>5.8</v>
      </c>
      <c r="N8" s="14">
        <v>5.8</v>
      </c>
      <c r="O8" s="14">
        <v>5.8</v>
      </c>
      <c r="P8" s="14">
        <v>5.8</v>
      </c>
      <c r="Q8" s="14">
        <v>5.8</v>
      </c>
      <c r="R8" s="14">
        <v>5.8</v>
      </c>
      <c r="S8" s="14">
        <v>5.8</v>
      </c>
      <c r="T8" s="14">
        <v>5.8</v>
      </c>
      <c r="U8" s="14">
        <v>5.8</v>
      </c>
      <c r="V8" s="14">
        <v>5.8</v>
      </c>
      <c r="W8" s="14">
        <v>5.8</v>
      </c>
      <c r="X8" s="14">
        <v>5.8</v>
      </c>
      <c r="Y8" s="14">
        <v>5.8</v>
      </c>
      <c r="Z8" s="14">
        <v>5.8</v>
      </c>
      <c r="AA8" s="14">
        <v>5.8</v>
      </c>
      <c r="AB8" s="14">
        <v>5.8</v>
      </c>
      <c r="AC8" s="14">
        <v>5.8</v>
      </c>
      <c r="AD8" s="14">
        <v>5.8</v>
      </c>
      <c r="AE8" s="14">
        <v>5.8</v>
      </c>
      <c r="AF8" s="14">
        <v>5.8</v>
      </c>
    </row>
    <row r="9" spans="1:32" ht="33" customHeight="1" thickBot="1">
      <c r="B9" s="165" t="s">
        <v>10</v>
      </c>
      <c r="C9" s="175" t="s">
        <v>409</v>
      </c>
      <c r="D9" s="15" t="s">
        <v>48</v>
      </c>
      <c r="E9" s="15" t="s">
        <v>49</v>
      </c>
      <c r="F9" s="1021" t="s">
        <v>967</v>
      </c>
      <c r="G9" s="14">
        <v>0</v>
      </c>
      <c r="H9" s="14">
        <v>0</v>
      </c>
      <c r="I9" s="14">
        <v>0</v>
      </c>
      <c r="J9" s="14">
        <v>0</v>
      </c>
      <c r="K9" s="14">
        <v>0</v>
      </c>
      <c r="L9" s="14">
        <v>0</v>
      </c>
      <c r="M9" s="14">
        <v>0</v>
      </c>
      <c r="N9" s="14">
        <v>0</v>
      </c>
      <c r="O9" s="14">
        <v>0</v>
      </c>
      <c r="P9" s="14">
        <v>0</v>
      </c>
      <c r="Q9" s="14">
        <v>0</v>
      </c>
      <c r="R9" s="14">
        <v>0</v>
      </c>
      <c r="S9" s="14">
        <v>0</v>
      </c>
      <c r="T9" s="14">
        <v>0</v>
      </c>
      <c r="U9" s="14">
        <v>0</v>
      </c>
      <c r="V9" s="14">
        <v>0</v>
      </c>
      <c r="W9" s="14">
        <v>0</v>
      </c>
      <c r="X9" s="14">
        <v>0</v>
      </c>
      <c r="Y9" s="14">
        <v>0</v>
      </c>
      <c r="Z9" s="14">
        <v>0</v>
      </c>
      <c r="AA9" s="14">
        <v>0</v>
      </c>
      <c r="AB9" s="14">
        <v>0</v>
      </c>
      <c r="AC9" s="14">
        <v>0</v>
      </c>
      <c r="AD9" s="14">
        <v>0</v>
      </c>
      <c r="AE9" s="14">
        <v>0</v>
      </c>
      <c r="AF9" s="14">
        <v>0</v>
      </c>
    </row>
    <row r="10" spans="1:32" ht="33" customHeight="1" thickBot="1">
      <c r="B10" s="165" t="s">
        <v>339</v>
      </c>
      <c r="C10" s="175" t="s">
        <v>409</v>
      </c>
      <c r="D10" s="15" t="s">
        <v>48</v>
      </c>
      <c r="E10" s="15" t="s">
        <v>49</v>
      </c>
      <c r="F10" s="1021" t="s">
        <v>967</v>
      </c>
      <c r="G10" s="14">
        <v>0</v>
      </c>
      <c r="H10" s="14">
        <v>0</v>
      </c>
      <c r="I10" s="14">
        <v>0</v>
      </c>
      <c r="J10" s="14">
        <v>0</v>
      </c>
      <c r="K10" s="14">
        <v>0</v>
      </c>
      <c r="L10" s="14">
        <v>0</v>
      </c>
      <c r="M10" s="14">
        <v>0</v>
      </c>
      <c r="N10" s="14">
        <v>0</v>
      </c>
      <c r="O10" s="14">
        <v>0</v>
      </c>
      <c r="P10" s="14">
        <v>0</v>
      </c>
      <c r="Q10" s="14">
        <v>0</v>
      </c>
      <c r="R10" s="14">
        <v>0</v>
      </c>
      <c r="S10" s="14">
        <v>0</v>
      </c>
      <c r="T10" s="14">
        <v>0</v>
      </c>
      <c r="U10" s="14">
        <v>0</v>
      </c>
      <c r="V10" s="14">
        <v>0</v>
      </c>
      <c r="W10" s="14">
        <v>0</v>
      </c>
      <c r="X10" s="14">
        <v>0</v>
      </c>
      <c r="Y10" s="14">
        <v>0</v>
      </c>
      <c r="Z10" s="14">
        <v>0</v>
      </c>
      <c r="AA10" s="14">
        <v>0</v>
      </c>
      <c r="AB10" s="14">
        <v>0</v>
      </c>
      <c r="AC10" s="14">
        <v>0</v>
      </c>
      <c r="AD10" s="14">
        <v>0</v>
      </c>
      <c r="AE10" s="14">
        <v>0</v>
      </c>
      <c r="AF10" s="14">
        <v>0</v>
      </c>
    </row>
    <row r="11" spans="1:32" ht="33" customHeight="1" thickBot="1">
      <c r="B11" s="165" t="s">
        <v>340</v>
      </c>
      <c r="C11" s="175" t="s">
        <v>409</v>
      </c>
      <c r="D11" s="15" t="s">
        <v>48</v>
      </c>
      <c r="E11" s="15" t="s">
        <v>49</v>
      </c>
      <c r="F11" s="1021" t="s">
        <v>967</v>
      </c>
      <c r="G11" s="14">
        <v>0</v>
      </c>
      <c r="H11" s="14">
        <v>0</v>
      </c>
      <c r="I11" s="14">
        <v>0</v>
      </c>
      <c r="J11" s="14">
        <v>0</v>
      </c>
      <c r="K11" s="14">
        <v>0</v>
      </c>
      <c r="L11" s="14">
        <v>0</v>
      </c>
      <c r="M11" s="14">
        <v>0</v>
      </c>
      <c r="N11" s="14">
        <v>0</v>
      </c>
      <c r="O11" s="14">
        <v>0</v>
      </c>
      <c r="P11" s="14">
        <v>0</v>
      </c>
      <c r="Q11" s="14">
        <v>0</v>
      </c>
      <c r="R11" s="14">
        <v>0</v>
      </c>
      <c r="S11" s="14">
        <v>0</v>
      </c>
      <c r="T11" s="14">
        <v>0</v>
      </c>
      <c r="U11" s="14">
        <v>0</v>
      </c>
      <c r="V11" s="14">
        <v>0</v>
      </c>
      <c r="W11" s="14">
        <v>0</v>
      </c>
      <c r="X11" s="14">
        <v>0</v>
      </c>
      <c r="Y11" s="14">
        <v>0</v>
      </c>
      <c r="Z11" s="14">
        <v>0</v>
      </c>
      <c r="AA11" s="14">
        <v>0</v>
      </c>
      <c r="AB11" s="14">
        <v>0</v>
      </c>
      <c r="AC11" s="14">
        <v>0</v>
      </c>
      <c r="AD11" s="14">
        <v>0</v>
      </c>
      <c r="AE11" s="14">
        <v>0</v>
      </c>
      <c r="AF11" s="14">
        <v>0</v>
      </c>
    </row>
    <row r="12" spans="1:32" ht="52.5" customHeight="1" thickBot="1">
      <c r="B12" s="167" t="s">
        <v>530</v>
      </c>
      <c r="C12" s="175" t="s">
        <v>409</v>
      </c>
      <c r="D12" s="15" t="s">
        <v>48</v>
      </c>
      <c r="E12" s="15" t="s">
        <v>49</v>
      </c>
      <c r="F12" s="1021" t="s">
        <v>967</v>
      </c>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row>
    <row r="13" spans="1:32" ht="15" customHeight="1">
      <c r="B13" s="315"/>
      <c r="C13" s="10"/>
      <c r="D13" s="26"/>
      <c r="E13" s="215"/>
      <c r="F13" s="215"/>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ht="15" customHeight="1">
      <c r="C14" s="10"/>
      <c r="D14" s="26"/>
      <c r="E14" s="215"/>
      <c r="F14" s="215"/>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row>
    <row r="15" spans="1:32" ht="15" customHeight="1">
      <c r="C15" s="10"/>
      <c r="D15" s="26"/>
      <c r="E15" s="215"/>
      <c r="F15" s="215"/>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row>
    <row r="16" spans="1:32" ht="15" customHeight="1">
      <c r="C16" s="10"/>
      <c r="D16" s="26"/>
      <c r="E16" s="215"/>
      <c r="F16" s="215"/>
      <c r="G16" s="203"/>
      <c r="H16" s="203"/>
      <c r="I16" s="203"/>
      <c r="J16" s="203"/>
      <c r="K16" s="203"/>
      <c r="L16" s="203"/>
      <c r="M16" s="203"/>
      <c r="N16" s="203"/>
      <c r="O16" s="203"/>
      <c r="P16" s="203"/>
      <c r="Q16" s="203"/>
      <c r="R16" s="203"/>
      <c r="S16" s="203"/>
      <c r="T16" s="203"/>
      <c r="U16" s="203"/>
      <c r="V16" s="203"/>
      <c r="W16" s="203"/>
      <c r="X16" s="203"/>
      <c r="Y16" s="203"/>
      <c r="Z16" s="203"/>
      <c r="AA16" s="203"/>
      <c r="AB16" s="203"/>
      <c r="AC16" s="203"/>
      <c r="AD16" s="203"/>
      <c r="AE16" s="203"/>
      <c r="AF16" s="203"/>
    </row>
    <row r="17" spans="3:32" ht="15" customHeight="1">
      <c r="C17" s="10"/>
      <c r="D17" s="26"/>
      <c r="E17" s="215"/>
      <c r="F17" s="215"/>
      <c r="G17" s="203"/>
      <c r="H17" s="203"/>
      <c r="I17" s="203"/>
      <c r="J17" s="203"/>
      <c r="K17" s="203"/>
      <c r="L17" s="203"/>
      <c r="M17" s="203"/>
      <c r="N17" s="203"/>
      <c r="O17" s="203"/>
      <c r="P17" s="203"/>
      <c r="Q17" s="203"/>
      <c r="R17" s="203"/>
      <c r="S17" s="203"/>
      <c r="T17" s="203"/>
      <c r="U17" s="203"/>
      <c r="V17" s="203"/>
      <c r="W17" s="203"/>
      <c r="X17" s="203"/>
      <c r="Y17" s="203"/>
      <c r="Z17" s="203"/>
      <c r="AA17" s="203"/>
      <c r="AB17" s="203"/>
      <c r="AC17" s="203"/>
      <c r="AD17" s="203"/>
      <c r="AE17" s="203"/>
      <c r="AF17" s="203"/>
    </row>
    <row r="18" spans="3:32" ht="15" customHeight="1">
      <c r="C18" s="10"/>
      <c r="D18" s="26"/>
      <c r="E18" s="215"/>
      <c r="F18" s="215"/>
      <c r="G18" s="203"/>
      <c r="H18" s="203"/>
      <c r="I18" s="20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3:32" ht="15" customHeight="1">
      <c r="C19" s="10"/>
      <c r="D19" s="26"/>
      <c r="E19" s="215"/>
      <c r="F19" s="215"/>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3:32" ht="15" customHeight="1">
      <c r="C20" s="10"/>
      <c r="D20" s="26"/>
      <c r="E20" s="215"/>
      <c r="F20" s="215"/>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3:32" ht="15" customHeight="1">
      <c r="C21" s="10"/>
      <c r="D21" s="26"/>
      <c r="E21" s="215"/>
      <c r="F21" s="215"/>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3:32" ht="15" customHeight="1">
      <c r="C22" s="10"/>
      <c r="D22" s="26"/>
      <c r="E22" s="215"/>
      <c r="F22" s="215"/>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3:32" ht="15" customHeight="1">
      <c r="C23" s="10"/>
      <c r="D23" s="26"/>
      <c r="E23" s="215"/>
      <c r="F23" s="215"/>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3:32" ht="15" customHeight="1">
      <c r="C24" s="10"/>
      <c r="D24" s="26"/>
      <c r="E24" s="215"/>
      <c r="F24" s="215"/>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3:32" ht="15" customHeight="1">
      <c r="C25" s="10"/>
      <c r="D25" s="26"/>
      <c r="E25" s="215"/>
      <c r="F25" s="215"/>
      <c r="G25" s="644"/>
      <c r="H25" s="644"/>
      <c r="I25" s="644"/>
      <c r="J25" s="644"/>
      <c r="K25" s="645"/>
      <c r="L25" s="203"/>
      <c r="M25" s="203"/>
      <c r="N25" s="203"/>
      <c r="O25" s="203"/>
      <c r="P25" s="203"/>
      <c r="Q25" s="203"/>
      <c r="R25" s="203"/>
      <c r="S25" s="203"/>
      <c r="T25" s="203"/>
      <c r="U25" s="203"/>
      <c r="V25" s="203"/>
      <c r="W25" s="203"/>
      <c r="X25" s="203"/>
      <c r="Y25" s="203"/>
      <c r="Z25" s="203"/>
      <c r="AA25" s="203"/>
      <c r="AB25" s="203"/>
      <c r="AC25" s="203"/>
      <c r="AD25" s="203"/>
      <c r="AE25" s="203"/>
      <c r="AF25" s="203"/>
    </row>
    <row r="26" spans="3:32" ht="15" customHeight="1">
      <c r="C26" s="10"/>
      <c r="D26" s="26"/>
      <c r="E26" s="215"/>
      <c r="F26" s="215"/>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3:32" ht="15" customHeight="1">
      <c r="C27" s="10"/>
      <c r="D27" s="26"/>
      <c r="E27" s="215"/>
      <c r="F27" s="215"/>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3:32" ht="15" customHeight="1">
      <c r="C28" s="10"/>
      <c r="D28" s="26"/>
      <c r="E28" s="215"/>
      <c r="F28" s="215"/>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3:32" ht="15" customHeight="1">
      <c r="C29" s="10"/>
      <c r="D29" s="26"/>
      <c r="E29" s="215"/>
      <c r="F29" s="215"/>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3:32" ht="15" customHeight="1">
      <c r="C30" s="10"/>
      <c r="D30" s="26"/>
      <c r="E30" s="215"/>
      <c r="F30" s="215"/>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3:32" ht="15" customHeight="1">
      <c r="C31" s="10"/>
      <c r="D31" s="26"/>
      <c r="E31" s="215"/>
      <c r="F31" s="215"/>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3:32" ht="15" customHeight="1">
      <c r="C32" s="10"/>
      <c r="D32" s="26"/>
      <c r="E32" s="215"/>
      <c r="F32" s="215"/>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2:32" ht="15" customHeight="1">
      <c r="C33" s="10"/>
      <c r="D33" s="26"/>
      <c r="E33" s="215"/>
      <c r="F33" s="215"/>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2:32" ht="15" customHeight="1">
      <c r="C34" s="10"/>
      <c r="D34" s="26"/>
      <c r="E34" s="215"/>
      <c r="F34" s="215"/>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2:32" ht="15" customHeight="1">
      <c r="C35" s="10"/>
      <c r="D35" s="26"/>
      <c r="E35" s="215"/>
      <c r="F35" s="215"/>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2:32" ht="15" customHeight="1">
      <c r="C36" s="10"/>
      <c r="D36" s="26"/>
      <c r="E36" s="215"/>
      <c r="F36" s="215"/>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2:32" ht="15" customHeight="1">
      <c r="C37" s="10"/>
      <c r="D37" s="26"/>
      <c r="E37" s="215"/>
      <c r="F37" s="215"/>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2:32" ht="15" customHeight="1">
      <c r="C38" s="10"/>
    </row>
    <row r="39" spans="2:32" ht="15" customHeight="1">
      <c r="B39" s="315"/>
      <c r="C39" s="10"/>
      <c r="D39" s="26"/>
      <c r="E39" s="215"/>
      <c r="F39" s="215"/>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2:32" ht="15" customHeight="1">
      <c r="C40" s="10"/>
      <c r="D40" s="26"/>
      <c r="E40" s="215"/>
      <c r="F40" s="215"/>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2:32" ht="15" customHeight="1">
      <c r="C41" s="10"/>
      <c r="D41" s="26"/>
      <c r="E41" s="215"/>
      <c r="F41" s="215"/>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row r="42" spans="2:32" ht="15" customHeight="1">
      <c r="C42" s="10"/>
      <c r="D42" s="26"/>
      <c r="E42" s="215"/>
      <c r="F42" s="215"/>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row>
    <row r="43" spans="2:32" ht="15" customHeight="1">
      <c r="C43" s="10"/>
      <c r="D43" s="26"/>
      <c r="E43" s="215"/>
      <c r="F43" s="215"/>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row>
    <row r="44" spans="2:32" ht="15" customHeight="1">
      <c r="C44" s="10"/>
      <c r="D44" s="26"/>
      <c r="E44" s="215"/>
      <c r="F44" s="215"/>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row>
    <row r="45" spans="2:32" ht="15" customHeight="1">
      <c r="C45" s="10"/>
      <c r="D45" s="26"/>
      <c r="E45" s="215"/>
      <c r="F45" s="215"/>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row>
    <row r="46" spans="2:32" ht="15" customHeight="1">
      <c r="C46" s="10"/>
      <c r="D46" s="26"/>
      <c r="E46" s="215"/>
      <c r="F46" s="215"/>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row>
    <row r="47" spans="2:32" ht="15" customHeight="1">
      <c r="C47" s="10"/>
      <c r="D47" s="26"/>
      <c r="E47" s="215"/>
      <c r="F47" s="215"/>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row>
    <row r="48" spans="2:32" ht="15" customHeight="1">
      <c r="C48" s="10"/>
      <c r="D48" s="26"/>
      <c r="E48" s="215"/>
      <c r="F48" s="215"/>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row>
    <row r="49" spans="3:32" ht="15" customHeight="1">
      <c r="C49" s="10"/>
      <c r="D49" s="26"/>
      <c r="E49" s="215"/>
      <c r="F49" s="215"/>
      <c r="G49" s="203"/>
      <c r="H49" s="203"/>
      <c r="I49" s="203"/>
      <c r="J49" s="203"/>
      <c r="K49" s="203"/>
      <c r="L49" s="203"/>
      <c r="M49" s="203"/>
      <c r="N49" s="203"/>
      <c r="O49" s="203"/>
      <c r="P49" s="203"/>
      <c r="Q49" s="203"/>
      <c r="R49" s="203"/>
      <c r="S49" s="203"/>
      <c r="T49" s="203"/>
      <c r="U49" s="203"/>
      <c r="V49" s="203"/>
      <c r="W49" s="203"/>
      <c r="X49" s="203"/>
      <c r="Y49" s="203"/>
      <c r="Z49" s="203"/>
      <c r="AA49" s="203"/>
      <c r="AB49" s="203"/>
      <c r="AC49" s="203"/>
      <c r="AD49" s="203"/>
      <c r="AE49" s="203"/>
      <c r="AF49" s="203"/>
    </row>
    <row r="50" spans="3:32" ht="15" customHeight="1">
      <c r="C50" s="10"/>
      <c r="D50" s="26"/>
      <c r="E50" s="215"/>
      <c r="F50" s="215"/>
      <c r="G50" s="203"/>
      <c r="H50" s="203"/>
      <c r="I50" s="203"/>
      <c r="J50" s="203"/>
      <c r="K50" s="203"/>
      <c r="L50" s="203"/>
      <c r="M50" s="203"/>
      <c r="N50" s="203"/>
      <c r="O50" s="203"/>
      <c r="P50" s="203"/>
      <c r="Q50" s="203"/>
      <c r="R50" s="203"/>
      <c r="S50" s="203"/>
      <c r="T50" s="203"/>
      <c r="U50" s="203"/>
      <c r="V50" s="203"/>
      <c r="W50" s="203"/>
      <c r="X50" s="203"/>
      <c r="Y50" s="203"/>
      <c r="Z50" s="203"/>
      <c r="AA50" s="203"/>
      <c r="AB50" s="203"/>
      <c r="AC50" s="203"/>
      <c r="AD50" s="203"/>
      <c r="AE50" s="203"/>
      <c r="AF50" s="203"/>
    </row>
    <row r="51" spans="3:32" ht="15" customHeight="1">
      <c r="C51" s="10"/>
      <c r="D51" s="26"/>
      <c r="E51" s="215"/>
      <c r="F51" s="215"/>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row>
    <row r="52" spans="3:32" ht="15" customHeight="1">
      <c r="C52" s="10"/>
      <c r="D52" s="26"/>
      <c r="E52" s="215"/>
      <c r="F52" s="215"/>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row>
    <row r="53" spans="3:32" ht="15" customHeight="1">
      <c r="C53" s="10"/>
      <c r="D53" s="26"/>
      <c r="E53" s="215"/>
      <c r="F53" s="215"/>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row>
    <row r="54" spans="3:32" ht="15" customHeight="1">
      <c r="C54" s="10"/>
      <c r="D54" s="26"/>
      <c r="E54" s="215"/>
      <c r="F54" s="215"/>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row>
    <row r="55" spans="3:32" ht="15" customHeight="1">
      <c r="C55" s="10"/>
      <c r="D55" s="26"/>
      <c r="E55" s="215"/>
      <c r="F55" s="215"/>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row>
    <row r="56" spans="3:32" ht="15" customHeight="1">
      <c r="C56" s="10"/>
      <c r="D56" s="26"/>
      <c r="E56" s="215"/>
      <c r="F56" s="215"/>
      <c r="G56" s="203"/>
      <c r="H56" s="203"/>
      <c r="I56" s="203"/>
      <c r="J56" s="203"/>
      <c r="K56" s="203"/>
      <c r="L56" s="203"/>
      <c r="M56" s="203"/>
      <c r="N56" s="203"/>
      <c r="O56" s="203"/>
      <c r="P56" s="203"/>
      <c r="Q56" s="203"/>
      <c r="R56" s="203"/>
      <c r="S56" s="203"/>
      <c r="T56" s="203"/>
      <c r="U56" s="203"/>
      <c r="V56" s="203"/>
      <c r="W56" s="203"/>
      <c r="X56" s="203"/>
      <c r="Y56" s="203"/>
      <c r="Z56" s="203"/>
      <c r="AA56" s="203"/>
      <c r="AB56" s="203"/>
      <c r="AC56" s="203"/>
      <c r="AD56" s="203"/>
      <c r="AE56" s="203"/>
      <c r="AF56" s="203"/>
    </row>
    <row r="57" spans="3:32" ht="15" customHeight="1">
      <c r="C57" s="10"/>
      <c r="D57" s="26"/>
      <c r="E57" s="215"/>
      <c r="F57" s="215"/>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row>
    <row r="58" spans="3:32" ht="15" customHeight="1">
      <c r="C58" s="10"/>
      <c r="D58" s="26"/>
      <c r="E58" s="215"/>
      <c r="F58" s="215"/>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row>
    <row r="59" spans="3:32" ht="15" customHeight="1">
      <c r="C59" s="10"/>
      <c r="D59" s="26"/>
      <c r="E59" s="215"/>
      <c r="F59" s="215"/>
      <c r="G59" s="203"/>
      <c r="H59" s="203"/>
      <c r="I59" s="203"/>
      <c r="J59" s="203"/>
      <c r="K59" s="203"/>
      <c r="L59" s="203"/>
      <c r="M59" s="203"/>
      <c r="N59" s="203"/>
      <c r="O59" s="203"/>
      <c r="P59" s="203"/>
      <c r="Q59" s="203"/>
      <c r="R59" s="203"/>
      <c r="S59" s="203"/>
      <c r="T59" s="203"/>
      <c r="U59" s="203"/>
      <c r="V59" s="203"/>
      <c r="W59" s="203"/>
      <c r="X59" s="203"/>
      <c r="Y59" s="203"/>
      <c r="Z59" s="203"/>
      <c r="AA59" s="203"/>
      <c r="AB59" s="203"/>
      <c r="AC59" s="203"/>
      <c r="AD59" s="203"/>
      <c r="AE59" s="203"/>
      <c r="AF59" s="203"/>
    </row>
    <row r="60" spans="3:32" ht="15" customHeight="1">
      <c r="C60" s="10"/>
      <c r="D60" s="26"/>
      <c r="E60" s="215"/>
      <c r="F60" s="215"/>
      <c r="G60" s="203"/>
      <c r="H60" s="203"/>
      <c r="I60" s="203"/>
      <c r="J60" s="203"/>
      <c r="K60" s="203"/>
      <c r="L60" s="203"/>
      <c r="M60" s="203"/>
      <c r="N60" s="203"/>
      <c r="O60" s="203"/>
      <c r="P60" s="203"/>
      <c r="Q60" s="203"/>
      <c r="R60" s="203"/>
      <c r="S60" s="203"/>
      <c r="T60" s="203"/>
      <c r="U60" s="203"/>
      <c r="V60" s="203"/>
      <c r="W60" s="203"/>
      <c r="X60" s="203"/>
      <c r="Y60" s="203"/>
      <c r="Z60" s="203"/>
      <c r="AA60" s="203"/>
      <c r="AB60" s="203"/>
      <c r="AC60" s="203"/>
      <c r="AD60" s="203"/>
      <c r="AE60" s="203"/>
      <c r="AF60" s="203"/>
    </row>
    <row r="61" spans="3:32" ht="15" customHeight="1">
      <c r="C61" s="10"/>
      <c r="D61" s="26"/>
      <c r="E61" s="215"/>
      <c r="F61" s="215"/>
      <c r="G61" s="203"/>
      <c r="H61" s="203"/>
      <c r="I61" s="203"/>
      <c r="J61" s="203"/>
      <c r="K61" s="203"/>
      <c r="L61" s="203"/>
      <c r="M61" s="203"/>
      <c r="N61" s="203"/>
      <c r="O61" s="203"/>
      <c r="P61" s="203"/>
      <c r="Q61" s="203"/>
      <c r="R61" s="203"/>
      <c r="S61" s="203"/>
      <c r="T61" s="203"/>
      <c r="U61" s="203"/>
      <c r="V61" s="203"/>
      <c r="W61" s="203"/>
      <c r="X61" s="203"/>
      <c r="Y61" s="203"/>
      <c r="Z61" s="203"/>
      <c r="AA61" s="203"/>
      <c r="AB61" s="203"/>
      <c r="AC61" s="203"/>
      <c r="AD61" s="203"/>
      <c r="AE61" s="203"/>
      <c r="AF61" s="203"/>
    </row>
    <row r="62" spans="3:32" ht="15" customHeight="1">
      <c r="C62" s="10"/>
      <c r="D62" s="26"/>
      <c r="E62" s="215"/>
      <c r="F62" s="215"/>
      <c r="G62" s="203"/>
      <c r="H62" s="203"/>
      <c r="I62" s="203"/>
      <c r="J62" s="203"/>
      <c r="K62" s="203"/>
      <c r="L62" s="203"/>
      <c r="M62" s="203"/>
      <c r="N62" s="203"/>
      <c r="O62" s="203"/>
      <c r="P62" s="203"/>
      <c r="Q62" s="203"/>
      <c r="R62" s="203"/>
      <c r="S62" s="203"/>
      <c r="T62" s="203"/>
      <c r="U62" s="203"/>
      <c r="V62" s="203"/>
      <c r="W62" s="203"/>
      <c r="X62" s="203"/>
      <c r="Y62" s="203"/>
      <c r="Z62" s="203"/>
      <c r="AA62" s="203"/>
      <c r="AB62" s="203"/>
      <c r="AC62" s="203"/>
      <c r="AD62" s="203"/>
      <c r="AE62" s="203"/>
      <c r="AF62" s="203"/>
    </row>
    <row r="63" spans="3:32" ht="15" customHeight="1">
      <c r="C63" s="10"/>
      <c r="D63" s="26"/>
      <c r="E63" s="215"/>
      <c r="F63" s="215"/>
      <c r="G63" s="203"/>
      <c r="H63" s="203"/>
      <c r="I63" s="203"/>
      <c r="J63" s="203"/>
      <c r="K63" s="203"/>
      <c r="L63" s="203"/>
      <c r="M63" s="203"/>
      <c r="N63" s="203"/>
      <c r="O63" s="203"/>
      <c r="P63" s="203"/>
      <c r="Q63" s="203"/>
      <c r="R63" s="203"/>
      <c r="S63" s="203"/>
      <c r="T63" s="203"/>
      <c r="U63" s="203"/>
      <c r="V63" s="203"/>
      <c r="W63" s="203"/>
      <c r="X63" s="203"/>
      <c r="Y63" s="203"/>
      <c r="Z63" s="203"/>
      <c r="AA63" s="203"/>
      <c r="AB63" s="203"/>
      <c r="AC63" s="203"/>
      <c r="AD63" s="203"/>
      <c r="AE63" s="203"/>
      <c r="AF63" s="203"/>
    </row>
    <row r="64" spans="3:32" ht="15" customHeight="1">
      <c r="C64" s="10"/>
    </row>
    <row r="65" spans="2:32" ht="15" customHeight="1">
      <c r="B65" s="315"/>
      <c r="C65" s="10"/>
      <c r="D65" s="26"/>
      <c r="E65" s="215"/>
      <c r="F65" s="215"/>
      <c r="G65" s="203"/>
      <c r="H65" s="203"/>
      <c r="I65" s="203"/>
      <c r="J65" s="203"/>
      <c r="K65" s="203"/>
      <c r="L65" s="203"/>
      <c r="M65" s="203"/>
      <c r="N65" s="203"/>
      <c r="O65" s="203"/>
      <c r="P65" s="203"/>
      <c r="Q65" s="203"/>
      <c r="R65" s="203"/>
      <c r="S65" s="203"/>
      <c r="T65" s="203"/>
      <c r="U65" s="203"/>
      <c r="V65" s="203"/>
      <c r="W65" s="203"/>
      <c r="X65" s="203"/>
      <c r="Y65" s="203"/>
      <c r="Z65" s="203"/>
      <c r="AA65" s="203"/>
      <c r="AB65" s="203"/>
      <c r="AC65" s="203"/>
      <c r="AD65" s="203"/>
      <c r="AE65" s="203"/>
      <c r="AF65" s="203"/>
    </row>
    <row r="66" spans="2:32" ht="15" customHeight="1">
      <c r="C66" s="10"/>
      <c r="D66" s="26"/>
      <c r="E66" s="215"/>
      <c r="F66" s="215"/>
      <c r="G66" s="203"/>
      <c r="H66" s="203"/>
      <c r="I66" s="203"/>
      <c r="J66" s="203"/>
      <c r="K66" s="203"/>
      <c r="L66" s="203"/>
      <c r="M66" s="203"/>
      <c r="N66" s="203"/>
      <c r="O66" s="203"/>
      <c r="P66" s="203"/>
      <c r="Q66" s="203"/>
      <c r="R66" s="203"/>
      <c r="S66" s="203"/>
      <c r="T66" s="203"/>
      <c r="U66" s="203"/>
      <c r="V66" s="203"/>
      <c r="W66" s="203"/>
      <c r="X66" s="203"/>
      <c r="Y66" s="203"/>
      <c r="Z66" s="203"/>
      <c r="AA66" s="203"/>
      <c r="AB66" s="203"/>
      <c r="AC66" s="203"/>
      <c r="AD66" s="203"/>
      <c r="AE66" s="203"/>
      <c r="AF66" s="203"/>
    </row>
    <row r="67" spans="2:32" ht="15" customHeight="1">
      <c r="C67" s="10"/>
      <c r="D67" s="26"/>
      <c r="E67" s="215"/>
      <c r="F67" s="215"/>
      <c r="G67" s="203"/>
      <c r="H67" s="203"/>
      <c r="I67" s="203"/>
      <c r="J67" s="203"/>
      <c r="K67" s="203"/>
      <c r="L67" s="203"/>
      <c r="M67" s="203"/>
      <c r="N67" s="203"/>
      <c r="O67" s="203"/>
      <c r="P67" s="203"/>
      <c r="Q67" s="203"/>
      <c r="R67" s="203"/>
      <c r="S67" s="203"/>
      <c r="T67" s="203"/>
      <c r="U67" s="203"/>
      <c r="V67" s="203"/>
      <c r="W67" s="203"/>
      <c r="X67" s="203"/>
      <c r="Y67" s="203"/>
      <c r="Z67" s="203"/>
      <c r="AA67" s="203"/>
      <c r="AB67" s="203"/>
      <c r="AC67" s="203"/>
      <c r="AD67" s="203"/>
      <c r="AE67" s="203"/>
      <c r="AF67" s="203"/>
    </row>
    <row r="68" spans="2:32" ht="15" customHeight="1">
      <c r="C68" s="10"/>
      <c r="D68" s="26"/>
      <c r="E68" s="215"/>
      <c r="F68" s="215"/>
      <c r="G68" s="203"/>
      <c r="H68" s="203"/>
      <c r="I68" s="203"/>
      <c r="J68" s="203"/>
      <c r="K68" s="203"/>
      <c r="L68" s="203"/>
      <c r="M68" s="203"/>
      <c r="N68" s="203"/>
      <c r="O68" s="203"/>
      <c r="P68" s="203"/>
      <c r="Q68" s="203"/>
      <c r="R68" s="203"/>
      <c r="S68" s="203"/>
      <c r="T68" s="203"/>
      <c r="U68" s="203"/>
      <c r="V68" s="203"/>
      <c r="W68" s="203"/>
      <c r="X68" s="203"/>
      <c r="Y68" s="203"/>
      <c r="Z68" s="203"/>
      <c r="AA68" s="203"/>
      <c r="AB68" s="203"/>
      <c r="AC68" s="203"/>
      <c r="AD68" s="203"/>
      <c r="AE68" s="203"/>
      <c r="AF68" s="203"/>
    </row>
    <row r="69" spans="2:32" ht="15" customHeight="1">
      <c r="C69" s="10"/>
      <c r="D69" s="26"/>
      <c r="E69" s="215"/>
      <c r="F69" s="215"/>
      <c r="G69" s="203"/>
      <c r="H69" s="203"/>
      <c r="I69" s="203"/>
      <c r="J69" s="203"/>
      <c r="K69" s="203"/>
      <c r="L69" s="203"/>
      <c r="M69" s="203"/>
      <c r="N69" s="203"/>
      <c r="O69" s="203"/>
      <c r="P69" s="203"/>
      <c r="Q69" s="203"/>
      <c r="R69" s="203"/>
      <c r="S69" s="203"/>
      <c r="T69" s="203"/>
      <c r="U69" s="203"/>
      <c r="V69" s="203"/>
      <c r="W69" s="203"/>
      <c r="X69" s="203"/>
      <c r="Y69" s="203"/>
      <c r="Z69" s="203"/>
      <c r="AA69" s="203"/>
      <c r="AB69" s="203"/>
      <c r="AC69" s="203"/>
      <c r="AD69" s="203"/>
      <c r="AE69" s="203"/>
      <c r="AF69" s="203"/>
    </row>
    <row r="70" spans="2:32" ht="15" customHeight="1">
      <c r="C70" s="10"/>
      <c r="D70" s="26"/>
      <c r="E70" s="215"/>
      <c r="F70" s="215"/>
      <c r="G70" s="203"/>
      <c r="H70" s="203"/>
      <c r="I70" s="203"/>
      <c r="J70" s="203"/>
      <c r="K70" s="203"/>
      <c r="L70" s="203"/>
      <c r="M70" s="203"/>
      <c r="N70" s="203"/>
      <c r="O70" s="203"/>
      <c r="P70" s="203"/>
      <c r="Q70" s="203"/>
      <c r="R70" s="203"/>
      <c r="S70" s="203"/>
      <c r="T70" s="203"/>
      <c r="U70" s="203"/>
      <c r="V70" s="203"/>
      <c r="W70" s="203"/>
      <c r="X70" s="203"/>
      <c r="Y70" s="203"/>
      <c r="Z70" s="203"/>
      <c r="AA70" s="203"/>
      <c r="AB70" s="203"/>
      <c r="AC70" s="203"/>
      <c r="AD70" s="203"/>
      <c r="AE70" s="203"/>
      <c r="AF70" s="203"/>
    </row>
    <row r="71" spans="2:32" ht="15" customHeight="1">
      <c r="C71" s="10"/>
      <c r="D71" s="26"/>
      <c r="E71" s="215"/>
      <c r="F71" s="215"/>
      <c r="G71" s="203"/>
      <c r="H71" s="203"/>
      <c r="I71" s="203"/>
      <c r="J71" s="203"/>
      <c r="K71" s="203"/>
      <c r="L71" s="203"/>
      <c r="M71" s="203"/>
      <c r="N71" s="203"/>
      <c r="O71" s="203"/>
      <c r="P71" s="203"/>
      <c r="Q71" s="203"/>
      <c r="R71" s="203"/>
      <c r="S71" s="203"/>
      <c r="T71" s="203"/>
      <c r="U71" s="203"/>
      <c r="V71" s="203"/>
      <c r="W71" s="203"/>
      <c r="X71" s="203"/>
      <c r="Y71" s="203"/>
      <c r="Z71" s="203"/>
      <c r="AA71" s="203"/>
      <c r="AB71" s="203"/>
      <c r="AC71" s="203"/>
      <c r="AD71" s="203"/>
      <c r="AE71" s="203"/>
      <c r="AF71" s="203"/>
    </row>
    <row r="72" spans="2:32" ht="15" customHeight="1">
      <c r="C72" s="10"/>
      <c r="D72" s="26"/>
      <c r="E72" s="215"/>
      <c r="F72" s="215"/>
      <c r="G72" s="203"/>
      <c r="H72" s="203"/>
      <c r="I72" s="203"/>
      <c r="J72" s="203"/>
      <c r="K72" s="203"/>
      <c r="L72" s="203"/>
      <c r="M72" s="203"/>
      <c r="N72" s="203"/>
      <c r="O72" s="203"/>
      <c r="P72" s="203"/>
      <c r="Q72" s="203"/>
      <c r="R72" s="203"/>
      <c r="S72" s="203"/>
      <c r="T72" s="203"/>
      <c r="U72" s="203"/>
      <c r="V72" s="203"/>
      <c r="W72" s="203"/>
      <c r="X72" s="203"/>
      <c r="Y72" s="203"/>
      <c r="Z72" s="203"/>
      <c r="AA72" s="203"/>
      <c r="AB72" s="203"/>
      <c r="AC72" s="203"/>
      <c r="AD72" s="203"/>
      <c r="AE72" s="203"/>
      <c r="AF72" s="203"/>
    </row>
    <row r="73" spans="2:32" ht="15" customHeight="1">
      <c r="C73" s="10"/>
      <c r="D73" s="26"/>
      <c r="E73" s="215"/>
      <c r="F73" s="215"/>
      <c r="G73" s="203"/>
      <c r="H73" s="203"/>
      <c r="I73" s="203"/>
      <c r="J73" s="203"/>
      <c r="K73" s="203"/>
      <c r="L73" s="203"/>
      <c r="M73" s="203"/>
      <c r="N73" s="203"/>
      <c r="O73" s="203"/>
      <c r="P73" s="203"/>
      <c r="Q73" s="203"/>
      <c r="R73" s="203"/>
      <c r="S73" s="203"/>
      <c r="T73" s="203"/>
      <c r="U73" s="203"/>
      <c r="V73" s="203"/>
      <c r="W73" s="203"/>
      <c r="X73" s="203"/>
      <c r="Y73" s="203"/>
      <c r="Z73" s="203"/>
      <c r="AA73" s="203"/>
      <c r="AB73" s="203"/>
      <c r="AC73" s="203"/>
      <c r="AD73" s="203"/>
      <c r="AE73" s="203"/>
      <c r="AF73" s="203"/>
    </row>
    <row r="74" spans="2:32" ht="15" customHeight="1">
      <c r="C74" s="10"/>
      <c r="D74" s="26"/>
      <c r="E74" s="215"/>
      <c r="F74" s="215"/>
      <c r="G74" s="203"/>
      <c r="H74" s="203"/>
      <c r="I74" s="203"/>
      <c r="J74" s="203"/>
      <c r="K74" s="203"/>
      <c r="L74" s="203"/>
      <c r="M74" s="203"/>
      <c r="N74" s="203"/>
      <c r="O74" s="203"/>
      <c r="P74" s="203"/>
      <c r="Q74" s="203"/>
      <c r="R74" s="203"/>
      <c r="S74" s="203"/>
      <c r="T74" s="203"/>
      <c r="U74" s="203"/>
      <c r="V74" s="203"/>
      <c r="W74" s="203"/>
      <c r="X74" s="203"/>
      <c r="Y74" s="203"/>
      <c r="Z74" s="203"/>
      <c r="AA74" s="203"/>
      <c r="AB74" s="203"/>
      <c r="AC74" s="203"/>
      <c r="AD74" s="203"/>
      <c r="AE74" s="203"/>
      <c r="AF74" s="203"/>
    </row>
    <row r="75" spans="2:32" ht="15" customHeight="1">
      <c r="C75" s="10"/>
      <c r="D75" s="26"/>
      <c r="E75" s="215"/>
      <c r="F75" s="215"/>
      <c r="G75" s="203"/>
      <c r="H75" s="203"/>
      <c r="I75" s="203"/>
      <c r="J75" s="203"/>
      <c r="K75" s="203"/>
      <c r="L75" s="203"/>
      <c r="M75" s="203"/>
      <c r="N75" s="203"/>
      <c r="O75" s="203"/>
      <c r="P75" s="203"/>
      <c r="Q75" s="203"/>
      <c r="R75" s="203"/>
      <c r="S75" s="203"/>
      <c r="T75" s="203"/>
      <c r="U75" s="203"/>
      <c r="V75" s="203"/>
      <c r="W75" s="203"/>
      <c r="X75" s="203"/>
      <c r="Y75" s="203"/>
      <c r="Z75" s="203"/>
      <c r="AA75" s="203"/>
      <c r="AB75" s="203"/>
      <c r="AC75" s="203"/>
      <c r="AD75" s="203"/>
      <c r="AE75" s="203"/>
      <c r="AF75" s="203"/>
    </row>
    <row r="76" spans="2:32" ht="15" customHeight="1">
      <c r="C76" s="10"/>
      <c r="D76" s="26"/>
      <c r="E76" s="215"/>
      <c r="F76" s="215"/>
      <c r="G76" s="203"/>
      <c r="H76" s="203"/>
      <c r="I76" s="203"/>
      <c r="J76" s="203"/>
      <c r="K76" s="203"/>
      <c r="L76" s="203"/>
      <c r="M76" s="203"/>
      <c r="N76" s="203"/>
      <c r="O76" s="203"/>
      <c r="P76" s="203"/>
      <c r="Q76" s="203"/>
      <c r="R76" s="203"/>
      <c r="S76" s="203"/>
      <c r="T76" s="203"/>
      <c r="U76" s="203"/>
      <c r="V76" s="203"/>
      <c r="W76" s="203"/>
      <c r="X76" s="203"/>
      <c r="Y76" s="203"/>
      <c r="Z76" s="203"/>
      <c r="AA76" s="203"/>
      <c r="AB76" s="203"/>
      <c r="AC76" s="203"/>
      <c r="AD76" s="203"/>
      <c r="AE76" s="203"/>
      <c r="AF76" s="203"/>
    </row>
    <row r="77" spans="2:32" ht="15" customHeight="1">
      <c r="C77" s="10"/>
      <c r="D77" s="26"/>
      <c r="E77" s="215"/>
      <c r="F77" s="215"/>
      <c r="G77" s="203"/>
      <c r="H77" s="203"/>
      <c r="I77" s="203"/>
      <c r="J77" s="203"/>
      <c r="K77" s="203"/>
      <c r="L77" s="203"/>
      <c r="M77" s="203"/>
      <c r="N77" s="203"/>
      <c r="O77" s="203"/>
      <c r="P77" s="203"/>
      <c r="Q77" s="203"/>
      <c r="R77" s="203"/>
      <c r="S77" s="203"/>
      <c r="T77" s="203"/>
      <c r="U77" s="203"/>
      <c r="V77" s="203"/>
      <c r="W77" s="203"/>
      <c r="X77" s="203"/>
      <c r="Y77" s="203"/>
      <c r="Z77" s="203"/>
      <c r="AA77" s="203"/>
      <c r="AB77" s="203"/>
      <c r="AC77" s="203"/>
      <c r="AD77" s="203"/>
      <c r="AE77" s="203"/>
      <c r="AF77" s="203"/>
    </row>
    <row r="78" spans="2:32" ht="15" customHeight="1">
      <c r="C78" s="10"/>
      <c r="D78" s="26"/>
      <c r="E78" s="215"/>
      <c r="F78" s="215"/>
      <c r="G78" s="203"/>
      <c r="H78" s="203"/>
      <c r="I78" s="203"/>
      <c r="J78" s="203"/>
      <c r="K78" s="203"/>
      <c r="L78" s="203"/>
      <c r="M78" s="203"/>
      <c r="N78" s="203"/>
      <c r="O78" s="203"/>
      <c r="P78" s="203"/>
      <c r="Q78" s="203"/>
      <c r="R78" s="203"/>
      <c r="S78" s="203"/>
      <c r="T78" s="203"/>
      <c r="U78" s="203"/>
      <c r="V78" s="203"/>
      <c r="W78" s="203"/>
      <c r="X78" s="203"/>
      <c r="Y78" s="203"/>
      <c r="Z78" s="203"/>
      <c r="AA78" s="203"/>
      <c r="AB78" s="203"/>
      <c r="AC78" s="203"/>
      <c r="AD78" s="203"/>
      <c r="AE78" s="203"/>
      <c r="AF78" s="203"/>
    </row>
    <row r="79" spans="2:32" ht="15" customHeight="1">
      <c r="C79" s="10"/>
      <c r="D79" s="26"/>
      <c r="E79" s="215"/>
      <c r="F79" s="215"/>
      <c r="G79" s="203"/>
      <c r="H79" s="203"/>
      <c r="I79" s="203"/>
      <c r="J79" s="203"/>
      <c r="K79" s="203"/>
      <c r="L79" s="203"/>
      <c r="M79" s="203"/>
      <c r="N79" s="203"/>
      <c r="O79" s="203"/>
      <c r="P79" s="203"/>
      <c r="Q79" s="203"/>
      <c r="R79" s="203"/>
      <c r="S79" s="203"/>
      <c r="T79" s="203"/>
      <c r="U79" s="203"/>
      <c r="V79" s="203"/>
      <c r="W79" s="203"/>
      <c r="X79" s="203"/>
      <c r="Y79" s="203"/>
      <c r="Z79" s="203"/>
      <c r="AA79" s="203"/>
      <c r="AB79" s="203"/>
      <c r="AC79" s="203"/>
      <c r="AD79" s="203"/>
      <c r="AE79" s="203"/>
      <c r="AF79" s="203"/>
    </row>
    <row r="80" spans="2:32" ht="15" customHeight="1">
      <c r="C80" s="10"/>
      <c r="D80" s="26"/>
      <c r="E80" s="215"/>
      <c r="F80" s="215"/>
      <c r="G80" s="203"/>
      <c r="H80" s="203"/>
      <c r="I80" s="203"/>
      <c r="J80" s="203"/>
      <c r="K80" s="203"/>
      <c r="L80" s="203"/>
      <c r="M80" s="203"/>
      <c r="N80" s="203"/>
      <c r="O80" s="203"/>
      <c r="P80" s="203"/>
      <c r="Q80" s="203"/>
      <c r="R80" s="203"/>
      <c r="S80" s="203"/>
      <c r="T80" s="203"/>
      <c r="U80" s="203"/>
      <c r="V80" s="203"/>
      <c r="W80" s="203"/>
      <c r="X80" s="203"/>
      <c r="Y80" s="203"/>
      <c r="Z80" s="203"/>
      <c r="AA80" s="203"/>
      <c r="AB80" s="203"/>
      <c r="AC80" s="203"/>
      <c r="AD80" s="203"/>
      <c r="AE80" s="203"/>
      <c r="AF80" s="203"/>
    </row>
    <row r="81" spans="2:32" ht="15" customHeight="1">
      <c r="C81" s="10"/>
      <c r="D81" s="26"/>
      <c r="E81" s="215"/>
      <c r="F81" s="215"/>
      <c r="G81" s="203"/>
      <c r="H81" s="203"/>
      <c r="I81" s="203"/>
      <c r="J81" s="203"/>
      <c r="K81" s="203"/>
      <c r="L81" s="203"/>
      <c r="M81" s="203"/>
      <c r="N81" s="203"/>
      <c r="O81" s="203"/>
      <c r="P81" s="203"/>
      <c r="Q81" s="203"/>
      <c r="R81" s="203"/>
      <c r="S81" s="203"/>
      <c r="T81" s="203"/>
      <c r="U81" s="203"/>
      <c r="V81" s="203"/>
      <c r="W81" s="203"/>
      <c r="X81" s="203"/>
      <c r="Y81" s="203"/>
      <c r="Z81" s="203"/>
      <c r="AA81" s="203"/>
      <c r="AB81" s="203"/>
      <c r="AC81" s="203"/>
      <c r="AD81" s="203"/>
      <c r="AE81" s="203"/>
      <c r="AF81" s="203"/>
    </row>
    <row r="82" spans="2:32" ht="15" customHeight="1">
      <c r="C82" s="10"/>
      <c r="D82" s="26"/>
      <c r="E82" s="215"/>
      <c r="F82" s="215"/>
      <c r="G82" s="203"/>
      <c r="H82" s="203"/>
      <c r="I82" s="203"/>
      <c r="J82" s="203"/>
      <c r="K82" s="203"/>
      <c r="L82" s="203"/>
      <c r="M82" s="203"/>
      <c r="N82" s="203"/>
      <c r="O82" s="203"/>
      <c r="P82" s="203"/>
      <c r="Q82" s="203"/>
      <c r="R82" s="203"/>
      <c r="S82" s="203"/>
      <c r="T82" s="203"/>
      <c r="U82" s="203"/>
      <c r="V82" s="203"/>
      <c r="W82" s="203"/>
      <c r="X82" s="203"/>
      <c r="Y82" s="203"/>
      <c r="Z82" s="203"/>
      <c r="AA82" s="203"/>
      <c r="AB82" s="203"/>
      <c r="AC82" s="203"/>
      <c r="AD82" s="203"/>
      <c r="AE82" s="203"/>
      <c r="AF82" s="203"/>
    </row>
    <row r="83" spans="2:32" ht="15" customHeight="1">
      <c r="C83" s="10"/>
      <c r="D83" s="26"/>
      <c r="E83" s="215"/>
      <c r="F83" s="215"/>
      <c r="G83" s="203"/>
      <c r="H83" s="203"/>
      <c r="I83" s="203"/>
      <c r="J83" s="203"/>
      <c r="K83" s="203"/>
      <c r="L83" s="203"/>
      <c r="M83" s="203"/>
      <c r="N83" s="203"/>
      <c r="O83" s="203"/>
      <c r="P83" s="203"/>
      <c r="Q83" s="203"/>
      <c r="R83" s="203"/>
      <c r="S83" s="203"/>
      <c r="T83" s="203"/>
      <c r="U83" s="203"/>
      <c r="V83" s="203"/>
      <c r="W83" s="203"/>
      <c r="X83" s="203"/>
      <c r="Y83" s="203"/>
      <c r="Z83" s="203"/>
      <c r="AA83" s="203"/>
      <c r="AB83" s="203"/>
      <c r="AC83" s="203"/>
      <c r="AD83" s="203"/>
      <c r="AE83" s="203"/>
      <c r="AF83" s="203"/>
    </row>
    <row r="84" spans="2:32" ht="15" customHeight="1">
      <c r="C84" s="10"/>
      <c r="D84" s="26"/>
      <c r="E84" s="215"/>
      <c r="F84" s="215"/>
      <c r="G84" s="203"/>
      <c r="H84" s="203"/>
      <c r="I84" s="203"/>
      <c r="J84" s="203"/>
      <c r="K84" s="203"/>
      <c r="L84" s="203"/>
      <c r="M84" s="203"/>
      <c r="N84" s="203"/>
      <c r="O84" s="203"/>
      <c r="P84" s="203"/>
      <c r="Q84" s="203"/>
      <c r="R84" s="203"/>
      <c r="S84" s="203"/>
      <c r="T84" s="203"/>
      <c r="U84" s="203"/>
      <c r="V84" s="203"/>
      <c r="W84" s="203"/>
      <c r="X84" s="203"/>
      <c r="Y84" s="203"/>
      <c r="Z84" s="203"/>
      <c r="AA84" s="203"/>
      <c r="AB84" s="203"/>
      <c r="AC84" s="203"/>
      <c r="AD84" s="203"/>
      <c r="AE84" s="203"/>
      <c r="AF84" s="203"/>
    </row>
    <row r="85" spans="2:32" ht="15" customHeight="1">
      <c r="C85" s="10"/>
      <c r="D85" s="26"/>
      <c r="E85" s="215"/>
      <c r="F85" s="215"/>
      <c r="G85" s="203"/>
      <c r="H85" s="203"/>
      <c r="I85" s="203"/>
      <c r="J85" s="203"/>
      <c r="K85" s="203"/>
      <c r="L85" s="203"/>
      <c r="M85" s="203"/>
      <c r="N85" s="203"/>
      <c r="O85" s="203"/>
      <c r="P85" s="203"/>
      <c r="Q85" s="203"/>
      <c r="R85" s="203"/>
      <c r="S85" s="203"/>
      <c r="T85" s="203"/>
      <c r="U85" s="203"/>
      <c r="V85" s="203"/>
      <c r="W85" s="203"/>
      <c r="X85" s="203"/>
      <c r="Y85" s="203"/>
      <c r="Z85" s="203"/>
      <c r="AA85" s="203"/>
      <c r="AB85" s="203"/>
      <c r="AC85" s="203"/>
      <c r="AD85" s="203"/>
      <c r="AE85" s="203"/>
      <c r="AF85" s="203"/>
    </row>
    <row r="86" spans="2:32" ht="15" customHeight="1">
      <c r="C86" s="10"/>
      <c r="D86" s="26"/>
      <c r="E86" s="215"/>
      <c r="F86" s="215"/>
      <c r="G86" s="203"/>
      <c r="H86" s="203"/>
      <c r="I86" s="203"/>
      <c r="J86" s="203"/>
      <c r="K86" s="203"/>
      <c r="L86" s="203"/>
      <c r="M86" s="203"/>
      <c r="N86" s="203"/>
      <c r="O86" s="203"/>
      <c r="P86" s="203"/>
      <c r="Q86" s="203"/>
      <c r="R86" s="203"/>
      <c r="S86" s="203"/>
      <c r="T86" s="203"/>
      <c r="U86" s="203"/>
      <c r="V86" s="203"/>
      <c r="W86" s="203"/>
      <c r="X86" s="203"/>
      <c r="Y86" s="203"/>
      <c r="Z86" s="203"/>
      <c r="AA86" s="203"/>
      <c r="AB86" s="203"/>
      <c r="AC86" s="203"/>
      <c r="AD86" s="203"/>
      <c r="AE86" s="203"/>
      <c r="AF86" s="203"/>
    </row>
    <row r="87" spans="2:32" ht="15" customHeight="1">
      <c r="C87" s="10"/>
      <c r="D87" s="26"/>
      <c r="E87" s="215"/>
      <c r="F87" s="215"/>
      <c r="G87" s="203"/>
      <c r="H87" s="203"/>
      <c r="I87" s="203"/>
      <c r="J87" s="203"/>
      <c r="K87" s="203"/>
      <c r="L87" s="203"/>
      <c r="M87" s="203"/>
      <c r="N87" s="203"/>
      <c r="O87" s="203"/>
      <c r="P87" s="203"/>
      <c r="Q87" s="203"/>
      <c r="R87" s="203"/>
      <c r="S87" s="203"/>
      <c r="T87" s="203"/>
      <c r="U87" s="203"/>
      <c r="V87" s="203"/>
      <c r="W87" s="203"/>
      <c r="X87" s="203"/>
      <c r="Y87" s="203"/>
      <c r="Z87" s="203"/>
      <c r="AA87" s="203"/>
      <c r="AB87" s="203"/>
      <c r="AC87" s="203"/>
      <c r="AD87" s="203"/>
      <c r="AE87" s="203"/>
      <c r="AF87" s="203"/>
    </row>
    <row r="88" spans="2:32" ht="15" customHeight="1">
      <c r="C88" s="10"/>
      <c r="D88" s="26"/>
      <c r="E88" s="215"/>
      <c r="F88" s="215"/>
      <c r="G88" s="203"/>
      <c r="H88" s="203"/>
      <c r="I88" s="203"/>
      <c r="J88" s="203"/>
      <c r="K88" s="203"/>
      <c r="L88" s="203"/>
      <c r="M88" s="203"/>
      <c r="N88" s="203"/>
      <c r="O88" s="203"/>
      <c r="P88" s="203"/>
      <c r="Q88" s="203"/>
      <c r="R88" s="203"/>
      <c r="S88" s="203"/>
      <c r="T88" s="203"/>
      <c r="U88" s="203"/>
      <c r="V88" s="203"/>
      <c r="W88" s="203"/>
      <c r="X88" s="203"/>
      <c r="Y88" s="203"/>
      <c r="Z88" s="203"/>
      <c r="AA88" s="203"/>
      <c r="AB88" s="203"/>
      <c r="AC88" s="203"/>
      <c r="AD88" s="203"/>
      <c r="AE88" s="203"/>
      <c r="AF88" s="203"/>
    </row>
    <row r="89" spans="2:32" ht="15" customHeight="1">
      <c r="C89" s="10"/>
      <c r="D89" s="26"/>
      <c r="E89" s="215"/>
      <c r="F89" s="215"/>
      <c r="G89" s="203"/>
      <c r="H89" s="203"/>
      <c r="I89" s="203"/>
      <c r="J89" s="203"/>
      <c r="K89" s="203"/>
      <c r="L89" s="203"/>
      <c r="M89" s="203"/>
      <c r="N89" s="203"/>
      <c r="O89" s="203"/>
      <c r="P89" s="203"/>
      <c r="Q89" s="203"/>
      <c r="R89" s="203"/>
      <c r="S89" s="203"/>
      <c r="T89" s="203"/>
      <c r="U89" s="203"/>
      <c r="V89" s="203"/>
      <c r="W89" s="203"/>
      <c r="X89" s="203"/>
      <c r="Y89" s="203"/>
      <c r="Z89" s="203"/>
      <c r="AA89" s="203"/>
      <c r="AB89" s="203"/>
      <c r="AC89" s="203"/>
      <c r="AD89" s="203"/>
      <c r="AE89" s="203"/>
      <c r="AF89" s="203"/>
    </row>
    <row r="90" spans="2:32" ht="15" customHeight="1">
      <c r="C90" s="10"/>
    </row>
    <row r="91" spans="2:32" ht="15" customHeight="1">
      <c r="B91" s="315"/>
      <c r="C91" s="10"/>
      <c r="D91" s="26"/>
      <c r="E91" s="215"/>
      <c r="F91" s="215"/>
      <c r="G91" s="203"/>
      <c r="H91" s="203"/>
      <c r="I91" s="203"/>
      <c r="J91" s="203"/>
      <c r="K91" s="203"/>
      <c r="L91" s="203"/>
      <c r="M91" s="203"/>
      <c r="N91" s="203"/>
      <c r="O91" s="203"/>
      <c r="P91" s="203"/>
      <c r="Q91" s="203"/>
      <c r="R91" s="203"/>
      <c r="S91" s="203"/>
      <c r="T91" s="203"/>
      <c r="U91" s="203"/>
      <c r="V91" s="203"/>
      <c r="W91" s="203"/>
      <c r="X91" s="203"/>
      <c r="Y91" s="203"/>
      <c r="Z91" s="203"/>
      <c r="AA91" s="203"/>
      <c r="AB91" s="203"/>
      <c r="AC91" s="203"/>
      <c r="AD91" s="203"/>
      <c r="AE91" s="203"/>
      <c r="AF91" s="203"/>
    </row>
    <row r="92" spans="2:32" ht="15" customHeight="1">
      <c r="C92" s="10"/>
      <c r="D92" s="26"/>
      <c r="E92" s="215"/>
      <c r="F92" s="215"/>
      <c r="G92" s="203"/>
      <c r="H92" s="203"/>
      <c r="I92" s="203"/>
      <c r="J92" s="203"/>
      <c r="K92" s="203"/>
      <c r="L92" s="203"/>
      <c r="M92" s="203"/>
      <c r="N92" s="203"/>
      <c r="O92" s="203"/>
      <c r="P92" s="203"/>
      <c r="Q92" s="203"/>
      <c r="R92" s="203"/>
      <c r="S92" s="203"/>
      <c r="T92" s="203"/>
      <c r="U92" s="203"/>
      <c r="V92" s="203"/>
      <c r="W92" s="203"/>
      <c r="X92" s="203"/>
      <c r="Y92" s="203"/>
      <c r="Z92" s="203"/>
      <c r="AA92" s="203"/>
      <c r="AB92" s="203"/>
      <c r="AC92" s="203"/>
      <c r="AD92" s="203"/>
      <c r="AE92" s="203"/>
      <c r="AF92" s="203"/>
    </row>
    <row r="93" spans="2:32" ht="15" customHeight="1">
      <c r="C93" s="10"/>
      <c r="D93" s="26"/>
      <c r="E93" s="215"/>
      <c r="F93" s="215"/>
      <c r="G93" s="203"/>
      <c r="H93" s="203"/>
      <c r="I93" s="203"/>
      <c r="J93" s="203"/>
      <c r="K93" s="203"/>
      <c r="L93" s="203"/>
      <c r="M93" s="203"/>
      <c r="N93" s="203"/>
      <c r="O93" s="203"/>
      <c r="P93" s="203"/>
      <c r="Q93" s="203"/>
      <c r="R93" s="203"/>
      <c r="S93" s="203"/>
      <c r="T93" s="203"/>
      <c r="U93" s="203"/>
      <c r="V93" s="203"/>
      <c r="W93" s="203"/>
      <c r="X93" s="203"/>
      <c r="Y93" s="203"/>
      <c r="Z93" s="203"/>
      <c r="AA93" s="203"/>
      <c r="AB93" s="203"/>
      <c r="AC93" s="203"/>
      <c r="AD93" s="203"/>
      <c r="AE93" s="203"/>
      <c r="AF93" s="203"/>
    </row>
    <row r="94" spans="2:32" ht="15" customHeight="1">
      <c r="C94" s="10"/>
      <c r="D94" s="26"/>
      <c r="E94" s="215"/>
      <c r="F94" s="215"/>
      <c r="G94" s="203"/>
      <c r="H94" s="203"/>
      <c r="I94" s="203"/>
      <c r="J94" s="203"/>
      <c r="K94" s="203"/>
      <c r="L94" s="203"/>
      <c r="M94" s="203"/>
      <c r="N94" s="203"/>
      <c r="O94" s="203"/>
      <c r="P94" s="203"/>
      <c r="Q94" s="203"/>
      <c r="R94" s="203"/>
      <c r="S94" s="203"/>
      <c r="T94" s="203"/>
      <c r="U94" s="203"/>
      <c r="V94" s="203"/>
      <c r="W94" s="203"/>
      <c r="X94" s="203"/>
      <c r="Y94" s="203"/>
      <c r="Z94" s="203"/>
      <c r="AA94" s="203"/>
      <c r="AB94" s="203"/>
      <c r="AC94" s="203"/>
      <c r="AD94" s="203"/>
      <c r="AE94" s="203"/>
      <c r="AF94" s="203"/>
    </row>
    <row r="95" spans="2:32" ht="15" customHeight="1">
      <c r="C95" s="10"/>
      <c r="D95" s="26"/>
      <c r="E95" s="215"/>
      <c r="F95" s="215"/>
      <c r="G95" s="203"/>
      <c r="H95" s="203"/>
      <c r="I95" s="203"/>
      <c r="J95" s="203"/>
      <c r="K95" s="203"/>
      <c r="L95" s="203"/>
      <c r="M95" s="203"/>
      <c r="N95" s="203"/>
      <c r="O95" s="203"/>
      <c r="P95" s="203"/>
      <c r="Q95" s="203"/>
      <c r="R95" s="203"/>
      <c r="S95" s="203"/>
      <c r="T95" s="203"/>
      <c r="U95" s="203"/>
      <c r="V95" s="203"/>
      <c r="W95" s="203"/>
      <c r="X95" s="203"/>
      <c r="Y95" s="203"/>
      <c r="Z95" s="203"/>
      <c r="AA95" s="203"/>
      <c r="AB95" s="203"/>
      <c r="AC95" s="203"/>
      <c r="AD95" s="203"/>
      <c r="AE95" s="203"/>
      <c r="AF95" s="203"/>
    </row>
    <row r="96" spans="2:32" ht="15" customHeight="1">
      <c r="C96" s="10"/>
      <c r="D96" s="26"/>
      <c r="E96" s="215"/>
      <c r="F96" s="215"/>
      <c r="G96" s="203"/>
      <c r="H96" s="203"/>
      <c r="I96" s="203"/>
      <c r="J96" s="203"/>
      <c r="K96" s="203"/>
      <c r="L96" s="203"/>
      <c r="M96" s="203"/>
      <c r="N96" s="203"/>
      <c r="O96" s="203"/>
      <c r="P96" s="203"/>
      <c r="Q96" s="203"/>
      <c r="R96" s="203"/>
      <c r="S96" s="203"/>
      <c r="T96" s="203"/>
      <c r="U96" s="203"/>
      <c r="V96" s="203"/>
      <c r="W96" s="203"/>
      <c r="X96" s="203"/>
      <c r="Y96" s="203"/>
      <c r="Z96" s="203"/>
      <c r="AA96" s="203"/>
      <c r="AB96" s="203"/>
      <c r="AC96" s="203"/>
      <c r="AD96" s="203"/>
      <c r="AE96" s="203"/>
      <c r="AF96" s="203"/>
    </row>
    <row r="97" spans="3:32" ht="15" customHeight="1">
      <c r="C97" s="10"/>
      <c r="D97" s="26"/>
      <c r="E97" s="215"/>
      <c r="F97" s="215"/>
      <c r="G97" s="203"/>
      <c r="H97" s="203"/>
      <c r="I97" s="203"/>
      <c r="J97" s="203"/>
      <c r="K97" s="203"/>
      <c r="L97" s="203"/>
      <c r="M97" s="203"/>
      <c r="N97" s="203"/>
      <c r="O97" s="203"/>
      <c r="P97" s="203"/>
      <c r="Q97" s="203"/>
      <c r="R97" s="203"/>
      <c r="S97" s="203"/>
      <c r="T97" s="203"/>
      <c r="U97" s="203"/>
      <c r="V97" s="203"/>
      <c r="W97" s="203"/>
      <c r="X97" s="203"/>
      <c r="Y97" s="203"/>
      <c r="Z97" s="203"/>
      <c r="AA97" s="203"/>
      <c r="AB97" s="203"/>
      <c r="AC97" s="203"/>
      <c r="AD97" s="203"/>
      <c r="AE97" s="203"/>
      <c r="AF97" s="203"/>
    </row>
    <row r="98" spans="3:32" ht="15" customHeight="1">
      <c r="C98" s="10"/>
      <c r="D98" s="26"/>
      <c r="E98" s="215"/>
      <c r="F98" s="215"/>
      <c r="G98" s="203"/>
      <c r="H98" s="203"/>
      <c r="I98" s="203"/>
      <c r="J98" s="203"/>
      <c r="K98" s="203"/>
      <c r="L98" s="203"/>
      <c r="M98" s="203"/>
      <c r="N98" s="203"/>
      <c r="O98" s="203"/>
      <c r="P98" s="203"/>
      <c r="Q98" s="203"/>
      <c r="R98" s="203"/>
      <c r="S98" s="203"/>
      <c r="T98" s="203"/>
      <c r="U98" s="203"/>
      <c r="V98" s="203"/>
      <c r="W98" s="203"/>
      <c r="X98" s="203"/>
      <c r="Y98" s="203"/>
      <c r="Z98" s="203"/>
      <c r="AA98" s="203"/>
      <c r="AB98" s="203"/>
      <c r="AC98" s="203"/>
      <c r="AD98" s="203"/>
      <c r="AE98" s="203"/>
      <c r="AF98" s="203"/>
    </row>
    <row r="99" spans="3:32" ht="15" customHeight="1">
      <c r="C99" s="10"/>
      <c r="D99" s="26"/>
      <c r="E99" s="215"/>
      <c r="F99" s="215"/>
      <c r="G99" s="203"/>
      <c r="H99" s="203"/>
      <c r="I99" s="203"/>
      <c r="J99" s="203"/>
      <c r="K99" s="203"/>
      <c r="L99" s="203"/>
      <c r="M99" s="203"/>
      <c r="N99" s="203"/>
      <c r="O99" s="203"/>
      <c r="P99" s="203"/>
      <c r="Q99" s="203"/>
      <c r="R99" s="203"/>
      <c r="S99" s="203"/>
      <c r="T99" s="203"/>
      <c r="U99" s="203"/>
      <c r="V99" s="203"/>
      <c r="W99" s="203"/>
      <c r="X99" s="203"/>
      <c r="Y99" s="203"/>
      <c r="Z99" s="203"/>
      <c r="AA99" s="203"/>
      <c r="AB99" s="203"/>
      <c r="AC99" s="203"/>
      <c r="AD99" s="203"/>
      <c r="AE99" s="203"/>
      <c r="AF99" s="203"/>
    </row>
    <row r="100" spans="3:32" ht="15" customHeight="1">
      <c r="C100" s="10"/>
      <c r="D100" s="26"/>
      <c r="E100" s="215"/>
      <c r="F100" s="215"/>
      <c r="G100" s="203"/>
      <c r="H100" s="203"/>
      <c r="I100" s="203"/>
      <c r="J100" s="203"/>
      <c r="K100" s="203"/>
      <c r="L100" s="203"/>
      <c r="M100" s="203"/>
      <c r="N100" s="203"/>
      <c r="O100" s="203"/>
      <c r="P100" s="203"/>
      <c r="Q100" s="203"/>
      <c r="R100" s="203"/>
      <c r="S100" s="203"/>
      <c r="T100" s="203"/>
      <c r="U100" s="203"/>
      <c r="V100" s="203"/>
      <c r="W100" s="203"/>
      <c r="X100" s="203"/>
      <c r="Y100" s="203"/>
      <c r="Z100" s="203"/>
      <c r="AA100" s="203"/>
      <c r="AB100" s="203"/>
      <c r="AC100" s="203"/>
      <c r="AD100" s="203"/>
      <c r="AE100" s="203"/>
      <c r="AF100" s="203"/>
    </row>
    <row r="101" spans="3:32" ht="15" customHeight="1">
      <c r="C101" s="10"/>
      <c r="D101" s="26"/>
      <c r="E101" s="215"/>
      <c r="F101" s="215"/>
      <c r="G101" s="203"/>
      <c r="H101" s="203"/>
      <c r="I101" s="203"/>
      <c r="J101" s="203"/>
      <c r="K101" s="203"/>
      <c r="L101" s="203"/>
      <c r="M101" s="203"/>
      <c r="N101" s="203"/>
      <c r="O101" s="203"/>
      <c r="P101" s="203"/>
      <c r="Q101" s="203"/>
      <c r="R101" s="203"/>
      <c r="S101" s="203"/>
      <c r="T101" s="203"/>
      <c r="U101" s="203"/>
      <c r="V101" s="203"/>
      <c r="W101" s="203"/>
      <c r="X101" s="203"/>
      <c r="Y101" s="203"/>
      <c r="Z101" s="203"/>
      <c r="AA101" s="203"/>
      <c r="AB101" s="203"/>
      <c r="AC101" s="203"/>
      <c r="AD101" s="203"/>
      <c r="AE101" s="203"/>
      <c r="AF101" s="203"/>
    </row>
    <row r="102" spans="3:32" ht="15" customHeight="1">
      <c r="C102" s="10"/>
      <c r="D102" s="26"/>
      <c r="E102" s="215"/>
      <c r="F102" s="215"/>
      <c r="G102" s="203"/>
      <c r="H102" s="203"/>
      <c r="I102" s="203"/>
      <c r="J102" s="203"/>
      <c r="K102" s="203"/>
      <c r="L102" s="203"/>
      <c r="M102" s="203"/>
      <c r="N102" s="203"/>
      <c r="O102" s="203"/>
      <c r="P102" s="203"/>
      <c r="Q102" s="203"/>
      <c r="R102" s="203"/>
      <c r="S102" s="203"/>
      <c r="T102" s="203"/>
      <c r="U102" s="203"/>
      <c r="V102" s="203"/>
      <c r="W102" s="203"/>
      <c r="X102" s="203"/>
      <c r="Y102" s="203"/>
      <c r="Z102" s="203"/>
      <c r="AA102" s="203"/>
      <c r="AB102" s="203"/>
      <c r="AC102" s="203"/>
      <c r="AD102" s="203"/>
      <c r="AE102" s="203"/>
      <c r="AF102" s="203"/>
    </row>
    <row r="103" spans="3:32" ht="15" customHeight="1">
      <c r="C103" s="10"/>
      <c r="D103" s="26"/>
      <c r="E103" s="215"/>
      <c r="F103" s="215"/>
      <c r="G103" s="203"/>
      <c r="H103" s="203"/>
      <c r="I103" s="203"/>
      <c r="J103" s="203"/>
      <c r="K103" s="203"/>
      <c r="L103" s="203"/>
      <c r="M103" s="203"/>
      <c r="N103" s="203"/>
      <c r="O103" s="203"/>
      <c r="P103" s="203"/>
      <c r="Q103" s="203"/>
      <c r="R103" s="203"/>
      <c r="S103" s="203"/>
      <c r="T103" s="203"/>
      <c r="U103" s="203"/>
      <c r="V103" s="203"/>
      <c r="W103" s="203"/>
      <c r="X103" s="203"/>
      <c r="Y103" s="203"/>
      <c r="Z103" s="203"/>
      <c r="AA103" s="203"/>
      <c r="AB103" s="203"/>
      <c r="AC103" s="203"/>
      <c r="AD103" s="203"/>
      <c r="AE103" s="203"/>
      <c r="AF103" s="203"/>
    </row>
    <row r="104" spans="3:32" ht="15" customHeight="1">
      <c r="C104" s="10"/>
      <c r="D104" s="26"/>
      <c r="E104" s="215"/>
      <c r="F104" s="215"/>
      <c r="G104" s="203"/>
      <c r="H104" s="203"/>
      <c r="I104" s="203"/>
      <c r="J104" s="203"/>
      <c r="K104" s="203"/>
      <c r="L104" s="203"/>
      <c r="M104" s="203"/>
      <c r="N104" s="203"/>
      <c r="O104" s="203"/>
      <c r="P104" s="203"/>
      <c r="Q104" s="203"/>
      <c r="R104" s="203"/>
      <c r="S104" s="203"/>
      <c r="T104" s="203"/>
      <c r="U104" s="203"/>
      <c r="V104" s="203"/>
      <c r="W104" s="203"/>
      <c r="X104" s="203"/>
      <c r="Y104" s="203"/>
      <c r="Z104" s="203"/>
      <c r="AA104" s="203"/>
      <c r="AB104" s="203"/>
      <c r="AC104" s="203"/>
      <c r="AD104" s="203"/>
      <c r="AE104" s="203"/>
      <c r="AF104" s="203"/>
    </row>
    <row r="105" spans="3:32" ht="15" customHeight="1">
      <c r="C105" s="10"/>
      <c r="D105" s="26"/>
      <c r="E105" s="215"/>
      <c r="F105" s="215"/>
      <c r="G105" s="203"/>
      <c r="H105" s="203"/>
      <c r="I105" s="203"/>
      <c r="J105" s="203"/>
      <c r="K105" s="203"/>
      <c r="L105" s="203"/>
      <c r="M105" s="203"/>
      <c r="N105" s="203"/>
      <c r="O105" s="203"/>
      <c r="P105" s="203"/>
      <c r="Q105" s="203"/>
      <c r="R105" s="203"/>
      <c r="S105" s="203"/>
      <c r="T105" s="203"/>
      <c r="U105" s="203"/>
      <c r="V105" s="203"/>
      <c r="W105" s="203"/>
      <c r="X105" s="203"/>
      <c r="Y105" s="203"/>
      <c r="Z105" s="203"/>
      <c r="AA105" s="203"/>
      <c r="AB105" s="203"/>
      <c r="AC105" s="203"/>
      <c r="AD105" s="203"/>
      <c r="AE105" s="203"/>
      <c r="AF105" s="203"/>
    </row>
    <row r="106" spans="3:32" ht="15" customHeight="1">
      <c r="C106" s="10"/>
      <c r="D106" s="26"/>
      <c r="E106" s="215"/>
      <c r="F106" s="215"/>
      <c r="G106" s="203"/>
      <c r="H106" s="203"/>
      <c r="I106" s="203"/>
      <c r="J106" s="203"/>
      <c r="K106" s="203"/>
      <c r="L106" s="203"/>
      <c r="M106" s="203"/>
      <c r="N106" s="203"/>
      <c r="O106" s="203"/>
      <c r="P106" s="203"/>
      <c r="Q106" s="203"/>
      <c r="R106" s="203"/>
      <c r="S106" s="203"/>
      <c r="T106" s="203"/>
      <c r="U106" s="203"/>
      <c r="V106" s="203"/>
      <c r="W106" s="203"/>
      <c r="X106" s="203"/>
      <c r="Y106" s="203"/>
      <c r="Z106" s="203"/>
      <c r="AA106" s="203"/>
      <c r="AB106" s="203"/>
      <c r="AC106" s="203"/>
      <c r="AD106" s="203"/>
      <c r="AE106" s="203"/>
      <c r="AF106" s="203"/>
    </row>
    <row r="107" spans="3:32" ht="15" customHeight="1">
      <c r="C107" s="10"/>
      <c r="D107" s="26"/>
      <c r="E107" s="215"/>
      <c r="F107" s="215"/>
      <c r="G107" s="203"/>
      <c r="H107" s="203"/>
      <c r="I107" s="203"/>
      <c r="J107" s="203"/>
      <c r="K107" s="203"/>
      <c r="L107" s="203"/>
      <c r="M107" s="203"/>
      <c r="N107" s="203"/>
      <c r="O107" s="203"/>
      <c r="P107" s="203"/>
      <c r="Q107" s="203"/>
      <c r="R107" s="203"/>
      <c r="S107" s="203"/>
      <c r="T107" s="203"/>
      <c r="U107" s="203"/>
      <c r="V107" s="203"/>
      <c r="W107" s="203"/>
      <c r="X107" s="203"/>
      <c r="Y107" s="203"/>
      <c r="Z107" s="203"/>
      <c r="AA107" s="203"/>
      <c r="AB107" s="203"/>
      <c r="AC107" s="203"/>
      <c r="AD107" s="203"/>
      <c r="AE107" s="203"/>
      <c r="AF107" s="203"/>
    </row>
    <row r="108" spans="3:32" ht="15" customHeight="1">
      <c r="C108" s="10"/>
      <c r="D108" s="26"/>
      <c r="E108" s="215"/>
      <c r="F108" s="215"/>
      <c r="G108" s="203"/>
      <c r="H108" s="203"/>
      <c r="I108" s="203"/>
      <c r="J108" s="203"/>
      <c r="K108" s="203"/>
      <c r="L108" s="203"/>
      <c r="M108" s="203"/>
      <c r="N108" s="203"/>
      <c r="O108" s="203"/>
      <c r="P108" s="203"/>
      <c r="Q108" s="203"/>
      <c r="R108" s="203"/>
      <c r="S108" s="203"/>
      <c r="T108" s="203"/>
      <c r="U108" s="203"/>
      <c r="V108" s="203"/>
      <c r="W108" s="203"/>
      <c r="X108" s="203"/>
      <c r="Y108" s="203"/>
      <c r="Z108" s="203"/>
      <c r="AA108" s="203"/>
      <c r="AB108" s="203"/>
      <c r="AC108" s="203"/>
      <c r="AD108" s="203"/>
      <c r="AE108" s="203"/>
      <c r="AF108" s="203"/>
    </row>
    <row r="109" spans="3:32" ht="15" customHeight="1">
      <c r="C109" s="10"/>
      <c r="D109" s="26"/>
      <c r="E109" s="215"/>
      <c r="F109" s="215"/>
      <c r="G109" s="203"/>
      <c r="H109" s="203"/>
      <c r="I109" s="203"/>
      <c r="J109" s="203"/>
      <c r="K109" s="203"/>
      <c r="L109" s="203"/>
      <c r="M109" s="203"/>
      <c r="N109" s="203"/>
      <c r="O109" s="203"/>
      <c r="P109" s="203"/>
      <c r="Q109" s="203"/>
      <c r="R109" s="203"/>
      <c r="S109" s="203"/>
      <c r="T109" s="203"/>
      <c r="U109" s="203"/>
      <c r="V109" s="203"/>
      <c r="W109" s="203"/>
      <c r="X109" s="203"/>
      <c r="Y109" s="203"/>
      <c r="Z109" s="203"/>
      <c r="AA109" s="203"/>
      <c r="AB109" s="203"/>
      <c r="AC109" s="203"/>
      <c r="AD109" s="203"/>
      <c r="AE109" s="203"/>
      <c r="AF109" s="203"/>
    </row>
    <row r="110" spans="3:32" ht="15" customHeight="1">
      <c r="C110" s="10"/>
      <c r="D110" s="26"/>
      <c r="E110" s="215"/>
      <c r="F110" s="215"/>
      <c r="G110" s="203"/>
      <c r="H110" s="203"/>
      <c r="I110" s="203"/>
      <c r="J110" s="203"/>
      <c r="K110" s="203"/>
      <c r="L110" s="203"/>
      <c r="M110" s="203"/>
      <c r="N110" s="203"/>
      <c r="O110" s="203"/>
      <c r="P110" s="203"/>
      <c r="Q110" s="203"/>
      <c r="R110" s="203"/>
      <c r="S110" s="203"/>
      <c r="T110" s="203"/>
      <c r="U110" s="203"/>
      <c r="V110" s="203"/>
      <c r="W110" s="203"/>
      <c r="X110" s="203"/>
      <c r="Y110" s="203"/>
      <c r="Z110" s="203"/>
      <c r="AA110" s="203"/>
      <c r="AB110" s="203"/>
      <c r="AC110" s="203"/>
      <c r="AD110" s="203"/>
      <c r="AE110" s="203"/>
      <c r="AF110" s="203"/>
    </row>
    <row r="111" spans="3:32" ht="15" customHeight="1">
      <c r="C111" s="10"/>
      <c r="D111" s="26"/>
      <c r="E111" s="215"/>
      <c r="F111" s="215"/>
      <c r="G111" s="203"/>
      <c r="H111" s="203"/>
      <c r="I111" s="203"/>
      <c r="J111" s="203"/>
      <c r="K111" s="203"/>
      <c r="L111" s="203"/>
      <c r="M111" s="203"/>
      <c r="N111" s="203"/>
      <c r="O111" s="203"/>
      <c r="P111" s="203"/>
      <c r="Q111" s="203"/>
      <c r="R111" s="203"/>
      <c r="S111" s="203"/>
      <c r="T111" s="203"/>
      <c r="U111" s="203"/>
      <c r="V111" s="203"/>
      <c r="W111" s="203"/>
      <c r="X111" s="203"/>
      <c r="Y111" s="203"/>
      <c r="Z111" s="203"/>
      <c r="AA111" s="203"/>
      <c r="AB111" s="203"/>
      <c r="AC111" s="203"/>
      <c r="AD111" s="203"/>
      <c r="AE111" s="203"/>
      <c r="AF111" s="203"/>
    </row>
    <row r="112" spans="3:32" ht="15" customHeight="1">
      <c r="C112" s="10"/>
      <c r="D112" s="26"/>
      <c r="E112" s="215"/>
      <c r="F112" s="215"/>
      <c r="G112" s="203"/>
      <c r="H112" s="203"/>
      <c r="I112" s="203"/>
      <c r="J112" s="203"/>
      <c r="K112" s="203"/>
      <c r="L112" s="203"/>
      <c r="M112" s="203"/>
      <c r="N112" s="203"/>
      <c r="O112" s="203"/>
      <c r="P112" s="203"/>
      <c r="Q112" s="203"/>
      <c r="R112" s="203"/>
      <c r="S112" s="203"/>
      <c r="T112" s="203"/>
      <c r="U112" s="203"/>
      <c r="V112" s="203"/>
      <c r="W112" s="203"/>
      <c r="X112" s="203"/>
      <c r="Y112" s="203"/>
      <c r="Z112" s="203"/>
      <c r="AA112" s="203"/>
      <c r="AB112" s="203"/>
      <c r="AC112" s="203"/>
      <c r="AD112" s="203"/>
      <c r="AE112" s="203"/>
      <c r="AF112" s="203"/>
    </row>
    <row r="113" spans="2:32" ht="15" customHeight="1">
      <c r="C113" s="10"/>
      <c r="D113" s="26"/>
      <c r="E113" s="215"/>
      <c r="F113" s="215"/>
      <c r="G113" s="203"/>
      <c r="H113" s="203"/>
      <c r="I113" s="203"/>
      <c r="J113" s="203"/>
      <c r="K113" s="203"/>
      <c r="L113" s="203"/>
      <c r="M113" s="203"/>
      <c r="N113" s="203"/>
      <c r="O113" s="203"/>
      <c r="P113" s="203"/>
      <c r="Q113" s="203"/>
      <c r="R113" s="203"/>
      <c r="S113" s="203"/>
      <c r="T113" s="203"/>
      <c r="U113" s="203"/>
      <c r="V113" s="203"/>
      <c r="W113" s="203"/>
      <c r="X113" s="203"/>
      <c r="Y113" s="203"/>
      <c r="Z113" s="203"/>
      <c r="AA113" s="203"/>
      <c r="AB113" s="203"/>
      <c r="AC113" s="203"/>
      <c r="AD113" s="203"/>
      <c r="AE113" s="203"/>
      <c r="AF113" s="203"/>
    </row>
    <row r="114" spans="2:32" ht="15" customHeight="1">
      <c r="C114" s="10"/>
      <c r="D114" s="26"/>
      <c r="E114" s="215"/>
      <c r="F114" s="215"/>
      <c r="G114" s="203"/>
      <c r="H114" s="203"/>
      <c r="I114" s="203"/>
      <c r="J114" s="203"/>
      <c r="K114" s="203"/>
      <c r="L114" s="203"/>
      <c r="M114" s="203"/>
      <c r="N114" s="203"/>
      <c r="O114" s="203"/>
      <c r="P114" s="203"/>
      <c r="Q114" s="203"/>
      <c r="R114" s="203"/>
      <c r="S114" s="203"/>
      <c r="T114" s="203"/>
      <c r="U114" s="203"/>
      <c r="V114" s="203"/>
      <c r="W114" s="203"/>
      <c r="X114" s="203"/>
      <c r="Y114" s="203"/>
      <c r="Z114" s="203"/>
      <c r="AA114" s="203"/>
      <c r="AB114" s="203"/>
      <c r="AC114" s="203"/>
      <c r="AD114" s="203"/>
      <c r="AE114" s="203"/>
      <c r="AF114" s="203"/>
    </row>
    <row r="115" spans="2:32" ht="15" customHeight="1">
      <c r="C115" s="10"/>
      <c r="D115" s="26"/>
      <c r="E115" s="215"/>
      <c r="F115" s="215"/>
      <c r="G115" s="203"/>
      <c r="H115" s="203"/>
      <c r="I115" s="203"/>
      <c r="J115" s="203"/>
      <c r="K115" s="203"/>
      <c r="L115" s="203"/>
      <c r="M115" s="203"/>
      <c r="N115" s="203"/>
      <c r="O115" s="203"/>
      <c r="P115" s="203"/>
      <c r="Q115" s="203"/>
      <c r="R115" s="203"/>
      <c r="S115" s="203"/>
      <c r="T115" s="203"/>
      <c r="U115" s="203"/>
      <c r="V115" s="203"/>
      <c r="W115" s="203"/>
      <c r="X115" s="203"/>
      <c r="Y115" s="203"/>
      <c r="Z115" s="203"/>
      <c r="AA115" s="203"/>
      <c r="AB115" s="203"/>
      <c r="AC115" s="203"/>
      <c r="AD115" s="203"/>
      <c r="AE115" s="203"/>
      <c r="AF115" s="203"/>
    </row>
    <row r="116" spans="2:32" ht="15" customHeight="1">
      <c r="C116" s="10"/>
    </row>
    <row r="117" spans="2:32" ht="15" customHeight="1">
      <c r="B117" s="315"/>
      <c r="C117" s="10"/>
      <c r="D117" s="26"/>
      <c r="E117" s="215"/>
      <c r="F117" s="215"/>
      <c r="G117" s="203"/>
      <c r="H117" s="203"/>
      <c r="I117" s="203"/>
      <c r="J117" s="203"/>
      <c r="K117" s="203"/>
      <c r="L117" s="203"/>
      <c r="M117" s="203"/>
      <c r="N117" s="203"/>
      <c r="O117" s="203"/>
      <c r="P117" s="203"/>
      <c r="Q117" s="203"/>
      <c r="R117" s="203"/>
      <c r="S117" s="203"/>
      <c r="T117" s="203"/>
      <c r="U117" s="203"/>
      <c r="V117" s="203"/>
      <c r="W117" s="203"/>
      <c r="X117" s="203"/>
      <c r="Y117" s="203"/>
      <c r="Z117" s="203"/>
      <c r="AA117" s="203"/>
      <c r="AB117" s="203"/>
      <c r="AC117" s="203"/>
      <c r="AD117" s="203"/>
      <c r="AE117" s="203"/>
      <c r="AF117" s="203"/>
    </row>
    <row r="118" spans="2:32" ht="15" customHeight="1">
      <c r="C118" s="10"/>
      <c r="D118" s="26"/>
      <c r="E118" s="215"/>
      <c r="F118" s="215"/>
      <c r="G118" s="203"/>
      <c r="H118" s="203"/>
      <c r="I118" s="203"/>
      <c r="J118" s="203"/>
      <c r="K118" s="203"/>
      <c r="L118" s="203"/>
      <c r="M118" s="203"/>
      <c r="N118" s="203"/>
      <c r="O118" s="203"/>
      <c r="P118" s="203"/>
      <c r="Q118" s="203"/>
      <c r="R118" s="203"/>
      <c r="S118" s="203"/>
      <c r="T118" s="203"/>
      <c r="U118" s="203"/>
      <c r="V118" s="203"/>
      <c r="W118" s="203"/>
      <c r="X118" s="203"/>
      <c r="Y118" s="203"/>
      <c r="Z118" s="203"/>
      <c r="AA118" s="203"/>
      <c r="AB118" s="203"/>
      <c r="AC118" s="203"/>
      <c r="AD118" s="203"/>
      <c r="AE118" s="203"/>
      <c r="AF118" s="203"/>
    </row>
    <row r="119" spans="2:32" ht="15" customHeight="1">
      <c r="C119" s="10"/>
      <c r="D119" s="26"/>
      <c r="E119" s="215"/>
      <c r="F119" s="215"/>
      <c r="G119" s="203"/>
      <c r="H119" s="203"/>
      <c r="I119" s="203"/>
      <c r="J119" s="203"/>
      <c r="K119" s="203"/>
      <c r="L119" s="203"/>
      <c r="M119" s="203"/>
      <c r="N119" s="203"/>
      <c r="O119" s="203"/>
      <c r="P119" s="203"/>
      <c r="Q119" s="203"/>
      <c r="R119" s="203"/>
      <c r="S119" s="203"/>
      <c r="T119" s="203"/>
      <c r="U119" s="203"/>
      <c r="V119" s="203"/>
      <c r="W119" s="203"/>
      <c r="X119" s="203"/>
      <c r="Y119" s="203"/>
      <c r="Z119" s="203"/>
      <c r="AA119" s="203"/>
      <c r="AB119" s="203"/>
      <c r="AC119" s="203"/>
      <c r="AD119" s="203"/>
      <c r="AE119" s="203"/>
      <c r="AF119" s="203"/>
    </row>
    <row r="120" spans="2:32" ht="15" customHeight="1">
      <c r="C120" s="10"/>
      <c r="D120" s="26"/>
      <c r="E120" s="215"/>
      <c r="F120" s="215"/>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row>
    <row r="121" spans="2:32" ht="15" customHeight="1">
      <c r="C121" s="10"/>
      <c r="D121" s="26"/>
      <c r="E121" s="215"/>
      <c r="F121" s="215"/>
      <c r="G121" s="203"/>
      <c r="H121" s="203"/>
      <c r="I121" s="203"/>
      <c r="J121" s="203"/>
      <c r="K121" s="203"/>
      <c r="L121" s="203"/>
      <c r="M121" s="203"/>
      <c r="N121" s="203"/>
      <c r="O121" s="203"/>
      <c r="P121" s="203"/>
      <c r="Q121" s="203"/>
      <c r="R121" s="203"/>
      <c r="S121" s="203"/>
      <c r="T121" s="203"/>
      <c r="U121" s="203"/>
      <c r="V121" s="203"/>
      <c r="W121" s="203"/>
      <c r="X121" s="203"/>
      <c r="Y121" s="203"/>
      <c r="Z121" s="203"/>
      <c r="AA121" s="203"/>
      <c r="AB121" s="203"/>
      <c r="AC121" s="203"/>
      <c r="AD121" s="203"/>
      <c r="AE121" s="203"/>
      <c r="AF121" s="203"/>
    </row>
    <row r="122" spans="2:32" ht="15" customHeight="1">
      <c r="C122" s="10"/>
      <c r="D122" s="26"/>
      <c r="E122" s="215"/>
      <c r="F122" s="215"/>
      <c r="G122" s="203"/>
      <c r="H122" s="203"/>
      <c r="I122" s="203"/>
      <c r="J122" s="203"/>
      <c r="K122" s="203"/>
      <c r="L122" s="203"/>
      <c r="M122" s="203"/>
      <c r="N122" s="203"/>
      <c r="O122" s="203"/>
      <c r="P122" s="203"/>
      <c r="Q122" s="203"/>
      <c r="R122" s="203"/>
      <c r="S122" s="203"/>
      <c r="T122" s="203"/>
      <c r="U122" s="203"/>
      <c r="V122" s="203"/>
      <c r="W122" s="203"/>
      <c r="X122" s="203"/>
      <c r="Y122" s="203"/>
      <c r="Z122" s="203"/>
      <c r="AA122" s="203"/>
      <c r="AB122" s="203"/>
      <c r="AC122" s="203"/>
      <c r="AD122" s="203"/>
      <c r="AE122" s="203"/>
      <c r="AF122" s="203"/>
    </row>
    <row r="123" spans="2:32" ht="15" customHeight="1">
      <c r="C123" s="10"/>
      <c r="D123" s="26"/>
      <c r="E123" s="215"/>
      <c r="F123" s="215"/>
      <c r="G123" s="203"/>
      <c r="H123" s="203"/>
      <c r="I123" s="203"/>
      <c r="J123" s="203"/>
      <c r="K123" s="203"/>
      <c r="L123" s="203"/>
      <c r="M123" s="203"/>
      <c r="N123" s="203"/>
      <c r="O123" s="203"/>
      <c r="P123" s="203"/>
      <c r="Q123" s="203"/>
      <c r="R123" s="203"/>
      <c r="S123" s="203"/>
      <c r="T123" s="203"/>
      <c r="U123" s="203"/>
      <c r="V123" s="203"/>
      <c r="W123" s="203"/>
      <c r="X123" s="203"/>
      <c r="Y123" s="203"/>
      <c r="Z123" s="203"/>
      <c r="AA123" s="203"/>
      <c r="AB123" s="203"/>
      <c r="AC123" s="203"/>
      <c r="AD123" s="203"/>
      <c r="AE123" s="203"/>
      <c r="AF123" s="203"/>
    </row>
    <row r="124" spans="2:32" ht="15" customHeight="1">
      <c r="C124" s="10"/>
      <c r="D124" s="26"/>
      <c r="E124" s="215"/>
      <c r="F124" s="215"/>
      <c r="G124" s="203"/>
      <c r="H124" s="203"/>
      <c r="I124" s="203"/>
      <c r="J124" s="203"/>
      <c r="K124" s="203"/>
      <c r="L124" s="203"/>
      <c r="M124" s="203"/>
      <c r="N124" s="203"/>
      <c r="O124" s="203"/>
      <c r="P124" s="203"/>
      <c r="Q124" s="203"/>
      <c r="R124" s="203"/>
      <c r="S124" s="203"/>
      <c r="T124" s="203"/>
      <c r="U124" s="203"/>
      <c r="V124" s="203"/>
      <c r="W124" s="203"/>
      <c r="X124" s="203"/>
      <c r="Y124" s="203"/>
      <c r="Z124" s="203"/>
      <c r="AA124" s="203"/>
      <c r="AB124" s="203"/>
      <c r="AC124" s="203"/>
      <c r="AD124" s="203"/>
      <c r="AE124" s="203"/>
      <c r="AF124" s="203"/>
    </row>
    <row r="125" spans="2:32" ht="15" customHeight="1">
      <c r="C125" s="10"/>
      <c r="D125" s="26"/>
      <c r="E125" s="215"/>
      <c r="F125" s="215"/>
      <c r="G125" s="203"/>
      <c r="H125" s="203"/>
      <c r="I125" s="203"/>
      <c r="J125" s="203"/>
      <c r="K125" s="203"/>
      <c r="L125" s="203"/>
      <c r="M125" s="203"/>
      <c r="N125" s="203"/>
      <c r="O125" s="203"/>
      <c r="P125" s="203"/>
      <c r="Q125" s="203"/>
      <c r="R125" s="203"/>
      <c r="S125" s="203"/>
      <c r="T125" s="203"/>
      <c r="U125" s="203"/>
      <c r="V125" s="203"/>
      <c r="W125" s="203"/>
      <c r="X125" s="203"/>
      <c r="Y125" s="203"/>
      <c r="Z125" s="203"/>
      <c r="AA125" s="203"/>
      <c r="AB125" s="203"/>
      <c r="AC125" s="203"/>
      <c r="AD125" s="203"/>
      <c r="AE125" s="203"/>
      <c r="AF125" s="203"/>
    </row>
    <row r="126" spans="2:32" ht="15" customHeight="1">
      <c r="C126" s="10"/>
      <c r="D126" s="26"/>
      <c r="E126" s="215"/>
      <c r="F126" s="215"/>
      <c r="G126" s="203"/>
      <c r="H126" s="203"/>
      <c r="I126" s="203"/>
      <c r="J126" s="203"/>
      <c r="K126" s="203"/>
      <c r="L126" s="203"/>
      <c r="M126" s="203"/>
      <c r="N126" s="203"/>
      <c r="O126" s="203"/>
      <c r="P126" s="203"/>
      <c r="Q126" s="203"/>
      <c r="R126" s="203"/>
      <c r="S126" s="203"/>
      <c r="T126" s="203"/>
      <c r="U126" s="203"/>
      <c r="V126" s="203"/>
      <c r="W126" s="203"/>
      <c r="X126" s="203"/>
      <c r="Y126" s="203"/>
      <c r="Z126" s="203"/>
      <c r="AA126" s="203"/>
      <c r="AB126" s="203"/>
      <c r="AC126" s="203"/>
      <c r="AD126" s="203"/>
      <c r="AE126" s="203"/>
      <c r="AF126" s="203"/>
    </row>
    <row r="127" spans="2:32" ht="15" customHeight="1">
      <c r="C127" s="10"/>
      <c r="D127" s="26"/>
      <c r="E127" s="215"/>
      <c r="F127" s="215"/>
      <c r="G127" s="203"/>
      <c r="H127" s="203"/>
      <c r="I127" s="203"/>
      <c r="J127" s="203"/>
      <c r="K127" s="203"/>
      <c r="L127" s="203"/>
      <c r="M127" s="203"/>
      <c r="N127" s="203"/>
      <c r="O127" s="203"/>
      <c r="P127" s="203"/>
      <c r="Q127" s="203"/>
      <c r="R127" s="203"/>
      <c r="S127" s="203"/>
      <c r="T127" s="203"/>
      <c r="U127" s="203"/>
      <c r="V127" s="203"/>
      <c r="W127" s="203"/>
      <c r="X127" s="203"/>
      <c r="Y127" s="203"/>
      <c r="Z127" s="203"/>
      <c r="AA127" s="203"/>
      <c r="AB127" s="203"/>
      <c r="AC127" s="203"/>
      <c r="AD127" s="203"/>
      <c r="AE127" s="203"/>
      <c r="AF127" s="203"/>
    </row>
    <row r="128" spans="2:32" ht="15" customHeight="1">
      <c r="C128" s="10"/>
      <c r="D128" s="26"/>
      <c r="E128" s="215"/>
      <c r="F128" s="215"/>
      <c r="G128" s="203"/>
      <c r="H128" s="203"/>
      <c r="I128" s="203"/>
      <c r="J128" s="203"/>
      <c r="K128" s="203"/>
      <c r="L128" s="203"/>
      <c r="M128" s="203"/>
      <c r="N128" s="203"/>
      <c r="O128" s="203"/>
      <c r="P128" s="203"/>
      <c r="Q128" s="203"/>
      <c r="R128" s="203"/>
      <c r="S128" s="203"/>
      <c r="T128" s="203"/>
      <c r="U128" s="203"/>
      <c r="V128" s="203"/>
      <c r="W128" s="203"/>
      <c r="X128" s="203"/>
      <c r="Y128" s="203"/>
      <c r="Z128" s="203"/>
      <c r="AA128" s="203"/>
      <c r="AB128" s="203"/>
      <c r="AC128" s="203"/>
      <c r="AD128" s="203"/>
      <c r="AE128" s="203"/>
      <c r="AF128" s="203"/>
    </row>
    <row r="129" spans="2:32" ht="15" customHeight="1">
      <c r="C129" s="10"/>
      <c r="D129" s="26"/>
      <c r="E129" s="215"/>
      <c r="F129" s="215"/>
      <c r="G129" s="203"/>
      <c r="H129" s="203"/>
      <c r="I129" s="203"/>
      <c r="J129" s="203"/>
      <c r="K129" s="203"/>
      <c r="L129" s="203"/>
      <c r="M129" s="203"/>
      <c r="N129" s="203"/>
      <c r="O129" s="203"/>
      <c r="P129" s="203"/>
      <c r="Q129" s="203"/>
      <c r="R129" s="203"/>
      <c r="S129" s="203"/>
      <c r="T129" s="203"/>
      <c r="U129" s="203"/>
      <c r="V129" s="203"/>
      <c r="W129" s="203"/>
      <c r="X129" s="203"/>
      <c r="Y129" s="203"/>
      <c r="Z129" s="203"/>
      <c r="AA129" s="203"/>
      <c r="AB129" s="203"/>
      <c r="AC129" s="203"/>
      <c r="AD129" s="203"/>
      <c r="AE129" s="203"/>
      <c r="AF129" s="203"/>
    </row>
    <row r="130" spans="2:32" ht="15" customHeight="1">
      <c r="C130" s="10"/>
      <c r="D130" s="26"/>
      <c r="E130" s="215"/>
      <c r="F130" s="215"/>
      <c r="G130" s="203"/>
      <c r="H130" s="203"/>
      <c r="I130" s="203"/>
      <c r="J130" s="203"/>
      <c r="K130" s="203"/>
      <c r="L130" s="203"/>
      <c r="M130" s="203"/>
      <c r="N130" s="203"/>
      <c r="O130" s="203"/>
      <c r="P130" s="203"/>
      <c r="Q130" s="203"/>
      <c r="R130" s="203"/>
      <c r="S130" s="203"/>
      <c r="T130" s="203"/>
      <c r="U130" s="203"/>
      <c r="V130" s="203"/>
      <c r="W130" s="203"/>
      <c r="X130" s="203"/>
      <c r="Y130" s="203"/>
      <c r="Z130" s="203"/>
      <c r="AA130" s="203"/>
      <c r="AB130" s="203"/>
      <c r="AC130" s="203"/>
      <c r="AD130" s="203"/>
      <c r="AE130" s="203"/>
      <c r="AF130" s="203"/>
    </row>
    <row r="131" spans="2:32" ht="15" customHeight="1">
      <c r="C131" s="10"/>
      <c r="D131" s="26"/>
      <c r="E131" s="215"/>
      <c r="F131" s="215"/>
      <c r="G131" s="203"/>
      <c r="H131" s="203"/>
      <c r="I131" s="203"/>
      <c r="J131" s="203"/>
      <c r="K131" s="203"/>
      <c r="L131" s="203"/>
      <c r="M131" s="203"/>
      <c r="N131" s="203"/>
      <c r="O131" s="203"/>
      <c r="P131" s="203"/>
      <c r="Q131" s="203"/>
      <c r="R131" s="203"/>
      <c r="S131" s="203"/>
      <c r="T131" s="203"/>
      <c r="U131" s="203"/>
      <c r="V131" s="203"/>
      <c r="W131" s="203"/>
      <c r="X131" s="203"/>
      <c r="Y131" s="203"/>
      <c r="Z131" s="203"/>
      <c r="AA131" s="203"/>
      <c r="AB131" s="203"/>
      <c r="AC131" s="203"/>
      <c r="AD131" s="203"/>
      <c r="AE131" s="203"/>
      <c r="AF131" s="203"/>
    </row>
    <row r="132" spans="2:32" ht="15" customHeight="1">
      <c r="C132" s="10"/>
      <c r="D132" s="26"/>
      <c r="E132" s="215"/>
      <c r="F132" s="215"/>
      <c r="G132" s="203"/>
      <c r="H132" s="203"/>
      <c r="I132" s="203"/>
      <c r="J132" s="203"/>
      <c r="K132" s="203"/>
      <c r="L132" s="203"/>
      <c r="M132" s="203"/>
      <c r="N132" s="203"/>
      <c r="O132" s="203"/>
      <c r="P132" s="203"/>
      <c r="Q132" s="203"/>
      <c r="R132" s="203"/>
      <c r="S132" s="203"/>
      <c r="T132" s="203"/>
      <c r="U132" s="203"/>
      <c r="V132" s="203"/>
      <c r="W132" s="203"/>
      <c r="X132" s="203"/>
      <c r="Y132" s="203"/>
      <c r="Z132" s="203"/>
      <c r="AA132" s="203"/>
      <c r="AB132" s="203"/>
      <c r="AC132" s="203"/>
      <c r="AD132" s="203"/>
      <c r="AE132" s="203"/>
      <c r="AF132" s="203"/>
    </row>
    <row r="133" spans="2:32" ht="15" customHeight="1">
      <c r="C133" s="10"/>
      <c r="D133" s="26"/>
      <c r="E133" s="215"/>
      <c r="F133" s="215"/>
      <c r="G133" s="203"/>
      <c r="H133" s="203"/>
      <c r="I133" s="203"/>
      <c r="J133" s="203"/>
      <c r="K133" s="203"/>
      <c r="L133" s="203"/>
      <c r="M133" s="203"/>
      <c r="N133" s="203"/>
      <c r="O133" s="203"/>
      <c r="P133" s="203"/>
      <c r="Q133" s="203"/>
      <c r="R133" s="203"/>
      <c r="S133" s="203"/>
      <c r="T133" s="203"/>
      <c r="U133" s="203"/>
      <c r="V133" s="203"/>
      <c r="W133" s="203"/>
      <c r="X133" s="203"/>
      <c r="Y133" s="203"/>
      <c r="Z133" s="203"/>
      <c r="AA133" s="203"/>
      <c r="AB133" s="203"/>
      <c r="AC133" s="203"/>
      <c r="AD133" s="203"/>
      <c r="AE133" s="203"/>
      <c r="AF133" s="203"/>
    </row>
    <row r="134" spans="2:32" ht="15" customHeight="1">
      <c r="C134" s="10"/>
      <c r="D134" s="26"/>
      <c r="E134" s="215"/>
      <c r="F134" s="215"/>
      <c r="G134" s="203"/>
      <c r="H134" s="203"/>
      <c r="I134" s="203"/>
      <c r="J134" s="203"/>
      <c r="K134" s="203"/>
      <c r="L134" s="203"/>
      <c r="M134" s="203"/>
      <c r="N134" s="203"/>
      <c r="O134" s="203"/>
      <c r="P134" s="203"/>
      <c r="Q134" s="203"/>
      <c r="R134" s="203"/>
      <c r="S134" s="203"/>
      <c r="T134" s="203"/>
      <c r="U134" s="203"/>
      <c r="V134" s="203"/>
      <c r="W134" s="203"/>
      <c r="X134" s="203"/>
      <c r="Y134" s="203"/>
      <c r="Z134" s="203"/>
      <c r="AA134" s="203"/>
      <c r="AB134" s="203"/>
      <c r="AC134" s="203"/>
      <c r="AD134" s="203"/>
      <c r="AE134" s="203"/>
      <c r="AF134" s="203"/>
    </row>
    <row r="135" spans="2:32" ht="15" customHeight="1">
      <c r="C135" s="10"/>
      <c r="D135" s="26"/>
      <c r="E135" s="215"/>
      <c r="F135" s="215"/>
      <c r="G135" s="203"/>
      <c r="H135" s="203"/>
      <c r="I135" s="203"/>
      <c r="J135" s="203"/>
      <c r="K135" s="203"/>
      <c r="L135" s="203"/>
      <c r="M135" s="203"/>
      <c r="N135" s="203"/>
      <c r="O135" s="203"/>
      <c r="P135" s="203"/>
      <c r="Q135" s="203"/>
      <c r="R135" s="203"/>
      <c r="S135" s="203"/>
      <c r="T135" s="203"/>
      <c r="U135" s="203"/>
      <c r="V135" s="203"/>
      <c r="W135" s="203"/>
      <c r="X135" s="203"/>
      <c r="Y135" s="203"/>
      <c r="Z135" s="203"/>
      <c r="AA135" s="203"/>
      <c r="AB135" s="203"/>
      <c r="AC135" s="203"/>
      <c r="AD135" s="203"/>
      <c r="AE135" s="203"/>
      <c r="AF135" s="203"/>
    </row>
    <row r="136" spans="2:32" ht="15" customHeight="1">
      <c r="C136" s="10"/>
      <c r="D136" s="26"/>
      <c r="E136" s="215"/>
      <c r="F136" s="215"/>
      <c r="G136" s="203"/>
      <c r="H136" s="203"/>
      <c r="I136" s="203"/>
      <c r="J136" s="203"/>
      <c r="K136" s="203"/>
      <c r="L136" s="203"/>
      <c r="M136" s="203"/>
      <c r="N136" s="203"/>
      <c r="O136" s="203"/>
      <c r="P136" s="203"/>
      <c r="Q136" s="203"/>
      <c r="R136" s="203"/>
      <c r="S136" s="203"/>
      <c r="T136" s="203"/>
      <c r="U136" s="203"/>
      <c r="V136" s="203"/>
      <c r="W136" s="203"/>
      <c r="X136" s="203"/>
      <c r="Y136" s="203"/>
      <c r="Z136" s="203"/>
      <c r="AA136" s="203"/>
      <c r="AB136" s="203"/>
      <c r="AC136" s="203"/>
      <c r="AD136" s="203"/>
      <c r="AE136" s="203"/>
      <c r="AF136" s="203"/>
    </row>
    <row r="137" spans="2:32" ht="15" customHeight="1">
      <c r="C137" s="10"/>
      <c r="D137" s="26"/>
      <c r="E137" s="215"/>
      <c r="F137" s="215"/>
      <c r="G137" s="203"/>
      <c r="H137" s="203"/>
      <c r="I137" s="203"/>
      <c r="J137" s="203"/>
      <c r="K137" s="203"/>
      <c r="L137" s="203"/>
      <c r="M137" s="203"/>
      <c r="N137" s="203"/>
      <c r="O137" s="203"/>
      <c r="P137" s="203"/>
      <c r="Q137" s="203"/>
      <c r="R137" s="203"/>
      <c r="S137" s="203"/>
      <c r="T137" s="203"/>
      <c r="U137" s="203"/>
      <c r="V137" s="203"/>
      <c r="W137" s="203"/>
      <c r="X137" s="203"/>
      <c r="Y137" s="203"/>
      <c r="Z137" s="203"/>
      <c r="AA137" s="203"/>
      <c r="AB137" s="203"/>
      <c r="AC137" s="203"/>
      <c r="AD137" s="203"/>
      <c r="AE137" s="203"/>
      <c r="AF137" s="203"/>
    </row>
    <row r="138" spans="2:32" ht="15" customHeight="1">
      <c r="C138" s="10"/>
      <c r="D138" s="26"/>
      <c r="E138" s="215"/>
      <c r="F138" s="215"/>
      <c r="G138" s="203"/>
      <c r="H138" s="203"/>
      <c r="I138" s="203"/>
      <c r="J138" s="203"/>
      <c r="K138" s="203"/>
      <c r="L138" s="203"/>
      <c r="M138" s="203"/>
      <c r="N138" s="203"/>
      <c r="O138" s="203"/>
      <c r="P138" s="203"/>
      <c r="Q138" s="203"/>
      <c r="R138" s="203"/>
      <c r="S138" s="203"/>
      <c r="T138" s="203"/>
      <c r="U138" s="203"/>
      <c r="V138" s="203"/>
      <c r="W138" s="203"/>
      <c r="X138" s="203"/>
      <c r="Y138" s="203"/>
      <c r="Z138" s="203"/>
      <c r="AA138" s="203"/>
      <c r="AB138" s="203"/>
      <c r="AC138" s="203"/>
      <c r="AD138" s="203"/>
      <c r="AE138" s="203"/>
      <c r="AF138" s="203"/>
    </row>
    <row r="139" spans="2:32" ht="15" customHeight="1">
      <c r="C139" s="10"/>
      <c r="D139" s="26"/>
      <c r="E139" s="215"/>
      <c r="F139" s="215"/>
      <c r="G139" s="203"/>
      <c r="H139" s="203"/>
      <c r="I139" s="203"/>
      <c r="J139" s="203"/>
      <c r="K139" s="203"/>
      <c r="L139" s="203"/>
      <c r="M139" s="203"/>
      <c r="N139" s="203"/>
      <c r="O139" s="203"/>
      <c r="P139" s="203"/>
      <c r="Q139" s="203"/>
      <c r="R139" s="203"/>
      <c r="S139" s="203"/>
      <c r="T139" s="203"/>
      <c r="U139" s="203"/>
      <c r="V139" s="203"/>
      <c r="W139" s="203"/>
      <c r="X139" s="203"/>
      <c r="Y139" s="203"/>
      <c r="Z139" s="203"/>
      <c r="AA139" s="203"/>
      <c r="AB139" s="203"/>
      <c r="AC139" s="203"/>
      <c r="AD139" s="203"/>
      <c r="AE139" s="203"/>
      <c r="AF139" s="203"/>
    </row>
    <row r="140" spans="2:32" ht="15" customHeight="1">
      <c r="C140" s="10"/>
      <c r="D140" s="26"/>
      <c r="E140" s="215"/>
      <c r="F140" s="215"/>
      <c r="G140" s="203"/>
      <c r="H140" s="203"/>
      <c r="I140" s="203"/>
      <c r="J140" s="203"/>
      <c r="K140" s="203"/>
      <c r="L140" s="203"/>
      <c r="M140" s="203"/>
      <c r="N140" s="203"/>
      <c r="O140" s="203"/>
      <c r="P140" s="203"/>
      <c r="Q140" s="203"/>
      <c r="R140" s="203"/>
      <c r="S140" s="203"/>
      <c r="T140" s="203"/>
      <c r="U140" s="203"/>
      <c r="V140" s="203"/>
      <c r="W140" s="203"/>
      <c r="X140" s="203"/>
      <c r="Y140" s="203"/>
      <c r="Z140" s="203"/>
      <c r="AA140" s="203"/>
      <c r="AB140" s="203"/>
      <c r="AC140" s="203"/>
      <c r="AD140" s="203"/>
      <c r="AE140" s="203"/>
      <c r="AF140" s="203"/>
    </row>
    <row r="141" spans="2:32" ht="15" customHeight="1">
      <c r="C141" s="10"/>
      <c r="D141" s="26"/>
      <c r="E141" s="215"/>
      <c r="F141" s="215"/>
      <c r="G141" s="203"/>
      <c r="H141" s="203"/>
      <c r="I141" s="203"/>
      <c r="J141" s="203"/>
      <c r="K141" s="203"/>
      <c r="L141" s="203"/>
      <c r="M141" s="203"/>
      <c r="N141" s="203"/>
      <c r="O141" s="203"/>
      <c r="P141" s="203"/>
      <c r="Q141" s="203"/>
      <c r="R141" s="203"/>
      <c r="S141" s="203"/>
      <c r="T141" s="203"/>
      <c r="U141" s="203"/>
      <c r="V141" s="203"/>
      <c r="W141" s="203"/>
      <c r="X141" s="203"/>
      <c r="Y141" s="203"/>
      <c r="Z141" s="203"/>
      <c r="AA141" s="203"/>
      <c r="AB141" s="203"/>
      <c r="AC141" s="203"/>
      <c r="AD141" s="203"/>
      <c r="AE141" s="203"/>
      <c r="AF141" s="203"/>
    </row>
    <row r="142" spans="2:32" ht="15" customHeight="1">
      <c r="C142" s="10"/>
    </row>
    <row r="143" spans="2:32" ht="15" customHeight="1">
      <c r="B143" s="315"/>
      <c r="C143" s="10"/>
      <c r="D143" s="26"/>
      <c r="E143" s="215"/>
      <c r="F143" s="215"/>
      <c r="G143" s="203"/>
      <c r="H143" s="203"/>
      <c r="I143" s="203"/>
      <c r="J143" s="203"/>
      <c r="K143" s="203"/>
      <c r="L143" s="203"/>
      <c r="M143" s="203"/>
      <c r="N143" s="203"/>
      <c r="O143" s="203"/>
      <c r="P143" s="203"/>
      <c r="Q143" s="203"/>
      <c r="R143" s="203"/>
      <c r="S143" s="203"/>
      <c r="T143" s="203"/>
      <c r="U143" s="203"/>
      <c r="V143" s="203"/>
      <c r="W143" s="203"/>
      <c r="X143" s="203"/>
      <c r="Y143" s="203"/>
      <c r="Z143" s="203"/>
      <c r="AA143" s="203"/>
      <c r="AB143" s="203"/>
      <c r="AC143" s="203"/>
      <c r="AD143" s="203"/>
      <c r="AE143" s="203"/>
      <c r="AF143" s="203"/>
    </row>
    <row r="144" spans="2:32" ht="15" customHeight="1">
      <c r="C144" s="10"/>
      <c r="D144" s="26"/>
      <c r="E144" s="215"/>
      <c r="F144" s="215"/>
      <c r="G144" s="203"/>
      <c r="H144" s="203"/>
      <c r="I144" s="203"/>
      <c r="J144" s="203"/>
      <c r="K144" s="203"/>
      <c r="L144" s="203"/>
      <c r="M144" s="203"/>
      <c r="N144" s="203"/>
      <c r="O144" s="203"/>
      <c r="P144" s="203"/>
      <c r="Q144" s="203"/>
      <c r="R144" s="203"/>
      <c r="S144" s="203"/>
      <c r="T144" s="203"/>
      <c r="U144" s="203"/>
      <c r="V144" s="203"/>
      <c r="W144" s="203"/>
      <c r="X144" s="203"/>
      <c r="Y144" s="203"/>
      <c r="Z144" s="203"/>
      <c r="AA144" s="203"/>
      <c r="AB144" s="203"/>
      <c r="AC144" s="203"/>
      <c r="AD144" s="203"/>
      <c r="AE144" s="203"/>
      <c r="AF144" s="203"/>
    </row>
    <row r="145" spans="3:32" ht="15" customHeight="1">
      <c r="C145" s="10"/>
      <c r="D145" s="26"/>
      <c r="E145" s="215"/>
      <c r="F145" s="215"/>
      <c r="G145" s="203"/>
      <c r="H145" s="203"/>
      <c r="I145" s="203"/>
      <c r="J145" s="203"/>
      <c r="K145" s="203"/>
      <c r="L145" s="203"/>
      <c r="M145" s="203"/>
      <c r="N145" s="203"/>
      <c r="O145" s="203"/>
      <c r="P145" s="203"/>
      <c r="Q145" s="203"/>
      <c r="R145" s="203"/>
      <c r="S145" s="203"/>
      <c r="T145" s="203"/>
      <c r="U145" s="203"/>
      <c r="V145" s="203"/>
      <c r="W145" s="203"/>
      <c r="X145" s="203"/>
      <c r="Y145" s="203"/>
      <c r="Z145" s="203"/>
      <c r="AA145" s="203"/>
      <c r="AB145" s="203"/>
      <c r="AC145" s="203"/>
      <c r="AD145" s="203"/>
      <c r="AE145" s="203"/>
      <c r="AF145" s="203"/>
    </row>
    <row r="146" spans="3:32" ht="15" customHeight="1">
      <c r="C146" s="10"/>
      <c r="D146" s="26"/>
      <c r="E146" s="215"/>
      <c r="F146" s="215"/>
      <c r="G146" s="203"/>
      <c r="H146" s="203"/>
      <c r="I146" s="203"/>
      <c r="J146" s="203"/>
      <c r="K146" s="203"/>
      <c r="L146" s="203"/>
      <c r="M146" s="203"/>
      <c r="N146" s="203"/>
      <c r="O146" s="203"/>
      <c r="P146" s="203"/>
      <c r="Q146" s="203"/>
      <c r="R146" s="203"/>
      <c r="S146" s="203"/>
      <c r="T146" s="203"/>
      <c r="U146" s="203"/>
      <c r="V146" s="203"/>
      <c r="W146" s="203"/>
      <c r="X146" s="203"/>
      <c r="Y146" s="203"/>
      <c r="Z146" s="203"/>
      <c r="AA146" s="203"/>
      <c r="AB146" s="203"/>
      <c r="AC146" s="203"/>
      <c r="AD146" s="203"/>
      <c r="AE146" s="203"/>
      <c r="AF146" s="203"/>
    </row>
    <row r="147" spans="3:32" ht="15" customHeight="1">
      <c r="C147" s="10"/>
      <c r="D147" s="26"/>
      <c r="E147" s="215"/>
      <c r="F147" s="215"/>
      <c r="G147" s="203"/>
      <c r="H147" s="203"/>
      <c r="I147" s="203"/>
      <c r="J147" s="203"/>
      <c r="K147" s="203"/>
      <c r="L147" s="203"/>
      <c r="M147" s="203"/>
      <c r="N147" s="203"/>
      <c r="O147" s="203"/>
      <c r="P147" s="203"/>
      <c r="Q147" s="203"/>
      <c r="R147" s="203"/>
      <c r="S147" s="203"/>
      <c r="T147" s="203"/>
      <c r="U147" s="203"/>
      <c r="V147" s="203"/>
      <c r="W147" s="203"/>
      <c r="X147" s="203"/>
      <c r="Y147" s="203"/>
      <c r="Z147" s="203"/>
      <c r="AA147" s="203"/>
      <c r="AB147" s="203"/>
      <c r="AC147" s="203"/>
      <c r="AD147" s="203"/>
      <c r="AE147" s="203"/>
      <c r="AF147" s="203"/>
    </row>
    <row r="148" spans="3:32" ht="15" customHeight="1">
      <c r="C148" s="10"/>
      <c r="D148" s="26"/>
      <c r="E148" s="215"/>
      <c r="F148" s="215"/>
      <c r="G148" s="203"/>
      <c r="H148" s="203"/>
      <c r="I148" s="203"/>
      <c r="J148" s="203"/>
      <c r="K148" s="203"/>
      <c r="L148" s="203"/>
      <c r="M148" s="203"/>
      <c r="N148" s="203"/>
      <c r="O148" s="203"/>
      <c r="P148" s="203"/>
      <c r="Q148" s="203"/>
      <c r="R148" s="203"/>
      <c r="S148" s="203"/>
      <c r="T148" s="203"/>
      <c r="U148" s="203"/>
      <c r="V148" s="203"/>
      <c r="W148" s="203"/>
      <c r="X148" s="203"/>
      <c r="Y148" s="203"/>
      <c r="Z148" s="203"/>
      <c r="AA148" s="203"/>
      <c r="AB148" s="203"/>
      <c r="AC148" s="203"/>
      <c r="AD148" s="203"/>
      <c r="AE148" s="203"/>
      <c r="AF148" s="203"/>
    </row>
    <row r="149" spans="3:32" ht="15" customHeight="1">
      <c r="C149" s="10"/>
      <c r="D149" s="26"/>
      <c r="E149" s="215"/>
      <c r="F149" s="215"/>
      <c r="G149" s="203"/>
      <c r="H149" s="203"/>
      <c r="I149" s="203"/>
      <c r="J149" s="203"/>
      <c r="K149" s="203"/>
      <c r="L149" s="203"/>
      <c r="M149" s="203"/>
      <c r="N149" s="203"/>
      <c r="O149" s="203"/>
      <c r="P149" s="203"/>
      <c r="Q149" s="203"/>
      <c r="R149" s="203"/>
      <c r="S149" s="203"/>
      <c r="T149" s="203"/>
      <c r="U149" s="203"/>
      <c r="V149" s="203"/>
      <c r="W149" s="203"/>
      <c r="X149" s="203"/>
      <c r="Y149" s="203"/>
      <c r="Z149" s="203"/>
      <c r="AA149" s="203"/>
      <c r="AB149" s="203"/>
      <c r="AC149" s="203"/>
      <c r="AD149" s="203"/>
      <c r="AE149" s="203"/>
      <c r="AF149" s="203"/>
    </row>
    <row r="150" spans="3:32" ht="15" customHeight="1">
      <c r="C150" s="10"/>
      <c r="D150" s="26"/>
      <c r="E150" s="215"/>
      <c r="F150" s="215"/>
      <c r="G150" s="203"/>
      <c r="H150" s="203"/>
      <c r="I150" s="203"/>
      <c r="J150" s="203"/>
      <c r="K150" s="203"/>
      <c r="L150" s="203"/>
      <c r="M150" s="203"/>
      <c r="N150" s="203"/>
      <c r="O150" s="203"/>
      <c r="P150" s="203"/>
      <c r="Q150" s="203"/>
      <c r="R150" s="203"/>
      <c r="S150" s="203"/>
      <c r="T150" s="203"/>
      <c r="U150" s="203"/>
      <c r="V150" s="203"/>
      <c r="W150" s="203"/>
      <c r="X150" s="203"/>
      <c r="Y150" s="203"/>
      <c r="Z150" s="203"/>
      <c r="AA150" s="203"/>
      <c r="AB150" s="203"/>
      <c r="AC150" s="203"/>
      <c r="AD150" s="203"/>
      <c r="AE150" s="203"/>
      <c r="AF150" s="203"/>
    </row>
    <row r="151" spans="3:32" ht="15" customHeight="1">
      <c r="C151" s="10"/>
      <c r="D151" s="26"/>
      <c r="E151" s="215"/>
      <c r="F151" s="215"/>
      <c r="G151" s="203"/>
      <c r="H151" s="203"/>
      <c r="I151" s="203"/>
      <c r="J151" s="203"/>
      <c r="K151" s="203"/>
      <c r="L151" s="203"/>
      <c r="M151" s="203"/>
      <c r="N151" s="203"/>
      <c r="O151" s="203"/>
      <c r="P151" s="203"/>
      <c r="Q151" s="203"/>
      <c r="R151" s="203"/>
      <c r="S151" s="203"/>
      <c r="T151" s="203"/>
      <c r="U151" s="203"/>
      <c r="V151" s="203"/>
      <c r="W151" s="203"/>
      <c r="X151" s="203"/>
      <c r="Y151" s="203"/>
      <c r="Z151" s="203"/>
      <c r="AA151" s="203"/>
      <c r="AB151" s="203"/>
      <c r="AC151" s="203"/>
      <c r="AD151" s="203"/>
      <c r="AE151" s="203"/>
      <c r="AF151" s="203"/>
    </row>
    <row r="152" spans="3:32" ht="15" customHeight="1">
      <c r="C152" s="10"/>
      <c r="D152" s="26"/>
      <c r="E152" s="215"/>
      <c r="F152" s="215"/>
      <c r="G152" s="203"/>
      <c r="H152" s="203"/>
      <c r="I152" s="203"/>
      <c r="J152" s="203"/>
      <c r="K152" s="203"/>
      <c r="L152" s="203"/>
      <c r="M152" s="203"/>
      <c r="N152" s="203"/>
      <c r="O152" s="203"/>
      <c r="P152" s="203"/>
      <c r="Q152" s="203"/>
      <c r="R152" s="203"/>
      <c r="S152" s="203"/>
      <c r="T152" s="203"/>
      <c r="U152" s="203"/>
      <c r="V152" s="203"/>
      <c r="W152" s="203"/>
      <c r="X152" s="203"/>
      <c r="Y152" s="203"/>
      <c r="Z152" s="203"/>
      <c r="AA152" s="203"/>
      <c r="AB152" s="203"/>
      <c r="AC152" s="203"/>
      <c r="AD152" s="203"/>
      <c r="AE152" s="203"/>
      <c r="AF152" s="203"/>
    </row>
    <row r="153" spans="3:32" ht="15" customHeight="1">
      <c r="C153" s="10"/>
      <c r="D153" s="26"/>
      <c r="E153" s="215"/>
      <c r="F153" s="215"/>
      <c r="G153" s="203"/>
      <c r="H153" s="203"/>
      <c r="I153" s="203"/>
      <c r="J153" s="203"/>
      <c r="K153" s="203"/>
      <c r="L153" s="203"/>
      <c r="M153" s="203"/>
      <c r="N153" s="203"/>
      <c r="O153" s="203"/>
      <c r="P153" s="203"/>
      <c r="Q153" s="203"/>
      <c r="R153" s="203"/>
      <c r="S153" s="203"/>
      <c r="T153" s="203"/>
      <c r="U153" s="203"/>
      <c r="V153" s="203"/>
      <c r="W153" s="203"/>
      <c r="X153" s="203"/>
      <c r="Y153" s="203"/>
      <c r="Z153" s="203"/>
      <c r="AA153" s="203"/>
      <c r="AB153" s="203"/>
      <c r="AC153" s="203"/>
      <c r="AD153" s="203"/>
      <c r="AE153" s="203"/>
      <c r="AF153" s="203"/>
    </row>
    <row r="154" spans="3:32" ht="15" customHeight="1">
      <c r="C154" s="10"/>
      <c r="D154" s="26"/>
      <c r="E154" s="215"/>
      <c r="F154" s="215"/>
      <c r="G154" s="203"/>
      <c r="H154" s="203"/>
      <c r="I154" s="203"/>
      <c r="J154" s="203"/>
      <c r="K154" s="203"/>
      <c r="L154" s="203"/>
      <c r="M154" s="203"/>
      <c r="N154" s="203"/>
      <c r="O154" s="203"/>
      <c r="P154" s="203"/>
      <c r="Q154" s="203"/>
      <c r="R154" s="203"/>
      <c r="S154" s="203"/>
      <c r="T154" s="203"/>
      <c r="U154" s="203"/>
      <c r="V154" s="203"/>
      <c r="W154" s="203"/>
      <c r="X154" s="203"/>
      <c r="Y154" s="203"/>
      <c r="Z154" s="203"/>
      <c r="AA154" s="203"/>
      <c r="AB154" s="203"/>
      <c r="AC154" s="203"/>
      <c r="AD154" s="203"/>
      <c r="AE154" s="203"/>
      <c r="AF154" s="203"/>
    </row>
    <row r="155" spans="3:32" ht="15" customHeight="1">
      <c r="C155" s="10"/>
      <c r="D155" s="26"/>
      <c r="E155" s="215"/>
      <c r="F155" s="215"/>
      <c r="G155" s="203"/>
      <c r="H155" s="203"/>
      <c r="I155" s="203"/>
      <c r="J155" s="203"/>
      <c r="K155" s="203"/>
      <c r="L155" s="203"/>
      <c r="M155" s="203"/>
      <c r="N155" s="203"/>
      <c r="O155" s="203"/>
      <c r="P155" s="203"/>
      <c r="Q155" s="203"/>
      <c r="R155" s="203"/>
      <c r="S155" s="203"/>
      <c r="T155" s="203"/>
      <c r="U155" s="203"/>
      <c r="V155" s="203"/>
      <c r="W155" s="203"/>
      <c r="X155" s="203"/>
      <c r="Y155" s="203"/>
      <c r="Z155" s="203"/>
      <c r="AA155" s="203"/>
      <c r="AB155" s="203"/>
      <c r="AC155" s="203"/>
      <c r="AD155" s="203"/>
      <c r="AE155" s="203"/>
      <c r="AF155" s="203"/>
    </row>
    <row r="156" spans="3:32" ht="15" customHeight="1">
      <c r="C156" s="10"/>
      <c r="D156" s="26"/>
      <c r="E156" s="215"/>
      <c r="F156" s="215"/>
      <c r="G156" s="203"/>
      <c r="H156" s="203"/>
      <c r="I156" s="203"/>
      <c r="J156" s="203"/>
      <c r="K156" s="203"/>
      <c r="L156" s="203"/>
      <c r="M156" s="203"/>
      <c r="N156" s="203"/>
      <c r="O156" s="203"/>
      <c r="P156" s="203"/>
      <c r="Q156" s="203"/>
      <c r="R156" s="203"/>
      <c r="S156" s="203"/>
      <c r="T156" s="203"/>
      <c r="U156" s="203"/>
      <c r="V156" s="203"/>
      <c r="W156" s="203"/>
      <c r="X156" s="203"/>
      <c r="Y156" s="203"/>
      <c r="Z156" s="203"/>
      <c r="AA156" s="203"/>
      <c r="AB156" s="203"/>
      <c r="AC156" s="203"/>
      <c r="AD156" s="203"/>
      <c r="AE156" s="203"/>
      <c r="AF156" s="203"/>
    </row>
    <row r="157" spans="3:32" ht="15" customHeight="1">
      <c r="C157" s="10"/>
      <c r="D157" s="26"/>
      <c r="E157" s="215"/>
      <c r="F157" s="215"/>
      <c r="G157" s="203"/>
      <c r="H157" s="203"/>
      <c r="I157" s="203"/>
      <c r="J157" s="203"/>
      <c r="K157" s="203"/>
      <c r="L157" s="203"/>
      <c r="M157" s="203"/>
      <c r="N157" s="203"/>
      <c r="O157" s="203"/>
      <c r="P157" s="203"/>
      <c r="Q157" s="203"/>
      <c r="R157" s="203"/>
      <c r="S157" s="203"/>
      <c r="T157" s="203"/>
      <c r="U157" s="203"/>
      <c r="V157" s="203"/>
      <c r="W157" s="203"/>
      <c r="X157" s="203"/>
      <c r="Y157" s="203"/>
      <c r="Z157" s="203"/>
      <c r="AA157" s="203"/>
      <c r="AB157" s="203"/>
      <c r="AC157" s="203"/>
      <c r="AD157" s="203"/>
      <c r="AE157" s="203"/>
      <c r="AF157" s="203"/>
    </row>
    <row r="158" spans="3:32" ht="15" customHeight="1">
      <c r="C158" s="10"/>
      <c r="D158" s="26"/>
      <c r="E158" s="215"/>
      <c r="F158" s="215"/>
      <c r="G158" s="203"/>
      <c r="H158" s="203"/>
      <c r="I158" s="203"/>
      <c r="J158" s="203"/>
      <c r="K158" s="203"/>
      <c r="L158" s="203"/>
      <c r="M158" s="203"/>
      <c r="N158" s="203"/>
      <c r="O158" s="203"/>
      <c r="P158" s="203"/>
      <c r="Q158" s="203"/>
      <c r="R158" s="203"/>
      <c r="S158" s="203"/>
      <c r="T158" s="203"/>
      <c r="U158" s="203"/>
      <c r="V158" s="203"/>
      <c r="W158" s="203"/>
      <c r="X158" s="203"/>
      <c r="Y158" s="203"/>
      <c r="Z158" s="203"/>
      <c r="AA158" s="203"/>
      <c r="AB158" s="203"/>
      <c r="AC158" s="203"/>
      <c r="AD158" s="203"/>
      <c r="AE158" s="203"/>
      <c r="AF158" s="203"/>
    </row>
    <row r="159" spans="3:32" ht="15" customHeight="1">
      <c r="C159" s="10"/>
      <c r="D159" s="26"/>
      <c r="E159" s="215"/>
      <c r="F159" s="215"/>
      <c r="G159" s="203"/>
      <c r="H159" s="203"/>
      <c r="I159" s="203"/>
      <c r="J159" s="203"/>
      <c r="K159" s="203"/>
      <c r="L159" s="203"/>
      <c r="M159" s="203"/>
      <c r="N159" s="203"/>
      <c r="O159" s="203"/>
      <c r="P159" s="203"/>
      <c r="Q159" s="203"/>
      <c r="R159" s="203"/>
      <c r="S159" s="203"/>
      <c r="T159" s="203"/>
      <c r="U159" s="203"/>
      <c r="V159" s="203"/>
      <c r="W159" s="203"/>
      <c r="X159" s="203"/>
      <c r="Y159" s="203"/>
      <c r="Z159" s="203"/>
      <c r="AA159" s="203"/>
      <c r="AB159" s="203"/>
      <c r="AC159" s="203"/>
      <c r="AD159" s="203"/>
      <c r="AE159" s="203"/>
      <c r="AF159" s="203"/>
    </row>
    <row r="160" spans="3:32" ht="15" customHeight="1">
      <c r="C160" s="10"/>
      <c r="D160" s="26"/>
      <c r="E160" s="215"/>
      <c r="F160" s="215"/>
      <c r="G160" s="203"/>
      <c r="H160" s="203"/>
      <c r="I160" s="203"/>
      <c r="J160" s="203"/>
      <c r="K160" s="203"/>
      <c r="L160" s="203"/>
      <c r="M160" s="203"/>
      <c r="N160" s="203"/>
      <c r="O160" s="203"/>
      <c r="P160" s="203"/>
      <c r="Q160" s="203"/>
      <c r="R160" s="203"/>
      <c r="S160" s="203"/>
      <c r="T160" s="203"/>
      <c r="U160" s="203"/>
      <c r="V160" s="203"/>
      <c r="W160" s="203"/>
      <c r="X160" s="203"/>
      <c r="Y160" s="203"/>
      <c r="Z160" s="203"/>
      <c r="AA160" s="203"/>
      <c r="AB160" s="203"/>
      <c r="AC160" s="203"/>
      <c r="AD160" s="203"/>
      <c r="AE160" s="203"/>
      <c r="AF160" s="203"/>
    </row>
    <row r="161" spans="2:32" ht="15" customHeight="1">
      <c r="C161" s="10"/>
      <c r="D161" s="26"/>
      <c r="E161" s="215"/>
      <c r="F161" s="215"/>
      <c r="G161" s="203"/>
      <c r="H161" s="203"/>
      <c r="I161" s="203"/>
      <c r="J161" s="203"/>
      <c r="K161" s="203"/>
      <c r="L161" s="203"/>
      <c r="M161" s="203"/>
      <c r="N161" s="203"/>
      <c r="O161" s="203"/>
      <c r="P161" s="203"/>
      <c r="Q161" s="203"/>
      <c r="R161" s="203"/>
      <c r="S161" s="203"/>
      <c r="T161" s="203"/>
      <c r="U161" s="203"/>
      <c r="V161" s="203"/>
      <c r="W161" s="203"/>
      <c r="X161" s="203"/>
      <c r="Y161" s="203"/>
      <c r="Z161" s="203"/>
      <c r="AA161" s="203"/>
      <c r="AB161" s="203"/>
      <c r="AC161" s="203"/>
      <c r="AD161" s="203"/>
      <c r="AE161" s="203"/>
      <c r="AF161" s="203"/>
    </row>
    <row r="162" spans="2:32" ht="15" customHeight="1">
      <c r="C162" s="10"/>
      <c r="D162" s="26"/>
      <c r="E162" s="215"/>
      <c r="F162" s="215"/>
      <c r="G162" s="203"/>
      <c r="H162" s="203"/>
      <c r="I162" s="203"/>
      <c r="J162" s="203"/>
      <c r="K162" s="203"/>
      <c r="L162" s="203"/>
      <c r="M162" s="203"/>
      <c r="N162" s="203"/>
      <c r="O162" s="203"/>
      <c r="P162" s="203"/>
      <c r="Q162" s="203"/>
      <c r="R162" s="203"/>
      <c r="S162" s="203"/>
      <c r="T162" s="203"/>
      <c r="U162" s="203"/>
      <c r="V162" s="203"/>
      <c r="W162" s="203"/>
      <c r="X162" s="203"/>
      <c r="Y162" s="203"/>
      <c r="Z162" s="203"/>
      <c r="AA162" s="203"/>
      <c r="AB162" s="203"/>
      <c r="AC162" s="203"/>
      <c r="AD162" s="203"/>
      <c r="AE162" s="203"/>
      <c r="AF162" s="203"/>
    </row>
    <row r="163" spans="2:32" ht="15" customHeight="1">
      <c r="C163" s="10"/>
      <c r="D163" s="26"/>
      <c r="E163" s="215"/>
      <c r="F163" s="215"/>
      <c r="G163" s="203"/>
      <c r="H163" s="203"/>
      <c r="I163" s="203"/>
      <c r="J163" s="203"/>
      <c r="K163" s="203"/>
      <c r="L163" s="203"/>
      <c r="M163" s="203"/>
      <c r="N163" s="203"/>
      <c r="O163" s="203"/>
      <c r="P163" s="203"/>
      <c r="Q163" s="203"/>
      <c r="R163" s="203"/>
      <c r="S163" s="203"/>
      <c r="T163" s="203"/>
      <c r="U163" s="203"/>
      <c r="V163" s="203"/>
      <c r="W163" s="203"/>
      <c r="X163" s="203"/>
      <c r="Y163" s="203"/>
      <c r="Z163" s="203"/>
      <c r="AA163" s="203"/>
      <c r="AB163" s="203"/>
      <c r="AC163" s="203"/>
      <c r="AD163" s="203"/>
      <c r="AE163" s="203"/>
      <c r="AF163" s="203"/>
    </row>
    <row r="164" spans="2:32" ht="15" customHeight="1">
      <c r="C164" s="10"/>
      <c r="D164" s="26"/>
      <c r="E164" s="215"/>
      <c r="F164" s="215"/>
      <c r="G164" s="203"/>
      <c r="H164" s="203"/>
      <c r="I164" s="203"/>
      <c r="J164" s="203"/>
      <c r="K164" s="203"/>
      <c r="L164" s="203"/>
      <c r="M164" s="203"/>
      <c r="N164" s="203"/>
      <c r="O164" s="203"/>
      <c r="P164" s="203"/>
      <c r="Q164" s="203"/>
      <c r="R164" s="203"/>
      <c r="S164" s="203"/>
      <c r="T164" s="203"/>
      <c r="U164" s="203"/>
      <c r="V164" s="203"/>
      <c r="W164" s="203"/>
      <c r="X164" s="203"/>
      <c r="Y164" s="203"/>
      <c r="Z164" s="203"/>
      <c r="AA164" s="203"/>
      <c r="AB164" s="203"/>
      <c r="AC164" s="203"/>
      <c r="AD164" s="203"/>
      <c r="AE164" s="203"/>
      <c r="AF164" s="203"/>
    </row>
    <row r="165" spans="2:32" ht="15" customHeight="1">
      <c r="C165" s="10"/>
      <c r="D165" s="26"/>
      <c r="E165" s="215"/>
      <c r="F165" s="215"/>
      <c r="G165" s="203"/>
      <c r="H165" s="203"/>
      <c r="I165" s="203"/>
      <c r="J165" s="203"/>
      <c r="K165" s="203"/>
      <c r="L165" s="203"/>
      <c r="M165" s="203"/>
      <c r="N165" s="203"/>
      <c r="O165" s="203"/>
      <c r="P165" s="203"/>
      <c r="Q165" s="203"/>
      <c r="R165" s="203"/>
      <c r="S165" s="203"/>
      <c r="T165" s="203"/>
      <c r="U165" s="203"/>
      <c r="V165" s="203"/>
      <c r="W165" s="203"/>
      <c r="X165" s="203"/>
      <c r="Y165" s="203"/>
      <c r="Z165" s="203"/>
      <c r="AA165" s="203"/>
      <c r="AB165" s="203"/>
      <c r="AC165" s="203"/>
      <c r="AD165" s="203"/>
      <c r="AE165" s="203"/>
      <c r="AF165" s="203"/>
    </row>
    <row r="166" spans="2:32" ht="15" customHeight="1">
      <c r="C166" s="10"/>
      <c r="D166" s="26"/>
      <c r="E166" s="215"/>
      <c r="F166" s="215"/>
      <c r="G166" s="203"/>
      <c r="H166" s="203"/>
      <c r="I166" s="203"/>
      <c r="J166" s="203"/>
      <c r="K166" s="203"/>
      <c r="L166" s="203"/>
      <c r="M166" s="203"/>
      <c r="N166" s="203"/>
      <c r="O166" s="203"/>
      <c r="P166" s="203"/>
      <c r="Q166" s="203"/>
      <c r="R166" s="203"/>
      <c r="S166" s="203"/>
      <c r="T166" s="203"/>
      <c r="U166" s="203"/>
      <c r="V166" s="203"/>
      <c r="W166" s="203"/>
      <c r="X166" s="203"/>
      <c r="Y166" s="203"/>
      <c r="Z166" s="203"/>
      <c r="AA166" s="203"/>
      <c r="AB166" s="203"/>
      <c r="AC166" s="203"/>
      <c r="AD166" s="203"/>
      <c r="AE166" s="203"/>
      <c r="AF166" s="203"/>
    </row>
    <row r="167" spans="2:32" ht="15" customHeight="1">
      <c r="C167" s="10"/>
      <c r="D167" s="26"/>
      <c r="E167" s="215"/>
      <c r="F167" s="215"/>
      <c r="G167" s="203"/>
      <c r="H167" s="203"/>
      <c r="I167" s="203"/>
      <c r="J167" s="203"/>
      <c r="K167" s="203"/>
      <c r="L167" s="203"/>
      <c r="M167" s="203"/>
      <c r="N167" s="203"/>
      <c r="O167" s="203"/>
      <c r="P167" s="203"/>
      <c r="Q167" s="203"/>
      <c r="R167" s="203"/>
      <c r="S167" s="203"/>
      <c r="T167" s="203"/>
      <c r="U167" s="203"/>
      <c r="V167" s="203"/>
      <c r="W167" s="203"/>
      <c r="X167" s="203"/>
      <c r="Y167" s="203"/>
      <c r="Z167" s="203"/>
      <c r="AA167" s="203"/>
      <c r="AB167" s="203"/>
      <c r="AC167" s="203"/>
      <c r="AD167" s="203"/>
      <c r="AE167" s="203"/>
      <c r="AF167" s="203"/>
    </row>
    <row r="168" spans="2:32" ht="15" customHeight="1">
      <c r="C168" s="10"/>
    </row>
    <row r="169" spans="2:32" ht="15" customHeight="1">
      <c r="B169" s="315"/>
      <c r="C169" s="10"/>
      <c r="D169" s="26"/>
      <c r="E169" s="215"/>
      <c r="F169" s="215"/>
      <c r="G169" s="203"/>
      <c r="H169" s="203"/>
      <c r="I169" s="203"/>
      <c r="J169" s="203"/>
      <c r="K169" s="203"/>
      <c r="L169" s="203"/>
      <c r="M169" s="203"/>
      <c r="N169" s="203"/>
      <c r="O169" s="203"/>
      <c r="P169" s="203"/>
      <c r="Q169" s="203"/>
      <c r="R169" s="203"/>
      <c r="S169" s="203"/>
      <c r="T169" s="203"/>
      <c r="U169" s="203"/>
      <c r="V169" s="203"/>
      <c r="W169" s="203"/>
      <c r="X169" s="203"/>
      <c r="Y169" s="203"/>
      <c r="Z169" s="203"/>
      <c r="AA169" s="203"/>
      <c r="AB169" s="203"/>
      <c r="AC169" s="203"/>
      <c r="AD169" s="203"/>
      <c r="AE169" s="203"/>
      <c r="AF169" s="203"/>
    </row>
    <row r="170" spans="2:32" ht="15" customHeight="1">
      <c r="C170" s="10"/>
      <c r="D170" s="26"/>
      <c r="E170" s="215"/>
      <c r="F170" s="215"/>
      <c r="G170" s="203"/>
      <c r="H170" s="203"/>
      <c r="I170" s="203"/>
      <c r="J170" s="203"/>
      <c r="K170" s="203"/>
      <c r="L170" s="203"/>
      <c r="M170" s="203"/>
      <c r="N170" s="203"/>
      <c r="O170" s="203"/>
      <c r="P170" s="203"/>
      <c r="Q170" s="203"/>
      <c r="R170" s="203"/>
      <c r="S170" s="203"/>
      <c r="T170" s="203"/>
      <c r="U170" s="203"/>
      <c r="V170" s="203"/>
      <c r="W170" s="203"/>
      <c r="X170" s="203"/>
      <c r="Y170" s="203"/>
      <c r="Z170" s="203"/>
      <c r="AA170" s="203"/>
      <c r="AB170" s="203"/>
      <c r="AC170" s="203"/>
      <c r="AD170" s="203"/>
      <c r="AE170" s="203"/>
      <c r="AF170" s="203"/>
    </row>
    <row r="171" spans="2:32" ht="15" customHeight="1">
      <c r="C171" s="10"/>
      <c r="D171" s="26"/>
      <c r="E171" s="215"/>
      <c r="F171" s="215"/>
      <c r="G171" s="203"/>
      <c r="H171" s="203"/>
      <c r="I171" s="203"/>
      <c r="J171" s="203"/>
      <c r="K171" s="203"/>
      <c r="L171" s="203"/>
      <c r="M171" s="203"/>
      <c r="N171" s="203"/>
      <c r="O171" s="203"/>
      <c r="P171" s="203"/>
      <c r="Q171" s="203"/>
      <c r="R171" s="203"/>
      <c r="S171" s="203"/>
      <c r="T171" s="203"/>
      <c r="U171" s="203"/>
      <c r="V171" s="203"/>
      <c r="W171" s="203"/>
      <c r="X171" s="203"/>
      <c r="Y171" s="203"/>
      <c r="Z171" s="203"/>
      <c r="AA171" s="203"/>
      <c r="AB171" s="203"/>
      <c r="AC171" s="203"/>
      <c r="AD171" s="203"/>
      <c r="AE171" s="203"/>
      <c r="AF171" s="203"/>
    </row>
    <row r="172" spans="2:32" ht="15" customHeight="1">
      <c r="C172" s="10"/>
      <c r="D172" s="26"/>
      <c r="E172" s="215"/>
      <c r="F172" s="215"/>
      <c r="G172" s="203"/>
      <c r="H172" s="203"/>
      <c r="I172" s="203"/>
      <c r="J172" s="203"/>
      <c r="K172" s="203"/>
      <c r="L172" s="203"/>
      <c r="M172" s="203"/>
      <c r="N172" s="203"/>
      <c r="O172" s="203"/>
      <c r="P172" s="203"/>
      <c r="Q172" s="203"/>
      <c r="R172" s="203"/>
      <c r="S172" s="203"/>
      <c r="T172" s="203"/>
      <c r="U172" s="203"/>
      <c r="V172" s="203"/>
      <c r="W172" s="203"/>
      <c r="X172" s="203"/>
      <c r="Y172" s="203"/>
      <c r="Z172" s="203"/>
      <c r="AA172" s="203"/>
      <c r="AB172" s="203"/>
      <c r="AC172" s="203"/>
      <c r="AD172" s="203"/>
      <c r="AE172" s="203"/>
      <c r="AF172" s="203"/>
    </row>
    <row r="173" spans="2:32" ht="15" customHeight="1">
      <c r="C173" s="10"/>
      <c r="D173" s="26"/>
      <c r="E173" s="215"/>
      <c r="F173" s="215"/>
      <c r="G173" s="203"/>
      <c r="H173" s="203"/>
      <c r="I173" s="203"/>
      <c r="J173" s="203"/>
      <c r="K173" s="203"/>
      <c r="L173" s="203"/>
      <c r="M173" s="203"/>
      <c r="N173" s="203"/>
      <c r="O173" s="203"/>
      <c r="P173" s="203"/>
      <c r="Q173" s="203"/>
      <c r="R173" s="203"/>
      <c r="S173" s="203"/>
      <c r="T173" s="203"/>
      <c r="U173" s="203"/>
      <c r="V173" s="203"/>
      <c r="W173" s="203"/>
      <c r="X173" s="203"/>
      <c r="Y173" s="203"/>
      <c r="Z173" s="203"/>
      <c r="AA173" s="203"/>
      <c r="AB173" s="203"/>
      <c r="AC173" s="203"/>
      <c r="AD173" s="203"/>
      <c r="AE173" s="203"/>
      <c r="AF173" s="203"/>
    </row>
    <row r="174" spans="2:32" ht="15" customHeight="1">
      <c r="C174" s="10"/>
      <c r="D174" s="26"/>
      <c r="E174" s="215"/>
      <c r="F174" s="215"/>
      <c r="G174" s="203"/>
      <c r="H174" s="203"/>
      <c r="I174" s="203"/>
      <c r="J174" s="203"/>
      <c r="K174" s="203"/>
      <c r="L174" s="203"/>
      <c r="M174" s="203"/>
      <c r="N174" s="203"/>
      <c r="O174" s="203"/>
      <c r="P174" s="203"/>
      <c r="Q174" s="203"/>
      <c r="R174" s="203"/>
      <c r="S174" s="203"/>
      <c r="T174" s="203"/>
      <c r="U174" s="203"/>
      <c r="V174" s="203"/>
      <c r="W174" s="203"/>
      <c r="X174" s="203"/>
      <c r="Y174" s="203"/>
      <c r="Z174" s="203"/>
      <c r="AA174" s="203"/>
      <c r="AB174" s="203"/>
      <c r="AC174" s="203"/>
      <c r="AD174" s="203"/>
      <c r="AE174" s="203"/>
      <c r="AF174" s="203"/>
    </row>
    <row r="175" spans="2:32" ht="15" customHeight="1">
      <c r="C175" s="10"/>
      <c r="D175" s="26"/>
      <c r="E175" s="215"/>
      <c r="F175" s="215"/>
      <c r="G175" s="203"/>
      <c r="H175" s="203"/>
      <c r="I175" s="203"/>
      <c r="J175" s="203"/>
      <c r="K175" s="203"/>
      <c r="L175" s="203"/>
      <c r="M175" s="203"/>
      <c r="N175" s="203"/>
      <c r="O175" s="203"/>
      <c r="P175" s="203"/>
      <c r="Q175" s="203"/>
      <c r="R175" s="203"/>
      <c r="S175" s="203"/>
      <c r="T175" s="203"/>
      <c r="U175" s="203"/>
      <c r="V175" s="203"/>
      <c r="W175" s="203"/>
      <c r="X175" s="203"/>
      <c r="Y175" s="203"/>
      <c r="Z175" s="203"/>
      <c r="AA175" s="203"/>
      <c r="AB175" s="203"/>
      <c r="AC175" s="203"/>
      <c r="AD175" s="203"/>
      <c r="AE175" s="203"/>
      <c r="AF175" s="203"/>
    </row>
    <row r="176" spans="2:32" ht="15" customHeight="1">
      <c r="C176" s="10"/>
      <c r="D176" s="26"/>
      <c r="E176" s="215"/>
      <c r="F176" s="215"/>
      <c r="G176" s="203"/>
      <c r="H176" s="203"/>
      <c r="I176" s="203"/>
      <c r="J176" s="203"/>
      <c r="K176" s="203"/>
      <c r="L176" s="203"/>
      <c r="M176" s="203"/>
      <c r="N176" s="203"/>
      <c r="O176" s="203"/>
      <c r="P176" s="203"/>
      <c r="Q176" s="203"/>
      <c r="R176" s="203"/>
      <c r="S176" s="203"/>
      <c r="T176" s="203"/>
      <c r="U176" s="203"/>
      <c r="V176" s="203"/>
      <c r="W176" s="203"/>
      <c r="X176" s="203"/>
      <c r="Y176" s="203"/>
      <c r="Z176" s="203"/>
      <c r="AA176" s="203"/>
      <c r="AB176" s="203"/>
      <c r="AC176" s="203"/>
      <c r="AD176" s="203"/>
      <c r="AE176" s="203"/>
      <c r="AF176" s="203"/>
    </row>
    <row r="177" spans="3:32" ht="15" customHeight="1">
      <c r="C177" s="10"/>
      <c r="D177" s="26"/>
      <c r="E177" s="215"/>
      <c r="F177" s="215"/>
      <c r="G177" s="203"/>
      <c r="H177" s="203"/>
      <c r="I177" s="203"/>
      <c r="J177" s="203"/>
      <c r="K177" s="203"/>
      <c r="L177" s="203"/>
      <c r="M177" s="203"/>
      <c r="N177" s="203"/>
      <c r="O177" s="203"/>
      <c r="P177" s="203"/>
      <c r="Q177" s="203"/>
      <c r="R177" s="203"/>
      <c r="S177" s="203"/>
      <c r="T177" s="203"/>
      <c r="U177" s="203"/>
      <c r="V177" s="203"/>
      <c r="W177" s="203"/>
      <c r="X177" s="203"/>
      <c r="Y177" s="203"/>
      <c r="Z177" s="203"/>
      <c r="AA177" s="203"/>
      <c r="AB177" s="203"/>
      <c r="AC177" s="203"/>
      <c r="AD177" s="203"/>
      <c r="AE177" s="203"/>
      <c r="AF177" s="203"/>
    </row>
    <row r="178" spans="3:32" ht="15" customHeight="1">
      <c r="C178" s="10"/>
      <c r="D178" s="26"/>
      <c r="E178" s="215"/>
      <c r="F178" s="215"/>
      <c r="G178" s="203"/>
      <c r="H178" s="203"/>
      <c r="I178" s="203"/>
      <c r="J178" s="203"/>
      <c r="K178" s="203"/>
      <c r="L178" s="203"/>
      <c r="M178" s="203"/>
      <c r="N178" s="203"/>
      <c r="O178" s="203"/>
      <c r="P178" s="203"/>
      <c r="Q178" s="203"/>
      <c r="R178" s="203"/>
      <c r="S178" s="203"/>
      <c r="T178" s="203"/>
      <c r="U178" s="203"/>
      <c r="V178" s="203"/>
      <c r="W178" s="203"/>
      <c r="X178" s="203"/>
      <c r="Y178" s="203"/>
      <c r="Z178" s="203"/>
      <c r="AA178" s="203"/>
      <c r="AB178" s="203"/>
      <c r="AC178" s="203"/>
      <c r="AD178" s="203"/>
      <c r="AE178" s="203"/>
      <c r="AF178" s="203"/>
    </row>
    <row r="179" spans="3:32" ht="15" customHeight="1">
      <c r="C179" s="10"/>
      <c r="D179" s="26"/>
      <c r="E179" s="215"/>
      <c r="F179" s="215"/>
      <c r="G179" s="203"/>
      <c r="H179" s="203"/>
      <c r="I179" s="203"/>
      <c r="J179" s="203"/>
      <c r="K179" s="203"/>
      <c r="L179" s="203"/>
      <c r="M179" s="203"/>
      <c r="N179" s="203"/>
      <c r="O179" s="203"/>
      <c r="P179" s="203"/>
      <c r="Q179" s="203"/>
      <c r="R179" s="203"/>
      <c r="S179" s="203"/>
      <c r="T179" s="203"/>
      <c r="U179" s="203"/>
      <c r="V179" s="203"/>
      <c r="W179" s="203"/>
      <c r="X179" s="203"/>
      <c r="Y179" s="203"/>
      <c r="Z179" s="203"/>
      <c r="AA179" s="203"/>
      <c r="AB179" s="203"/>
      <c r="AC179" s="203"/>
      <c r="AD179" s="203"/>
      <c r="AE179" s="203"/>
      <c r="AF179" s="203"/>
    </row>
    <row r="180" spans="3:32" ht="15" customHeight="1">
      <c r="C180" s="10"/>
      <c r="D180" s="26"/>
      <c r="E180" s="215"/>
      <c r="F180" s="215"/>
      <c r="G180" s="203"/>
      <c r="H180" s="203"/>
      <c r="I180" s="203"/>
      <c r="J180" s="203"/>
      <c r="K180" s="203"/>
      <c r="L180" s="203"/>
      <c r="M180" s="203"/>
      <c r="N180" s="203"/>
      <c r="O180" s="203"/>
      <c r="P180" s="203"/>
      <c r="Q180" s="203"/>
      <c r="R180" s="203"/>
      <c r="S180" s="203"/>
      <c r="T180" s="203"/>
      <c r="U180" s="203"/>
      <c r="V180" s="203"/>
      <c r="W180" s="203"/>
      <c r="X180" s="203"/>
      <c r="Y180" s="203"/>
      <c r="Z180" s="203"/>
      <c r="AA180" s="203"/>
      <c r="AB180" s="203"/>
      <c r="AC180" s="203"/>
      <c r="AD180" s="203"/>
      <c r="AE180" s="203"/>
      <c r="AF180" s="203"/>
    </row>
    <row r="181" spans="3:32" ht="15" customHeight="1">
      <c r="C181" s="10"/>
      <c r="D181" s="26"/>
      <c r="E181" s="215"/>
      <c r="F181" s="215"/>
      <c r="G181" s="203"/>
      <c r="H181" s="203"/>
      <c r="I181" s="203"/>
      <c r="J181" s="203"/>
      <c r="K181" s="203"/>
      <c r="L181" s="203"/>
      <c r="M181" s="203"/>
      <c r="N181" s="203"/>
      <c r="O181" s="203"/>
      <c r="P181" s="203"/>
      <c r="Q181" s="203"/>
      <c r="R181" s="203"/>
      <c r="S181" s="203"/>
      <c r="T181" s="203"/>
      <c r="U181" s="203"/>
      <c r="V181" s="203"/>
      <c r="W181" s="203"/>
      <c r="X181" s="203"/>
      <c r="Y181" s="203"/>
      <c r="Z181" s="203"/>
      <c r="AA181" s="203"/>
      <c r="AB181" s="203"/>
      <c r="AC181" s="203"/>
      <c r="AD181" s="203"/>
      <c r="AE181" s="203"/>
      <c r="AF181" s="203"/>
    </row>
    <row r="182" spans="3:32" ht="15" customHeight="1">
      <c r="C182" s="10"/>
      <c r="D182" s="26"/>
      <c r="E182" s="215"/>
      <c r="F182" s="215"/>
      <c r="G182" s="203"/>
      <c r="H182" s="203"/>
      <c r="I182" s="203"/>
      <c r="J182" s="203"/>
      <c r="K182" s="203"/>
      <c r="L182" s="203"/>
      <c r="M182" s="203"/>
      <c r="N182" s="203"/>
      <c r="O182" s="203"/>
      <c r="P182" s="203"/>
      <c r="Q182" s="203"/>
      <c r="R182" s="203"/>
      <c r="S182" s="203"/>
      <c r="T182" s="203"/>
      <c r="U182" s="203"/>
      <c r="V182" s="203"/>
      <c r="W182" s="203"/>
      <c r="X182" s="203"/>
      <c r="Y182" s="203"/>
      <c r="Z182" s="203"/>
      <c r="AA182" s="203"/>
      <c r="AB182" s="203"/>
      <c r="AC182" s="203"/>
      <c r="AD182" s="203"/>
      <c r="AE182" s="203"/>
      <c r="AF182" s="203"/>
    </row>
    <row r="183" spans="3:32" ht="15" customHeight="1">
      <c r="C183" s="10"/>
      <c r="D183" s="26"/>
      <c r="E183" s="215"/>
      <c r="F183" s="215"/>
      <c r="G183" s="203"/>
      <c r="H183" s="203"/>
      <c r="I183" s="203"/>
      <c r="J183" s="203"/>
      <c r="K183" s="203"/>
      <c r="L183" s="203"/>
      <c r="M183" s="203"/>
      <c r="N183" s="203"/>
      <c r="O183" s="203"/>
      <c r="P183" s="203"/>
      <c r="Q183" s="203"/>
      <c r="R183" s="203"/>
      <c r="S183" s="203"/>
      <c r="T183" s="203"/>
      <c r="U183" s="203"/>
      <c r="V183" s="203"/>
      <c r="W183" s="203"/>
      <c r="X183" s="203"/>
      <c r="Y183" s="203"/>
      <c r="Z183" s="203"/>
      <c r="AA183" s="203"/>
      <c r="AB183" s="203"/>
      <c r="AC183" s="203"/>
      <c r="AD183" s="203"/>
      <c r="AE183" s="203"/>
      <c r="AF183" s="203"/>
    </row>
    <row r="184" spans="3:32" ht="15" customHeight="1">
      <c r="C184" s="10"/>
      <c r="D184" s="26"/>
      <c r="E184" s="215"/>
      <c r="F184" s="215"/>
      <c r="G184" s="203"/>
      <c r="H184" s="203"/>
      <c r="I184" s="203"/>
      <c r="J184" s="203"/>
      <c r="K184" s="203"/>
      <c r="L184" s="203"/>
      <c r="M184" s="203"/>
      <c r="N184" s="203"/>
      <c r="O184" s="203"/>
      <c r="P184" s="203"/>
      <c r="Q184" s="203"/>
      <c r="R184" s="203"/>
      <c r="S184" s="203"/>
      <c r="T184" s="203"/>
      <c r="U184" s="203"/>
      <c r="V184" s="203"/>
      <c r="W184" s="203"/>
      <c r="X184" s="203"/>
      <c r="Y184" s="203"/>
      <c r="Z184" s="203"/>
      <c r="AA184" s="203"/>
      <c r="AB184" s="203"/>
      <c r="AC184" s="203"/>
      <c r="AD184" s="203"/>
      <c r="AE184" s="203"/>
      <c r="AF184" s="203"/>
    </row>
    <row r="185" spans="3:32" ht="15" customHeight="1">
      <c r="C185" s="10"/>
      <c r="D185" s="26"/>
      <c r="E185" s="215"/>
      <c r="F185" s="215"/>
      <c r="G185" s="203"/>
      <c r="H185" s="203"/>
      <c r="I185" s="203"/>
      <c r="J185" s="203"/>
      <c r="K185" s="203"/>
      <c r="L185" s="203"/>
      <c r="M185" s="203"/>
      <c r="N185" s="203"/>
      <c r="O185" s="203"/>
      <c r="P185" s="203"/>
      <c r="Q185" s="203"/>
      <c r="R185" s="203"/>
      <c r="S185" s="203"/>
      <c r="T185" s="203"/>
      <c r="U185" s="203"/>
      <c r="V185" s="203"/>
      <c r="W185" s="203"/>
      <c r="X185" s="203"/>
      <c r="Y185" s="203"/>
      <c r="Z185" s="203"/>
      <c r="AA185" s="203"/>
      <c r="AB185" s="203"/>
      <c r="AC185" s="203"/>
      <c r="AD185" s="203"/>
      <c r="AE185" s="203"/>
      <c r="AF185" s="203"/>
    </row>
    <row r="186" spans="3:32" ht="15" customHeight="1">
      <c r="C186" s="10"/>
      <c r="D186" s="26"/>
      <c r="E186" s="215"/>
      <c r="F186" s="215"/>
      <c r="G186" s="203"/>
      <c r="H186" s="203"/>
      <c r="I186" s="203"/>
      <c r="J186" s="203"/>
      <c r="K186" s="203"/>
      <c r="L186" s="203"/>
      <c r="M186" s="203"/>
      <c r="N186" s="203"/>
      <c r="O186" s="203"/>
      <c r="P186" s="203"/>
      <c r="Q186" s="203"/>
      <c r="R186" s="203"/>
      <c r="S186" s="203"/>
      <c r="T186" s="203"/>
      <c r="U186" s="203"/>
      <c r="V186" s="203"/>
      <c r="W186" s="203"/>
      <c r="X186" s="203"/>
      <c r="Y186" s="203"/>
      <c r="Z186" s="203"/>
      <c r="AA186" s="203"/>
      <c r="AB186" s="203"/>
      <c r="AC186" s="203"/>
      <c r="AD186" s="203"/>
      <c r="AE186" s="203"/>
      <c r="AF186" s="203"/>
    </row>
    <row r="187" spans="3:32" ht="15" customHeight="1">
      <c r="C187" s="10"/>
      <c r="D187" s="26"/>
      <c r="E187" s="215"/>
      <c r="F187" s="215"/>
      <c r="G187" s="203"/>
      <c r="H187" s="203"/>
      <c r="I187" s="203"/>
      <c r="J187" s="203"/>
      <c r="K187" s="203"/>
      <c r="L187" s="203"/>
      <c r="M187" s="203"/>
      <c r="N187" s="203"/>
      <c r="O187" s="203"/>
      <c r="P187" s="203"/>
      <c r="Q187" s="203"/>
      <c r="R187" s="203"/>
      <c r="S187" s="203"/>
      <c r="T187" s="203"/>
      <c r="U187" s="203"/>
      <c r="V187" s="203"/>
      <c r="W187" s="203"/>
      <c r="X187" s="203"/>
      <c r="Y187" s="203"/>
      <c r="Z187" s="203"/>
      <c r="AA187" s="203"/>
      <c r="AB187" s="203"/>
      <c r="AC187" s="203"/>
      <c r="AD187" s="203"/>
      <c r="AE187" s="203"/>
      <c r="AF187" s="203"/>
    </row>
    <row r="188" spans="3:32" ht="15" customHeight="1">
      <c r="C188" s="10"/>
      <c r="D188" s="26"/>
      <c r="E188" s="215"/>
      <c r="F188" s="215"/>
      <c r="G188" s="203"/>
      <c r="H188" s="203"/>
      <c r="I188" s="203"/>
      <c r="J188" s="203"/>
      <c r="K188" s="203"/>
      <c r="L188" s="203"/>
      <c r="M188" s="203"/>
      <c r="N188" s="203"/>
      <c r="O188" s="203"/>
      <c r="P188" s="203"/>
      <c r="Q188" s="203"/>
      <c r="R188" s="203"/>
      <c r="S188" s="203"/>
      <c r="T188" s="203"/>
      <c r="U188" s="203"/>
      <c r="V188" s="203"/>
      <c r="W188" s="203"/>
      <c r="X188" s="203"/>
      <c r="Y188" s="203"/>
      <c r="Z188" s="203"/>
      <c r="AA188" s="203"/>
      <c r="AB188" s="203"/>
      <c r="AC188" s="203"/>
      <c r="AD188" s="203"/>
      <c r="AE188" s="203"/>
      <c r="AF188" s="203"/>
    </row>
    <row r="189" spans="3:32" ht="15" customHeight="1">
      <c r="C189" s="10"/>
      <c r="D189" s="26"/>
      <c r="E189" s="215"/>
      <c r="F189" s="215"/>
      <c r="G189" s="203"/>
      <c r="H189" s="203"/>
      <c r="I189" s="203"/>
      <c r="J189" s="203"/>
      <c r="K189" s="203"/>
      <c r="L189" s="203"/>
      <c r="M189" s="203"/>
      <c r="N189" s="203"/>
      <c r="O189" s="203"/>
      <c r="P189" s="203"/>
      <c r="Q189" s="203"/>
      <c r="R189" s="203"/>
      <c r="S189" s="203"/>
      <c r="T189" s="203"/>
      <c r="U189" s="203"/>
      <c r="V189" s="203"/>
      <c r="W189" s="203"/>
      <c r="X189" s="203"/>
      <c r="Y189" s="203"/>
      <c r="Z189" s="203"/>
      <c r="AA189" s="203"/>
      <c r="AB189" s="203"/>
      <c r="AC189" s="203"/>
      <c r="AD189" s="203"/>
      <c r="AE189" s="203"/>
      <c r="AF189" s="203"/>
    </row>
    <row r="190" spans="3:32" ht="15" customHeight="1">
      <c r="C190" s="10"/>
      <c r="D190" s="26"/>
      <c r="E190" s="215"/>
      <c r="F190" s="215"/>
      <c r="G190" s="203"/>
      <c r="H190" s="203"/>
      <c r="I190" s="203"/>
      <c r="J190" s="203"/>
      <c r="K190" s="203"/>
      <c r="L190" s="203"/>
      <c r="M190" s="203"/>
      <c r="N190" s="203"/>
      <c r="O190" s="203"/>
      <c r="P190" s="203"/>
      <c r="Q190" s="203"/>
      <c r="R190" s="203"/>
      <c r="S190" s="203"/>
      <c r="T190" s="203"/>
      <c r="U190" s="203"/>
      <c r="V190" s="203"/>
      <c r="W190" s="203"/>
      <c r="X190" s="203"/>
      <c r="Y190" s="203"/>
      <c r="Z190" s="203"/>
      <c r="AA190" s="203"/>
      <c r="AB190" s="203"/>
      <c r="AC190" s="203"/>
      <c r="AD190" s="203"/>
      <c r="AE190" s="203"/>
      <c r="AF190" s="203"/>
    </row>
    <row r="191" spans="3:32" ht="15" customHeight="1">
      <c r="C191" s="10"/>
      <c r="D191" s="26"/>
      <c r="E191" s="215"/>
      <c r="F191" s="215"/>
      <c r="G191" s="203"/>
      <c r="H191" s="203"/>
      <c r="I191" s="203"/>
      <c r="J191" s="203"/>
      <c r="K191" s="203"/>
      <c r="L191" s="203"/>
      <c r="M191" s="203"/>
      <c r="N191" s="203"/>
      <c r="O191" s="203"/>
      <c r="P191" s="203"/>
      <c r="Q191" s="203"/>
      <c r="R191" s="203"/>
      <c r="S191" s="203"/>
      <c r="T191" s="203"/>
      <c r="U191" s="203"/>
      <c r="V191" s="203"/>
      <c r="W191" s="203"/>
      <c r="X191" s="203"/>
      <c r="Y191" s="203"/>
      <c r="Z191" s="203"/>
      <c r="AA191" s="203"/>
      <c r="AB191" s="203"/>
      <c r="AC191" s="203"/>
      <c r="AD191" s="203"/>
      <c r="AE191" s="203"/>
      <c r="AF191" s="203"/>
    </row>
    <row r="192" spans="3:32" ht="15" customHeight="1">
      <c r="C192" s="10"/>
      <c r="D192" s="26"/>
      <c r="E192" s="215"/>
      <c r="F192" s="215"/>
      <c r="G192" s="203"/>
      <c r="H192" s="203"/>
      <c r="I192" s="203"/>
      <c r="J192" s="203"/>
      <c r="K192" s="203"/>
      <c r="L192" s="203"/>
      <c r="M192" s="203"/>
      <c r="N192" s="203"/>
      <c r="O192" s="203"/>
      <c r="P192" s="203"/>
      <c r="Q192" s="203"/>
      <c r="R192" s="203"/>
      <c r="S192" s="203"/>
      <c r="T192" s="203"/>
      <c r="U192" s="203"/>
      <c r="V192" s="203"/>
      <c r="W192" s="203"/>
      <c r="X192" s="203"/>
      <c r="Y192" s="203"/>
      <c r="Z192" s="203"/>
      <c r="AA192" s="203"/>
      <c r="AB192" s="203"/>
      <c r="AC192" s="203"/>
      <c r="AD192" s="203"/>
      <c r="AE192" s="203"/>
      <c r="AF192" s="203"/>
    </row>
    <row r="193" spans="3:32" ht="15" customHeight="1">
      <c r="C193" s="10"/>
      <c r="D193" s="26"/>
      <c r="E193" s="215"/>
      <c r="F193" s="215"/>
      <c r="G193" s="203"/>
      <c r="H193" s="203"/>
      <c r="I193" s="203"/>
      <c r="J193" s="203"/>
      <c r="K193" s="203"/>
      <c r="L193" s="203"/>
      <c r="M193" s="203"/>
      <c r="N193" s="203"/>
      <c r="O193" s="203"/>
      <c r="P193" s="203"/>
      <c r="Q193" s="203"/>
      <c r="R193" s="203"/>
      <c r="S193" s="203"/>
      <c r="T193" s="203"/>
      <c r="U193" s="203"/>
      <c r="V193" s="203"/>
      <c r="W193" s="203"/>
      <c r="X193" s="203"/>
      <c r="Y193" s="203"/>
      <c r="Z193" s="203"/>
      <c r="AA193" s="203"/>
      <c r="AB193" s="203"/>
      <c r="AC193" s="203"/>
      <c r="AD193" s="203"/>
      <c r="AE193" s="203"/>
      <c r="AF193" s="203"/>
    </row>
    <row r="194" spans="3:32" ht="15" customHeight="1"/>
    <row r="195" spans="3:32" ht="15" customHeight="1"/>
    <row r="196" spans="3:32" ht="15" customHeight="1"/>
    <row r="197" spans="3:32" ht="15" customHeight="1"/>
    <row r="198" spans="3:32" ht="15" customHeight="1"/>
    <row r="199" spans="3:32" ht="15" customHeight="1"/>
    <row r="200" spans="3:32" ht="15" customHeight="1"/>
    <row r="201" spans="3:32" ht="15" customHeight="1"/>
    <row r="202" spans="3:32" ht="15" customHeight="1"/>
    <row r="203" spans="3:32" ht="15" customHeight="1"/>
    <row r="204" spans="3:32" ht="15" customHeight="1"/>
    <row r="205" spans="3:32" ht="15" customHeight="1"/>
    <row r="206" spans="3:32" ht="15" customHeight="1"/>
    <row r="207" spans="3:32" ht="15" customHeight="1"/>
    <row r="208" spans="3: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37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1" operator="greaterThan" id="{0EB59964-8678-4F13-ACE0-86EEF6DEBEDB}">
            <xm:f>ControlPanel!$D$59-1</xm:f>
            <x14:dxf>
              <font>
                <color rgb="FF9C6500"/>
              </font>
              <fill>
                <patternFill>
                  <fgColor indexed="64"/>
                  <bgColor rgb="FFFFEB9C"/>
                </patternFill>
              </fill>
            </x14:dxf>
          </x14:cfRule>
          <x14:cfRule type="cellIs" priority="2" operator="lessThan" id="{63D10A00-80E0-4839-891F-7E4357DF605A}">
            <xm:f>ControlPanel!$D$59</xm:f>
            <x14:dxf>
              <font>
                <color rgb="FF006100"/>
              </font>
              <fill>
                <patternFill>
                  <fgColor indexed="64"/>
                  <bgColor rgb="FFC6EFCE"/>
                </patternFill>
              </fill>
            </x14:dxf>
          </x14:cfRule>
          <x14:cfRule type="cellIs" priority="3" operator="lessThan" id="{E9FAE92B-AE8E-47D7-BDD9-60B99A4091D7}">
            <xm:f>ControlPanel!$D$59+1</xm:f>
            <x14:dxf>
              <font>
                <color rgb="FF006100"/>
              </font>
              <fill>
                <patternFill>
                  <fgColor indexed="64"/>
                  <bgColor rgb="FFC6EFCE"/>
                </patternFill>
              </fill>
            </x14:dxf>
          </x14:cfRule>
          <xm:sqref>G4:AF4</xm:sqref>
        </x14:conditionalFormatting>
      </x14:conditionalFormatting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Tabelle73">
    <tabColor theme="9" tint="-0.499984740745262"/>
  </sheetPr>
  <dimension ref="A1:AF1191"/>
  <sheetViews>
    <sheetView zoomScaleNormal="100" workbookViewId="0">
      <selection activeCell="B17" sqref="B17"/>
    </sheetView>
  </sheetViews>
  <sheetFormatPr defaultColWidth="11.5546875" defaultRowHeight="13.2" outlineLevelCol="2"/>
  <cols>
    <col min="1" max="1" width="3.6640625" style="9" customWidth="1"/>
    <col min="2" max="2" width="17.5546875" style="9" customWidth="1"/>
    <col min="3" max="3" width="25.6640625" style="9" customWidth="1"/>
    <col min="4" max="4" width="20.6640625" style="10" customWidth="1" outlineLevel="2"/>
    <col min="5" max="6" width="40.6640625" style="10" customWidth="1"/>
    <col min="7" max="15" width="8.6640625" style="9" customWidth="1"/>
    <col min="16" max="32" width="8.6640625" style="9" customWidth="1" outlineLevel="1"/>
    <col min="33" max="16384" width="11.5546875" style="9"/>
  </cols>
  <sheetData>
    <row r="1" spans="1:32">
      <c r="A1" s="41" t="s">
        <v>74</v>
      </c>
      <c r="B1" s="61" t="s">
        <v>972</v>
      </c>
      <c r="C1" s="61"/>
      <c r="D1" s="19"/>
      <c r="E1" s="19"/>
      <c r="F1" s="19"/>
    </row>
    <row r="2" spans="1:32">
      <c r="B2" s="37"/>
    </row>
    <row r="3" spans="1:32" ht="15" customHeight="1">
      <c r="B3" s="62"/>
      <c r="C3" s="62" t="s">
        <v>787</v>
      </c>
      <c r="D3" s="18" t="s">
        <v>788</v>
      </c>
      <c r="E3" s="314" t="s">
        <v>827</v>
      </c>
      <c r="F3" s="18" t="s">
        <v>574</v>
      </c>
      <c r="G3" s="17"/>
      <c r="H3" s="17"/>
      <c r="I3" s="17"/>
      <c r="J3" s="17"/>
      <c r="K3" s="17"/>
      <c r="L3" s="17"/>
      <c r="M3" s="17"/>
      <c r="N3" s="17"/>
      <c r="O3" s="17"/>
      <c r="P3" s="17"/>
      <c r="Q3" s="17"/>
      <c r="R3" s="17"/>
      <c r="S3" s="17"/>
      <c r="T3" s="17"/>
      <c r="U3" s="17"/>
      <c r="V3" s="17"/>
      <c r="W3" s="17"/>
      <c r="X3" s="17"/>
      <c r="Y3" s="17"/>
      <c r="Z3" s="17"/>
      <c r="AA3" s="17"/>
      <c r="AB3" s="17"/>
      <c r="AC3" s="17"/>
      <c r="AD3" s="17"/>
      <c r="AE3" s="17"/>
      <c r="AF3" s="17"/>
    </row>
    <row r="4" spans="1:32" ht="15" customHeight="1">
      <c r="B4" s="63"/>
      <c r="C4" s="63"/>
      <c r="E4" s="16"/>
      <c r="F4" s="16"/>
      <c r="G4" s="60">
        <v>2010</v>
      </c>
      <c r="H4" s="60">
        <v>2011</v>
      </c>
      <c r="I4" s="60">
        <v>2012</v>
      </c>
      <c r="J4" s="60">
        <v>2013</v>
      </c>
      <c r="K4" s="60">
        <v>2014</v>
      </c>
      <c r="L4" s="60">
        <v>2015</v>
      </c>
      <c r="M4" s="60">
        <v>2016</v>
      </c>
      <c r="N4" s="60">
        <v>2017</v>
      </c>
      <c r="O4" s="60">
        <v>2018</v>
      </c>
      <c r="P4" s="60">
        <v>2019</v>
      </c>
      <c r="Q4" s="60">
        <v>2020</v>
      </c>
      <c r="R4" s="60">
        <v>2021</v>
      </c>
      <c r="S4" s="60">
        <v>2022</v>
      </c>
      <c r="T4" s="60">
        <v>2023</v>
      </c>
      <c r="U4" s="60">
        <v>2024</v>
      </c>
      <c r="V4" s="60">
        <v>2025</v>
      </c>
      <c r="W4" s="60">
        <v>2026</v>
      </c>
      <c r="X4" s="60">
        <v>2027</v>
      </c>
      <c r="Y4" s="60">
        <v>2028</v>
      </c>
      <c r="Z4" s="60">
        <v>2029</v>
      </c>
      <c r="AA4" s="60">
        <v>2030</v>
      </c>
      <c r="AB4" s="60">
        <v>2031</v>
      </c>
      <c r="AC4" s="60">
        <v>2032</v>
      </c>
      <c r="AD4" s="60">
        <v>2033</v>
      </c>
      <c r="AE4" s="60">
        <v>2034</v>
      </c>
      <c r="AF4" s="60">
        <v>2035</v>
      </c>
    </row>
    <row r="5" spans="1:32" ht="15" customHeight="1" thickBot="1">
      <c r="B5" s="67"/>
      <c r="C5" s="63"/>
      <c r="E5" s="16" t="s">
        <v>973</v>
      </c>
      <c r="F5" s="16"/>
      <c r="G5" s="323" t="s">
        <v>61</v>
      </c>
      <c r="H5" s="323" t="s">
        <v>61</v>
      </c>
      <c r="I5" s="323" t="s">
        <v>61</v>
      </c>
      <c r="J5" s="323" t="s">
        <v>61</v>
      </c>
      <c r="K5" s="323" t="s">
        <v>61</v>
      </c>
      <c r="L5" s="323" t="s">
        <v>61</v>
      </c>
      <c r="M5" s="323" t="s">
        <v>61</v>
      </c>
      <c r="N5" s="323" t="s">
        <v>61</v>
      </c>
      <c r="O5" s="323" t="s">
        <v>61</v>
      </c>
      <c r="P5" s="323" t="s">
        <v>61</v>
      </c>
      <c r="Q5" s="323" t="s">
        <v>61</v>
      </c>
      <c r="R5" s="323" t="s">
        <v>61</v>
      </c>
      <c r="S5" s="323" t="s">
        <v>61</v>
      </c>
      <c r="T5" s="323" t="s">
        <v>61</v>
      </c>
      <c r="U5" s="323" t="s">
        <v>61</v>
      </c>
      <c r="V5" s="323" t="s">
        <v>61</v>
      </c>
      <c r="W5" s="323" t="s">
        <v>61</v>
      </c>
      <c r="X5" s="323" t="s">
        <v>61</v>
      </c>
      <c r="Y5" s="323" t="s">
        <v>61</v>
      </c>
      <c r="Z5" s="323" t="s">
        <v>61</v>
      </c>
      <c r="AA5" s="323" t="s">
        <v>61</v>
      </c>
      <c r="AB5" s="323" t="s">
        <v>61</v>
      </c>
      <c r="AC5" s="323" t="s">
        <v>61</v>
      </c>
      <c r="AD5" s="323" t="s">
        <v>61</v>
      </c>
      <c r="AE5" s="323" t="s">
        <v>61</v>
      </c>
      <c r="AF5" s="323" t="s">
        <v>61</v>
      </c>
    </row>
    <row r="6" spans="1:32" ht="33" customHeight="1" thickBot="1">
      <c r="B6" s="166" t="s">
        <v>529</v>
      </c>
      <c r="C6" s="175" t="s">
        <v>62</v>
      </c>
      <c r="D6" s="15" t="s">
        <v>300</v>
      </c>
      <c r="E6" s="15" t="s">
        <v>973</v>
      </c>
      <c r="F6" s="1021" t="s">
        <v>974</v>
      </c>
      <c r="G6" s="38">
        <v>0</v>
      </c>
      <c r="H6" s="38">
        <v>0</v>
      </c>
      <c r="I6" s="38">
        <v>0.997</v>
      </c>
      <c r="J6" s="38">
        <v>0.99499999999999988</v>
      </c>
      <c r="K6" s="38">
        <v>0.999</v>
      </c>
      <c r="L6" s="38">
        <v>0.98105590087551808</v>
      </c>
      <c r="M6" s="38">
        <v>0.9956912515825258</v>
      </c>
      <c r="N6" s="38">
        <v>1.0116209702340726</v>
      </c>
      <c r="O6" s="38">
        <v>0.9709722384042121</v>
      </c>
      <c r="P6" s="38">
        <v>0.86677709396424174</v>
      </c>
      <c r="Q6" s="38">
        <v>0.90209234807398175</v>
      </c>
      <c r="R6" s="14">
        <v>0.856711414157037</v>
      </c>
      <c r="S6" s="14"/>
      <c r="T6" s="14"/>
      <c r="U6" s="14"/>
      <c r="V6" s="14"/>
      <c r="W6" s="14"/>
      <c r="X6" s="14"/>
      <c r="Y6" s="14"/>
      <c r="Z6" s="14"/>
      <c r="AA6" s="14"/>
      <c r="AB6" s="14"/>
      <c r="AC6" s="14"/>
      <c r="AD6" s="14"/>
      <c r="AE6" s="14"/>
      <c r="AF6" s="14"/>
    </row>
    <row r="7" spans="1:32" ht="33" customHeight="1" thickBot="1">
      <c r="B7" s="165" t="s">
        <v>349</v>
      </c>
      <c r="C7" s="175" t="s">
        <v>62</v>
      </c>
      <c r="D7" s="15" t="s">
        <v>300</v>
      </c>
      <c r="E7" s="15" t="s">
        <v>973</v>
      </c>
      <c r="F7" s="1021" t="s">
        <v>974</v>
      </c>
      <c r="G7" s="38">
        <v>0</v>
      </c>
      <c r="H7" s="38">
        <v>0</v>
      </c>
      <c r="I7" s="38">
        <v>1</v>
      </c>
      <c r="J7" s="38">
        <v>1</v>
      </c>
      <c r="K7" s="38">
        <v>1.0009999999999999</v>
      </c>
      <c r="L7" s="38">
        <v>0.97717321179556171</v>
      </c>
      <c r="M7" s="38">
        <v>1.0002629114025319</v>
      </c>
      <c r="N7" s="38">
        <v>1.0049373882866919</v>
      </c>
      <c r="O7" s="38">
        <v>0.97058959073921358</v>
      </c>
      <c r="P7" s="38">
        <v>0.86662455275027428</v>
      </c>
      <c r="Q7" s="38">
        <v>0.90281181980152869</v>
      </c>
      <c r="R7" s="14">
        <v>0.8571700494579414</v>
      </c>
      <c r="S7" s="14"/>
      <c r="T7" s="14"/>
      <c r="U7" s="14"/>
      <c r="V7" s="14"/>
      <c r="W7" s="14"/>
      <c r="X7" s="14"/>
      <c r="Y7" s="14"/>
      <c r="Z7" s="14"/>
      <c r="AA7" s="14"/>
      <c r="AB7" s="14"/>
      <c r="AC7" s="14"/>
      <c r="AD7" s="14"/>
      <c r="AE7" s="14"/>
      <c r="AF7" s="14"/>
    </row>
    <row r="8" spans="1:32" ht="60.75" customHeight="1" thickBot="1">
      <c r="B8" s="165" t="s">
        <v>11</v>
      </c>
      <c r="C8" s="175" t="s">
        <v>62</v>
      </c>
      <c r="D8" s="15" t="s">
        <v>300</v>
      </c>
      <c r="E8" s="15" t="s">
        <v>973</v>
      </c>
      <c r="F8" s="1021" t="s">
        <v>974</v>
      </c>
      <c r="G8" s="38">
        <v>0</v>
      </c>
      <c r="H8" s="38">
        <v>0</v>
      </c>
      <c r="I8" s="38">
        <v>1</v>
      </c>
      <c r="J8" s="38">
        <v>1</v>
      </c>
      <c r="K8" s="38">
        <v>1</v>
      </c>
      <c r="L8" s="38">
        <v>0.97709594916872755</v>
      </c>
      <c r="M8" s="38">
        <v>1.0002385970999215</v>
      </c>
      <c r="N8" s="38">
        <v>1.0063944731686187</v>
      </c>
      <c r="O8" s="38">
        <v>0.9705803052660652</v>
      </c>
      <c r="P8" s="38">
        <v>0.86662613565660029</v>
      </c>
      <c r="Q8" s="38">
        <v>0.903426744754666</v>
      </c>
      <c r="R8" s="14">
        <v>0.85645616834366967</v>
      </c>
      <c r="S8" s="14"/>
      <c r="T8" s="14"/>
      <c r="U8" s="14"/>
      <c r="V8" s="14"/>
      <c r="W8" s="14"/>
      <c r="X8" s="14"/>
      <c r="Y8" s="14"/>
      <c r="Z8" s="14"/>
      <c r="AA8" s="14"/>
      <c r="AB8" s="14"/>
      <c r="AC8" s="14"/>
      <c r="AD8" s="14"/>
      <c r="AE8" s="14"/>
      <c r="AF8" s="14"/>
    </row>
    <row r="9" spans="1:32" ht="33" customHeight="1" thickBot="1">
      <c r="B9" s="165" t="s">
        <v>10</v>
      </c>
      <c r="C9" s="175" t="s">
        <v>62</v>
      </c>
      <c r="D9" s="15" t="s">
        <v>300</v>
      </c>
      <c r="E9" s="15" t="s">
        <v>973</v>
      </c>
      <c r="F9" s="1021" t="s">
        <v>974</v>
      </c>
      <c r="G9" s="38">
        <v>0</v>
      </c>
      <c r="H9" s="38">
        <v>0</v>
      </c>
      <c r="I9" s="38">
        <v>1</v>
      </c>
      <c r="J9" s="38">
        <v>1</v>
      </c>
      <c r="K9" s="38">
        <v>1.0009999999999999</v>
      </c>
      <c r="L9" s="38">
        <v>0.9704087662222286</v>
      </c>
      <c r="M9" s="38">
        <v>1.0002616235355399</v>
      </c>
      <c r="N9" s="38">
        <v>1.0008007458944923</v>
      </c>
      <c r="O9" s="38">
        <v>0.9576555779076602</v>
      </c>
      <c r="P9" s="38">
        <v>0.86672159719942365</v>
      </c>
      <c r="Q9" s="38">
        <v>0.90252197726556671</v>
      </c>
      <c r="R9" s="14">
        <v>0.85439545882115719</v>
      </c>
      <c r="S9" s="14"/>
      <c r="T9" s="14"/>
      <c r="U9" s="14"/>
      <c r="V9" s="14"/>
      <c r="W9" s="14"/>
      <c r="X9" s="14"/>
      <c r="Y9" s="14"/>
      <c r="Z9" s="14"/>
      <c r="AA9" s="14"/>
      <c r="AB9" s="14"/>
      <c r="AC9" s="14"/>
      <c r="AD9" s="14"/>
      <c r="AE9" s="14"/>
      <c r="AF9" s="14"/>
    </row>
    <row r="10" spans="1:32" ht="33" customHeight="1" thickBot="1">
      <c r="B10" s="165" t="s">
        <v>339</v>
      </c>
      <c r="C10" s="175" t="s">
        <v>62</v>
      </c>
      <c r="D10" s="15" t="s">
        <v>300</v>
      </c>
      <c r="E10" s="15" t="s">
        <v>973</v>
      </c>
      <c r="F10" s="1021" t="s">
        <v>974</v>
      </c>
      <c r="G10" s="38">
        <v>0</v>
      </c>
      <c r="H10" s="38">
        <v>0</v>
      </c>
      <c r="I10" s="38">
        <v>0.90500000000000003</v>
      </c>
      <c r="J10" s="38">
        <v>0.88900000000000012</v>
      </c>
      <c r="K10" s="38">
        <v>0.85099999999999998</v>
      </c>
      <c r="L10" s="38">
        <v>0.87804199451939391</v>
      </c>
      <c r="M10" s="38">
        <v>0.88474320646636939</v>
      </c>
      <c r="N10" s="38">
        <v>0.88556376387505709</v>
      </c>
      <c r="O10" s="38">
        <v>0.79928775421656872</v>
      </c>
      <c r="P10" s="38">
        <v>0.67846507330943984</v>
      </c>
      <c r="Q10" s="38">
        <v>0.76098384865625657</v>
      </c>
      <c r="R10" s="14">
        <v>0.74498851826199786</v>
      </c>
      <c r="S10" s="14"/>
      <c r="T10" s="14"/>
      <c r="U10" s="14"/>
      <c r="V10" s="14"/>
      <c r="W10" s="14"/>
      <c r="X10" s="14"/>
      <c r="Y10" s="14"/>
      <c r="Z10" s="14"/>
      <c r="AA10" s="14"/>
      <c r="AB10" s="14"/>
      <c r="AC10" s="14"/>
      <c r="AD10" s="14"/>
      <c r="AE10" s="14"/>
      <c r="AF10" s="14"/>
    </row>
    <row r="11" spans="1:32" ht="33" customHeight="1" thickBot="1">
      <c r="B11" s="165" t="s">
        <v>340</v>
      </c>
      <c r="C11" s="175" t="s">
        <v>62</v>
      </c>
      <c r="D11" s="15" t="s">
        <v>300</v>
      </c>
      <c r="E11" s="15" t="s">
        <v>973</v>
      </c>
      <c r="F11" s="1021" t="s">
        <v>974</v>
      </c>
      <c r="G11" s="38">
        <v>0</v>
      </c>
      <c r="H11" s="38">
        <v>0</v>
      </c>
      <c r="I11" s="38">
        <v>1.02</v>
      </c>
      <c r="J11" s="38">
        <v>0.997</v>
      </c>
      <c r="K11" s="38">
        <v>0.91799999999999993</v>
      </c>
      <c r="L11" s="38">
        <v>0.93555612050472214</v>
      </c>
      <c r="M11" s="38">
        <v>0.9825534567397779</v>
      </c>
      <c r="N11" s="38">
        <v>0.92131005898091034</v>
      </c>
      <c r="O11" s="38">
        <v>0.88317632340840491</v>
      </c>
      <c r="P11" s="38">
        <v>0.79026862178293367</v>
      </c>
      <c r="Q11" s="38">
        <v>0.78878831448197484</v>
      </c>
      <c r="R11" s="14">
        <v>0.76115118938091875</v>
      </c>
      <c r="S11" s="14"/>
      <c r="T11" s="14"/>
      <c r="U11" s="14"/>
      <c r="V11" s="14"/>
      <c r="W11" s="14"/>
      <c r="X11" s="14"/>
      <c r="Y11" s="14"/>
      <c r="Z11" s="14"/>
      <c r="AA11" s="14"/>
      <c r="AB11" s="14"/>
      <c r="AC11" s="14"/>
      <c r="AD11" s="14"/>
      <c r="AE11" s="14"/>
      <c r="AF11" s="14"/>
    </row>
    <row r="12" spans="1:32" ht="52.5" customHeight="1" thickBot="1">
      <c r="B12" s="167" t="s">
        <v>530</v>
      </c>
      <c r="C12" s="175" t="s">
        <v>62</v>
      </c>
      <c r="D12" s="15" t="s">
        <v>300</v>
      </c>
      <c r="E12" s="15" t="s">
        <v>973</v>
      </c>
      <c r="F12" s="1021" t="s">
        <v>974</v>
      </c>
      <c r="G12" s="38">
        <v>0</v>
      </c>
      <c r="H12" s="38">
        <v>0</v>
      </c>
      <c r="I12" s="38">
        <v>1.046</v>
      </c>
      <c r="J12" s="38">
        <v>0.98100000000000009</v>
      </c>
      <c r="K12" s="38">
        <v>1.0109999999999999</v>
      </c>
      <c r="L12" s="38">
        <v>0.94011333796182017</v>
      </c>
      <c r="M12" s="38">
        <v>0.97823510223085741</v>
      </c>
      <c r="N12" s="38">
        <v>1.0007946618334671</v>
      </c>
      <c r="O12" s="38">
        <v>0.9155231610892961</v>
      </c>
      <c r="P12" s="38">
        <v>0.85632717217267751</v>
      </c>
      <c r="Q12" s="38">
        <v>0.8187078708852541</v>
      </c>
      <c r="R12" s="14">
        <v>0.78547462477492302</v>
      </c>
      <c r="S12" s="14"/>
      <c r="T12" s="14"/>
      <c r="U12" s="14"/>
      <c r="V12" s="14"/>
      <c r="W12" s="14"/>
      <c r="X12" s="14"/>
      <c r="Y12" s="14"/>
      <c r="Z12" s="14"/>
      <c r="AA12" s="14"/>
      <c r="AB12" s="14"/>
      <c r="AC12" s="14"/>
      <c r="AD12" s="14"/>
      <c r="AE12" s="14"/>
      <c r="AF12" s="14"/>
    </row>
    <row r="13" spans="1:32" ht="15" customHeight="1">
      <c r="B13" s="315"/>
      <c r="C13" s="10"/>
      <c r="D13" s="26"/>
      <c r="E13" s="215"/>
      <c r="F13" s="215"/>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ht="15" customHeight="1">
      <c r="C14" s="10"/>
      <c r="D14" s="26"/>
      <c r="E14" s="215"/>
      <c r="F14" s="215"/>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row>
    <row r="15" spans="1:32" ht="15" customHeight="1">
      <c r="C15" s="10"/>
      <c r="D15" s="26"/>
      <c r="E15" s="215"/>
      <c r="F15" s="215"/>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row>
    <row r="16" spans="1:32" ht="15" customHeight="1">
      <c r="B16" s="549" t="s">
        <v>975</v>
      </c>
      <c r="C16" s="10"/>
      <c r="D16" s="26"/>
      <c r="E16" s="215"/>
      <c r="F16" s="215"/>
      <c r="G16" s="203"/>
      <c r="H16" s="203"/>
      <c r="I16" s="203"/>
      <c r="J16" s="203"/>
      <c r="K16" s="203"/>
      <c r="L16" s="203"/>
      <c r="M16" s="203"/>
      <c r="N16" s="203"/>
      <c r="O16" s="203"/>
      <c r="P16" s="203"/>
      <c r="Q16" s="203"/>
      <c r="R16" s="203"/>
      <c r="S16" s="203"/>
      <c r="T16" s="203"/>
      <c r="U16" s="203"/>
      <c r="V16" s="203"/>
      <c r="W16" s="203"/>
      <c r="X16" s="203"/>
      <c r="Y16" s="203"/>
      <c r="Z16" s="203"/>
      <c r="AA16" s="203"/>
      <c r="AB16" s="203"/>
      <c r="AC16" s="203"/>
      <c r="AD16" s="203"/>
      <c r="AE16" s="203"/>
      <c r="AF16" s="203"/>
    </row>
    <row r="17" spans="3:32" ht="15" customHeight="1">
      <c r="C17" s="10"/>
      <c r="D17" s="26"/>
      <c r="E17" s="215"/>
      <c r="F17" s="215"/>
      <c r="G17" s="203"/>
      <c r="H17" s="203"/>
      <c r="I17" s="203"/>
      <c r="J17" s="203"/>
      <c r="K17" s="203"/>
      <c r="L17" s="203"/>
      <c r="M17" s="203"/>
      <c r="N17" s="203"/>
      <c r="O17" s="203"/>
      <c r="P17" s="203"/>
      <c r="Q17" s="203"/>
      <c r="R17" s="203"/>
      <c r="S17" s="203"/>
      <c r="T17" s="203"/>
      <c r="U17" s="203"/>
      <c r="V17" s="203"/>
      <c r="W17" s="203"/>
      <c r="X17" s="203"/>
      <c r="Y17" s="203"/>
      <c r="Z17" s="203"/>
      <c r="AA17" s="203"/>
      <c r="AB17" s="203"/>
      <c r="AC17" s="203"/>
      <c r="AD17" s="203"/>
      <c r="AE17" s="203"/>
      <c r="AF17" s="203"/>
    </row>
    <row r="18" spans="3:32" ht="15" customHeight="1">
      <c r="C18" s="10"/>
      <c r="D18" s="26"/>
      <c r="E18" s="215"/>
      <c r="F18" s="215"/>
      <c r="G18" s="203"/>
      <c r="H18" s="203"/>
      <c r="I18" s="20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3:32" ht="15" customHeight="1">
      <c r="C19" s="10"/>
      <c r="D19" s="26"/>
      <c r="E19" s="215"/>
      <c r="F19" s="215"/>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3:32" ht="15" customHeight="1">
      <c r="C20" s="10"/>
      <c r="D20" s="26"/>
      <c r="E20" s="215"/>
      <c r="F20" s="215"/>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3:32" ht="15" customHeight="1">
      <c r="C21" s="10"/>
      <c r="D21" s="26"/>
      <c r="E21" s="215"/>
      <c r="F21" s="215"/>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3:32" ht="15" customHeight="1">
      <c r="C22" s="10"/>
      <c r="D22" s="26"/>
      <c r="E22" s="215"/>
      <c r="F22" s="215"/>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3:32" ht="15" customHeight="1">
      <c r="C23" s="10"/>
      <c r="D23" s="26"/>
      <c r="E23" s="215"/>
      <c r="F23" s="215"/>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3:32" ht="15" customHeight="1">
      <c r="C24" s="10"/>
      <c r="D24" s="26"/>
      <c r="E24" s="215"/>
      <c r="F24" s="215"/>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3:32" ht="15" customHeight="1">
      <c r="C25" s="10"/>
      <c r="D25" s="26"/>
      <c r="E25" s="215"/>
      <c r="F25" s="215"/>
      <c r="G25" s="644"/>
      <c r="H25" s="644"/>
      <c r="I25" s="644"/>
      <c r="J25" s="644"/>
      <c r="K25" s="645"/>
      <c r="L25" s="203"/>
      <c r="M25" s="203"/>
      <c r="N25" s="203"/>
      <c r="O25" s="203"/>
      <c r="P25" s="203"/>
      <c r="Q25" s="203"/>
      <c r="R25" s="203"/>
      <c r="S25" s="203"/>
      <c r="T25" s="203"/>
      <c r="U25" s="203"/>
      <c r="V25" s="203"/>
      <c r="W25" s="203"/>
      <c r="X25" s="203"/>
      <c r="Y25" s="203"/>
      <c r="Z25" s="203"/>
      <c r="AA25" s="203"/>
      <c r="AB25" s="203"/>
      <c r="AC25" s="203"/>
      <c r="AD25" s="203"/>
      <c r="AE25" s="203"/>
      <c r="AF25" s="203"/>
    </row>
    <row r="26" spans="3:32" ht="15" customHeight="1">
      <c r="C26" s="10"/>
      <c r="D26" s="26"/>
      <c r="E26" s="215"/>
      <c r="F26" s="215"/>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3:32" ht="15" customHeight="1">
      <c r="C27" s="10"/>
      <c r="D27" s="26"/>
      <c r="E27" s="215"/>
      <c r="F27" s="215"/>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3:32" ht="15" customHeight="1">
      <c r="C28" s="10"/>
      <c r="D28" s="26"/>
      <c r="E28" s="215"/>
      <c r="F28" s="215"/>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3:32" ht="15" customHeight="1">
      <c r="C29" s="10"/>
      <c r="D29" s="26"/>
      <c r="E29" s="215"/>
      <c r="F29" s="215"/>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3:32" ht="15" customHeight="1">
      <c r="C30" s="10"/>
      <c r="D30" s="26"/>
      <c r="E30" s="215"/>
      <c r="F30" s="215"/>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3:32" ht="15" customHeight="1">
      <c r="C31" s="10"/>
      <c r="D31" s="26"/>
      <c r="E31" s="215"/>
      <c r="F31" s="215"/>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3:32" ht="15" customHeight="1">
      <c r="C32" s="10"/>
      <c r="D32" s="26"/>
      <c r="E32" s="215"/>
      <c r="F32" s="215"/>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2:32" ht="15" customHeight="1">
      <c r="C33" s="10"/>
      <c r="D33" s="26"/>
      <c r="E33" s="215"/>
      <c r="F33" s="215"/>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2:32" ht="15" customHeight="1">
      <c r="C34" s="10"/>
      <c r="D34" s="26"/>
      <c r="E34" s="215"/>
      <c r="F34" s="215"/>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2:32" ht="15" customHeight="1">
      <c r="C35" s="10"/>
      <c r="D35" s="26"/>
      <c r="E35" s="215"/>
      <c r="F35" s="215"/>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2:32" ht="15" customHeight="1">
      <c r="C36" s="10"/>
      <c r="D36" s="26"/>
      <c r="E36" s="215"/>
      <c r="F36" s="215"/>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2:32" ht="15" customHeight="1">
      <c r="C37" s="10"/>
      <c r="D37" s="26"/>
      <c r="E37" s="215"/>
      <c r="F37" s="215"/>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2:32" ht="15" customHeight="1">
      <c r="C38" s="10"/>
    </row>
    <row r="39" spans="2:32" ht="15" customHeight="1">
      <c r="B39" s="315"/>
      <c r="C39" s="10"/>
      <c r="D39" s="26"/>
      <c r="E39" s="215"/>
      <c r="F39" s="215"/>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2:32" ht="15" customHeight="1">
      <c r="C40" s="10"/>
      <c r="D40" s="26"/>
      <c r="E40" s="215"/>
      <c r="F40" s="215"/>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2:32" ht="15" customHeight="1">
      <c r="C41" s="10"/>
      <c r="D41" s="26"/>
      <c r="E41" s="215"/>
      <c r="F41" s="215"/>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row r="42" spans="2:32" ht="15" customHeight="1">
      <c r="C42" s="10"/>
      <c r="D42" s="26"/>
      <c r="E42" s="215"/>
      <c r="F42" s="215"/>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row>
    <row r="43" spans="2:32" ht="15" customHeight="1">
      <c r="C43" s="10"/>
      <c r="D43" s="26"/>
      <c r="E43" s="215"/>
      <c r="F43" s="215"/>
      <c r="G43" s="203"/>
      <c r="H43" s="203"/>
      <c r="I43" s="203"/>
      <c r="J43" s="203"/>
      <c r="K43" s="203"/>
      <c r="L43" s="203"/>
      <c r="M43" s="203"/>
      <c r="N43" s="203"/>
      <c r="O43" s="203"/>
      <c r="P43" s="203"/>
      <c r="Q43" s="203"/>
      <c r="R43" s="203"/>
      <c r="S43" s="203"/>
      <c r="T43" s="203"/>
      <c r="U43" s="203"/>
      <c r="V43" s="203"/>
      <c r="W43" s="203"/>
      <c r="X43" s="203"/>
      <c r="Y43" s="203"/>
      <c r="Z43" s="203"/>
      <c r="AA43" s="203"/>
      <c r="AB43" s="203"/>
      <c r="AC43" s="203"/>
      <c r="AD43" s="203"/>
      <c r="AE43" s="203"/>
      <c r="AF43" s="203"/>
    </row>
    <row r="44" spans="2:32" ht="15" customHeight="1">
      <c r="C44" s="10"/>
      <c r="D44" s="26"/>
      <c r="E44" s="215"/>
      <c r="F44" s="215"/>
      <c r="G44" s="203"/>
      <c r="H44" s="203"/>
      <c r="I44" s="203"/>
      <c r="J44" s="203"/>
      <c r="K44" s="203"/>
      <c r="L44" s="203"/>
      <c r="M44" s="203"/>
      <c r="N44" s="203"/>
      <c r="O44" s="203"/>
      <c r="P44" s="203"/>
      <c r="Q44" s="203"/>
      <c r="R44" s="203"/>
      <c r="S44" s="203"/>
      <c r="T44" s="203"/>
      <c r="U44" s="203"/>
      <c r="V44" s="203"/>
      <c r="W44" s="203"/>
      <c r="X44" s="203"/>
      <c r="Y44" s="203"/>
      <c r="Z44" s="203"/>
      <c r="AA44" s="203"/>
      <c r="AB44" s="203"/>
      <c r="AC44" s="203"/>
      <c r="AD44" s="203"/>
      <c r="AE44" s="203"/>
      <c r="AF44" s="203"/>
    </row>
    <row r="45" spans="2:32" ht="15" customHeight="1">
      <c r="C45" s="10"/>
      <c r="D45" s="26"/>
      <c r="E45" s="215"/>
      <c r="F45" s="215"/>
      <c r="G45" s="203"/>
      <c r="H45" s="203"/>
      <c r="I45" s="203"/>
      <c r="J45" s="203"/>
      <c r="K45" s="203"/>
      <c r="L45" s="203"/>
      <c r="M45" s="203"/>
      <c r="N45" s="203"/>
      <c r="O45" s="203"/>
      <c r="P45" s="203"/>
      <c r="Q45" s="203"/>
      <c r="R45" s="203"/>
      <c r="S45" s="203"/>
      <c r="T45" s="203"/>
      <c r="U45" s="203"/>
      <c r="V45" s="203"/>
      <c r="W45" s="203"/>
      <c r="X45" s="203"/>
      <c r="Y45" s="203"/>
      <c r="Z45" s="203"/>
      <c r="AA45" s="203"/>
      <c r="AB45" s="203"/>
      <c r="AC45" s="203"/>
      <c r="AD45" s="203"/>
      <c r="AE45" s="203"/>
      <c r="AF45" s="203"/>
    </row>
    <row r="46" spans="2:32" ht="15" customHeight="1">
      <c r="C46" s="10"/>
      <c r="D46" s="26"/>
      <c r="E46" s="215"/>
      <c r="F46" s="215"/>
      <c r="G46" s="203"/>
      <c r="H46" s="203"/>
      <c r="I46" s="203"/>
      <c r="J46" s="203"/>
      <c r="K46" s="203"/>
      <c r="L46" s="203"/>
      <c r="M46" s="203"/>
      <c r="N46" s="203"/>
      <c r="O46" s="203"/>
      <c r="P46" s="203"/>
      <c r="Q46" s="203"/>
      <c r="R46" s="203"/>
      <c r="S46" s="203"/>
      <c r="T46" s="203"/>
      <c r="U46" s="203"/>
      <c r="V46" s="203"/>
      <c r="W46" s="203"/>
      <c r="X46" s="203"/>
      <c r="Y46" s="203"/>
      <c r="Z46" s="203"/>
      <c r="AA46" s="203"/>
      <c r="AB46" s="203"/>
      <c r="AC46" s="203"/>
      <c r="AD46" s="203"/>
      <c r="AE46" s="203"/>
      <c r="AF46" s="203"/>
    </row>
    <row r="47" spans="2:32" ht="15" customHeight="1">
      <c r="C47" s="10"/>
      <c r="D47" s="26"/>
      <c r="E47" s="215"/>
      <c r="F47" s="215"/>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row>
    <row r="48" spans="2:32" ht="15" customHeight="1">
      <c r="C48" s="10"/>
      <c r="D48" s="26"/>
      <c r="E48" s="215"/>
      <c r="F48" s="215"/>
      <c r="G48" s="203"/>
      <c r="H48" s="203"/>
      <c r="I48" s="203"/>
      <c r="J48" s="203"/>
      <c r="K48" s="203"/>
      <c r="L48" s="203"/>
      <c r="M48" s="203"/>
      <c r="N48" s="203"/>
      <c r="O48" s="203"/>
      <c r="P48" s="203"/>
      <c r="Q48" s="203"/>
      <c r="R48" s="203"/>
      <c r="S48" s="203"/>
      <c r="T48" s="203"/>
      <c r="U48" s="203"/>
      <c r="V48" s="203"/>
      <c r="W48" s="203"/>
      <c r="X48" s="203"/>
      <c r="Y48" s="203"/>
      <c r="Z48" s="203"/>
      <c r="AA48" s="203"/>
      <c r="AB48" s="203"/>
      <c r="AC48" s="203"/>
      <c r="AD48" s="203"/>
      <c r="AE48" s="203"/>
      <c r="AF48" s="203"/>
    </row>
    <row r="49" spans="3:32" ht="15" customHeight="1">
      <c r="C49" s="10"/>
      <c r="D49" s="26"/>
      <c r="E49" s="215"/>
      <c r="F49" s="215"/>
      <c r="G49" s="203"/>
      <c r="H49" s="203"/>
      <c r="I49" s="203"/>
      <c r="J49" s="203"/>
      <c r="K49" s="203"/>
      <c r="L49" s="203"/>
      <c r="M49" s="203"/>
      <c r="N49" s="203"/>
      <c r="O49" s="203"/>
      <c r="P49" s="203"/>
      <c r="Q49" s="203"/>
      <c r="R49" s="203"/>
      <c r="S49" s="203"/>
      <c r="T49" s="203"/>
      <c r="U49" s="203"/>
      <c r="V49" s="203"/>
      <c r="W49" s="203"/>
      <c r="X49" s="203"/>
      <c r="Y49" s="203"/>
      <c r="Z49" s="203"/>
      <c r="AA49" s="203"/>
      <c r="AB49" s="203"/>
      <c r="AC49" s="203"/>
      <c r="AD49" s="203"/>
      <c r="AE49" s="203"/>
      <c r="AF49" s="203"/>
    </row>
    <row r="50" spans="3:32" ht="15" customHeight="1">
      <c r="C50" s="10"/>
      <c r="D50" s="26"/>
      <c r="E50" s="215"/>
      <c r="F50" s="215"/>
      <c r="G50" s="203"/>
      <c r="H50" s="203"/>
      <c r="I50" s="203"/>
      <c r="J50" s="203"/>
      <c r="K50" s="203"/>
      <c r="L50" s="203"/>
      <c r="M50" s="203"/>
      <c r="N50" s="203"/>
      <c r="O50" s="203"/>
      <c r="P50" s="203"/>
      <c r="Q50" s="203"/>
      <c r="R50" s="203"/>
      <c r="S50" s="203"/>
      <c r="T50" s="203"/>
      <c r="U50" s="203"/>
      <c r="V50" s="203"/>
      <c r="W50" s="203"/>
      <c r="X50" s="203"/>
      <c r="Y50" s="203"/>
      <c r="Z50" s="203"/>
      <c r="AA50" s="203"/>
      <c r="AB50" s="203"/>
      <c r="AC50" s="203"/>
      <c r="AD50" s="203"/>
      <c r="AE50" s="203"/>
      <c r="AF50" s="203"/>
    </row>
    <row r="51" spans="3:32" ht="15" customHeight="1">
      <c r="C51" s="10"/>
      <c r="D51" s="26"/>
      <c r="E51" s="215"/>
      <c r="F51" s="215"/>
      <c r="G51" s="203"/>
      <c r="H51" s="203"/>
      <c r="I51" s="203"/>
      <c r="J51" s="203"/>
      <c r="K51" s="203"/>
      <c r="L51" s="203"/>
      <c r="M51" s="203"/>
      <c r="N51" s="203"/>
      <c r="O51" s="203"/>
      <c r="P51" s="203"/>
      <c r="Q51" s="203"/>
      <c r="R51" s="203"/>
      <c r="S51" s="203"/>
      <c r="T51" s="203"/>
      <c r="U51" s="203"/>
      <c r="V51" s="203"/>
      <c r="W51" s="203"/>
      <c r="X51" s="203"/>
      <c r="Y51" s="203"/>
      <c r="Z51" s="203"/>
      <c r="AA51" s="203"/>
      <c r="AB51" s="203"/>
      <c r="AC51" s="203"/>
      <c r="AD51" s="203"/>
      <c r="AE51" s="203"/>
      <c r="AF51" s="203"/>
    </row>
    <row r="52" spans="3:32" ht="15" customHeight="1">
      <c r="C52" s="10"/>
      <c r="D52" s="26"/>
      <c r="E52" s="215"/>
      <c r="F52" s="215"/>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row>
    <row r="53" spans="3:32" ht="15" customHeight="1">
      <c r="C53" s="10"/>
      <c r="D53" s="26"/>
      <c r="E53" s="215"/>
      <c r="F53" s="215"/>
      <c r="G53" s="203"/>
      <c r="H53" s="203"/>
      <c r="I53" s="203"/>
      <c r="J53" s="203"/>
      <c r="K53" s="203"/>
      <c r="L53" s="203"/>
      <c r="M53" s="203"/>
      <c r="N53" s="203"/>
      <c r="O53" s="203"/>
      <c r="P53" s="203"/>
      <c r="Q53" s="203"/>
      <c r="R53" s="203"/>
      <c r="S53" s="203"/>
      <c r="T53" s="203"/>
      <c r="U53" s="203"/>
      <c r="V53" s="203"/>
      <c r="W53" s="203"/>
      <c r="X53" s="203"/>
      <c r="Y53" s="203"/>
      <c r="Z53" s="203"/>
      <c r="AA53" s="203"/>
      <c r="AB53" s="203"/>
      <c r="AC53" s="203"/>
      <c r="AD53" s="203"/>
      <c r="AE53" s="203"/>
      <c r="AF53" s="203"/>
    </row>
    <row r="54" spans="3:32" ht="15" customHeight="1">
      <c r="C54" s="10"/>
      <c r="D54" s="26"/>
      <c r="E54" s="215"/>
      <c r="F54" s="215"/>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row>
    <row r="55" spans="3:32" ht="15" customHeight="1">
      <c r="C55" s="10"/>
      <c r="D55" s="26"/>
      <c r="E55" s="215"/>
      <c r="F55" s="215"/>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row>
    <row r="56" spans="3:32" ht="15" customHeight="1">
      <c r="C56" s="10"/>
      <c r="D56" s="26"/>
      <c r="E56" s="215"/>
      <c r="F56" s="215"/>
      <c r="G56" s="203"/>
      <c r="H56" s="203"/>
      <c r="I56" s="203"/>
      <c r="J56" s="203"/>
      <c r="K56" s="203"/>
      <c r="L56" s="203"/>
      <c r="M56" s="203"/>
      <c r="N56" s="203"/>
      <c r="O56" s="203"/>
      <c r="P56" s="203"/>
      <c r="Q56" s="203"/>
      <c r="R56" s="203"/>
      <c r="S56" s="203"/>
      <c r="T56" s="203"/>
      <c r="U56" s="203"/>
      <c r="V56" s="203"/>
      <c r="W56" s="203"/>
      <c r="X56" s="203"/>
      <c r="Y56" s="203"/>
      <c r="Z56" s="203"/>
      <c r="AA56" s="203"/>
      <c r="AB56" s="203"/>
      <c r="AC56" s="203"/>
      <c r="AD56" s="203"/>
      <c r="AE56" s="203"/>
      <c r="AF56" s="203"/>
    </row>
    <row r="57" spans="3:32" ht="15" customHeight="1">
      <c r="C57" s="10"/>
      <c r="D57" s="26"/>
      <c r="E57" s="215"/>
      <c r="F57" s="215"/>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row>
    <row r="58" spans="3:32" ht="15" customHeight="1">
      <c r="C58" s="10"/>
      <c r="D58" s="26"/>
      <c r="E58" s="215"/>
      <c r="F58" s="215"/>
      <c r="G58" s="203"/>
      <c r="H58" s="203"/>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row>
    <row r="59" spans="3:32" ht="15" customHeight="1">
      <c r="C59" s="10"/>
      <c r="D59" s="26"/>
      <c r="E59" s="215"/>
      <c r="F59" s="215"/>
      <c r="G59" s="203"/>
      <c r="H59" s="203"/>
      <c r="I59" s="203"/>
      <c r="J59" s="203"/>
      <c r="K59" s="203"/>
      <c r="L59" s="203"/>
      <c r="M59" s="203"/>
      <c r="N59" s="203"/>
      <c r="O59" s="203"/>
      <c r="P59" s="203"/>
      <c r="Q59" s="203"/>
      <c r="R59" s="203"/>
      <c r="S59" s="203"/>
      <c r="T59" s="203"/>
      <c r="U59" s="203"/>
      <c r="V59" s="203"/>
      <c r="W59" s="203"/>
      <c r="X59" s="203"/>
      <c r="Y59" s="203"/>
      <c r="Z59" s="203"/>
      <c r="AA59" s="203"/>
      <c r="AB59" s="203"/>
      <c r="AC59" s="203"/>
      <c r="AD59" s="203"/>
      <c r="AE59" s="203"/>
      <c r="AF59" s="203"/>
    </row>
    <row r="60" spans="3:32" ht="15" customHeight="1">
      <c r="C60" s="10"/>
      <c r="D60" s="26"/>
      <c r="E60" s="215"/>
      <c r="F60" s="215"/>
      <c r="G60" s="203"/>
      <c r="H60" s="203"/>
      <c r="I60" s="203"/>
      <c r="J60" s="203"/>
      <c r="K60" s="203"/>
      <c r="L60" s="203"/>
      <c r="M60" s="203"/>
      <c r="N60" s="203"/>
      <c r="O60" s="203"/>
      <c r="P60" s="203"/>
      <c r="Q60" s="203"/>
      <c r="R60" s="203"/>
      <c r="S60" s="203"/>
      <c r="T60" s="203"/>
      <c r="U60" s="203"/>
      <c r="V60" s="203"/>
      <c r="W60" s="203"/>
      <c r="X60" s="203"/>
      <c r="Y60" s="203"/>
      <c r="Z60" s="203"/>
      <c r="AA60" s="203"/>
      <c r="AB60" s="203"/>
      <c r="AC60" s="203"/>
      <c r="AD60" s="203"/>
      <c r="AE60" s="203"/>
      <c r="AF60" s="203"/>
    </row>
    <row r="61" spans="3:32" ht="15" customHeight="1">
      <c r="C61" s="10"/>
      <c r="D61" s="26"/>
      <c r="E61" s="215"/>
      <c r="F61" s="215"/>
      <c r="G61" s="203"/>
      <c r="H61" s="203"/>
      <c r="I61" s="203"/>
      <c r="J61" s="203"/>
      <c r="K61" s="203"/>
      <c r="L61" s="203"/>
      <c r="M61" s="203"/>
      <c r="N61" s="203"/>
      <c r="O61" s="203"/>
      <c r="P61" s="203"/>
      <c r="Q61" s="203"/>
      <c r="R61" s="203"/>
      <c r="S61" s="203"/>
      <c r="T61" s="203"/>
      <c r="U61" s="203"/>
      <c r="V61" s="203"/>
      <c r="W61" s="203"/>
      <c r="X61" s="203"/>
      <c r="Y61" s="203"/>
      <c r="Z61" s="203"/>
      <c r="AA61" s="203"/>
      <c r="AB61" s="203"/>
      <c r="AC61" s="203"/>
      <c r="AD61" s="203"/>
      <c r="AE61" s="203"/>
      <c r="AF61" s="203"/>
    </row>
    <row r="62" spans="3:32" ht="15" customHeight="1">
      <c r="C62" s="10"/>
      <c r="D62" s="26"/>
      <c r="E62" s="215"/>
      <c r="F62" s="215"/>
      <c r="G62" s="203"/>
      <c r="H62" s="203"/>
      <c r="I62" s="203"/>
      <c r="J62" s="203"/>
      <c r="K62" s="203"/>
      <c r="L62" s="203"/>
      <c r="M62" s="203"/>
      <c r="N62" s="203"/>
      <c r="O62" s="203"/>
      <c r="P62" s="203"/>
      <c r="Q62" s="203"/>
      <c r="R62" s="203"/>
      <c r="S62" s="203"/>
      <c r="T62" s="203"/>
      <c r="U62" s="203"/>
      <c r="V62" s="203"/>
      <c r="W62" s="203"/>
      <c r="X62" s="203"/>
      <c r="Y62" s="203"/>
      <c r="Z62" s="203"/>
      <c r="AA62" s="203"/>
      <c r="AB62" s="203"/>
      <c r="AC62" s="203"/>
      <c r="AD62" s="203"/>
      <c r="AE62" s="203"/>
      <c r="AF62" s="203"/>
    </row>
    <row r="63" spans="3:32" ht="15" customHeight="1">
      <c r="C63" s="10"/>
      <c r="D63" s="26"/>
      <c r="E63" s="215"/>
      <c r="F63" s="215"/>
      <c r="G63" s="203"/>
      <c r="H63" s="203"/>
      <c r="I63" s="203"/>
      <c r="J63" s="203"/>
      <c r="K63" s="203"/>
      <c r="L63" s="203"/>
      <c r="M63" s="203"/>
      <c r="N63" s="203"/>
      <c r="O63" s="203"/>
      <c r="P63" s="203"/>
      <c r="Q63" s="203"/>
      <c r="R63" s="203"/>
      <c r="S63" s="203"/>
      <c r="T63" s="203"/>
      <c r="U63" s="203"/>
      <c r="V63" s="203"/>
      <c r="W63" s="203"/>
      <c r="X63" s="203"/>
      <c r="Y63" s="203"/>
      <c r="Z63" s="203"/>
      <c r="AA63" s="203"/>
      <c r="AB63" s="203"/>
      <c r="AC63" s="203"/>
      <c r="AD63" s="203"/>
      <c r="AE63" s="203"/>
      <c r="AF63" s="203"/>
    </row>
    <row r="64" spans="3:32" ht="15" customHeight="1">
      <c r="C64" s="10"/>
    </row>
    <row r="65" spans="2:32" ht="15" customHeight="1">
      <c r="B65" s="315"/>
      <c r="C65" s="10"/>
      <c r="D65" s="26"/>
      <c r="E65" s="215"/>
      <c r="F65" s="215"/>
      <c r="G65" s="203"/>
      <c r="H65" s="203"/>
      <c r="I65" s="203"/>
      <c r="J65" s="203"/>
      <c r="K65" s="203"/>
      <c r="L65" s="203"/>
      <c r="M65" s="203"/>
      <c r="N65" s="203"/>
      <c r="O65" s="203"/>
      <c r="P65" s="203"/>
      <c r="Q65" s="203"/>
      <c r="R65" s="203"/>
      <c r="S65" s="203"/>
      <c r="T65" s="203"/>
      <c r="U65" s="203"/>
      <c r="V65" s="203"/>
      <c r="W65" s="203"/>
      <c r="X65" s="203"/>
      <c r="Y65" s="203"/>
      <c r="Z65" s="203"/>
      <c r="AA65" s="203"/>
      <c r="AB65" s="203"/>
      <c r="AC65" s="203"/>
      <c r="AD65" s="203"/>
      <c r="AE65" s="203"/>
      <c r="AF65" s="203"/>
    </row>
    <row r="66" spans="2:32" ht="15" customHeight="1">
      <c r="C66" s="10"/>
      <c r="D66" s="26"/>
      <c r="E66" s="215"/>
      <c r="F66" s="215"/>
      <c r="G66" s="203"/>
      <c r="H66" s="203"/>
      <c r="I66" s="203"/>
      <c r="J66" s="203"/>
      <c r="K66" s="203"/>
      <c r="L66" s="203"/>
      <c r="M66" s="203"/>
      <c r="N66" s="203"/>
      <c r="O66" s="203"/>
      <c r="P66" s="203"/>
      <c r="Q66" s="203"/>
      <c r="R66" s="203"/>
      <c r="S66" s="203"/>
      <c r="T66" s="203"/>
      <c r="U66" s="203"/>
      <c r="V66" s="203"/>
      <c r="W66" s="203"/>
      <c r="X66" s="203"/>
      <c r="Y66" s="203"/>
      <c r="Z66" s="203"/>
      <c r="AA66" s="203"/>
      <c r="AB66" s="203"/>
      <c r="AC66" s="203"/>
      <c r="AD66" s="203"/>
      <c r="AE66" s="203"/>
      <c r="AF66" s="203"/>
    </row>
    <row r="67" spans="2:32" ht="15" customHeight="1">
      <c r="C67" s="10"/>
      <c r="D67" s="26"/>
      <c r="E67" s="215"/>
      <c r="F67" s="215"/>
      <c r="G67" s="203"/>
      <c r="H67" s="203"/>
      <c r="I67" s="203"/>
      <c r="J67" s="203"/>
      <c r="K67" s="203"/>
      <c r="L67" s="203"/>
      <c r="M67" s="203"/>
      <c r="N67" s="203"/>
      <c r="O67" s="203"/>
      <c r="P67" s="203"/>
      <c r="Q67" s="203"/>
      <c r="R67" s="203"/>
      <c r="S67" s="203"/>
      <c r="T67" s="203"/>
      <c r="U67" s="203"/>
      <c r="V67" s="203"/>
      <c r="W67" s="203"/>
      <c r="X67" s="203"/>
      <c r="Y67" s="203"/>
      <c r="Z67" s="203"/>
      <c r="AA67" s="203"/>
      <c r="AB67" s="203"/>
      <c r="AC67" s="203"/>
      <c r="AD67" s="203"/>
      <c r="AE67" s="203"/>
      <c r="AF67" s="203"/>
    </row>
    <row r="68" spans="2:32" ht="15" customHeight="1">
      <c r="C68" s="10"/>
      <c r="D68" s="26"/>
      <c r="E68" s="215"/>
      <c r="F68" s="215"/>
      <c r="G68" s="203"/>
      <c r="H68" s="203"/>
      <c r="I68" s="203"/>
      <c r="J68" s="203"/>
      <c r="K68" s="203"/>
      <c r="L68" s="203"/>
      <c r="M68" s="203"/>
      <c r="N68" s="203"/>
      <c r="O68" s="203"/>
      <c r="P68" s="203"/>
      <c r="Q68" s="203"/>
      <c r="R68" s="203"/>
      <c r="S68" s="203"/>
      <c r="T68" s="203"/>
      <c r="U68" s="203"/>
      <c r="V68" s="203"/>
      <c r="W68" s="203"/>
      <c r="X68" s="203"/>
      <c r="Y68" s="203"/>
      <c r="Z68" s="203"/>
      <c r="AA68" s="203"/>
      <c r="AB68" s="203"/>
      <c r="AC68" s="203"/>
      <c r="AD68" s="203"/>
      <c r="AE68" s="203"/>
      <c r="AF68" s="203"/>
    </row>
    <row r="69" spans="2:32" ht="15" customHeight="1">
      <c r="C69" s="10"/>
      <c r="D69" s="26"/>
      <c r="E69" s="215"/>
      <c r="F69" s="215"/>
      <c r="G69" s="203"/>
      <c r="H69" s="203"/>
      <c r="I69" s="203"/>
      <c r="J69" s="203"/>
      <c r="K69" s="203"/>
      <c r="L69" s="203"/>
      <c r="M69" s="203"/>
      <c r="N69" s="203"/>
      <c r="O69" s="203"/>
      <c r="P69" s="203"/>
      <c r="Q69" s="203"/>
      <c r="R69" s="203"/>
      <c r="S69" s="203"/>
      <c r="T69" s="203"/>
      <c r="U69" s="203"/>
      <c r="V69" s="203"/>
      <c r="W69" s="203"/>
      <c r="X69" s="203"/>
      <c r="Y69" s="203"/>
      <c r="Z69" s="203"/>
      <c r="AA69" s="203"/>
      <c r="AB69" s="203"/>
      <c r="AC69" s="203"/>
      <c r="AD69" s="203"/>
      <c r="AE69" s="203"/>
      <c r="AF69" s="203"/>
    </row>
    <row r="70" spans="2:32" ht="15" customHeight="1">
      <c r="C70" s="10"/>
      <c r="D70" s="26"/>
      <c r="E70" s="215"/>
      <c r="F70" s="215"/>
      <c r="G70" s="203"/>
      <c r="H70" s="203"/>
      <c r="I70" s="203"/>
      <c r="J70" s="203"/>
      <c r="K70" s="203"/>
      <c r="L70" s="203"/>
      <c r="M70" s="203"/>
      <c r="N70" s="203"/>
      <c r="O70" s="203"/>
      <c r="P70" s="203"/>
      <c r="Q70" s="203"/>
      <c r="R70" s="203"/>
      <c r="S70" s="203"/>
      <c r="T70" s="203"/>
      <c r="U70" s="203"/>
      <c r="V70" s="203"/>
      <c r="W70" s="203"/>
      <c r="X70" s="203"/>
      <c r="Y70" s="203"/>
      <c r="Z70" s="203"/>
      <c r="AA70" s="203"/>
      <c r="AB70" s="203"/>
      <c r="AC70" s="203"/>
      <c r="AD70" s="203"/>
      <c r="AE70" s="203"/>
      <c r="AF70" s="203"/>
    </row>
    <row r="71" spans="2:32" ht="15" customHeight="1">
      <c r="C71" s="10"/>
      <c r="D71" s="26"/>
      <c r="E71" s="215"/>
      <c r="F71" s="215"/>
      <c r="G71" s="203"/>
      <c r="H71" s="203"/>
      <c r="I71" s="203"/>
      <c r="J71" s="203"/>
      <c r="K71" s="203"/>
      <c r="L71" s="203"/>
      <c r="M71" s="203"/>
      <c r="N71" s="203"/>
      <c r="O71" s="203"/>
      <c r="P71" s="203"/>
      <c r="Q71" s="203"/>
      <c r="R71" s="203"/>
      <c r="S71" s="203"/>
      <c r="T71" s="203"/>
      <c r="U71" s="203"/>
      <c r="V71" s="203"/>
      <c r="W71" s="203"/>
      <c r="X71" s="203"/>
      <c r="Y71" s="203"/>
      <c r="Z71" s="203"/>
      <c r="AA71" s="203"/>
      <c r="AB71" s="203"/>
      <c r="AC71" s="203"/>
      <c r="AD71" s="203"/>
      <c r="AE71" s="203"/>
      <c r="AF71" s="203"/>
    </row>
    <row r="72" spans="2:32" ht="15" customHeight="1">
      <c r="C72" s="10"/>
      <c r="D72" s="26"/>
      <c r="E72" s="215"/>
      <c r="F72" s="215"/>
      <c r="G72" s="203"/>
      <c r="H72" s="203"/>
      <c r="I72" s="203"/>
      <c r="J72" s="203"/>
      <c r="K72" s="203"/>
      <c r="L72" s="203"/>
      <c r="M72" s="203"/>
      <c r="N72" s="203"/>
      <c r="O72" s="203"/>
      <c r="P72" s="203"/>
      <c r="Q72" s="203"/>
      <c r="R72" s="203"/>
      <c r="S72" s="203"/>
      <c r="T72" s="203"/>
      <c r="U72" s="203"/>
      <c r="V72" s="203"/>
      <c r="W72" s="203"/>
      <c r="X72" s="203"/>
      <c r="Y72" s="203"/>
      <c r="Z72" s="203"/>
      <c r="AA72" s="203"/>
      <c r="AB72" s="203"/>
      <c r="AC72" s="203"/>
      <c r="AD72" s="203"/>
      <c r="AE72" s="203"/>
      <c r="AF72" s="203"/>
    </row>
    <row r="73" spans="2:32" ht="15" customHeight="1">
      <c r="C73" s="10"/>
      <c r="D73" s="26"/>
      <c r="E73" s="215"/>
      <c r="F73" s="215"/>
      <c r="G73" s="203"/>
      <c r="H73" s="203"/>
      <c r="I73" s="203"/>
      <c r="J73" s="203"/>
      <c r="K73" s="203"/>
      <c r="L73" s="203"/>
      <c r="M73" s="203"/>
      <c r="N73" s="203"/>
      <c r="O73" s="203"/>
      <c r="P73" s="203"/>
      <c r="Q73" s="203"/>
      <c r="R73" s="203"/>
      <c r="S73" s="203"/>
      <c r="T73" s="203"/>
      <c r="U73" s="203"/>
      <c r="V73" s="203"/>
      <c r="W73" s="203"/>
      <c r="X73" s="203"/>
      <c r="Y73" s="203"/>
      <c r="Z73" s="203"/>
      <c r="AA73" s="203"/>
      <c r="AB73" s="203"/>
      <c r="AC73" s="203"/>
      <c r="AD73" s="203"/>
      <c r="AE73" s="203"/>
      <c r="AF73" s="203"/>
    </row>
    <row r="74" spans="2:32" ht="15" customHeight="1">
      <c r="C74" s="10"/>
      <c r="D74" s="26"/>
      <c r="E74" s="215"/>
      <c r="F74" s="215"/>
      <c r="G74" s="203"/>
      <c r="H74" s="203"/>
      <c r="I74" s="203"/>
      <c r="J74" s="203"/>
      <c r="K74" s="203"/>
      <c r="L74" s="203"/>
      <c r="M74" s="203"/>
      <c r="N74" s="203"/>
      <c r="O74" s="203"/>
      <c r="P74" s="203"/>
      <c r="Q74" s="203"/>
      <c r="R74" s="203"/>
      <c r="S74" s="203"/>
      <c r="T74" s="203"/>
      <c r="U74" s="203"/>
      <c r="V74" s="203"/>
      <c r="W74" s="203"/>
      <c r="X74" s="203"/>
      <c r="Y74" s="203"/>
      <c r="Z74" s="203"/>
      <c r="AA74" s="203"/>
      <c r="AB74" s="203"/>
      <c r="AC74" s="203"/>
      <c r="AD74" s="203"/>
      <c r="AE74" s="203"/>
      <c r="AF74" s="203"/>
    </row>
    <row r="75" spans="2:32" ht="15" customHeight="1">
      <c r="C75" s="10"/>
      <c r="D75" s="26"/>
      <c r="E75" s="215"/>
      <c r="F75" s="215"/>
      <c r="G75" s="203"/>
      <c r="H75" s="203"/>
      <c r="I75" s="203"/>
      <c r="J75" s="203"/>
      <c r="K75" s="203"/>
      <c r="L75" s="203"/>
      <c r="M75" s="203"/>
      <c r="N75" s="203"/>
      <c r="O75" s="203"/>
      <c r="P75" s="203"/>
      <c r="Q75" s="203"/>
      <c r="R75" s="203"/>
      <c r="S75" s="203"/>
      <c r="T75" s="203"/>
      <c r="U75" s="203"/>
      <c r="V75" s="203"/>
      <c r="W75" s="203"/>
      <c r="X75" s="203"/>
      <c r="Y75" s="203"/>
      <c r="Z75" s="203"/>
      <c r="AA75" s="203"/>
      <c r="AB75" s="203"/>
      <c r="AC75" s="203"/>
      <c r="AD75" s="203"/>
      <c r="AE75" s="203"/>
      <c r="AF75" s="203"/>
    </row>
    <row r="76" spans="2:32" ht="15" customHeight="1">
      <c r="C76" s="10"/>
      <c r="D76" s="26"/>
      <c r="E76" s="215"/>
      <c r="F76" s="215"/>
      <c r="G76" s="203"/>
      <c r="H76" s="203"/>
      <c r="I76" s="203"/>
      <c r="J76" s="203"/>
      <c r="K76" s="203"/>
      <c r="L76" s="203"/>
      <c r="M76" s="203"/>
      <c r="N76" s="203"/>
      <c r="O76" s="203"/>
      <c r="P76" s="203"/>
      <c r="Q76" s="203"/>
      <c r="R76" s="203"/>
      <c r="S76" s="203"/>
      <c r="T76" s="203"/>
      <c r="U76" s="203"/>
      <c r="V76" s="203"/>
      <c r="W76" s="203"/>
      <c r="X76" s="203"/>
      <c r="Y76" s="203"/>
      <c r="Z76" s="203"/>
      <c r="AA76" s="203"/>
      <c r="AB76" s="203"/>
      <c r="AC76" s="203"/>
      <c r="AD76" s="203"/>
      <c r="AE76" s="203"/>
      <c r="AF76" s="203"/>
    </row>
    <row r="77" spans="2:32" ht="15" customHeight="1">
      <c r="C77" s="10"/>
      <c r="D77" s="26"/>
      <c r="E77" s="215"/>
      <c r="F77" s="215"/>
      <c r="G77" s="203"/>
      <c r="H77" s="203"/>
      <c r="I77" s="203"/>
      <c r="J77" s="203"/>
      <c r="K77" s="203"/>
      <c r="L77" s="203"/>
      <c r="M77" s="203"/>
      <c r="N77" s="203"/>
      <c r="O77" s="203"/>
      <c r="P77" s="203"/>
      <c r="Q77" s="203"/>
      <c r="R77" s="203"/>
      <c r="S77" s="203"/>
      <c r="T77" s="203"/>
      <c r="U77" s="203"/>
      <c r="V77" s="203"/>
      <c r="W77" s="203"/>
      <c r="X77" s="203"/>
      <c r="Y77" s="203"/>
      <c r="Z77" s="203"/>
      <c r="AA77" s="203"/>
      <c r="AB77" s="203"/>
      <c r="AC77" s="203"/>
      <c r="AD77" s="203"/>
      <c r="AE77" s="203"/>
      <c r="AF77" s="203"/>
    </row>
    <row r="78" spans="2:32" ht="15" customHeight="1">
      <c r="C78" s="10"/>
      <c r="D78" s="26"/>
      <c r="E78" s="215"/>
      <c r="F78" s="215"/>
      <c r="G78" s="203"/>
      <c r="H78" s="203"/>
      <c r="I78" s="203"/>
      <c r="J78" s="203"/>
      <c r="K78" s="203"/>
      <c r="L78" s="203"/>
      <c r="M78" s="203"/>
      <c r="N78" s="203"/>
      <c r="O78" s="203"/>
      <c r="P78" s="203"/>
      <c r="Q78" s="203"/>
      <c r="R78" s="203"/>
      <c r="S78" s="203"/>
      <c r="T78" s="203"/>
      <c r="U78" s="203"/>
      <c r="V78" s="203"/>
      <c r="W78" s="203"/>
      <c r="X78" s="203"/>
      <c r="Y78" s="203"/>
      <c r="Z78" s="203"/>
      <c r="AA78" s="203"/>
      <c r="AB78" s="203"/>
      <c r="AC78" s="203"/>
      <c r="AD78" s="203"/>
      <c r="AE78" s="203"/>
      <c r="AF78" s="203"/>
    </row>
    <row r="79" spans="2:32" ht="15" customHeight="1">
      <c r="C79" s="10"/>
      <c r="D79" s="26"/>
      <c r="E79" s="215"/>
      <c r="F79" s="215"/>
      <c r="G79" s="203"/>
      <c r="H79" s="203"/>
      <c r="I79" s="203"/>
      <c r="J79" s="203"/>
      <c r="K79" s="203"/>
      <c r="L79" s="203"/>
      <c r="M79" s="203"/>
      <c r="N79" s="203"/>
      <c r="O79" s="203"/>
      <c r="P79" s="203"/>
      <c r="Q79" s="203"/>
      <c r="R79" s="203"/>
      <c r="S79" s="203"/>
      <c r="T79" s="203"/>
      <c r="U79" s="203"/>
      <c r="V79" s="203"/>
      <c r="W79" s="203"/>
      <c r="X79" s="203"/>
      <c r="Y79" s="203"/>
      <c r="Z79" s="203"/>
      <c r="AA79" s="203"/>
      <c r="AB79" s="203"/>
      <c r="AC79" s="203"/>
      <c r="AD79" s="203"/>
      <c r="AE79" s="203"/>
      <c r="AF79" s="203"/>
    </row>
    <row r="80" spans="2:32" ht="15" customHeight="1">
      <c r="C80" s="10"/>
      <c r="D80" s="26"/>
      <c r="E80" s="215"/>
      <c r="F80" s="215"/>
      <c r="G80" s="203"/>
      <c r="H80" s="203"/>
      <c r="I80" s="203"/>
      <c r="J80" s="203"/>
      <c r="K80" s="203"/>
      <c r="L80" s="203"/>
      <c r="M80" s="203"/>
      <c r="N80" s="203"/>
      <c r="O80" s="203"/>
      <c r="P80" s="203"/>
      <c r="Q80" s="203"/>
      <c r="R80" s="203"/>
      <c r="S80" s="203"/>
      <c r="T80" s="203"/>
      <c r="U80" s="203"/>
      <c r="V80" s="203"/>
      <c r="W80" s="203"/>
      <c r="X80" s="203"/>
      <c r="Y80" s="203"/>
      <c r="Z80" s="203"/>
      <c r="AA80" s="203"/>
      <c r="AB80" s="203"/>
      <c r="AC80" s="203"/>
      <c r="AD80" s="203"/>
      <c r="AE80" s="203"/>
      <c r="AF80" s="203"/>
    </row>
    <row r="81" spans="2:32" ht="15" customHeight="1">
      <c r="C81" s="10"/>
      <c r="D81" s="26"/>
      <c r="E81" s="215"/>
      <c r="F81" s="215"/>
      <c r="G81" s="203"/>
      <c r="H81" s="203"/>
      <c r="I81" s="203"/>
      <c r="J81" s="203"/>
      <c r="K81" s="203"/>
      <c r="L81" s="203"/>
      <c r="M81" s="203"/>
      <c r="N81" s="203"/>
      <c r="O81" s="203"/>
      <c r="P81" s="203"/>
      <c r="Q81" s="203"/>
      <c r="R81" s="203"/>
      <c r="S81" s="203"/>
      <c r="T81" s="203"/>
      <c r="U81" s="203"/>
      <c r="V81" s="203"/>
      <c r="W81" s="203"/>
      <c r="X81" s="203"/>
      <c r="Y81" s="203"/>
      <c r="Z81" s="203"/>
      <c r="AA81" s="203"/>
      <c r="AB81" s="203"/>
      <c r="AC81" s="203"/>
      <c r="AD81" s="203"/>
      <c r="AE81" s="203"/>
      <c r="AF81" s="203"/>
    </row>
    <row r="82" spans="2:32" ht="15" customHeight="1">
      <c r="C82" s="10"/>
      <c r="D82" s="26"/>
      <c r="E82" s="215"/>
      <c r="F82" s="215"/>
      <c r="G82" s="203"/>
      <c r="H82" s="203"/>
      <c r="I82" s="203"/>
      <c r="J82" s="203"/>
      <c r="K82" s="203"/>
      <c r="L82" s="203"/>
      <c r="M82" s="203"/>
      <c r="N82" s="203"/>
      <c r="O82" s="203"/>
      <c r="P82" s="203"/>
      <c r="Q82" s="203"/>
      <c r="R82" s="203"/>
      <c r="S82" s="203"/>
      <c r="T82" s="203"/>
      <c r="U82" s="203"/>
      <c r="V82" s="203"/>
      <c r="W82" s="203"/>
      <c r="X82" s="203"/>
      <c r="Y82" s="203"/>
      <c r="Z82" s="203"/>
      <c r="AA82" s="203"/>
      <c r="AB82" s="203"/>
      <c r="AC82" s="203"/>
      <c r="AD82" s="203"/>
      <c r="AE82" s="203"/>
      <c r="AF82" s="203"/>
    </row>
    <row r="83" spans="2:32" ht="15" customHeight="1">
      <c r="C83" s="10"/>
      <c r="D83" s="26"/>
      <c r="E83" s="215"/>
      <c r="F83" s="215"/>
      <c r="G83" s="203"/>
      <c r="H83" s="203"/>
      <c r="I83" s="203"/>
      <c r="J83" s="203"/>
      <c r="K83" s="203"/>
      <c r="L83" s="203"/>
      <c r="M83" s="203"/>
      <c r="N83" s="203"/>
      <c r="O83" s="203"/>
      <c r="P83" s="203"/>
      <c r="Q83" s="203"/>
      <c r="R83" s="203"/>
      <c r="S83" s="203"/>
      <c r="T83" s="203"/>
      <c r="U83" s="203"/>
      <c r="V83" s="203"/>
      <c r="W83" s="203"/>
      <c r="X83" s="203"/>
      <c r="Y83" s="203"/>
      <c r="Z83" s="203"/>
      <c r="AA83" s="203"/>
      <c r="AB83" s="203"/>
      <c r="AC83" s="203"/>
      <c r="AD83" s="203"/>
      <c r="AE83" s="203"/>
      <c r="AF83" s="203"/>
    </row>
    <row r="84" spans="2:32" ht="15" customHeight="1">
      <c r="C84" s="10"/>
      <c r="D84" s="26"/>
      <c r="E84" s="215"/>
      <c r="F84" s="215"/>
      <c r="G84" s="203"/>
      <c r="H84" s="203"/>
      <c r="I84" s="203"/>
      <c r="J84" s="203"/>
      <c r="K84" s="203"/>
      <c r="L84" s="203"/>
      <c r="M84" s="203"/>
      <c r="N84" s="203"/>
      <c r="O84" s="203"/>
      <c r="P84" s="203"/>
      <c r="Q84" s="203"/>
      <c r="R84" s="203"/>
      <c r="S84" s="203"/>
      <c r="T84" s="203"/>
      <c r="U84" s="203"/>
      <c r="V84" s="203"/>
      <c r="W84" s="203"/>
      <c r="X84" s="203"/>
      <c r="Y84" s="203"/>
      <c r="Z84" s="203"/>
      <c r="AA84" s="203"/>
      <c r="AB84" s="203"/>
      <c r="AC84" s="203"/>
      <c r="AD84" s="203"/>
      <c r="AE84" s="203"/>
      <c r="AF84" s="203"/>
    </row>
    <row r="85" spans="2:32" ht="15" customHeight="1">
      <c r="C85" s="10"/>
      <c r="D85" s="26"/>
      <c r="E85" s="215"/>
      <c r="F85" s="215"/>
      <c r="G85" s="203"/>
      <c r="H85" s="203"/>
      <c r="I85" s="203"/>
      <c r="J85" s="203"/>
      <c r="K85" s="203"/>
      <c r="L85" s="203"/>
      <c r="M85" s="203"/>
      <c r="N85" s="203"/>
      <c r="O85" s="203"/>
      <c r="P85" s="203"/>
      <c r="Q85" s="203"/>
      <c r="R85" s="203"/>
      <c r="S85" s="203"/>
      <c r="T85" s="203"/>
      <c r="U85" s="203"/>
      <c r="V85" s="203"/>
      <c r="W85" s="203"/>
      <c r="X85" s="203"/>
      <c r="Y85" s="203"/>
      <c r="Z85" s="203"/>
      <c r="AA85" s="203"/>
      <c r="AB85" s="203"/>
      <c r="AC85" s="203"/>
      <c r="AD85" s="203"/>
      <c r="AE85" s="203"/>
      <c r="AF85" s="203"/>
    </row>
    <row r="86" spans="2:32" ht="15" customHeight="1">
      <c r="C86" s="10"/>
      <c r="D86" s="26"/>
      <c r="E86" s="215"/>
      <c r="F86" s="215"/>
      <c r="G86" s="203"/>
      <c r="H86" s="203"/>
      <c r="I86" s="203"/>
      <c r="J86" s="203"/>
      <c r="K86" s="203"/>
      <c r="L86" s="203"/>
      <c r="M86" s="203"/>
      <c r="N86" s="203"/>
      <c r="O86" s="203"/>
      <c r="P86" s="203"/>
      <c r="Q86" s="203"/>
      <c r="R86" s="203"/>
      <c r="S86" s="203"/>
      <c r="T86" s="203"/>
      <c r="U86" s="203"/>
      <c r="V86" s="203"/>
      <c r="W86" s="203"/>
      <c r="X86" s="203"/>
      <c r="Y86" s="203"/>
      <c r="Z86" s="203"/>
      <c r="AA86" s="203"/>
      <c r="AB86" s="203"/>
      <c r="AC86" s="203"/>
      <c r="AD86" s="203"/>
      <c r="AE86" s="203"/>
      <c r="AF86" s="203"/>
    </row>
    <row r="87" spans="2:32" ht="15" customHeight="1">
      <c r="C87" s="10"/>
      <c r="D87" s="26"/>
      <c r="E87" s="215"/>
      <c r="F87" s="215"/>
      <c r="G87" s="203"/>
      <c r="H87" s="203"/>
      <c r="I87" s="203"/>
      <c r="J87" s="203"/>
      <c r="K87" s="203"/>
      <c r="L87" s="203"/>
      <c r="M87" s="203"/>
      <c r="N87" s="203"/>
      <c r="O87" s="203"/>
      <c r="P87" s="203"/>
      <c r="Q87" s="203"/>
      <c r="R87" s="203"/>
      <c r="S87" s="203"/>
      <c r="T87" s="203"/>
      <c r="U87" s="203"/>
      <c r="V87" s="203"/>
      <c r="W87" s="203"/>
      <c r="X87" s="203"/>
      <c r="Y87" s="203"/>
      <c r="Z87" s="203"/>
      <c r="AA87" s="203"/>
      <c r="AB87" s="203"/>
      <c r="AC87" s="203"/>
      <c r="AD87" s="203"/>
      <c r="AE87" s="203"/>
      <c r="AF87" s="203"/>
    </row>
    <row r="88" spans="2:32" ht="15" customHeight="1">
      <c r="C88" s="10"/>
      <c r="D88" s="26"/>
      <c r="E88" s="215"/>
      <c r="F88" s="215"/>
      <c r="G88" s="203"/>
      <c r="H88" s="203"/>
      <c r="I88" s="203"/>
      <c r="J88" s="203"/>
      <c r="K88" s="203"/>
      <c r="L88" s="203"/>
      <c r="M88" s="203"/>
      <c r="N88" s="203"/>
      <c r="O88" s="203"/>
      <c r="P88" s="203"/>
      <c r="Q88" s="203"/>
      <c r="R88" s="203"/>
      <c r="S88" s="203"/>
      <c r="T88" s="203"/>
      <c r="U88" s="203"/>
      <c r="V88" s="203"/>
      <c r="W88" s="203"/>
      <c r="X88" s="203"/>
      <c r="Y88" s="203"/>
      <c r="Z88" s="203"/>
      <c r="AA88" s="203"/>
      <c r="AB88" s="203"/>
      <c r="AC88" s="203"/>
      <c r="AD88" s="203"/>
      <c r="AE88" s="203"/>
      <c r="AF88" s="203"/>
    </row>
    <row r="89" spans="2:32" ht="15" customHeight="1">
      <c r="C89" s="10"/>
      <c r="D89" s="26"/>
      <c r="E89" s="215"/>
      <c r="F89" s="215"/>
      <c r="G89" s="203"/>
      <c r="H89" s="203"/>
      <c r="I89" s="203"/>
      <c r="J89" s="203"/>
      <c r="K89" s="203"/>
      <c r="L89" s="203"/>
      <c r="M89" s="203"/>
      <c r="N89" s="203"/>
      <c r="O89" s="203"/>
      <c r="P89" s="203"/>
      <c r="Q89" s="203"/>
      <c r="R89" s="203"/>
      <c r="S89" s="203"/>
      <c r="T89" s="203"/>
      <c r="U89" s="203"/>
      <c r="V89" s="203"/>
      <c r="W89" s="203"/>
      <c r="X89" s="203"/>
      <c r="Y89" s="203"/>
      <c r="Z89" s="203"/>
      <c r="AA89" s="203"/>
      <c r="AB89" s="203"/>
      <c r="AC89" s="203"/>
      <c r="AD89" s="203"/>
      <c r="AE89" s="203"/>
      <c r="AF89" s="203"/>
    </row>
    <row r="90" spans="2:32" ht="15" customHeight="1">
      <c r="C90" s="10"/>
    </row>
    <row r="91" spans="2:32" ht="15" customHeight="1">
      <c r="B91" s="315"/>
      <c r="C91" s="10"/>
      <c r="D91" s="26"/>
      <c r="E91" s="215"/>
      <c r="F91" s="215"/>
      <c r="G91" s="203"/>
      <c r="H91" s="203"/>
      <c r="I91" s="203"/>
      <c r="J91" s="203"/>
      <c r="K91" s="203"/>
      <c r="L91" s="203"/>
      <c r="M91" s="203"/>
      <c r="N91" s="203"/>
      <c r="O91" s="203"/>
      <c r="P91" s="203"/>
      <c r="Q91" s="203"/>
      <c r="R91" s="203"/>
      <c r="S91" s="203"/>
      <c r="T91" s="203"/>
      <c r="U91" s="203"/>
      <c r="V91" s="203"/>
      <c r="W91" s="203"/>
      <c r="X91" s="203"/>
      <c r="Y91" s="203"/>
      <c r="Z91" s="203"/>
      <c r="AA91" s="203"/>
      <c r="AB91" s="203"/>
      <c r="AC91" s="203"/>
      <c r="AD91" s="203"/>
      <c r="AE91" s="203"/>
      <c r="AF91" s="203"/>
    </row>
    <row r="92" spans="2:32" ht="15" customHeight="1">
      <c r="C92" s="10"/>
      <c r="D92" s="26"/>
      <c r="E92" s="215"/>
      <c r="F92" s="215"/>
      <c r="G92" s="203"/>
      <c r="H92" s="203"/>
      <c r="I92" s="203"/>
      <c r="J92" s="203"/>
      <c r="K92" s="203"/>
      <c r="L92" s="203"/>
      <c r="M92" s="203"/>
      <c r="N92" s="203"/>
      <c r="O92" s="203"/>
      <c r="P92" s="203"/>
      <c r="Q92" s="203"/>
      <c r="R92" s="203"/>
      <c r="S92" s="203"/>
      <c r="T92" s="203"/>
      <c r="U92" s="203"/>
      <c r="V92" s="203"/>
      <c r="W92" s="203"/>
      <c r="X92" s="203"/>
      <c r="Y92" s="203"/>
      <c r="Z92" s="203"/>
      <c r="AA92" s="203"/>
      <c r="AB92" s="203"/>
      <c r="AC92" s="203"/>
      <c r="AD92" s="203"/>
      <c r="AE92" s="203"/>
      <c r="AF92" s="203"/>
    </row>
    <row r="93" spans="2:32" ht="15" customHeight="1">
      <c r="C93" s="10"/>
      <c r="D93" s="26"/>
      <c r="E93" s="215"/>
      <c r="F93" s="215"/>
      <c r="G93" s="203"/>
      <c r="H93" s="203"/>
      <c r="I93" s="203"/>
      <c r="J93" s="203"/>
      <c r="K93" s="203"/>
      <c r="L93" s="203"/>
      <c r="M93" s="203"/>
      <c r="N93" s="203"/>
      <c r="O93" s="203"/>
      <c r="P93" s="203"/>
      <c r="Q93" s="203"/>
      <c r="R93" s="203"/>
      <c r="S93" s="203"/>
      <c r="T93" s="203"/>
      <c r="U93" s="203"/>
      <c r="V93" s="203"/>
      <c r="W93" s="203"/>
      <c r="X93" s="203"/>
      <c r="Y93" s="203"/>
      <c r="Z93" s="203"/>
      <c r="AA93" s="203"/>
      <c r="AB93" s="203"/>
      <c r="AC93" s="203"/>
      <c r="AD93" s="203"/>
      <c r="AE93" s="203"/>
      <c r="AF93" s="203"/>
    </row>
    <row r="94" spans="2:32" ht="15" customHeight="1">
      <c r="C94" s="10"/>
      <c r="D94" s="26"/>
      <c r="E94" s="215"/>
      <c r="F94" s="215"/>
      <c r="G94" s="203"/>
      <c r="H94" s="203"/>
      <c r="I94" s="203"/>
      <c r="J94" s="203"/>
      <c r="K94" s="203"/>
      <c r="L94" s="203"/>
      <c r="M94" s="203"/>
      <c r="N94" s="203"/>
      <c r="O94" s="203"/>
      <c r="P94" s="203"/>
      <c r="Q94" s="203"/>
      <c r="R94" s="203"/>
      <c r="S94" s="203"/>
      <c r="T94" s="203"/>
      <c r="U94" s="203"/>
      <c r="V94" s="203"/>
      <c r="W94" s="203"/>
      <c r="X94" s="203"/>
      <c r="Y94" s="203"/>
      <c r="Z94" s="203"/>
      <c r="AA94" s="203"/>
      <c r="AB94" s="203"/>
      <c r="AC94" s="203"/>
      <c r="AD94" s="203"/>
      <c r="AE94" s="203"/>
      <c r="AF94" s="203"/>
    </row>
    <row r="95" spans="2:32" ht="15" customHeight="1">
      <c r="C95" s="10"/>
      <c r="D95" s="26"/>
      <c r="E95" s="215"/>
      <c r="F95" s="215"/>
      <c r="G95" s="203"/>
      <c r="H95" s="203"/>
      <c r="I95" s="203"/>
      <c r="J95" s="203"/>
      <c r="K95" s="203"/>
      <c r="L95" s="203"/>
      <c r="M95" s="203"/>
      <c r="N95" s="203"/>
      <c r="O95" s="203"/>
      <c r="P95" s="203"/>
      <c r="Q95" s="203"/>
      <c r="R95" s="203"/>
      <c r="S95" s="203"/>
      <c r="T95" s="203"/>
      <c r="U95" s="203"/>
      <c r="V95" s="203"/>
      <c r="W95" s="203"/>
      <c r="X95" s="203"/>
      <c r="Y95" s="203"/>
      <c r="Z95" s="203"/>
      <c r="AA95" s="203"/>
      <c r="AB95" s="203"/>
      <c r="AC95" s="203"/>
      <c r="AD95" s="203"/>
      <c r="AE95" s="203"/>
      <c r="AF95" s="203"/>
    </row>
    <row r="96" spans="2:32" ht="15" customHeight="1">
      <c r="C96" s="10"/>
      <c r="D96" s="26"/>
      <c r="E96" s="215"/>
      <c r="F96" s="215"/>
      <c r="G96" s="203"/>
      <c r="H96" s="203"/>
      <c r="I96" s="203"/>
      <c r="J96" s="203"/>
      <c r="K96" s="203"/>
      <c r="L96" s="203"/>
      <c r="M96" s="203"/>
      <c r="N96" s="203"/>
      <c r="O96" s="203"/>
      <c r="P96" s="203"/>
      <c r="Q96" s="203"/>
      <c r="R96" s="203"/>
      <c r="S96" s="203"/>
      <c r="T96" s="203"/>
      <c r="U96" s="203"/>
      <c r="V96" s="203"/>
      <c r="W96" s="203"/>
      <c r="X96" s="203"/>
      <c r="Y96" s="203"/>
      <c r="Z96" s="203"/>
      <c r="AA96" s="203"/>
      <c r="AB96" s="203"/>
      <c r="AC96" s="203"/>
      <c r="AD96" s="203"/>
      <c r="AE96" s="203"/>
      <c r="AF96" s="203"/>
    </row>
    <row r="97" spans="3:32" ht="15" customHeight="1">
      <c r="C97" s="10"/>
      <c r="D97" s="26"/>
      <c r="E97" s="215"/>
      <c r="F97" s="215"/>
      <c r="G97" s="203"/>
      <c r="H97" s="203"/>
      <c r="I97" s="203"/>
      <c r="J97" s="203"/>
      <c r="K97" s="203"/>
      <c r="L97" s="203"/>
      <c r="M97" s="203"/>
      <c r="N97" s="203"/>
      <c r="O97" s="203"/>
      <c r="P97" s="203"/>
      <c r="Q97" s="203"/>
      <c r="R97" s="203"/>
      <c r="S97" s="203"/>
      <c r="T97" s="203"/>
      <c r="U97" s="203"/>
      <c r="V97" s="203"/>
      <c r="W97" s="203"/>
      <c r="X97" s="203"/>
      <c r="Y97" s="203"/>
      <c r="Z97" s="203"/>
      <c r="AA97" s="203"/>
      <c r="AB97" s="203"/>
      <c r="AC97" s="203"/>
      <c r="AD97" s="203"/>
      <c r="AE97" s="203"/>
      <c r="AF97" s="203"/>
    </row>
    <row r="98" spans="3:32" ht="15" customHeight="1">
      <c r="C98" s="10"/>
      <c r="D98" s="26"/>
      <c r="E98" s="215"/>
      <c r="F98" s="215"/>
      <c r="G98" s="203"/>
      <c r="H98" s="203"/>
      <c r="I98" s="203"/>
      <c r="J98" s="203"/>
      <c r="K98" s="203"/>
      <c r="L98" s="203"/>
      <c r="M98" s="203"/>
      <c r="N98" s="203"/>
      <c r="O98" s="203"/>
      <c r="P98" s="203"/>
      <c r="Q98" s="203"/>
      <c r="R98" s="203"/>
      <c r="S98" s="203"/>
      <c r="T98" s="203"/>
      <c r="U98" s="203"/>
      <c r="V98" s="203"/>
      <c r="W98" s="203"/>
      <c r="X98" s="203"/>
      <c r="Y98" s="203"/>
      <c r="Z98" s="203"/>
      <c r="AA98" s="203"/>
      <c r="AB98" s="203"/>
      <c r="AC98" s="203"/>
      <c r="AD98" s="203"/>
      <c r="AE98" s="203"/>
      <c r="AF98" s="203"/>
    </row>
    <row r="99" spans="3:32" ht="15" customHeight="1">
      <c r="C99" s="10"/>
      <c r="D99" s="26"/>
      <c r="E99" s="215"/>
      <c r="F99" s="215"/>
      <c r="G99" s="203"/>
      <c r="H99" s="203"/>
      <c r="I99" s="203"/>
      <c r="J99" s="203"/>
      <c r="K99" s="203"/>
      <c r="L99" s="203"/>
      <c r="M99" s="203"/>
      <c r="N99" s="203"/>
      <c r="O99" s="203"/>
      <c r="P99" s="203"/>
      <c r="Q99" s="203"/>
      <c r="R99" s="203"/>
      <c r="S99" s="203"/>
      <c r="T99" s="203"/>
      <c r="U99" s="203"/>
      <c r="V99" s="203"/>
      <c r="W99" s="203"/>
      <c r="X99" s="203"/>
      <c r="Y99" s="203"/>
      <c r="Z99" s="203"/>
      <c r="AA99" s="203"/>
      <c r="AB99" s="203"/>
      <c r="AC99" s="203"/>
      <c r="AD99" s="203"/>
      <c r="AE99" s="203"/>
      <c r="AF99" s="203"/>
    </row>
    <row r="100" spans="3:32" ht="15" customHeight="1">
      <c r="C100" s="10"/>
      <c r="D100" s="26"/>
      <c r="E100" s="215"/>
      <c r="F100" s="215"/>
      <c r="G100" s="203"/>
      <c r="H100" s="203"/>
      <c r="I100" s="203"/>
      <c r="J100" s="203"/>
      <c r="K100" s="203"/>
      <c r="L100" s="203"/>
      <c r="M100" s="203"/>
      <c r="N100" s="203"/>
      <c r="O100" s="203"/>
      <c r="P100" s="203"/>
      <c r="Q100" s="203"/>
      <c r="R100" s="203"/>
      <c r="S100" s="203"/>
      <c r="T100" s="203"/>
      <c r="U100" s="203"/>
      <c r="V100" s="203"/>
      <c r="W100" s="203"/>
      <c r="X100" s="203"/>
      <c r="Y100" s="203"/>
      <c r="Z100" s="203"/>
      <c r="AA100" s="203"/>
      <c r="AB100" s="203"/>
      <c r="AC100" s="203"/>
      <c r="AD100" s="203"/>
      <c r="AE100" s="203"/>
      <c r="AF100" s="203"/>
    </row>
    <row r="101" spans="3:32" ht="15" customHeight="1">
      <c r="C101" s="10"/>
      <c r="D101" s="26"/>
      <c r="E101" s="215"/>
      <c r="F101" s="215"/>
      <c r="G101" s="203"/>
      <c r="H101" s="203"/>
      <c r="I101" s="203"/>
      <c r="J101" s="203"/>
      <c r="K101" s="203"/>
      <c r="L101" s="203"/>
      <c r="M101" s="203"/>
      <c r="N101" s="203"/>
      <c r="O101" s="203"/>
      <c r="P101" s="203"/>
      <c r="Q101" s="203"/>
      <c r="R101" s="203"/>
      <c r="S101" s="203"/>
      <c r="T101" s="203"/>
      <c r="U101" s="203"/>
      <c r="V101" s="203"/>
      <c r="W101" s="203"/>
      <c r="X101" s="203"/>
      <c r="Y101" s="203"/>
      <c r="Z101" s="203"/>
      <c r="AA101" s="203"/>
      <c r="AB101" s="203"/>
      <c r="AC101" s="203"/>
      <c r="AD101" s="203"/>
      <c r="AE101" s="203"/>
      <c r="AF101" s="203"/>
    </row>
    <row r="102" spans="3:32" ht="15" customHeight="1">
      <c r="C102" s="10"/>
      <c r="D102" s="26"/>
      <c r="E102" s="215"/>
      <c r="F102" s="215"/>
      <c r="G102" s="203"/>
      <c r="H102" s="203"/>
      <c r="I102" s="203"/>
      <c r="J102" s="203"/>
      <c r="K102" s="203"/>
      <c r="L102" s="203"/>
      <c r="M102" s="203"/>
      <c r="N102" s="203"/>
      <c r="O102" s="203"/>
      <c r="P102" s="203"/>
      <c r="Q102" s="203"/>
      <c r="R102" s="203"/>
      <c r="S102" s="203"/>
      <c r="T102" s="203"/>
      <c r="U102" s="203"/>
      <c r="V102" s="203"/>
      <c r="W102" s="203"/>
      <c r="X102" s="203"/>
      <c r="Y102" s="203"/>
      <c r="Z102" s="203"/>
      <c r="AA102" s="203"/>
      <c r="AB102" s="203"/>
      <c r="AC102" s="203"/>
      <c r="AD102" s="203"/>
      <c r="AE102" s="203"/>
      <c r="AF102" s="203"/>
    </row>
    <row r="103" spans="3:32" ht="15" customHeight="1">
      <c r="C103" s="10"/>
      <c r="D103" s="26"/>
      <c r="E103" s="215"/>
      <c r="F103" s="215"/>
      <c r="G103" s="203"/>
      <c r="H103" s="203"/>
      <c r="I103" s="203"/>
      <c r="J103" s="203"/>
      <c r="K103" s="203"/>
      <c r="L103" s="203"/>
      <c r="M103" s="203"/>
      <c r="N103" s="203"/>
      <c r="O103" s="203"/>
      <c r="P103" s="203"/>
      <c r="Q103" s="203"/>
      <c r="R103" s="203"/>
      <c r="S103" s="203"/>
      <c r="T103" s="203"/>
      <c r="U103" s="203"/>
      <c r="V103" s="203"/>
      <c r="W103" s="203"/>
      <c r="X103" s="203"/>
      <c r="Y103" s="203"/>
      <c r="Z103" s="203"/>
      <c r="AA103" s="203"/>
      <c r="AB103" s="203"/>
      <c r="AC103" s="203"/>
      <c r="AD103" s="203"/>
      <c r="AE103" s="203"/>
      <c r="AF103" s="203"/>
    </row>
    <row r="104" spans="3:32" ht="15" customHeight="1">
      <c r="C104" s="10"/>
      <c r="D104" s="26"/>
      <c r="E104" s="215"/>
      <c r="F104" s="215"/>
      <c r="G104" s="203"/>
      <c r="H104" s="203"/>
      <c r="I104" s="203"/>
      <c r="J104" s="203"/>
      <c r="K104" s="203"/>
      <c r="L104" s="203"/>
      <c r="M104" s="203"/>
      <c r="N104" s="203"/>
      <c r="O104" s="203"/>
      <c r="P104" s="203"/>
      <c r="Q104" s="203"/>
      <c r="R104" s="203"/>
      <c r="S104" s="203"/>
      <c r="T104" s="203"/>
      <c r="U104" s="203"/>
      <c r="V104" s="203"/>
      <c r="W104" s="203"/>
      <c r="X104" s="203"/>
      <c r="Y104" s="203"/>
      <c r="Z104" s="203"/>
      <c r="AA104" s="203"/>
      <c r="AB104" s="203"/>
      <c r="AC104" s="203"/>
      <c r="AD104" s="203"/>
      <c r="AE104" s="203"/>
      <c r="AF104" s="203"/>
    </row>
    <row r="105" spans="3:32" ht="15" customHeight="1">
      <c r="C105" s="10"/>
      <c r="D105" s="26"/>
      <c r="E105" s="215"/>
      <c r="F105" s="215"/>
      <c r="G105" s="203"/>
      <c r="H105" s="203"/>
      <c r="I105" s="203"/>
      <c r="J105" s="203"/>
      <c r="K105" s="203"/>
      <c r="L105" s="203"/>
      <c r="M105" s="203"/>
      <c r="N105" s="203"/>
      <c r="O105" s="203"/>
      <c r="P105" s="203"/>
      <c r="Q105" s="203"/>
      <c r="R105" s="203"/>
      <c r="S105" s="203"/>
      <c r="T105" s="203"/>
      <c r="U105" s="203"/>
      <c r="V105" s="203"/>
      <c r="W105" s="203"/>
      <c r="X105" s="203"/>
      <c r="Y105" s="203"/>
      <c r="Z105" s="203"/>
      <c r="AA105" s="203"/>
      <c r="AB105" s="203"/>
      <c r="AC105" s="203"/>
      <c r="AD105" s="203"/>
      <c r="AE105" s="203"/>
      <c r="AF105" s="203"/>
    </row>
    <row r="106" spans="3:32" ht="15" customHeight="1">
      <c r="C106" s="10"/>
      <c r="D106" s="26"/>
      <c r="E106" s="215"/>
      <c r="F106" s="215"/>
      <c r="G106" s="203"/>
      <c r="H106" s="203"/>
      <c r="I106" s="203"/>
      <c r="J106" s="203"/>
      <c r="K106" s="203"/>
      <c r="L106" s="203"/>
      <c r="M106" s="203"/>
      <c r="N106" s="203"/>
      <c r="O106" s="203"/>
      <c r="P106" s="203"/>
      <c r="Q106" s="203"/>
      <c r="R106" s="203"/>
      <c r="S106" s="203"/>
      <c r="T106" s="203"/>
      <c r="U106" s="203"/>
      <c r="V106" s="203"/>
      <c r="W106" s="203"/>
      <c r="X106" s="203"/>
      <c r="Y106" s="203"/>
      <c r="Z106" s="203"/>
      <c r="AA106" s="203"/>
      <c r="AB106" s="203"/>
      <c r="AC106" s="203"/>
      <c r="AD106" s="203"/>
      <c r="AE106" s="203"/>
      <c r="AF106" s="203"/>
    </row>
    <row r="107" spans="3:32" ht="15" customHeight="1">
      <c r="C107" s="10"/>
      <c r="D107" s="26"/>
      <c r="E107" s="215"/>
      <c r="F107" s="215"/>
      <c r="G107" s="203"/>
      <c r="H107" s="203"/>
      <c r="I107" s="203"/>
      <c r="J107" s="203"/>
      <c r="K107" s="203"/>
      <c r="L107" s="203"/>
      <c r="M107" s="203"/>
      <c r="N107" s="203"/>
      <c r="O107" s="203"/>
      <c r="P107" s="203"/>
      <c r="Q107" s="203"/>
      <c r="R107" s="203"/>
      <c r="S107" s="203"/>
      <c r="T107" s="203"/>
      <c r="U107" s="203"/>
      <c r="V107" s="203"/>
      <c r="W107" s="203"/>
      <c r="X107" s="203"/>
      <c r="Y107" s="203"/>
      <c r="Z107" s="203"/>
      <c r="AA107" s="203"/>
      <c r="AB107" s="203"/>
      <c r="AC107" s="203"/>
      <c r="AD107" s="203"/>
      <c r="AE107" s="203"/>
      <c r="AF107" s="203"/>
    </row>
    <row r="108" spans="3:32" ht="15" customHeight="1">
      <c r="C108" s="10"/>
      <c r="D108" s="26"/>
      <c r="E108" s="215"/>
      <c r="F108" s="215"/>
      <c r="G108" s="203"/>
      <c r="H108" s="203"/>
      <c r="I108" s="203"/>
      <c r="J108" s="203"/>
      <c r="K108" s="203"/>
      <c r="L108" s="203"/>
      <c r="M108" s="203"/>
      <c r="N108" s="203"/>
      <c r="O108" s="203"/>
      <c r="P108" s="203"/>
      <c r="Q108" s="203"/>
      <c r="R108" s="203"/>
      <c r="S108" s="203"/>
      <c r="T108" s="203"/>
      <c r="U108" s="203"/>
      <c r="V108" s="203"/>
      <c r="W108" s="203"/>
      <c r="X108" s="203"/>
      <c r="Y108" s="203"/>
      <c r="Z108" s="203"/>
      <c r="AA108" s="203"/>
      <c r="AB108" s="203"/>
      <c r="AC108" s="203"/>
      <c r="AD108" s="203"/>
      <c r="AE108" s="203"/>
      <c r="AF108" s="203"/>
    </row>
    <row r="109" spans="3:32" ht="15" customHeight="1">
      <c r="C109" s="10"/>
      <c r="D109" s="26"/>
      <c r="E109" s="215"/>
      <c r="F109" s="215"/>
      <c r="G109" s="203"/>
      <c r="H109" s="203"/>
      <c r="I109" s="203"/>
      <c r="J109" s="203"/>
      <c r="K109" s="203"/>
      <c r="L109" s="203"/>
      <c r="M109" s="203"/>
      <c r="N109" s="203"/>
      <c r="O109" s="203"/>
      <c r="P109" s="203"/>
      <c r="Q109" s="203"/>
      <c r="R109" s="203"/>
      <c r="S109" s="203"/>
      <c r="T109" s="203"/>
      <c r="U109" s="203"/>
      <c r="V109" s="203"/>
      <c r="W109" s="203"/>
      <c r="X109" s="203"/>
      <c r="Y109" s="203"/>
      <c r="Z109" s="203"/>
      <c r="AA109" s="203"/>
      <c r="AB109" s="203"/>
      <c r="AC109" s="203"/>
      <c r="AD109" s="203"/>
      <c r="AE109" s="203"/>
      <c r="AF109" s="203"/>
    </row>
    <row r="110" spans="3:32" ht="15" customHeight="1">
      <c r="C110" s="10"/>
      <c r="D110" s="26"/>
      <c r="E110" s="215"/>
      <c r="F110" s="215"/>
      <c r="G110" s="203"/>
      <c r="H110" s="203"/>
      <c r="I110" s="203"/>
      <c r="J110" s="203"/>
      <c r="K110" s="203"/>
      <c r="L110" s="203"/>
      <c r="M110" s="203"/>
      <c r="N110" s="203"/>
      <c r="O110" s="203"/>
      <c r="P110" s="203"/>
      <c r="Q110" s="203"/>
      <c r="R110" s="203"/>
      <c r="S110" s="203"/>
      <c r="T110" s="203"/>
      <c r="U110" s="203"/>
      <c r="V110" s="203"/>
      <c r="W110" s="203"/>
      <c r="X110" s="203"/>
      <c r="Y110" s="203"/>
      <c r="Z110" s="203"/>
      <c r="AA110" s="203"/>
      <c r="AB110" s="203"/>
      <c r="AC110" s="203"/>
      <c r="AD110" s="203"/>
      <c r="AE110" s="203"/>
      <c r="AF110" s="203"/>
    </row>
    <row r="111" spans="3:32" ht="15" customHeight="1">
      <c r="C111" s="10"/>
      <c r="D111" s="26"/>
      <c r="E111" s="215"/>
      <c r="F111" s="215"/>
      <c r="G111" s="203"/>
      <c r="H111" s="203"/>
      <c r="I111" s="203"/>
      <c r="J111" s="203"/>
      <c r="K111" s="203"/>
      <c r="L111" s="203"/>
      <c r="M111" s="203"/>
      <c r="N111" s="203"/>
      <c r="O111" s="203"/>
      <c r="P111" s="203"/>
      <c r="Q111" s="203"/>
      <c r="R111" s="203"/>
      <c r="S111" s="203"/>
      <c r="T111" s="203"/>
      <c r="U111" s="203"/>
      <c r="V111" s="203"/>
      <c r="W111" s="203"/>
      <c r="X111" s="203"/>
      <c r="Y111" s="203"/>
      <c r="Z111" s="203"/>
      <c r="AA111" s="203"/>
      <c r="AB111" s="203"/>
      <c r="AC111" s="203"/>
      <c r="AD111" s="203"/>
      <c r="AE111" s="203"/>
      <c r="AF111" s="203"/>
    </row>
    <row r="112" spans="3:32" ht="15" customHeight="1">
      <c r="C112" s="10"/>
      <c r="D112" s="26"/>
      <c r="E112" s="215"/>
      <c r="F112" s="215"/>
      <c r="G112" s="203"/>
      <c r="H112" s="203"/>
      <c r="I112" s="203"/>
      <c r="J112" s="203"/>
      <c r="K112" s="203"/>
      <c r="L112" s="203"/>
      <c r="M112" s="203"/>
      <c r="N112" s="203"/>
      <c r="O112" s="203"/>
      <c r="P112" s="203"/>
      <c r="Q112" s="203"/>
      <c r="R112" s="203"/>
      <c r="S112" s="203"/>
      <c r="T112" s="203"/>
      <c r="U112" s="203"/>
      <c r="V112" s="203"/>
      <c r="W112" s="203"/>
      <c r="X112" s="203"/>
      <c r="Y112" s="203"/>
      <c r="Z112" s="203"/>
      <c r="AA112" s="203"/>
      <c r="AB112" s="203"/>
      <c r="AC112" s="203"/>
      <c r="AD112" s="203"/>
      <c r="AE112" s="203"/>
      <c r="AF112" s="203"/>
    </row>
    <row r="113" spans="2:32" ht="15" customHeight="1">
      <c r="C113" s="10"/>
      <c r="D113" s="26"/>
      <c r="E113" s="215"/>
      <c r="F113" s="215"/>
      <c r="G113" s="203"/>
      <c r="H113" s="203"/>
      <c r="I113" s="203"/>
      <c r="J113" s="203"/>
      <c r="K113" s="203"/>
      <c r="L113" s="203"/>
      <c r="M113" s="203"/>
      <c r="N113" s="203"/>
      <c r="O113" s="203"/>
      <c r="P113" s="203"/>
      <c r="Q113" s="203"/>
      <c r="R113" s="203"/>
      <c r="S113" s="203"/>
      <c r="T113" s="203"/>
      <c r="U113" s="203"/>
      <c r="V113" s="203"/>
      <c r="W113" s="203"/>
      <c r="X113" s="203"/>
      <c r="Y113" s="203"/>
      <c r="Z113" s="203"/>
      <c r="AA113" s="203"/>
      <c r="AB113" s="203"/>
      <c r="AC113" s="203"/>
      <c r="AD113" s="203"/>
      <c r="AE113" s="203"/>
      <c r="AF113" s="203"/>
    </row>
    <row r="114" spans="2:32" ht="15" customHeight="1">
      <c r="C114" s="10"/>
      <c r="D114" s="26"/>
      <c r="E114" s="215"/>
      <c r="F114" s="215"/>
      <c r="G114" s="203"/>
      <c r="H114" s="203"/>
      <c r="I114" s="203"/>
      <c r="J114" s="203"/>
      <c r="K114" s="203"/>
      <c r="L114" s="203"/>
      <c r="M114" s="203"/>
      <c r="N114" s="203"/>
      <c r="O114" s="203"/>
      <c r="P114" s="203"/>
      <c r="Q114" s="203"/>
      <c r="R114" s="203"/>
      <c r="S114" s="203"/>
      <c r="T114" s="203"/>
      <c r="U114" s="203"/>
      <c r="V114" s="203"/>
      <c r="W114" s="203"/>
      <c r="X114" s="203"/>
      <c r="Y114" s="203"/>
      <c r="Z114" s="203"/>
      <c r="AA114" s="203"/>
      <c r="AB114" s="203"/>
      <c r="AC114" s="203"/>
      <c r="AD114" s="203"/>
      <c r="AE114" s="203"/>
      <c r="AF114" s="203"/>
    </row>
    <row r="115" spans="2:32" ht="15" customHeight="1">
      <c r="C115" s="10"/>
      <c r="D115" s="26"/>
      <c r="E115" s="215"/>
      <c r="F115" s="215"/>
      <c r="G115" s="203"/>
      <c r="H115" s="203"/>
      <c r="I115" s="203"/>
      <c r="J115" s="203"/>
      <c r="K115" s="203"/>
      <c r="L115" s="203"/>
      <c r="M115" s="203"/>
      <c r="N115" s="203"/>
      <c r="O115" s="203"/>
      <c r="P115" s="203"/>
      <c r="Q115" s="203"/>
      <c r="R115" s="203"/>
      <c r="S115" s="203"/>
      <c r="T115" s="203"/>
      <c r="U115" s="203"/>
      <c r="V115" s="203"/>
      <c r="W115" s="203"/>
      <c r="X115" s="203"/>
      <c r="Y115" s="203"/>
      <c r="Z115" s="203"/>
      <c r="AA115" s="203"/>
      <c r="AB115" s="203"/>
      <c r="AC115" s="203"/>
      <c r="AD115" s="203"/>
      <c r="AE115" s="203"/>
      <c r="AF115" s="203"/>
    </row>
    <row r="116" spans="2:32" ht="15" customHeight="1">
      <c r="C116" s="10"/>
    </row>
    <row r="117" spans="2:32" ht="15" customHeight="1">
      <c r="B117" s="315"/>
      <c r="C117" s="10"/>
      <c r="D117" s="26"/>
      <c r="E117" s="215"/>
      <c r="F117" s="215"/>
      <c r="G117" s="203"/>
      <c r="H117" s="203"/>
      <c r="I117" s="203"/>
      <c r="J117" s="203"/>
      <c r="K117" s="203"/>
      <c r="L117" s="203"/>
      <c r="M117" s="203"/>
      <c r="N117" s="203"/>
      <c r="O117" s="203"/>
      <c r="P117" s="203"/>
      <c r="Q117" s="203"/>
      <c r="R117" s="203"/>
      <c r="S117" s="203"/>
      <c r="T117" s="203"/>
      <c r="U117" s="203"/>
      <c r="V117" s="203"/>
      <c r="W117" s="203"/>
      <c r="X117" s="203"/>
      <c r="Y117" s="203"/>
      <c r="Z117" s="203"/>
      <c r="AA117" s="203"/>
      <c r="AB117" s="203"/>
      <c r="AC117" s="203"/>
      <c r="AD117" s="203"/>
      <c r="AE117" s="203"/>
      <c r="AF117" s="203"/>
    </row>
    <row r="118" spans="2:32" ht="15" customHeight="1">
      <c r="C118" s="10"/>
      <c r="D118" s="26"/>
      <c r="E118" s="215"/>
      <c r="F118" s="215"/>
      <c r="G118" s="203"/>
      <c r="H118" s="203"/>
      <c r="I118" s="203"/>
      <c r="J118" s="203"/>
      <c r="K118" s="203"/>
      <c r="L118" s="203"/>
      <c r="M118" s="203"/>
      <c r="N118" s="203"/>
      <c r="O118" s="203"/>
      <c r="P118" s="203"/>
      <c r="Q118" s="203"/>
      <c r="R118" s="203"/>
      <c r="S118" s="203"/>
      <c r="T118" s="203"/>
      <c r="U118" s="203"/>
      <c r="V118" s="203"/>
      <c r="W118" s="203"/>
      <c r="X118" s="203"/>
      <c r="Y118" s="203"/>
      <c r="Z118" s="203"/>
      <c r="AA118" s="203"/>
      <c r="AB118" s="203"/>
      <c r="AC118" s="203"/>
      <c r="AD118" s="203"/>
      <c r="AE118" s="203"/>
      <c r="AF118" s="203"/>
    </row>
    <row r="119" spans="2:32" ht="15" customHeight="1">
      <c r="C119" s="10"/>
      <c r="D119" s="26"/>
      <c r="E119" s="215"/>
      <c r="F119" s="215"/>
      <c r="G119" s="203"/>
      <c r="H119" s="203"/>
      <c r="I119" s="203"/>
      <c r="J119" s="203"/>
      <c r="K119" s="203"/>
      <c r="L119" s="203"/>
      <c r="M119" s="203"/>
      <c r="N119" s="203"/>
      <c r="O119" s="203"/>
      <c r="P119" s="203"/>
      <c r="Q119" s="203"/>
      <c r="R119" s="203"/>
      <c r="S119" s="203"/>
      <c r="T119" s="203"/>
      <c r="U119" s="203"/>
      <c r="V119" s="203"/>
      <c r="W119" s="203"/>
      <c r="X119" s="203"/>
      <c r="Y119" s="203"/>
      <c r="Z119" s="203"/>
      <c r="AA119" s="203"/>
      <c r="AB119" s="203"/>
      <c r="AC119" s="203"/>
      <c r="AD119" s="203"/>
      <c r="AE119" s="203"/>
      <c r="AF119" s="203"/>
    </row>
    <row r="120" spans="2:32" ht="15" customHeight="1">
      <c r="C120" s="10"/>
      <c r="D120" s="26"/>
      <c r="E120" s="215"/>
      <c r="F120" s="215"/>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row>
    <row r="121" spans="2:32" ht="15" customHeight="1">
      <c r="C121" s="10"/>
      <c r="D121" s="26"/>
      <c r="E121" s="215"/>
      <c r="F121" s="215"/>
      <c r="G121" s="203"/>
      <c r="H121" s="203"/>
      <c r="I121" s="203"/>
      <c r="J121" s="203"/>
      <c r="K121" s="203"/>
      <c r="L121" s="203"/>
      <c r="M121" s="203"/>
      <c r="N121" s="203"/>
      <c r="O121" s="203"/>
      <c r="P121" s="203"/>
      <c r="Q121" s="203"/>
      <c r="R121" s="203"/>
      <c r="S121" s="203"/>
      <c r="T121" s="203"/>
      <c r="U121" s="203"/>
      <c r="V121" s="203"/>
      <c r="W121" s="203"/>
      <c r="X121" s="203"/>
      <c r="Y121" s="203"/>
      <c r="Z121" s="203"/>
      <c r="AA121" s="203"/>
      <c r="AB121" s="203"/>
      <c r="AC121" s="203"/>
      <c r="AD121" s="203"/>
      <c r="AE121" s="203"/>
      <c r="AF121" s="203"/>
    </row>
    <row r="122" spans="2:32" ht="15" customHeight="1">
      <c r="C122" s="10"/>
      <c r="D122" s="26"/>
      <c r="E122" s="215"/>
      <c r="F122" s="215"/>
      <c r="G122" s="203"/>
      <c r="H122" s="203"/>
      <c r="I122" s="203"/>
      <c r="J122" s="203"/>
      <c r="K122" s="203"/>
      <c r="L122" s="203"/>
      <c r="M122" s="203"/>
      <c r="N122" s="203"/>
      <c r="O122" s="203"/>
      <c r="P122" s="203"/>
      <c r="Q122" s="203"/>
      <c r="R122" s="203"/>
      <c r="S122" s="203"/>
      <c r="T122" s="203"/>
      <c r="U122" s="203"/>
      <c r="V122" s="203"/>
      <c r="W122" s="203"/>
      <c r="X122" s="203"/>
      <c r="Y122" s="203"/>
      <c r="Z122" s="203"/>
      <c r="AA122" s="203"/>
      <c r="AB122" s="203"/>
      <c r="AC122" s="203"/>
      <c r="AD122" s="203"/>
      <c r="AE122" s="203"/>
      <c r="AF122" s="203"/>
    </row>
    <row r="123" spans="2:32" ht="15" customHeight="1">
      <c r="C123" s="10"/>
      <c r="D123" s="26"/>
      <c r="E123" s="215"/>
      <c r="F123" s="215"/>
      <c r="G123" s="203"/>
      <c r="H123" s="203"/>
      <c r="I123" s="203"/>
      <c r="J123" s="203"/>
      <c r="K123" s="203"/>
      <c r="L123" s="203"/>
      <c r="M123" s="203"/>
      <c r="N123" s="203"/>
      <c r="O123" s="203"/>
      <c r="P123" s="203"/>
      <c r="Q123" s="203"/>
      <c r="R123" s="203"/>
      <c r="S123" s="203"/>
      <c r="T123" s="203"/>
      <c r="U123" s="203"/>
      <c r="V123" s="203"/>
      <c r="W123" s="203"/>
      <c r="X123" s="203"/>
      <c r="Y123" s="203"/>
      <c r="Z123" s="203"/>
      <c r="AA123" s="203"/>
      <c r="AB123" s="203"/>
      <c r="AC123" s="203"/>
      <c r="AD123" s="203"/>
      <c r="AE123" s="203"/>
      <c r="AF123" s="203"/>
    </row>
    <row r="124" spans="2:32" ht="15" customHeight="1">
      <c r="C124" s="10"/>
      <c r="D124" s="26"/>
      <c r="E124" s="215"/>
      <c r="F124" s="215"/>
      <c r="G124" s="203"/>
      <c r="H124" s="203"/>
      <c r="I124" s="203"/>
      <c r="J124" s="203"/>
      <c r="K124" s="203"/>
      <c r="L124" s="203"/>
      <c r="M124" s="203"/>
      <c r="N124" s="203"/>
      <c r="O124" s="203"/>
      <c r="P124" s="203"/>
      <c r="Q124" s="203"/>
      <c r="R124" s="203"/>
      <c r="S124" s="203"/>
      <c r="T124" s="203"/>
      <c r="U124" s="203"/>
      <c r="V124" s="203"/>
      <c r="W124" s="203"/>
      <c r="X124" s="203"/>
      <c r="Y124" s="203"/>
      <c r="Z124" s="203"/>
      <c r="AA124" s="203"/>
      <c r="AB124" s="203"/>
      <c r="AC124" s="203"/>
      <c r="AD124" s="203"/>
      <c r="AE124" s="203"/>
      <c r="AF124" s="203"/>
    </row>
    <row r="125" spans="2:32" ht="15" customHeight="1">
      <c r="C125" s="10"/>
      <c r="D125" s="26"/>
      <c r="E125" s="215"/>
      <c r="F125" s="215"/>
      <c r="G125" s="203"/>
      <c r="H125" s="203"/>
      <c r="I125" s="203"/>
      <c r="J125" s="203"/>
      <c r="K125" s="203"/>
      <c r="L125" s="203"/>
      <c r="M125" s="203"/>
      <c r="N125" s="203"/>
      <c r="O125" s="203"/>
      <c r="P125" s="203"/>
      <c r="Q125" s="203"/>
      <c r="R125" s="203"/>
      <c r="S125" s="203"/>
      <c r="T125" s="203"/>
      <c r="U125" s="203"/>
      <c r="V125" s="203"/>
      <c r="W125" s="203"/>
      <c r="X125" s="203"/>
      <c r="Y125" s="203"/>
      <c r="Z125" s="203"/>
      <c r="AA125" s="203"/>
      <c r="AB125" s="203"/>
      <c r="AC125" s="203"/>
      <c r="AD125" s="203"/>
      <c r="AE125" s="203"/>
      <c r="AF125" s="203"/>
    </row>
    <row r="126" spans="2:32" ht="15" customHeight="1">
      <c r="C126" s="10"/>
      <c r="D126" s="26"/>
      <c r="E126" s="215"/>
      <c r="F126" s="215"/>
      <c r="G126" s="203"/>
      <c r="H126" s="203"/>
      <c r="I126" s="203"/>
      <c r="J126" s="203"/>
      <c r="K126" s="203"/>
      <c r="L126" s="203"/>
      <c r="M126" s="203"/>
      <c r="N126" s="203"/>
      <c r="O126" s="203"/>
      <c r="P126" s="203"/>
      <c r="Q126" s="203"/>
      <c r="R126" s="203"/>
      <c r="S126" s="203"/>
      <c r="T126" s="203"/>
      <c r="U126" s="203"/>
      <c r="V126" s="203"/>
      <c r="W126" s="203"/>
      <c r="X126" s="203"/>
      <c r="Y126" s="203"/>
      <c r="Z126" s="203"/>
      <c r="AA126" s="203"/>
      <c r="AB126" s="203"/>
      <c r="AC126" s="203"/>
      <c r="AD126" s="203"/>
      <c r="AE126" s="203"/>
      <c r="AF126" s="203"/>
    </row>
    <row r="127" spans="2:32" ht="15" customHeight="1">
      <c r="C127" s="10"/>
      <c r="D127" s="26"/>
      <c r="E127" s="215"/>
      <c r="F127" s="215"/>
      <c r="G127" s="203"/>
      <c r="H127" s="203"/>
      <c r="I127" s="203"/>
      <c r="J127" s="203"/>
      <c r="K127" s="203"/>
      <c r="L127" s="203"/>
      <c r="M127" s="203"/>
      <c r="N127" s="203"/>
      <c r="O127" s="203"/>
      <c r="P127" s="203"/>
      <c r="Q127" s="203"/>
      <c r="R127" s="203"/>
      <c r="S127" s="203"/>
      <c r="T127" s="203"/>
      <c r="U127" s="203"/>
      <c r="V127" s="203"/>
      <c r="W127" s="203"/>
      <c r="X127" s="203"/>
      <c r="Y127" s="203"/>
      <c r="Z127" s="203"/>
      <c r="AA127" s="203"/>
      <c r="AB127" s="203"/>
      <c r="AC127" s="203"/>
      <c r="AD127" s="203"/>
      <c r="AE127" s="203"/>
      <c r="AF127" s="203"/>
    </row>
    <row r="128" spans="2:32" ht="15" customHeight="1">
      <c r="C128" s="10"/>
      <c r="D128" s="26"/>
      <c r="E128" s="215"/>
      <c r="F128" s="215"/>
      <c r="G128" s="203"/>
      <c r="H128" s="203"/>
      <c r="I128" s="203"/>
      <c r="J128" s="203"/>
      <c r="K128" s="203"/>
      <c r="L128" s="203"/>
      <c r="M128" s="203"/>
      <c r="N128" s="203"/>
      <c r="O128" s="203"/>
      <c r="P128" s="203"/>
      <c r="Q128" s="203"/>
      <c r="R128" s="203"/>
      <c r="S128" s="203"/>
      <c r="T128" s="203"/>
      <c r="U128" s="203"/>
      <c r="V128" s="203"/>
      <c r="W128" s="203"/>
      <c r="X128" s="203"/>
      <c r="Y128" s="203"/>
      <c r="Z128" s="203"/>
      <c r="AA128" s="203"/>
      <c r="AB128" s="203"/>
      <c r="AC128" s="203"/>
      <c r="AD128" s="203"/>
      <c r="AE128" s="203"/>
      <c r="AF128" s="203"/>
    </row>
    <row r="129" spans="2:32" ht="15" customHeight="1">
      <c r="C129" s="10"/>
      <c r="D129" s="26"/>
      <c r="E129" s="215"/>
      <c r="F129" s="215"/>
      <c r="G129" s="203"/>
      <c r="H129" s="203"/>
      <c r="I129" s="203"/>
      <c r="J129" s="203"/>
      <c r="K129" s="203"/>
      <c r="L129" s="203"/>
      <c r="M129" s="203"/>
      <c r="N129" s="203"/>
      <c r="O129" s="203"/>
      <c r="P129" s="203"/>
      <c r="Q129" s="203"/>
      <c r="R129" s="203"/>
      <c r="S129" s="203"/>
      <c r="T129" s="203"/>
      <c r="U129" s="203"/>
      <c r="V129" s="203"/>
      <c r="W129" s="203"/>
      <c r="X129" s="203"/>
      <c r="Y129" s="203"/>
      <c r="Z129" s="203"/>
      <c r="AA129" s="203"/>
      <c r="AB129" s="203"/>
      <c r="AC129" s="203"/>
      <c r="AD129" s="203"/>
      <c r="AE129" s="203"/>
      <c r="AF129" s="203"/>
    </row>
    <row r="130" spans="2:32" ht="15" customHeight="1">
      <c r="C130" s="10"/>
      <c r="D130" s="26"/>
      <c r="E130" s="215"/>
      <c r="F130" s="215"/>
      <c r="G130" s="203"/>
      <c r="H130" s="203"/>
      <c r="I130" s="203"/>
      <c r="J130" s="203"/>
      <c r="K130" s="203"/>
      <c r="L130" s="203"/>
      <c r="M130" s="203"/>
      <c r="N130" s="203"/>
      <c r="O130" s="203"/>
      <c r="P130" s="203"/>
      <c r="Q130" s="203"/>
      <c r="R130" s="203"/>
      <c r="S130" s="203"/>
      <c r="T130" s="203"/>
      <c r="U130" s="203"/>
      <c r="V130" s="203"/>
      <c r="W130" s="203"/>
      <c r="X130" s="203"/>
      <c r="Y130" s="203"/>
      <c r="Z130" s="203"/>
      <c r="AA130" s="203"/>
      <c r="AB130" s="203"/>
      <c r="AC130" s="203"/>
      <c r="AD130" s="203"/>
      <c r="AE130" s="203"/>
      <c r="AF130" s="203"/>
    </row>
    <row r="131" spans="2:32" ht="15" customHeight="1">
      <c r="C131" s="10"/>
      <c r="D131" s="26"/>
      <c r="E131" s="215"/>
      <c r="F131" s="215"/>
      <c r="G131" s="203"/>
      <c r="H131" s="203"/>
      <c r="I131" s="203"/>
      <c r="J131" s="203"/>
      <c r="K131" s="203"/>
      <c r="L131" s="203"/>
      <c r="M131" s="203"/>
      <c r="N131" s="203"/>
      <c r="O131" s="203"/>
      <c r="P131" s="203"/>
      <c r="Q131" s="203"/>
      <c r="R131" s="203"/>
      <c r="S131" s="203"/>
      <c r="T131" s="203"/>
      <c r="U131" s="203"/>
      <c r="V131" s="203"/>
      <c r="W131" s="203"/>
      <c r="X131" s="203"/>
      <c r="Y131" s="203"/>
      <c r="Z131" s="203"/>
      <c r="AA131" s="203"/>
      <c r="AB131" s="203"/>
      <c r="AC131" s="203"/>
      <c r="AD131" s="203"/>
      <c r="AE131" s="203"/>
      <c r="AF131" s="203"/>
    </row>
    <row r="132" spans="2:32" ht="15" customHeight="1">
      <c r="C132" s="10"/>
      <c r="D132" s="26"/>
      <c r="E132" s="215"/>
      <c r="F132" s="215"/>
      <c r="G132" s="203"/>
      <c r="H132" s="203"/>
      <c r="I132" s="203"/>
      <c r="J132" s="203"/>
      <c r="K132" s="203"/>
      <c r="L132" s="203"/>
      <c r="M132" s="203"/>
      <c r="N132" s="203"/>
      <c r="O132" s="203"/>
      <c r="P132" s="203"/>
      <c r="Q132" s="203"/>
      <c r="R132" s="203"/>
      <c r="S132" s="203"/>
      <c r="T132" s="203"/>
      <c r="U132" s="203"/>
      <c r="V132" s="203"/>
      <c r="W132" s="203"/>
      <c r="X132" s="203"/>
      <c r="Y132" s="203"/>
      <c r="Z132" s="203"/>
      <c r="AA132" s="203"/>
      <c r="AB132" s="203"/>
      <c r="AC132" s="203"/>
      <c r="AD132" s="203"/>
      <c r="AE132" s="203"/>
      <c r="AF132" s="203"/>
    </row>
    <row r="133" spans="2:32" ht="15" customHeight="1">
      <c r="C133" s="10"/>
      <c r="D133" s="26"/>
      <c r="E133" s="215"/>
      <c r="F133" s="215"/>
      <c r="G133" s="203"/>
      <c r="H133" s="203"/>
      <c r="I133" s="203"/>
      <c r="J133" s="203"/>
      <c r="K133" s="203"/>
      <c r="L133" s="203"/>
      <c r="M133" s="203"/>
      <c r="N133" s="203"/>
      <c r="O133" s="203"/>
      <c r="P133" s="203"/>
      <c r="Q133" s="203"/>
      <c r="R133" s="203"/>
      <c r="S133" s="203"/>
      <c r="T133" s="203"/>
      <c r="U133" s="203"/>
      <c r="V133" s="203"/>
      <c r="W133" s="203"/>
      <c r="X133" s="203"/>
      <c r="Y133" s="203"/>
      <c r="Z133" s="203"/>
      <c r="AA133" s="203"/>
      <c r="AB133" s="203"/>
      <c r="AC133" s="203"/>
      <c r="AD133" s="203"/>
      <c r="AE133" s="203"/>
      <c r="AF133" s="203"/>
    </row>
    <row r="134" spans="2:32" ht="15" customHeight="1">
      <c r="C134" s="10"/>
      <c r="D134" s="26"/>
      <c r="E134" s="215"/>
      <c r="F134" s="215"/>
      <c r="G134" s="203"/>
      <c r="H134" s="203"/>
      <c r="I134" s="203"/>
      <c r="J134" s="203"/>
      <c r="K134" s="203"/>
      <c r="L134" s="203"/>
      <c r="M134" s="203"/>
      <c r="N134" s="203"/>
      <c r="O134" s="203"/>
      <c r="P134" s="203"/>
      <c r="Q134" s="203"/>
      <c r="R134" s="203"/>
      <c r="S134" s="203"/>
      <c r="T134" s="203"/>
      <c r="U134" s="203"/>
      <c r="V134" s="203"/>
      <c r="W134" s="203"/>
      <c r="X134" s="203"/>
      <c r="Y134" s="203"/>
      <c r="Z134" s="203"/>
      <c r="AA134" s="203"/>
      <c r="AB134" s="203"/>
      <c r="AC134" s="203"/>
      <c r="AD134" s="203"/>
      <c r="AE134" s="203"/>
      <c r="AF134" s="203"/>
    </row>
    <row r="135" spans="2:32" ht="15" customHeight="1">
      <c r="C135" s="10"/>
      <c r="D135" s="26"/>
      <c r="E135" s="215"/>
      <c r="F135" s="215"/>
      <c r="G135" s="203"/>
      <c r="H135" s="203"/>
      <c r="I135" s="203"/>
      <c r="J135" s="203"/>
      <c r="K135" s="203"/>
      <c r="L135" s="203"/>
      <c r="M135" s="203"/>
      <c r="N135" s="203"/>
      <c r="O135" s="203"/>
      <c r="P135" s="203"/>
      <c r="Q135" s="203"/>
      <c r="R135" s="203"/>
      <c r="S135" s="203"/>
      <c r="T135" s="203"/>
      <c r="U135" s="203"/>
      <c r="V135" s="203"/>
      <c r="W135" s="203"/>
      <c r="X135" s="203"/>
      <c r="Y135" s="203"/>
      <c r="Z135" s="203"/>
      <c r="AA135" s="203"/>
      <c r="AB135" s="203"/>
      <c r="AC135" s="203"/>
      <c r="AD135" s="203"/>
      <c r="AE135" s="203"/>
      <c r="AF135" s="203"/>
    </row>
    <row r="136" spans="2:32" ht="15" customHeight="1">
      <c r="C136" s="10"/>
      <c r="D136" s="26"/>
      <c r="E136" s="215"/>
      <c r="F136" s="215"/>
      <c r="G136" s="203"/>
      <c r="H136" s="203"/>
      <c r="I136" s="203"/>
      <c r="J136" s="203"/>
      <c r="K136" s="203"/>
      <c r="L136" s="203"/>
      <c r="M136" s="203"/>
      <c r="N136" s="203"/>
      <c r="O136" s="203"/>
      <c r="P136" s="203"/>
      <c r="Q136" s="203"/>
      <c r="R136" s="203"/>
      <c r="S136" s="203"/>
      <c r="T136" s="203"/>
      <c r="U136" s="203"/>
      <c r="V136" s="203"/>
      <c r="W136" s="203"/>
      <c r="X136" s="203"/>
      <c r="Y136" s="203"/>
      <c r="Z136" s="203"/>
      <c r="AA136" s="203"/>
      <c r="AB136" s="203"/>
      <c r="AC136" s="203"/>
      <c r="AD136" s="203"/>
      <c r="AE136" s="203"/>
      <c r="AF136" s="203"/>
    </row>
    <row r="137" spans="2:32" ht="15" customHeight="1">
      <c r="C137" s="10"/>
      <c r="D137" s="26"/>
      <c r="E137" s="215"/>
      <c r="F137" s="215"/>
      <c r="G137" s="203"/>
      <c r="H137" s="203"/>
      <c r="I137" s="203"/>
      <c r="J137" s="203"/>
      <c r="K137" s="203"/>
      <c r="L137" s="203"/>
      <c r="M137" s="203"/>
      <c r="N137" s="203"/>
      <c r="O137" s="203"/>
      <c r="P137" s="203"/>
      <c r="Q137" s="203"/>
      <c r="R137" s="203"/>
      <c r="S137" s="203"/>
      <c r="T137" s="203"/>
      <c r="U137" s="203"/>
      <c r="V137" s="203"/>
      <c r="W137" s="203"/>
      <c r="X137" s="203"/>
      <c r="Y137" s="203"/>
      <c r="Z137" s="203"/>
      <c r="AA137" s="203"/>
      <c r="AB137" s="203"/>
      <c r="AC137" s="203"/>
      <c r="AD137" s="203"/>
      <c r="AE137" s="203"/>
      <c r="AF137" s="203"/>
    </row>
    <row r="138" spans="2:32" ht="15" customHeight="1">
      <c r="C138" s="10"/>
      <c r="D138" s="26"/>
      <c r="E138" s="215"/>
      <c r="F138" s="215"/>
      <c r="G138" s="203"/>
      <c r="H138" s="203"/>
      <c r="I138" s="203"/>
      <c r="J138" s="203"/>
      <c r="K138" s="203"/>
      <c r="L138" s="203"/>
      <c r="M138" s="203"/>
      <c r="N138" s="203"/>
      <c r="O138" s="203"/>
      <c r="P138" s="203"/>
      <c r="Q138" s="203"/>
      <c r="R138" s="203"/>
      <c r="S138" s="203"/>
      <c r="T138" s="203"/>
      <c r="U138" s="203"/>
      <c r="V138" s="203"/>
      <c r="W138" s="203"/>
      <c r="X138" s="203"/>
      <c r="Y138" s="203"/>
      <c r="Z138" s="203"/>
      <c r="AA138" s="203"/>
      <c r="AB138" s="203"/>
      <c r="AC138" s="203"/>
      <c r="AD138" s="203"/>
      <c r="AE138" s="203"/>
      <c r="AF138" s="203"/>
    </row>
    <row r="139" spans="2:32" ht="15" customHeight="1">
      <c r="C139" s="10"/>
      <c r="D139" s="26"/>
      <c r="E139" s="215"/>
      <c r="F139" s="215"/>
      <c r="G139" s="203"/>
      <c r="H139" s="203"/>
      <c r="I139" s="203"/>
      <c r="J139" s="203"/>
      <c r="K139" s="203"/>
      <c r="L139" s="203"/>
      <c r="M139" s="203"/>
      <c r="N139" s="203"/>
      <c r="O139" s="203"/>
      <c r="P139" s="203"/>
      <c r="Q139" s="203"/>
      <c r="R139" s="203"/>
      <c r="S139" s="203"/>
      <c r="T139" s="203"/>
      <c r="U139" s="203"/>
      <c r="V139" s="203"/>
      <c r="W139" s="203"/>
      <c r="X139" s="203"/>
      <c r="Y139" s="203"/>
      <c r="Z139" s="203"/>
      <c r="AA139" s="203"/>
      <c r="AB139" s="203"/>
      <c r="AC139" s="203"/>
      <c r="AD139" s="203"/>
      <c r="AE139" s="203"/>
      <c r="AF139" s="203"/>
    </row>
    <row r="140" spans="2:32" ht="15" customHeight="1">
      <c r="C140" s="10"/>
      <c r="D140" s="26"/>
      <c r="E140" s="215"/>
      <c r="F140" s="215"/>
      <c r="G140" s="203"/>
      <c r="H140" s="203"/>
      <c r="I140" s="203"/>
      <c r="J140" s="203"/>
      <c r="K140" s="203"/>
      <c r="L140" s="203"/>
      <c r="M140" s="203"/>
      <c r="N140" s="203"/>
      <c r="O140" s="203"/>
      <c r="P140" s="203"/>
      <c r="Q140" s="203"/>
      <c r="R140" s="203"/>
      <c r="S140" s="203"/>
      <c r="T140" s="203"/>
      <c r="U140" s="203"/>
      <c r="V140" s="203"/>
      <c r="W140" s="203"/>
      <c r="X140" s="203"/>
      <c r="Y140" s="203"/>
      <c r="Z140" s="203"/>
      <c r="AA140" s="203"/>
      <c r="AB140" s="203"/>
      <c r="AC140" s="203"/>
      <c r="AD140" s="203"/>
      <c r="AE140" s="203"/>
      <c r="AF140" s="203"/>
    </row>
    <row r="141" spans="2:32" ht="15" customHeight="1">
      <c r="C141" s="10"/>
      <c r="D141" s="26"/>
      <c r="E141" s="215"/>
      <c r="F141" s="215"/>
      <c r="G141" s="203"/>
      <c r="H141" s="203"/>
      <c r="I141" s="203"/>
      <c r="J141" s="203"/>
      <c r="K141" s="203"/>
      <c r="L141" s="203"/>
      <c r="M141" s="203"/>
      <c r="N141" s="203"/>
      <c r="O141" s="203"/>
      <c r="P141" s="203"/>
      <c r="Q141" s="203"/>
      <c r="R141" s="203"/>
      <c r="S141" s="203"/>
      <c r="T141" s="203"/>
      <c r="U141" s="203"/>
      <c r="V141" s="203"/>
      <c r="W141" s="203"/>
      <c r="X141" s="203"/>
      <c r="Y141" s="203"/>
      <c r="Z141" s="203"/>
      <c r="AA141" s="203"/>
      <c r="AB141" s="203"/>
      <c r="AC141" s="203"/>
      <c r="AD141" s="203"/>
      <c r="AE141" s="203"/>
      <c r="AF141" s="203"/>
    </row>
    <row r="142" spans="2:32" ht="15" customHeight="1">
      <c r="C142" s="10"/>
    </row>
    <row r="143" spans="2:32" ht="15" customHeight="1">
      <c r="B143" s="315"/>
      <c r="C143" s="10"/>
      <c r="D143" s="26"/>
      <c r="E143" s="215"/>
      <c r="F143" s="215"/>
      <c r="G143" s="203"/>
      <c r="H143" s="203"/>
      <c r="I143" s="203"/>
      <c r="J143" s="203"/>
      <c r="K143" s="203"/>
      <c r="L143" s="203"/>
      <c r="M143" s="203"/>
      <c r="N143" s="203"/>
      <c r="O143" s="203"/>
      <c r="P143" s="203"/>
      <c r="Q143" s="203"/>
      <c r="R143" s="203"/>
      <c r="S143" s="203"/>
      <c r="T143" s="203"/>
      <c r="U143" s="203"/>
      <c r="V143" s="203"/>
      <c r="W143" s="203"/>
      <c r="X143" s="203"/>
      <c r="Y143" s="203"/>
      <c r="Z143" s="203"/>
      <c r="AA143" s="203"/>
      <c r="AB143" s="203"/>
      <c r="AC143" s="203"/>
      <c r="AD143" s="203"/>
      <c r="AE143" s="203"/>
      <c r="AF143" s="203"/>
    </row>
    <row r="144" spans="2:32" ht="15" customHeight="1">
      <c r="C144" s="10"/>
      <c r="D144" s="26"/>
      <c r="E144" s="215"/>
      <c r="F144" s="215"/>
      <c r="G144" s="203"/>
      <c r="H144" s="203"/>
      <c r="I144" s="203"/>
      <c r="J144" s="203"/>
      <c r="K144" s="203"/>
      <c r="L144" s="203"/>
      <c r="M144" s="203"/>
      <c r="N144" s="203"/>
      <c r="O144" s="203"/>
      <c r="P144" s="203"/>
      <c r="Q144" s="203"/>
      <c r="R144" s="203"/>
      <c r="S144" s="203"/>
      <c r="T144" s="203"/>
      <c r="U144" s="203"/>
      <c r="V144" s="203"/>
      <c r="W144" s="203"/>
      <c r="X144" s="203"/>
      <c r="Y144" s="203"/>
      <c r="Z144" s="203"/>
      <c r="AA144" s="203"/>
      <c r="AB144" s="203"/>
      <c r="AC144" s="203"/>
      <c r="AD144" s="203"/>
      <c r="AE144" s="203"/>
      <c r="AF144" s="203"/>
    </row>
    <row r="145" spans="3:32" ht="15" customHeight="1">
      <c r="C145" s="10"/>
      <c r="D145" s="26"/>
      <c r="E145" s="215"/>
      <c r="F145" s="215"/>
      <c r="G145" s="203"/>
      <c r="H145" s="203"/>
      <c r="I145" s="203"/>
      <c r="J145" s="203"/>
      <c r="K145" s="203"/>
      <c r="L145" s="203"/>
      <c r="M145" s="203"/>
      <c r="N145" s="203"/>
      <c r="O145" s="203"/>
      <c r="P145" s="203"/>
      <c r="Q145" s="203"/>
      <c r="R145" s="203"/>
      <c r="S145" s="203"/>
      <c r="T145" s="203"/>
      <c r="U145" s="203"/>
      <c r="V145" s="203"/>
      <c r="W145" s="203"/>
      <c r="X145" s="203"/>
      <c r="Y145" s="203"/>
      <c r="Z145" s="203"/>
      <c r="AA145" s="203"/>
      <c r="AB145" s="203"/>
      <c r="AC145" s="203"/>
      <c r="AD145" s="203"/>
      <c r="AE145" s="203"/>
      <c r="AF145" s="203"/>
    </row>
    <row r="146" spans="3:32" ht="15" customHeight="1">
      <c r="C146" s="10"/>
      <c r="D146" s="26"/>
      <c r="E146" s="215"/>
      <c r="F146" s="215"/>
      <c r="G146" s="203"/>
      <c r="H146" s="203"/>
      <c r="I146" s="203"/>
      <c r="J146" s="203"/>
      <c r="K146" s="203"/>
      <c r="L146" s="203"/>
      <c r="M146" s="203"/>
      <c r="N146" s="203"/>
      <c r="O146" s="203"/>
      <c r="P146" s="203"/>
      <c r="Q146" s="203"/>
      <c r="R146" s="203"/>
      <c r="S146" s="203"/>
      <c r="T146" s="203"/>
      <c r="U146" s="203"/>
      <c r="V146" s="203"/>
      <c r="W146" s="203"/>
      <c r="X146" s="203"/>
      <c r="Y146" s="203"/>
      <c r="Z146" s="203"/>
      <c r="AA146" s="203"/>
      <c r="AB146" s="203"/>
      <c r="AC146" s="203"/>
      <c r="AD146" s="203"/>
      <c r="AE146" s="203"/>
      <c r="AF146" s="203"/>
    </row>
    <row r="147" spans="3:32" ht="15" customHeight="1">
      <c r="C147" s="10"/>
      <c r="D147" s="26"/>
      <c r="E147" s="215"/>
      <c r="F147" s="215"/>
      <c r="G147" s="203"/>
      <c r="H147" s="203"/>
      <c r="I147" s="203"/>
      <c r="J147" s="203"/>
      <c r="K147" s="203"/>
      <c r="L147" s="203"/>
      <c r="M147" s="203"/>
      <c r="N147" s="203"/>
      <c r="O147" s="203"/>
      <c r="P147" s="203"/>
      <c r="Q147" s="203"/>
      <c r="R147" s="203"/>
      <c r="S147" s="203"/>
      <c r="T147" s="203"/>
      <c r="U147" s="203"/>
      <c r="V147" s="203"/>
      <c r="W147" s="203"/>
      <c r="X147" s="203"/>
      <c r="Y147" s="203"/>
      <c r="Z147" s="203"/>
      <c r="AA147" s="203"/>
      <c r="AB147" s="203"/>
      <c r="AC147" s="203"/>
      <c r="AD147" s="203"/>
      <c r="AE147" s="203"/>
      <c r="AF147" s="203"/>
    </row>
    <row r="148" spans="3:32" ht="15" customHeight="1">
      <c r="C148" s="10"/>
      <c r="D148" s="26"/>
      <c r="E148" s="215"/>
      <c r="F148" s="215"/>
      <c r="G148" s="203"/>
      <c r="H148" s="203"/>
      <c r="I148" s="203"/>
      <c r="J148" s="203"/>
      <c r="K148" s="203"/>
      <c r="L148" s="203"/>
      <c r="M148" s="203"/>
      <c r="N148" s="203"/>
      <c r="O148" s="203"/>
      <c r="P148" s="203"/>
      <c r="Q148" s="203"/>
      <c r="R148" s="203"/>
      <c r="S148" s="203"/>
      <c r="T148" s="203"/>
      <c r="U148" s="203"/>
      <c r="V148" s="203"/>
      <c r="W148" s="203"/>
      <c r="X148" s="203"/>
      <c r="Y148" s="203"/>
      <c r="Z148" s="203"/>
      <c r="AA148" s="203"/>
      <c r="AB148" s="203"/>
      <c r="AC148" s="203"/>
      <c r="AD148" s="203"/>
      <c r="AE148" s="203"/>
      <c r="AF148" s="203"/>
    </row>
    <row r="149" spans="3:32" ht="15" customHeight="1">
      <c r="C149" s="10"/>
      <c r="D149" s="26"/>
      <c r="E149" s="215"/>
      <c r="F149" s="215"/>
      <c r="G149" s="203"/>
      <c r="H149" s="203"/>
      <c r="I149" s="203"/>
      <c r="J149" s="203"/>
      <c r="K149" s="203"/>
      <c r="L149" s="203"/>
      <c r="M149" s="203"/>
      <c r="N149" s="203"/>
      <c r="O149" s="203"/>
      <c r="P149" s="203"/>
      <c r="Q149" s="203"/>
      <c r="R149" s="203"/>
      <c r="S149" s="203"/>
      <c r="T149" s="203"/>
      <c r="U149" s="203"/>
      <c r="V149" s="203"/>
      <c r="W149" s="203"/>
      <c r="X149" s="203"/>
      <c r="Y149" s="203"/>
      <c r="Z149" s="203"/>
      <c r="AA149" s="203"/>
      <c r="AB149" s="203"/>
      <c r="AC149" s="203"/>
      <c r="AD149" s="203"/>
      <c r="AE149" s="203"/>
      <c r="AF149" s="203"/>
    </row>
    <row r="150" spans="3:32" ht="15" customHeight="1">
      <c r="C150" s="10"/>
      <c r="D150" s="26"/>
      <c r="E150" s="215"/>
      <c r="F150" s="215"/>
      <c r="G150" s="203"/>
      <c r="H150" s="203"/>
      <c r="I150" s="203"/>
      <c r="J150" s="203"/>
      <c r="K150" s="203"/>
      <c r="L150" s="203"/>
      <c r="M150" s="203"/>
      <c r="N150" s="203"/>
      <c r="O150" s="203"/>
      <c r="P150" s="203"/>
      <c r="Q150" s="203"/>
      <c r="R150" s="203"/>
      <c r="S150" s="203"/>
      <c r="T150" s="203"/>
      <c r="U150" s="203"/>
      <c r="V150" s="203"/>
      <c r="W150" s="203"/>
      <c r="X150" s="203"/>
      <c r="Y150" s="203"/>
      <c r="Z150" s="203"/>
      <c r="AA150" s="203"/>
      <c r="AB150" s="203"/>
      <c r="AC150" s="203"/>
      <c r="AD150" s="203"/>
      <c r="AE150" s="203"/>
      <c r="AF150" s="203"/>
    </row>
    <row r="151" spans="3:32" ht="15" customHeight="1">
      <c r="C151" s="10"/>
      <c r="D151" s="26"/>
      <c r="E151" s="215"/>
      <c r="F151" s="215"/>
      <c r="G151" s="203"/>
      <c r="H151" s="203"/>
      <c r="I151" s="203"/>
      <c r="J151" s="203"/>
      <c r="K151" s="203"/>
      <c r="L151" s="203"/>
      <c r="M151" s="203"/>
      <c r="N151" s="203"/>
      <c r="O151" s="203"/>
      <c r="P151" s="203"/>
      <c r="Q151" s="203"/>
      <c r="R151" s="203"/>
      <c r="S151" s="203"/>
      <c r="T151" s="203"/>
      <c r="U151" s="203"/>
      <c r="V151" s="203"/>
      <c r="W151" s="203"/>
      <c r="X151" s="203"/>
      <c r="Y151" s="203"/>
      <c r="Z151" s="203"/>
      <c r="AA151" s="203"/>
      <c r="AB151" s="203"/>
      <c r="AC151" s="203"/>
      <c r="AD151" s="203"/>
      <c r="AE151" s="203"/>
      <c r="AF151" s="203"/>
    </row>
    <row r="152" spans="3:32" ht="15" customHeight="1">
      <c r="C152" s="10"/>
      <c r="D152" s="26"/>
      <c r="E152" s="215"/>
      <c r="F152" s="215"/>
      <c r="G152" s="203"/>
      <c r="H152" s="203"/>
      <c r="I152" s="203"/>
      <c r="J152" s="203"/>
      <c r="K152" s="203"/>
      <c r="L152" s="203"/>
      <c r="M152" s="203"/>
      <c r="N152" s="203"/>
      <c r="O152" s="203"/>
      <c r="P152" s="203"/>
      <c r="Q152" s="203"/>
      <c r="R152" s="203"/>
      <c r="S152" s="203"/>
      <c r="T152" s="203"/>
      <c r="U152" s="203"/>
      <c r="V152" s="203"/>
      <c r="W152" s="203"/>
      <c r="X152" s="203"/>
      <c r="Y152" s="203"/>
      <c r="Z152" s="203"/>
      <c r="AA152" s="203"/>
      <c r="AB152" s="203"/>
      <c r="AC152" s="203"/>
      <c r="AD152" s="203"/>
      <c r="AE152" s="203"/>
      <c r="AF152" s="203"/>
    </row>
    <row r="153" spans="3:32" ht="15" customHeight="1">
      <c r="C153" s="10"/>
      <c r="D153" s="26"/>
      <c r="E153" s="215"/>
      <c r="F153" s="215"/>
      <c r="G153" s="203"/>
      <c r="H153" s="203"/>
      <c r="I153" s="203"/>
      <c r="J153" s="203"/>
      <c r="K153" s="203"/>
      <c r="L153" s="203"/>
      <c r="M153" s="203"/>
      <c r="N153" s="203"/>
      <c r="O153" s="203"/>
      <c r="P153" s="203"/>
      <c r="Q153" s="203"/>
      <c r="R153" s="203"/>
      <c r="S153" s="203"/>
      <c r="T153" s="203"/>
      <c r="U153" s="203"/>
      <c r="V153" s="203"/>
      <c r="W153" s="203"/>
      <c r="X153" s="203"/>
      <c r="Y153" s="203"/>
      <c r="Z153" s="203"/>
      <c r="AA153" s="203"/>
      <c r="AB153" s="203"/>
      <c r="AC153" s="203"/>
      <c r="AD153" s="203"/>
      <c r="AE153" s="203"/>
      <c r="AF153" s="203"/>
    </row>
    <row r="154" spans="3:32" ht="15" customHeight="1">
      <c r="C154" s="10"/>
      <c r="D154" s="26"/>
      <c r="E154" s="215"/>
      <c r="F154" s="215"/>
      <c r="G154" s="203"/>
      <c r="H154" s="203"/>
      <c r="I154" s="203"/>
      <c r="J154" s="203"/>
      <c r="K154" s="203"/>
      <c r="L154" s="203"/>
      <c r="M154" s="203"/>
      <c r="N154" s="203"/>
      <c r="O154" s="203"/>
      <c r="P154" s="203"/>
      <c r="Q154" s="203"/>
      <c r="R154" s="203"/>
      <c r="S154" s="203"/>
      <c r="T154" s="203"/>
      <c r="U154" s="203"/>
      <c r="V154" s="203"/>
      <c r="W154" s="203"/>
      <c r="X154" s="203"/>
      <c r="Y154" s="203"/>
      <c r="Z154" s="203"/>
      <c r="AA154" s="203"/>
      <c r="AB154" s="203"/>
      <c r="AC154" s="203"/>
      <c r="AD154" s="203"/>
      <c r="AE154" s="203"/>
      <c r="AF154" s="203"/>
    </row>
    <row r="155" spans="3:32" ht="15" customHeight="1">
      <c r="C155" s="10"/>
      <c r="D155" s="26"/>
      <c r="E155" s="215"/>
      <c r="F155" s="215"/>
      <c r="G155" s="203"/>
      <c r="H155" s="203"/>
      <c r="I155" s="203"/>
      <c r="J155" s="203"/>
      <c r="K155" s="203"/>
      <c r="L155" s="203"/>
      <c r="M155" s="203"/>
      <c r="N155" s="203"/>
      <c r="O155" s="203"/>
      <c r="P155" s="203"/>
      <c r="Q155" s="203"/>
      <c r="R155" s="203"/>
      <c r="S155" s="203"/>
      <c r="T155" s="203"/>
      <c r="U155" s="203"/>
      <c r="V155" s="203"/>
      <c r="W155" s="203"/>
      <c r="X155" s="203"/>
      <c r="Y155" s="203"/>
      <c r="Z155" s="203"/>
      <c r="AA155" s="203"/>
      <c r="AB155" s="203"/>
      <c r="AC155" s="203"/>
      <c r="AD155" s="203"/>
      <c r="AE155" s="203"/>
      <c r="AF155" s="203"/>
    </row>
    <row r="156" spans="3:32" ht="15" customHeight="1">
      <c r="C156" s="10"/>
      <c r="D156" s="26"/>
      <c r="E156" s="215"/>
      <c r="F156" s="215"/>
      <c r="G156" s="203"/>
      <c r="H156" s="203"/>
      <c r="I156" s="203"/>
      <c r="J156" s="203"/>
      <c r="K156" s="203"/>
      <c r="L156" s="203"/>
      <c r="M156" s="203"/>
      <c r="N156" s="203"/>
      <c r="O156" s="203"/>
      <c r="P156" s="203"/>
      <c r="Q156" s="203"/>
      <c r="R156" s="203"/>
      <c r="S156" s="203"/>
      <c r="T156" s="203"/>
      <c r="U156" s="203"/>
      <c r="V156" s="203"/>
      <c r="W156" s="203"/>
      <c r="X156" s="203"/>
      <c r="Y156" s="203"/>
      <c r="Z156" s="203"/>
      <c r="AA156" s="203"/>
      <c r="AB156" s="203"/>
      <c r="AC156" s="203"/>
      <c r="AD156" s="203"/>
      <c r="AE156" s="203"/>
      <c r="AF156" s="203"/>
    </row>
    <row r="157" spans="3:32" ht="15" customHeight="1">
      <c r="C157" s="10"/>
      <c r="D157" s="26"/>
      <c r="E157" s="215"/>
      <c r="F157" s="215"/>
      <c r="G157" s="203"/>
      <c r="H157" s="203"/>
      <c r="I157" s="203"/>
      <c r="J157" s="203"/>
      <c r="K157" s="203"/>
      <c r="L157" s="203"/>
      <c r="M157" s="203"/>
      <c r="N157" s="203"/>
      <c r="O157" s="203"/>
      <c r="P157" s="203"/>
      <c r="Q157" s="203"/>
      <c r="R157" s="203"/>
      <c r="S157" s="203"/>
      <c r="T157" s="203"/>
      <c r="U157" s="203"/>
      <c r="V157" s="203"/>
      <c r="W157" s="203"/>
      <c r="X157" s="203"/>
      <c r="Y157" s="203"/>
      <c r="Z157" s="203"/>
      <c r="AA157" s="203"/>
      <c r="AB157" s="203"/>
      <c r="AC157" s="203"/>
      <c r="AD157" s="203"/>
      <c r="AE157" s="203"/>
      <c r="AF157" s="203"/>
    </row>
    <row r="158" spans="3:32" ht="15" customHeight="1">
      <c r="C158" s="10"/>
      <c r="D158" s="26"/>
      <c r="E158" s="215"/>
      <c r="F158" s="215"/>
      <c r="G158" s="203"/>
      <c r="H158" s="203"/>
      <c r="I158" s="203"/>
      <c r="J158" s="203"/>
      <c r="K158" s="203"/>
      <c r="L158" s="203"/>
      <c r="M158" s="203"/>
      <c r="N158" s="203"/>
      <c r="O158" s="203"/>
      <c r="P158" s="203"/>
      <c r="Q158" s="203"/>
      <c r="R158" s="203"/>
      <c r="S158" s="203"/>
      <c r="T158" s="203"/>
      <c r="U158" s="203"/>
      <c r="V158" s="203"/>
      <c r="W158" s="203"/>
      <c r="X158" s="203"/>
      <c r="Y158" s="203"/>
      <c r="Z158" s="203"/>
      <c r="AA158" s="203"/>
      <c r="AB158" s="203"/>
      <c r="AC158" s="203"/>
      <c r="AD158" s="203"/>
      <c r="AE158" s="203"/>
      <c r="AF158" s="203"/>
    </row>
    <row r="159" spans="3:32" ht="15" customHeight="1">
      <c r="C159" s="10"/>
      <c r="D159" s="26"/>
      <c r="E159" s="215"/>
      <c r="F159" s="215"/>
      <c r="G159" s="203"/>
      <c r="H159" s="203"/>
      <c r="I159" s="203"/>
      <c r="J159" s="203"/>
      <c r="K159" s="203"/>
      <c r="L159" s="203"/>
      <c r="M159" s="203"/>
      <c r="N159" s="203"/>
      <c r="O159" s="203"/>
      <c r="P159" s="203"/>
      <c r="Q159" s="203"/>
      <c r="R159" s="203"/>
      <c r="S159" s="203"/>
      <c r="T159" s="203"/>
      <c r="U159" s="203"/>
      <c r="V159" s="203"/>
      <c r="W159" s="203"/>
      <c r="X159" s="203"/>
      <c r="Y159" s="203"/>
      <c r="Z159" s="203"/>
      <c r="AA159" s="203"/>
      <c r="AB159" s="203"/>
      <c r="AC159" s="203"/>
      <c r="AD159" s="203"/>
      <c r="AE159" s="203"/>
      <c r="AF159" s="203"/>
    </row>
    <row r="160" spans="3:32" ht="15" customHeight="1">
      <c r="C160" s="10"/>
      <c r="D160" s="26"/>
      <c r="E160" s="215"/>
      <c r="F160" s="215"/>
      <c r="G160" s="203"/>
      <c r="H160" s="203"/>
      <c r="I160" s="203"/>
      <c r="J160" s="203"/>
      <c r="K160" s="203"/>
      <c r="L160" s="203"/>
      <c r="M160" s="203"/>
      <c r="N160" s="203"/>
      <c r="O160" s="203"/>
      <c r="P160" s="203"/>
      <c r="Q160" s="203"/>
      <c r="R160" s="203"/>
      <c r="S160" s="203"/>
      <c r="T160" s="203"/>
      <c r="U160" s="203"/>
      <c r="V160" s="203"/>
      <c r="W160" s="203"/>
      <c r="X160" s="203"/>
      <c r="Y160" s="203"/>
      <c r="Z160" s="203"/>
      <c r="AA160" s="203"/>
      <c r="AB160" s="203"/>
      <c r="AC160" s="203"/>
      <c r="AD160" s="203"/>
      <c r="AE160" s="203"/>
      <c r="AF160" s="203"/>
    </row>
    <row r="161" spans="2:32" ht="15" customHeight="1">
      <c r="C161" s="10"/>
      <c r="D161" s="26"/>
      <c r="E161" s="215"/>
      <c r="F161" s="215"/>
      <c r="G161" s="203"/>
      <c r="H161" s="203"/>
      <c r="I161" s="203"/>
      <c r="J161" s="203"/>
      <c r="K161" s="203"/>
      <c r="L161" s="203"/>
      <c r="M161" s="203"/>
      <c r="N161" s="203"/>
      <c r="O161" s="203"/>
      <c r="P161" s="203"/>
      <c r="Q161" s="203"/>
      <c r="R161" s="203"/>
      <c r="S161" s="203"/>
      <c r="T161" s="203"/>
      <c r="U161" s="203"/>
      <c r="V161" s="203"/>
      <c r="W161" s="203"/>
      <c r="X161" s="203"/>
      <c r="Y161" s="203"/>
      <c r="Z161" s="203"/>
      <c r="AA161" s="203"/>
      <c r="AB161" s="203"/>
      <c r="AC161" s="203"/>
      <c r="AD161" s="203"/>
      <c r="AE161" s="203"/>
      <c r="AF161" s="203"/>
    </row>
    <row r="162" spans="2:32" ht="15" customHeight="1">
      <c r="C162" s="10"/>
      <c r="D162" s="26"/>
      <c r="E162" s="215"/>
      <c r="F162" s="215"/>
      <c r="G162" s="203"/>
      <c r="H162" s="203"/>
      <c r="I162" s="203"/>
      <c r="J162" s="203"/>
      <c r="K162" s="203"/>
      <c r="L162" s="203"/>
      <c r="M162" s="203"/>
      <c r="N162" s="203"/>
      <c r="O162" s="203"/>
      <c r="P162" s="203"/>
      <c r="Q162" s="203"/>
      <c r="R162" s="203"/>
      <c r="S162" s="203"/>
      <c r="T162" s="203"/>
      <c r="U162" s="203"/>
      <c r="V162" s="203"/>
      <c r="W162" s="203"/>
      <c r="X162" s="203"/>
      <c r="Y162" s="203"/>
      <c r="Z162" s="203"/>
      <c r="AA162" s="203"/>
      <c r="AB162" s="203"/>
      <c r="AC162" s="203"/>
      <c r="AD162" s="203"/>
      <c r="AE162" s="203"/>
      <c r="AF162" s="203"/>
    </row>
    <row r="163" spans="2:32" ht="15" customHeight="1">
      <c r="C163" s="10"/>
      <c r="D163" s="26"/>
      <c r="E163" s="215"/>
      <c r="F163" s="215"/>
      <c r="G163" s="203"/>
      <c r="H163" s="203"/>
      <c r="I163" s="203"/>
      <c r="J163" s="203"/>
      <c r="K163" s="203"/>
      <c r="L163" s="203"/>
      <c r="M163" s="203"/>
      <c r="N163" s="203"/>
      <c r="O163" s="203"/>
      <c r="P163" s="203"/>
      <c r="Q163" s="203"/>
      <c r="R163" s="203"/>
      <c r="S163" s="203"/>
      <c r="T163" s="203"/>
      <c r="U163" s="203"/>
      <c r="V163" s="203"/>
      <c r="W163" s="203"/>
      <c r="X163" s="203"/>
      <c r="Y163" s="203"/>
      <c r="Z163" s="203"/>
      <c r="AA163" s="203"/>
      <c r="AB163" s="203"/>
      <c r="AC163" s="203"/>
      <c r="AD163" s="203"/>
      <c r="AE163" s="203"/>
      <c r="AF163" s="203"/>
    </row>
    <row r="164" spans="2:32" ht="15" customHeight="1">
      <c r="C164" s="10"/>
      <c r="D164" s="26"/>
      <c r="E164" s="215"/>
      <c r="F164" s="215"/>
      <c r="G164" s="203"/>
      <c r="H164" s="203"/>
      <c r="I164" s="203"/>
      <c r="J164" s="203"/>
      <c r="K164" s="203"/>
      <c r="L164" s="203"/>
      <c r="M164" s="203"/>
      <c r="N164" s="203"/>
      <c r="O164" s="203"/>
      <c r="P164" s="203"/>
      <c r="Q164" s="203"/>
      <c r="R164" s="203"/>
      <c r="S164" s="203"/>
      <c r="T164" s="203"/>
      <c r="U164" s="203"/>
      <c r="V164" s="203"/>
      <c r="W164" s="203"/>
      <c r="X164" s="203"/>
      <c r="Y164" s="203"/>
      <c r="Z164" s="203"/>
      <c r="AA164" s="203"/>
      <c r="AB164" s="203"/>
      <c r="AC164" s="203"/>
      <c r="AD164" s="203"/>
      <c r="AE164" s="203"/>
      <c r="AF164" s="203"/>
    </row>
    <row r="165" spans="2:32" ht="15" customHeight="1">
      <c r="C165" s="10"/>
      <c r="D165" s="26"/>
      <c r="E165" s="215"/>
      <c r="F165" s="215"/>
      <c r="G165" s="203"/>
      <c r="H165" s="203"/>
      <c r="I165" s="203"/>
      <c r="J165" s="203"/>
      <c r="K165" s="203"/>
      <c r="L165" s="203"/>
      <c r="M165" s="203"/>
      <c r="N165" s="203"/>
      <c r="O165" s="203"/>
      <c r="P165" s="203"/>
      <c r="Q165" s="203"/>
      <c r="R165" s="203"/>
      <c r="S165" s="203"/>
      <c r="T165" s="203"/>
      <c r="U165" s="203"/>
      <c r="V165" s="203"/>
      <c r="W165" s="203"/>
      <c r="X165" s="203"/>
      <c r="Y165" s="203"/>
      <c r="Z165" s="203"/>
      <c r="AA165" s="203"/>
      <c r="AB165" s="203"/>
      <c r="AC165" s="203"/>
      <c r="AD165" s="203"/>
      <c r="AE165" s="203"/>
      <c r="AF165" s="203"/>
    </row>
    <row r="166" spans="2:32" ht="15" customHeight="1">
      <c r="C166" s="10"/>
      <c r="D166" s="26"/>
      <c r="E166" s="215"/>
      <c r="F166" s="215"/>
      <c r="G166" s="203"/>
      <c r="H166" s="203"/>
      <c r="I166" s="203"/>
      <c r="J166" s="203"/>
      <c r="K166" s="203"/>
      <c r="L166" s="203"/>
      <c r="M166" s="203"/>
      <c r="N166" s="203"/>
      <c r="O166" s="203"/>
      <c r="P166" s="203"/>
      <c r="Q166" s="203"/>
      <c r="R166" s="203"/>
      <c r="S166" s="203"/>
      <c r="T166" s="203"/>
      <c r="U166" s="203"/>
      <c r="V166" s="203"/>
      <c r="W166" s="203"/>
      <c r="X166" s="203"/>
      <c r="Y166" s="203"/>
      <c r="Z166" s="203"/>
      <c r="AA166" s="203"/>
      <c r="AB166" s="203"/>
      <c r="AC166" s="203"/>
      <c r="AD166" s="203"/>
      <c r="AE166" s="203"/>
      <c r="AF166" s="203"/>
    </row>
    <row r="167" spans="2:32" ht="15" customHeight="1">
      <c r="C167" s="10"/>
      <c r="D167" s="26"/>
      <c r="E167" s="215"/>
      <c r="F167" s="215"/>
      <c r="G167" s="203"/>
      <c r="H167" s="203"/>
      <c r="I167" s="203"/>
      <c r="J167" s="203"/>
      <c r="K167" s="203"/>
      <c r="L167" s="203"/>
      <c r="M167" s="203"/>
      <c r="N167" s="203"/>
      <c r="O167" s="203"/>
      <c r="P167" s="203"/>
      <c r="Q167" s="203"/>
      <c r="R167" s="203"/>
      <c r="S167" s="203"/>
      <c r="T167" s="203"/>
      <c r="U167" s="203"/>
      <c r="V167" s="203"/>
      <c r="W167" s="203"/>
      <c r="X167" s="203"/>
      <c r="Y167" s="203"/>
      <c r="Z167" s="203"/>
      <c r="AA167" s="203"/>
      <c r="AB167" s="203"/>
      <c r="AC167" s="203"/>
      <c r="AD167" s="203"/>
      <c r="AE167" s="203"/>
      <c r="AF167" s="203"/>
    </row>
    <row r="168" spans="2:32" ht="15" customHeight="1">
      <c r="C168" s="10"/>
    </row>
    <row r="169" spans="2:32" ht="15" customHeight="1">
      <c r="B169" s="315"/>
      <c r="C169" s="10"/>
      <c r="D169" s="26"/>
      <c r="E169" s="215"/>
      <c r="F169" s="215"/>
      <c r="G169" s="203"/>
      <c r="H169" s="203"/>
      <c r="I169" s="203"/>
      <c r="J169" s="203"/>
      <c r="K169" s="203"/>
      <c r="L169" s="203"/>
      <c r="M169" s="203"/>
      <c r="N169" s="203"/>
      <c r="O169" s="203"/>
      <c r="P169" s="203"/>
      <c r="Q169" s="203"/>
      <c r="R169" s="203"/>
      <c r="S169" s="203"/>
      <c r="T169" s="203"/>
      <c r="U169" s="203"/>
      <c r="V169" s="203"/>
      <c r="W169" s="203"/>
      <c r="X169" s="203"/>
      <c r="Y169" s="203"/>
      <c r="Z169" s="203"/>
      <c r="AA169" s="203"/>
      <c r="AB169" s="203"/>
      <c r="AC169" s="203"/>
      <c r="AD169" s="203"/>
      <c r="AE169" s="203"/>
      <c r="AF169" s="203"/>
    </row>
    <row r="170" spans="2:32" ht="15" customHeight="1">
      <c r="C170" s="10"/>
      <c r="D170" s="26"/>
      <c r="E170" s="215"/>
      <c r="F170" s="215"/>
      <c r="G170" s="203"/>
      <c r="H170" s="203"/>
      <c r="I170" s="203"/>
      <c r="J170" s="203"/>
      <c r="K170" s="203"/>
      <c r="L170" s="203"/>
      <c r="M170" s="203"/>
      <c r="N170" s="203"/>
      <c r="O170" s="203"/>
      <c r="P170" s="203"/>
      <c r="Q170" s="203"/>
      <c r="R170" s="203"/>
      <c r="S170" s="203"/>
      <c r="T170" s="203"/>
      <c r="U170" s="203"/>
      <c r="V170" s="203"/>
      <c r="W170" s="203"/>
      <c r="X170" s="203"/>
      <c r="Y170" s="203"/>
      <c r="Z170" s="203"/>
      <c r="AA170" s="203"/>
      <c r="AB170" s="203"/>
      <c r="AC170" s="203"/>
      <c r="AD170" s="203"/>
      <c r="AE170" s="203"/>
      <c r="AF170" s="203"/>
    </row>
    <row r="171" spans="2:32" ht="15" customHeight="1">
      <c r="C171" s="10"/>
      <c r="D171" s="26"/>
      <c r="E171" s="215"/>
      <c r="F171" s="215"/>
      <c r="G171" s="203"/>
      <c r="H171" s="203"/>
      <c r="I171" s="203"/>
      <c r="J171" s="203"/>
      <c r="K171" s="203"/>
      <c r="L171" s="203"/>
      <c r="M171" s="203"/>
      <c r="N171" s="203"/>
      <c r="O171" s="203"/>
      <c r="P171" s="203"/>
      <c r="Q171" s="203"/>
      <c r="R171" s="203"/>
      <c r="S171" s="203"/>
      <c r="T171" s="203"/>
      <c r="U171" s="203"/>
      <c r="V171" s="203"/>
      <c r="W171" s="203"/>
      <c r="X171" s="203"/>
      <c r="Y171" s="203"/>
      <c r="Z171" s="203"/>
      <c r="AA171" s="203"/>
      <c r="AB171" s="203"/>
      <c r="AC171" s="203"/>
      <c r="AD171" s="203"/>
      <c r="AE171" s="203"/>
      <c r="AF171" s="203"/>
    </row>
    <row r="172" spans="2:32" ht="15" customHeight="1">
      <c r="C172" s="10"/>
      <c r="D172" s="26"/>
      <c r="E172" s="215"/>
      <c r="F172" s="215"/>
      <c r="G172" s="203"/>
      <c r="H172" s="203"/>
      <c r="I172" s="203"/>
      <c r="J172" s="203"/>
      <c r="K172" s="203"/>
      <c r="L172" s="203"/>
      <c r="M172" s="203"/>
      <c r="N172" s="203"/>
      <c r="O172" s="203"/>
      <c r="P172" s="203"/>
      <c r="Q172" s="203"/>
      <c r="R172" s="203"/>
      <c r="S172" s="203"/>
      <c r="T172" s="203"/>
      <c r="U172" s="203"/>
      <c r="V172" s="203"/>
      <c r="W172" s="203"/>
      <c r="X172" s="203"/>
      <c r="Y172" s="203"/>
      <c r="Z172" s="203"/>
      <c r="AA172" s="203"/>
      <c r="AB172" s="203"/>
      <c r="AC172" s="203"/>
      <c r="AD172" s="203"/>
      <c r="AE172" s="203"/>
      <c r="AF172" s="203"/>
    </row>
    <row r="173" spans="2:32" ht="15" customHeight="1">
      <c r="C173" s="10"/>
      <c r="D173" s="26"/>
      <c r="E173" s="215"/>
      <c r="F173" s="215"/>
      <c r="G173" s="203"/>
      <c r="H173" s="203"/>
      <c r="I173" s="203"/>
      <c r="J173" s="203"/>
      <c r="K173" s="203"/>
      <c r="L173" s="203"/>
      <c r="M173" s="203"/>
      <c r="N173" s="203"/>
      <c r="O173" s="203"/>
      <c r="P173" s="203"/>
      <c r="Q173" s="203"/>
      <c r="R173" s="203"/>
      <c r="S173" s="203"/>
      <c r="T173" s="203"/>
      <c r="U173" s="203"/>
      <c r="V173" s="203"/>
      <c r="W173" s="203"/>
      <c r="X173" s="203"/>
      <c r="Y173" s="203"/>
      <c r="Z173" s="203"/>
      <c r="AA173" s="203"/>
      <c r="AB173" s="203"/>
      <c r="AC173" s="203"/>
      <c r="AD173" s="203"/>
      <c r="AE173" s="203"/>
      <c r="AF173" s="203"/>
    </row>
    <row r="174" spans="2:32" ht="15" customHeight="1">
      <c r="C174" s="10"/>
      <c r="D174" s="26"/>
      <c r="E174" s="215"/>
      <c r="F174" s="215"/>
      <c r="G174" s="203"/>
      <c r="H174" s="203"/>
      <c r="I174" s="203"/>
      <c r="J174" s="203"/>
      <c r="K174" s="203"/>
      <c r="L174" s="203"/>
      <c r="M174" s="203"/>
      <c r="N174" s="203"/>
      <c r="O174" s="203"/>
      <c r="P174" s="203"/>
      <c r="Q174" s="203"/>
      <c r="R174" s="203"/>
      <c r="S174" s="203"/>
      <c r="T174" s="203"/>
      <c r="U174" s="203"/>
      <c r="V174" s="203"/>
      <c r="W174" s="203"/>
      <c r="X174" s="203"/>
      <c r="Y174" s="203"/>
      <c r="Z174" s="203"/>
      <c r="AA174" s="203"/>
      <c r="AB174" s="203"/>
      <c r="AC174" s="203"/>
      <c r="AD174" s="203"/>
      <c r="AE174" s="203"/>
      <c r="AF174" s="203"/>
    </row>
    <row r="175" spans="2:32" ht="15" customHeight="1">
      <c r="C175" s="10"/>
      <c r="D175" s="26"/>
      <c r="E175" s="215"/>
      <c r="F175" s="215"/>
      <c r="G175" s="203"/>
      <c r="H175" s="203"/>
      <c r="I175" s="203"/>
      <c r="J175" s="203"/>
      <c r="K175" s="203"/>
      <c r="L175" s="203"/>
      <c r="M175" s="203"/>
      <c r="N175" s="203"/>
      <c r="O175" s="203"/>
      <c r="P175" s="203"/>
      <c r="Q175" s="203"/>
      <c r="R175" s="203"/>
      <c r="S175" s="203"/>
      <c r="T175" s="203"/>
      <c r="U175" s="203"/>
      <c r="V175" s="203"/>
      <c r="W175" s="203"/>
      <c r="X175" s="203"/>
      <c r="Y175" s="203"/>
      <c r="Z175" s="203"/>
      <c r="AA175" s="203"/>
      <c r="AB175" s="203"/>
      <c r="AC175" s="203"/>
      <c r="AD175" s="203"/>
      <c r="AE175" s="203"/>
      <c r="AF175" s="203"/>
    </row>
    <row r="176" spans="2:32" ht="15" customHeight="1">
      <c r="C176" s="10"/>
      <c r="D176" s="26"/>
      <c r="E176" s="215"/>
      <c r="F176" s="215"/>
      <c r="G176" s="203"/>
      <c r="H176" s="203"/>
      <c r="I176" s="203"/>
      <c r="J176" s="203"/>
      <c r="K176" s="203"/>
      <c r="L176" s="203"/>
      <c r="M176" s="203"/>
      <c r="N176" s="203"/>
      <c r="O176" s="203"/>
      <c r="P176" s="203"/>
      <c r="Q176" s="203"/>
      <c r="R176" s="203"/>
      <c r="S176" s="203"/>
      <c r="T176" s="203"/>
      <c r="U176" s="203"/>
      <c r="V176" s="203"/>
      <c r="W176" s="203"/>
      <c r="X176" s="203"/>
      <c r="Y176" s="203"/>
      <c r="Z176" s="203"/>
      <c r="AA176" s="203"/>
      <c r="AB176" s="203"/>
      <c r="AC176" s="203"/>
      <c r="AD176" s="203"/>
      <c r="AE176" s="203"/>
      <c r="AF176" s="203"/>
    </row>
    <row r="177" spans="3:32" ht="15" customHeight="1">
      <c r="C177" s="10"/>
      <c r="D177" s="26"/>
      <c r="E177" s="215"/>
      <c r="F177" s="215"/>
      <c r="G177" s="203"/>
      <c r="H177" s="203"/>
      <c r="I177" s="203"/>
      <c r="J177" s="203"/>
      <c r="K177" s="203"/>
      <c r="L177" s="203"/>
      <c r="M177" s="203"/>
      <c r="N177" s="203"/>
      <c r="O177" s="203"/>
      <c r="P177" s="203"/>
      <c r="Q177" s="203"/>
      <c r="R177" s="203"/>
      <c r="S177" s="203"/>
      <c r="T177" s="203"/>
      <c r="U177" s="203"/>
      <c r="V177" s="203"/>
      <c r="W177" s="203"/>
      <c r="X177" s="203"/>
      <c r="Y177" s="203"/>
      <c r="Z177" s="203"/>
      <c r="AA177" s="203"/>
      <c r="AB177" s="203"/>
      <c r="AC177" s="203"/>
      <c r="AD177" s="203"/>
      <c r="AE177" s="203"/>
      <c r="AF177" s="203"/>
    </row>
    <row r="178" spans="3:32" ht="15" customHeight="1">
      <c r="C178" s="10"/>
      <c r="D178" s="26"/>
      <c r="E178" s="215"/>
      <c r="F178" s="215"/>
      <c r="G178" s="203"/>
      <c r="H178" s="203"/>
      <c r="I178" s="203"/>
      <c r="J178" s="203"/>
      <c r="K178" s="203"/>
      <c r="L178" s="203"/>
      <c r="M178" s="203"/>
      <c r="N178" s="203"/>
      <c r="O178" s="203"/>
      <c r="P178" s="203"/>
      <c r="Q178" s="203"/>
      <c r="R178" s="203"/>
      <c r="S178" s="203"/>
      <c r="T178" s="203"/>
      <c r="U178" s="203"/>
      <c r="V178" s="203"/>
      <c r="W178" s="203"/>
      <c r="X178" s="203"/>
      <c r="Y178" s="203"/>
      <c r="Z178" s="203"/>
      <c r="AA178" s="203"/>
      <c r="AB178" s="203"/>
      <c r="AC178" s="203"/>
      <c r="AD178" s="203"/>
      <c r="AE178" s="203"/>
      <c r="AF178" s="203"/>
    </row>
    <row r="179" spans="3:32" ht="15" customHeight="1">
      <c r="C179" s="10"/>
      <c r="D179" s="26"/>
      <c r="E179" s="215"/>
      <c r="F179" s="215"/>
      <c r="G179" s="203"/>
      <c r="H179" s="203"/>
      <c r="I179" s="203"/>
      <c r="J179" s="203"/>
      <c r="K179" s="203"/>
      <c r="L179" s="203"/>
      <c r="M179" s="203"/>
      <c r="N179" s="203"/>
      <c r="O179" s="203"/>
      <c r="P179" s="203"/>
      <c r="Q179" s="203"/>
      <c r="R179" s="203"/>
      <c r="S179" s="203"/>
      <c r="T179" s="203"/>
      <c r="U179" s="203"/>
      <c r="V179" s="203"/>
      <c r="W179" s="203"/>
      <c r="X179" s="203"/>
      <c r="Y179" s="203"/>
      <c r="Z179" s="203"/>
      <c r="AA179" s="203"/>
      <c r="AB179" s="203"/>
      <c r="AC179" s="203"/>
      <c r="AD179" s="203"/>
      <c r="AE179" s="203"/>
      <c r="AF179" s="203"/>
    </row>
    <row r="180" spans="3:32" ht="15" customHeight="1">
      <c r="C180" s="10"/>
      <c r="D180" s="26"/>
      <c r="E180" s="215"/>
      <c r="F180" s="215"/>
      <c r="G180" s="203"/>
      <c r="H180" s="203"/>
      <c r="I180" s="203"/>
      <c r="J180" s="203"/>
      <c r="K180" s="203"/>
      <c r="L180" s="203"/>
      <c r="M180" s="203"/>
      <c r="N180" s="203"/>
      <c r="O180" s="203"/>
      <c r="P180" s="203"/>
      <c r="Q180" s="203"/>
      <c r="R180" s="203"/>
      <c r="S180" s="203"/>
      <c r="T180" s="203"/>
      <c r="U180" s="203"/>
      <c r="V180" s="203"/>
      <c r="W180" s="203"/>
      <c r="X180" s="203"/>
      <c r="Y180" s="203"/>
      <c r="Z180" s="203"/>
      <c r="AA180" s="203"/>
      <c r="AB180" s="203"/>
      <c r="AC180" s="203"/>
      <c r="AD180" s="203"/>
      <c r="AE180" s="203"/>
      <c r="AF180" s="203"/>
    </row>
    <row r="181" spans="3:32" ht="15" customHeight="1">
      <c r="C181" s="10"/>
      <c r="D181" s="26"/>
      <c r="E181" s="215"/>
      <c r="F181" s="215"/>
      <c r="G181" s="203"/>
      <c r="H181" s="203"/>
      <c r="I181" s="203"/>
      <c r="J181" s="203"/>
      <c r="K181" s="203"/>
      <c r="L181" s="203"/>
      <c r="M181" s="203"/>
      <c r="N181" s="203"/>
      <c r="O181" s="203"/>
      <c r="P181" s="203"/>
      <c r="Q181" s="203"/>
      <c r="R181" s="203"/>
      <c r="S181" s="203"/>
      <c r="T181" s="203"/>
      <c r="U181" s="203"/>
      <c r="V181" s="203"/>
      <c r="W181" s="203"/>
      <c r="X181" s="203"/>
      <c r="Y181" s="203"/>
      <c r="Z181" s="203"/>
      <c r="AA181" s="203"/>
      <c r="AB181" s="203"/>
      <c r="AC181" s="203"/>
      <c r="AD181" s="203"/>
      <c r="AE181" s="203"/>
      <c r="AF181" s="203"/>
    </row>
    <row r="182" spans="3:32" ht="15" customHeight="1">
      <c r="C182" s="10"/>
      <c r="D182" s="26"/>
      <c r="E182" s="215"/>
      <c r="F182" s="215"/>
      <c r="G182" s="203"/>
      <c r="H182" s="203"/>
      <c r="I182" s="203"/>
      <c r="J182" s="203"/>
      <c r="K182" s="203"/>
      <c r="L182" s="203"/>
      <c r="M182" s="203"/>
      <c r="N182" s="203"/>
      <c r="O182" s="203"/>
      <c r="P182" s="203"/>
      <c r="Q182" s="203"/>
      <c r="R182" s="203"/>
      <c r="S182" s="203"/>
      <c r="T182" s="203"/>
      <c r="U182" s="203"/>
      <c r="V182" s="203"/>
      <c r="W182" s="203"/>
      <c r="X182" s="203"/>
      <c r="Y182" s="203"/>
      <c r="Z182" s="203"/>
      <c r="AA182" s="203"/>
      <c r="AB182" s="203"/>
      <c r="AC182" s="203"/>
      <c r="AD182" s="203"/>
      <c r="AE182" s="203"/>
      <c r="AF182" s="203"/>
    </row>
    <row r="183" spans="3:32" ht="15" customHeight="1">
      <c r="C183" s="10"/>
      <c r="D183" s="26"/>
      <c r="E183" s="215"/>
      <c r="F183" s="215"/>
      <c r="G183" s="203"/>
      <c r="H183" s="203"/>
      <c r="I183" s="203"/>
      <c r="J183" s="203"/>
      <c r="K183" s="203"/>
      <c r="L183" s="203"/>
      <c r="M183" s="203"/>
      <c r="N183" s="203"/>
      <c r="O183" s="203"/>
      <c r="P183" s="203"/>
      <c r="Q183" s="203"/>
      <c r="R183" s="203"/>
      <c r="S183" s="203"/>
      <c r="T183" s="203"/>
      <c r="U183" s="203"/>
      <c r="V183" s="203"/>
      <c r="W183" s="203"/>
      <c r="X183" s="203"/>
      <c r="Y183" s="203"/>
      <c r="Z183" s="203"/>
      <c r="AA183" s="203"/>
      <c r="AB183" s="203"/>
      <c r="AC183" s="203"/>
      <c r="AD183" s="203"/>
      <c r="AE183" s="203"/>
      <c r="AF183" s="203"/>
    </row>
    <row r="184" spans="3:32" ht="15" customHeight="1">
      <c r="C184" s="10"/>
      <c r="D184" s="26"/>
      <c r="E184" s="215"/>
      <c r="F184" s="215"/>
      <c r="G184" s="203"/>
      <c r="H184" s="203"/>
      <c r="I184" s="203"/>
      <c r="J184" s="203"/>
      <c r="K184" s="203"/>
      <c r="L184" s="203"/>
      <c r="M184" s="203"/>
      <c r="N184" s="203"/>
      <c r="O184" s="203"/>
      <c r="P184" s="203"/>
      <c r="Q184" s="203"/>
      <c r="R184" s="203"/>
      <c r="S184" s="203"/>
      <c r="T184" s="203"/>
      <c r="U184" s="203"/>
      <c r="V184" s="203"/>
      <c r="W184" s="203"/>
      <c r="X184" s="203"/>
      <c r="Y184" s="203"/>
      <c r="Z184" s="203"/>
      <c r="AA184" s="203"/>
      <c r="AB184" s="203"/>
      <c r="AC184" s="203"/>
      <c r="AD184" s="203"/>
      <c r="AE184" s="203"/>
      <c r="AF184" s="203"/>
    </row>
    <row r="185" spans="3:32" ht="15" customHeight="1">
      <c r="C185" s="10"/>
      <c r="D185" s="26"/>
      <c r="E185" s="215"/>
      <c r="F185" s="215"/>
      <c r="G185" s="203"/>
      <c r="H185" s="203"/>
      <c r="I185" s="203"/>
      <c r="J185" s="203"/>
      <c r="K185" s="203"/>
      <c r="L185" s="203"/>
      <c r="M185" s="203"/>
      <c r="N185" s="203"/>
      <c r="O185" s="203"/>
      <c r="P185" s="203"/>
      <c r="Q185" s="203"/>
      <c r="R185" s="203"/>
      <c r="S185" s="203"/>
      <c r="T185" s="203"/>
      <c r="U185" s="203"/>
      <c r="V185" s="203"/>
      <c r="W185" s="203"/>
      <c r="X185" s="203"/>
      <c r="Y185" s="203"/>
      <c r="Z185" s="203"/>
      <c r="AA185" s="203"/>
      <c r="AB185" s="203"/>
      <c r="AC185" s="203"/>
      <c r="AD185" s="203"/>
      <c r="AE185" s="203"/>
      <c r="AF185" s="203"/>
    </row>
    <row r="186" spans="3:32" ht="15" customHeight="1">
      <c r="C186" s="10"/>
      <c r="D186" s="26"/>
      <c r="E186" s="215"/>
      <c r="F186" s="215"/>
      <c r="G186" s="203"/>
      <c r="H186" s="203"/>
      <c r="I186" s="203"/>
      <c r="J186" s="203"/>
      <c r="K186" s="203"/>
      <c r="L186" s="203"/>
      <c r="M186" s="203"/>
      <c r="N186" s="203"/>
      <c r="O186" s="203"/>
      <c r="P186" s="203"/>
      <c r="Q186" s="203"/>
      <c r="R186" s="203"/>
      <c r="S186" s="203"/>
      <c r="T186" s="203"/>
      <c r="U186" s="203"/>
      <c r="V186" s="203"/>
      <c r="W186" s="203"/>
      <c r="X186" s="203"/>
      <c r="Y186" s="203"/>
      <c r="Z186" s="203"/>
      <c r="AA186" s="203"/>
      <c r="AB186" s="203"/>
      <c r="AC186" s="203"/>
      <c r="AD186" s="203"/>
      <c r="AE186" s="203"/>
      <c r="AF186" s="203"/>
    </row>
    <row r="187" spans="3:32" ht="15" customHeight="1">
      <c r="C187" s="10"/>
      <c r="D187" s="26"/>
      <c r="E187" s="215"/>
      <c r="F187" s="215"/>
      <c r="G187" s="203"/>
      <c r="H187" s="203"/>
      <c r="I187" s="203"/>
      <c r="J187" s="203"/>
      <c r="K187" s="203"/>
      <c r="L187" s="203"/>
      <c r="M187" s="203"/>
      <c r="N187" s="203"/>
      <c r="O187" s="203"/>
      <c r="P187" s="203"/>
      <c r="Q187" s="203"/>
      <c r="R187" s="203"/>
      <c r="S187" s="203"/>
      <c r="T187" s="203"/>
      <c r="U187" s="203"/>
      <c r="V187" s="203"/>
      <c r="W187" s="203"/>
      <c r="X187" s="203"/>
      <c r="Y187" s="203"/>
      <c r="Z187" s="203"/>
      <c r="AA187" s="203"/>
      <c r="AB187" s="203"/>
      <c r="AC187" s="203"/>
      <c r="AD187" s="203"/>
      <c r="AE187" s="203"/>
      <c r="AF187" s="203"/>
    </row>
    <row r="188" spans="3:32" ht="15" customHeight="1">
      <c r="C188" s="10"/>
      <c r="D188" s="26"/>
      <c r="E188" s="215"/>
      <c r="F188" s="215"/>
      <c r="G188" s="203"/>
      <c r="H188" s="203"/>
      <c r="I188" s="203"/>
      <c r="J188" s="203"/>
      <c r="K188" s="203"/>
      <c r="L188" s="203"/>
      <c r="M188" s="203"/>
      <c r="N188" s="203"/>
      <c r="O188" s="203"/>
      <c r="P188" s="203"/>
      <c r="Q188" s="203"/>
      <c r="R188" s="203"/>
      <c r="S188" s="203"/>
      <c r="T188" s="203"/>
      <c r="U188" s="203"/>
      <c r="V188" s="203"/>
      <c r="W188" s="203"/>
      <c r="X188" s="203"/>
      <c r="Y188" s="203"/>
      <c r="Z188" s="203"/>
      <c r="AA188" s="203"/>
      <c r="AB188" s="203"/>
      <c r="AC188" s="203"/>
      <c r="AD188" s="203"/>
      <c r="AE188" s="203"/>
      <c r="AF188" s="203"/>
    </row>
    <row r="189" spans="3:32" ht="15" customHeight="1">
      <c r="C189" s="10"/>
      <c r="D189" s="26"/>
      <c r="E189" s="215"/>
      <c r="F189" s="215"/>
      <c r="G189" s="203"/>
      <c r="H189" s="203"/>
      <c r="I189" s="203"/>
      <c r="J189" s="203"/>
      <c r="K189" s="203"/>
      <c r="L189" s="203"/>
      <c r="M189" s="203"/>
      <c r="N189" s="203"/>
      <c r="O189" s="203"/>
      <c r="P189" s="203"/>
      <c r="Q189" s="203"/>
      <c r="R189" s="203"/>
      <c r="S189" s="203"/>
      <c r="T189" s="203"/>
      <c r="U189" s="203"/>
      <c r="V189" s="203"/>
      <c r="W189" s="203"/>
      <c r="X189" s="203"/>
      <c r="Y189" s="203"/>
      <c r="Z189" s="203"/>
      <c r="AA189" s="203"/>
      <c r="AB189" s="203"/>
      <c r="AC189" s="203"/>
      <c r="AD189" s="203"/>
      <c r="AE189" s="203"/>
      <c r="AF189" s="203"/>
    </row>
    <row r="190" spans="3:32" ht="15" customHeight="1">
      <c r="C190" s="10"/>
      <c r="D190" s="26"/>
      <c r="E190" s="215"/>
      <c r="F190" s="215"/>
      <c r="G190" s="203"/>
      <c r="H190" s="203"/>
      <c r="I190" s="203"/>
      <c r="J190" s="203"/>
      <c r="K190" s="203"/>
      <c r="L190" s="203"/>
      <c r="M190" s="203"/>
      <c r="N190" s="203"/>
      <c r="O190" s="203"/>
      <c r="P190" s="203"/>
      <c r="Q190" s="203"/>
      <c r="R190" s="203"/>
      <c r="S190" s="203"/>
      <c r="T190" s="203"/>
      <c r="U190" s="203"/>
      <c r="V190" s="203"/>
      <c r="W190" s="203"/>
      <c r="X190" s="203"/>
      <c r="Y190" s="203"/>
      <c r="Z190" s="203"/>
      <c r="AA190" s="203"/>
      <c r="AB190" s="203"/>
      <c r="AC190" s="203"/>
      <c r="AD190" s="203"/>
      <c r="AE190" s="203"/>
      <c r="AF190" s="203"/>
    </row>
    <row r="191" spans="3:32" ht="15" customHeight="1">
      <c r="C191" s="10"/>
      <c r="D191" s="26"/>
      <c r="E191" s="215"/>
      <c r="F191" s="215"/>
      <c r="G191" s="203"/>
      <c r="H191" s="203"/>
      <c r="I191" s="203"/>
      <c r="J191" s="203"/>
      <c r="K191" s="203"/>
      <c r="L191" s="203"/>
      <c r="M191" s="203"/>
      <c r="N191" s="203"/>
      <c r="O191" s="203"/>
      <c r="P191" s="203"/>
      <c r="Q191" s="203"/>
      <c r="R191" s="203"/>
      <c r="S191" s="203"/>
      <c r="T191" s="203"/>
      <c r="U191" s="203"/>
      <c r="V191" s="203"/>
      <c r="W191" s="203"/>
      <c r="X191" s="203"/>
      <c r="Y191" s="203"/>
      <c r="Z191" s="203"/>
      <c r="AA191" s="203"/>
      <c r="AB191" s="203"/>
      <c r="AC191" s="203"/>
      <c r="AD191" s="203"/>
      <c r="AE191" s="203"/>
      <c r="AF191" s="203"/>
    </row>
    <row r="192" spans="3:32" ht="15" customHeight="1">
      <c r="C192" s="10"/>
      <c r="D192" s="26"/>
      <c r="E192" s="215"/>
      <c r="F192" s="215"/>
      <c r="G192" s="203"/>
      <c r="H192" s="203"/>
      <c r="I192" s="203"/>
      <c r="J192" s="203"/>
      <c r="K192" s="203"/>
      <c r="L192" s="203"/>
      <c r="M192" s="203"/>
      <c r="N192" s="203"/>
      <c r="O192" s="203"/>
      <c r="P192" s="203"/>
      <c r="Q192" s="203"/>
      <c r="R192" s="203"/>
      <c r="S192" s="203"/>
      <c r="T192" s="203"/>
      <c r="U192" s="203"/>
      <c r="V192" s="203"/>
      <c r="W192" s="203"/>
      <c r="X192" s="203"/>
      <c r="Y192" s="203"/>
      <c r="Z192" s="203"/>
      <c r="AA192" s="203"/>
      <c r="AB192" s="203"/>
      <c r="AC192" s="203"/>
      <c r="AD192" s="203"/>
      <c r="AE192" s="203"/>
      <c r="AF192" s="203"/>
    </row>
    <row r="193" spans="3:32" ht="15" customHeight="1">
      <c r="C193" s="10"/>
      <c r="D193" s="26"/>
      <c r="E193" s="215"/>
      <c r="F193" s="215"/>
      <c r="G193" s="203"/>
      <c r="H193" s="203"/>
      <c r="I193" s="203"/>
      <c r="J193" s="203"/>
      <c r="K193" s="203"/>
      <c r="L193" s="203"/>
      <c r="M193" s="203"/>
      <c r="N193" s="203"/>
      <c r="O193" s="203"/>
      <c r="P193" s="203"/>
      <c r="Q193" s="203"/>
      <c r="R193" s="203"/>
      <c r="S193" s="203"/>
      <c r="T193" s="203"/>
      <c r="U193" s="203"/>
      <c r="V193" s="203"/>
      <c r="W193" s="203"/>
      <c r="X193" s="203"/>
      <c r="Y193" s="203"/>
      <c r="Z193" s="203"/>
      <c r="AA193" s="203"/>
      <c r="AB193" s="203"/>
      <c r="AC193" s="203"/>
      <c r="AD193" s="203"/>
      <c r="AE193" s="203"/>
      <c r="AF193" s="203"/>
    </row>
    <row r="194" spans="3:32" ht="15" customHeight="1"/>
    <row r="195" spans="3:32" ht="15" customHeight="1"/>
    <row r="196" spans="3:32" ht="15" customHeight="1"/>
    <row r="197" spans="3:32" ht="15" customHeight="1"/>
    <row r="198" spans="3:32" ht="15" customHeight="1"/>
    <row r="199" spans="3:32" ht="15" customHeight="1"/>
    <row r="200" spans="3:32" ht="15" customHeight="1"/>
    <row r="201" spans="3:32" ht="15" customHeight="1"/>
    <row r="202" spans="3:32" ht="15" customHeight="1"/>
    <row r="203" spans="3:32" ht="15" customHeight="1"/>
    <row r="204" spans="3:32" ht="15" customHeight="1"/>
    <row r="205" spans="3:32" ht="15" customHeight="1"/>
    <row r="206" spans="3:32" ht="15" customHeight="1"/>
    <row r="207" spans="3:32" ht="15" customHeight="1"/>
    <row r="208" spans="3:32"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sheetData>
  <hyperlinks>
    <hyperlink ref="A1" location="'Start-Experte'!A1" display="zurück" xr:uid="{00000000-0004-0000-3800-000000000000}"/>
  </hyperlinks>
  <pageMargins left="0.78740157480314965" right="0.78740157480314965" top="0.98425196850393704" bottom="0.98425196850393704" header="0.59055118110236227" footer="0.59055118110236227"/>
  <pageSetup paperSize="9" scale="58" orientation="landscape" horizontalDpi="4294967293" verticalDpi="1200" r:id="rId1"/>
  <headerFooter scaleWithDoc="0">
    <oddHeader>&amp;C&amp;"Arial,Fett"&amp;18EEG Calculator</oddHeader>
    <oddFooter>&amp;LDatendokumentation&amp;C&amp;F  &amp;A  Seite &amp;P/&amp;N&amp;R&amp;D  &amp;T</oddFooter>
  </headerFooter>
  <rowBreaks count="3" manualBreakCount="3">
    <brk id="38" max="16383" man="1"/>
    <brk id="90" max="16383" man="1"/>
    <brk id="142" max="16383" man="1"/>
  </rowBreaks>
  <extLst>
    <ext xmlns:x14="http://schemas.microsoft.com/office/spreadsheetml/2009/9/main" uri="{78C0D931-6437-407d-A8EE-F0AAD7539E65}">
      <x14:conditionalFormattings>
        <x14:conditionalFormatting xmlns:xm="http://schemas.microsoft.com/office/excel/2006/main">
          <x14:cfRule type="cellIs" priority="1" operator="greaterThan" id="{6E8C1CC7-F903-418C-B39A-00236C8CB9EC}">
            <xm:f>ControlPanel!$D$59-1</xm:f>
            <x14:dxf>
              <font>
                <color rgb="FF9C6500"/>
              </font>
              <fill>
                <patternFill>
                  <fgColor indexed="64"/>
                  <bgColor rgb="FFFFEB9C"/>
                </patternFill>
              </fill>
            </x14:dxf>
          </x14:cfRule>
          <x14:cfRule type="cellIs" priority="2" operator="lessThan" id="{D5524D53-0481-4742-BC9C-CB71178EFE78}">
            <xm:f>ControlPanel!$D$59</xm:f>
            <x14:dxf>
              <font>
                <color rgb="FF006100"/>
              </font>
              <fill>
                <patternFill>
                  <fgColor indexed="64"/>
                  <bgColor rgb="FFC6EFCE"/>
                </patternFill>
              </fill>
            </x14:dxf>
          </x14:cfRule>
          <x14:cfRule type="cellIs" priority="3" operator="lessThan" id="{49BEE16C-49AC-49CA-89F0-DACE229A25C9}">
            <xm:f>ControlPanel!$D$59+1</xm:f>
            <x14:dxf>
              <font>
                <color rgb="FF006100"/>
              </font>
              <fill>
                <patternFill>
                  <fgColor indexed="64"/>
                  <bgColor rgb="FFC6EFCE"/>
                </patternFill>
              </fill>
            </x14:dxf>
          </x14:cfRule>
          <xm:sqref>G4:AF4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9DF8E674ECDE2F49A591941AB32EAE08" ma:contentTypeVersion="0" ma:contentTypeDescription="Ein neues Dokument erstellen." ma:contentTypeScope="" ma:versionID="e837619103f40e760e746a0ff9f702fc">
  <xsd:schema xmlns:xsd="http://www.w3.org/2001/XMLSchema" xmlns:xs="http://www.w3.org/2001/XMLSchema" xmlns:p="http://schemas.microsoft.com/office/2006/metadata/properties" targetNamespace="http://schemas.microsoft.com/office/2006/metadata/properties" ma:root="true" ma:fieldsID="66c4a6dd5ef775a5269b08f7de37f93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6229948-0DA6-40C0-855E-290D85CB1C14}">
  <ds:schemaRefs>
    <ds:schemaRef ds:uri="http://schemas.microsoft.com/sharepoint/v3/contenttype/forms"/>
  </ds:schemaRefs>
</ds:datastoreItem>
</file>

<file path=customXml/itemProps2.xml><?xml version="1.0" encoding="utf-8"?>
<ds:datastoreItem xmlns:ds="http://schemas.openxmlformats.org/officeDocument/2006/customXml" ds:itemID="{C82779DF-6D74-4DBF-B937-FA4D9C33E7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4922615A-16CF-4F8A-80FC-B468C99BC0E2}">
  <ds:schemaRefs>
    <ds:schemaRef ds:uri="http://schemas.microsoft.com/office/2006/metadata/properties"/>
    <ds:schemaRef ds:uri="http://www.w3.org/XML/1998/namespace"/>
    <ds:schemaRef ds:uri="http://purl.org/dc/term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58</vt:i4>
      </vt:variant>
      <vt:variant>
        <vt:lpstr>Named Ranges</vt:lpstr>
      </vt:variant>
      <vt:variant>
        <vt:i4>48</vt:i4>
      </vt:variant>
    </vt:vector>
  </HeadingPairs>
  <TitlesOfParts>
    <vt:vector size="106" baseType="lpstr">
      <vt:lpstr>Start-Experte</vt:lpstr>
      <vt:lpstr>ControlPanel</vt:lpstr>
      <vt:lpstr>Parameter-Entscheider</vt:lpstr>
      <vt:lpstr>Start</vt:lpstr>
      <vt:lpstr>Resultats</vt:lpstr>
      <vt:lpstr>Manual</vt:lpstr>
      <vt:lpstr>Impressum</vt:lpstr>
      <vt:lpstr>Index</vt:lpstr>
      <vt:lpstr>IndexComplete</vt:lpstr>
      <vt:lpstr>MOD-Berechnungen</vt:lpstr>
      <vt:lpstr>MOD-Jahresgang</vt:lpstr>
      <vt:lpstr>GrD-Grafikdaten</vt:lpstr>
      <vt:lpstr>GrD-Grafikdaten (2)</vt:lpstr>
      <vt:lpstr>MOD_Absenkung_Wind_offshore</vt:lpstr>
      <vt:lpstr>D-Vergütungssatz Neuanlagen</vt:lpstr>
      <vt:lpstr>D-Bruttozubau</vt:lpstr>
      <vt:lpstr>D-Standardauslastung</vt:lpstr>
      <vt:lpstr>D-Dargebotsfaktor</vt:lpstr>
      <vt:lpstr>D-Spot-Skalierungsfaktor</vt:lpstr>
      <vt:lpstr>D-Profilfaktoren</vt:lpstr>
      <vt:lpstr>D-Dauer Goldenes Ende</vt:lpstr>
      <vt:lpstr>D-Future Strompreis</vt:lpstr>
      <vt:lpstr>D-Liquiditätspuffer</vt:lpstr>
      <vt:lpstr>D-Nettostromverbrauch</vt:lpstr>
      <vt:lpstr>D-Privilegierter Letztverbrauch</vt:lpstr>
      <vt:lpstr>D-Umlage priv. Letztverbrauch</vt:lpstr>
      <vt:lpstr>D-Faktor Zusatzprivilegierung</vt:lpstr>
      <vt:lpstr>D-Umlage EV Bestand</vt:lpstr>
      <vt:lpstr>D-Eigenverbrauch KWK Neue</vt:lpstr>
      <vt:lpstr>D-Umlage Eigenverbrauch PV+KWK</vt:lpstr>
      <vt:lpstr>D-vermiedene Netzentgelte</vt:lpstr>
      <vt:lpstr>D-Sonstige Kosten</vt:lpstr>
      <vt:lpstr>D-Inflationsrate</vt:lpstr>
      <vt:lpstr>D-Prognosefehler Kontostand</vt:lpstr>
      <vt:lpstr>D-Kontostand aktuelles Jahr</vt:lpstr>
      <vt:lpstr>D-Anteil Eigenverbrauch EE neu</vt:lpstr>
      <vt:lpstr>D-Zuschuss</vt:lpstr>
      <vt:lpstr>D-Strommenge ges.</vt:lpstr>
      <vt:lpstr>D-Strommenge FV+DM</vt:lpstr>
      <vt:lpstr>D-Mittlerer Vergütungssatz</vt:lpstr>
      <vt:lpstr>D-Kontostand Vorjahr</vt:lpstr>
      <vt:lpstr>D-Bestand Kapazität</vt:lpstr>
      <vt:lpstr>D-Bestand Strommenge</vt:lpstr>
      <vt:lpstr>D-Bestand Zahlungen</vt:lpstr>
      <vt:lpstr>D-Grünstromprivileg</vt:lpstr>
      <vt:lpstr>D-Eigenverbrauch fossil Bestand</vt:lpstr>
      <vt:lpstr>D-Eigenverbrauch fossile Neue</vt:lpstr>
      <vt:lpstr>D-Eigenverbrauch EE-Bestand</vt:lpstr>
      <vt:lpstr>D-Umlagereduktion Grünstrom</vt:lpstr>
      <vt:lpstr>D-Umlage Eigenverb fossile Neue</vt:lpstr>
      <vt:lpstr>D-Vergütung Eigenverbrauch</vt:lpstr>
      <vt:lpstr>D-Managementprämie_Bestand</vt:lpstr>
      <vt:lpstr>D-Netzverl. u. KW-Eigenverbr.</vt:lpstr>
      <vt:lpstr>D-Kapazitäten 2009</vt:lpstr>
      <vt:lpstr>D-Rückbau vor 2015</vt:lpstr>
      <vt:lpstr>D-EE-Kapazitäten nicht EEG</vt:lpstr>
      <vt:lpstr>D-EE-Strommengen nicht EEG</vt:lpstr>
      <vt:lpstr>D-Profilfaktoren_Marktprämie</vt:lpstr>
      <vt:lpstr>'D-Anteil Eigenverbrauch EE neu'!Print_Area</vt:lpstr>
      <vt:lpstr>'D-Bestand Kapazität'!Print_Area</vt:lpstr>
      <vt:lpstr>'D-Bestand Strommenge'!Print_Area</vt:lpstr>
      <vt:lpstr>'D-Bestand Zahlungen'!Print_Area</vt:lpstr>
      <vt:lpstr>'D-Bruttozubau'!Print_Area</vt:lpstr>
      <vt:lpstr>'D-Dargebotsfaktor'!Print_Area</vt:lpstr>
      <vt:lpstr>'D-Dauer Goldenes Ende'!Print_Area</vt:lpstr>
      <vt:lpstr>'D-EE-Kapazitäten nicht EEG'!Print_Area</vt:lpstr>
      <vt:lpstr>'D-EE-Strommengen nicht EEG'!Print_Area</vt:lpstr>
      <vt:lpstr>'D-Eigenverbrauch EE-Bestand'!Print_Area</vt:lpstr>
      <vt:lpstr>'D-Eigenverbrauch fossil Bestand'!Print_Area</vt:lpstr>
      <vt:lpstr>'D-Eigenverbrauch fossile Neue'!Print_Area</vt:lpstr>
      <vt:lpstr>'D-Eigenverbrauch KWK Neue'!Print_Area</vt:lpstr>
      <vt:lpstr>'D-Faktor Zusatzprivilegierung'!Print_Area</vt:lpstr>
      <vt:lpstr>'D-Future Strompreis'!Print_Area</vt:lpstr>
      <vt:lpstr>'D-Grünstromprivileg'!Print_Area</vt:lpstr>
      <vt:lpstr>'D-Inflationsrate'!Print_Area</vt:lpstr>
      <vt:lpstr>'D-Kapazitäten 2009'!Print_Area</vt:lpstr>
      <vt:lpstr>'D-Kontostand aktuelles Jahr'!Print_Area</vt:lpstr>
      <vt:lpstr>'D-Kontostand Vorjahr'!Print_Area</vt:lpstr>
      <vt:lpstr>'D-Liquiditätspuffer'!Print_Area</vt:lpstr>
      <vt:lpstr>'D-Managementprämie_Bestand'!Print_Area</vt:lpstr>
      <vt:lpstr>'D-Mittlerer Vergütungssatz'!Print_Area</vt:lpstr>
      <vt:lpstr>'D-Nettostromverbrauch'!Print_Area</vt:lpstr>
      <vt:lpstr>'D-Netzverl. u. KW-Eigenverbr.'!Print_Area</vt:lpstr>
      <vt:lpstr>'D-Privilegierter Letztverbrauch'!Print_Area</vt:lpstr>
      <vt:lpstr>'D-Profilfaktoren'!Print_Area</vt:lpstr>
      <vt:lpstr>'D-Profilfaktoren_Marktprämie'!Print_Area</vt:lpstr>
      <vt:lpstr>'D-Prognosefehler Kontostand'!Print_Area</vt:lpstr>
      <vt:lpstr>'D-Rückbau vor 2015'!Print_Area</vt:lpstr>
      <vt:lpstr>'D-Sonstige Kosten'!Print_Area</vt:lpstr>
      <vt:lpstr>'D-Spot-Skalierungsfaktor'!Print_Area</vt:lpstr>
      <vt:lpstr>'D-Standardauslastung'!Print_Area</vt:lpstr>
      <vt:lpstr>'D-Strommenge FV+DM'!Print_Area</vt:lpstr>
      <vt:lpstr>'D-Strommenge ges.'!Print_Area</vt:lpstr>
      <vt:lpstr>'D-Umlage Eigenverb fossile Neue'!Print_Area</vt:lpstr>
      <vt:lpstr>'D-Umlage Eigenverbrauch PV+KWK'!Print_Area</vt:lpstr>
      <vt:lpstr>'D-Umlage EV Bestand'!Print_Area</vt:lpstr>
      <vt:lpstr>'D-Umlage priv. Letztverbrauch'!Print_Area</vt:lpstr>
      <vt:lpstr>'D-Umlagereduktion Grünstrom'!Print_Area</vt:lpstr>
      <vt:lpstr>'D-Vergütung Eigenverbrauch'!Print_Area</vt:lpstr>
      <vt:lpstr>'D-Vergütungssatz Neuanlagen'!Print_Area</vt:lpstr>
      <vt:lpstr>'D-vermiedene Netzentgelte'!Print_Area</vt:lpstr>
      <vt:lpstr>'D-Zuschuss'!Print_Area</vt:lpstr>
      <vt:lpstr>Manual!Print_Area</vt:lpstr>
      <vt:lpstr>'MOD-Berechnungen'!Print_Area</vt:lpstr>
      <vt:lpstr>'MOD-Jahresgang'!Print_Area</vt:lpstr>
      <vt:lpstr>'Start-Experte'!Print_Area</vt:lpstr>
    </vt:vector>
  </TitlesOfParts>
  <Manager>M.Haller@oeko.de</Manager>
  <Company>Öko-Institut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AGORA EEG-Calculator</dc:title>
  <dc:creator>M.Haller@oeko.de;C.Loreck@oeko.de;H.Hermann@oeko.de;F.Matthes@oeko.de</dc:creator>
  <dc:description>erstellt vom Öko-Institut im Auftrag von Agora Energiewende</dc:description>
  <cp:lastModifiedBy>olivier benrubi</cp:lastModifiedBy>
  <cp:lastPrinted>2013-03-16T13:35:54Z</cp:lastPrinted>
  <dcterms:created xsi:type="dcterms:W3CDTF">2007-03-04T15:57:25Z</dcterms:created>
  <dcterms:modified xsi:type="dcterms:W3CDTF">2021-04-20T14:39:17Z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0x0101009DF8E674ECDE2F49A591941AB32EAE08</vt:lpwstr>
  </property>
</Properties>
</file>