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432\Downloads\"/>
    </mc:Choice>
  </mc:AlternateContent>
  <xr:revisionPtr revIDLastSave="0" documentId="8_{7C20933A-0677-4901-A70B-EA5309ADB324}" xr6:coauthVersionLast="47" xr6:coauthVersionMax="47" xr10:uidLastSave="{00000000-0000-0000-0000-000000000000}"/>
  <bookViews>
    <workbookView xWindow="-120" yWindow="-120" windowWidth="29040" windowHeight="15840" xr2:uid="{391CCB30-E5F5-43C8-9CB3-70D059A8D9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29" i="1"/>
  <c r="E126" i="1"/>
  <c r="G125" i="1"/>
  <c r="E125" i="1"/>
  <c r="J123" i="1"/>
  <c r="H123" i="1"/>
  <c r="M121" i="1"/>
  <c r="J116" i="1"/>
  <c r="J121" i="1" s="1"/>
  <c r="H119" i="1"/>
  <c r="H116" i="1"/>
  <c r="F123" i="1"/>
  <c r="F119" i="1"/>
  <c r="F117" i="1"/>
  <c r="D119" i="1"/>
  <c r="D117" i="1"/>
  <c r="F116" i="1"/>
  <c r="F121" i="1" s="1"/>
  <c r="D116" i="1"/>
  <c r="D121" i="1" s="1"/>
  <c r="B121" i="1"/>
  <c r="B119" i="1"/>
  <c r="B116" i="1"/>
  <c r="H102" i="1"/>
  <c r="E102" i="1"/>
  <c r="C112" i="1"/>
  <c r="C113" i="1" s="1"/>
  <c r="A113" i="1"/>
  <c r="A112" i="1"/>
  <c r="J106" i="1"/>
  <c r="B106" i="1"/>
  <c r="B102" i="1"/>
  <c r="E80" i="1"/>
  <c r="F77" i="1"/>
  <c r="H76" i="1"/>
  <c r="G76" i="1"/>
  <c r="F75" i="1"/>
  <c r="I76" i="1"/>
  <c r="G72" i="1"/>
  <c r="D68" i="1"/>
  <c r="G67" i="1"/>
  <c r="F67" i="1"/>
  <c r="E67" i="1"/>
  <c r="E57" i="1"/>
  <c r="L61" i="1"/>
  <c r="K53" i="1"/>
  <c r="I54" i="1"/>
  <c r="I53" i="1"/>
  <c r="I51" i="1"/>
  <c r="M44" i="1"/>
  <c r="M49" i="1" s="1"/>
  <c r="J44" i="1"/>
  <c r="J49" i="1" s="1"/>
  <c r="G51" i="1"/>
  <c r="G44" i="1"/>
  <c r="G49" i="1" s="1"/>
  <c r="D44" i="1"/>
  <c r="D49" i="1" s="1"/>
  <c r="F37" i="1"/>
  <c r="D32" i="1"/>
  <c r="F34" i="1" s="1"/>
  <c r="J29" i="1"/>
  <c r="G29" i="1"/>
  <c r="F31" i="1" s="1"/>
  <c r="F33" i="1" s="1"/>
  <c r="G33" i="1" s="1"/>
  <c r="D37" i="1" s="1"/>
  <c r="D38" i="1" s="1"/>
  <c r="B17" i="1" s="1"/>
  <c r="A44" i="1" s="1"/>
  <c r="H121" i="1" l="1"/>
</calcChain>
</file>

<file path=xl/sharedStrings.xml><?xml version="1.0" encoding="utf-8"?>
<sst xmlns="http://schemas.openxmlformats.org/spreadsheetml/2006/main" count="119" uniqueCount="50">
  <si>
    <t>VC</t>
  </si>
  <si>
    <t>EFF M</t>
  </si>
  <si>
    <t>X</t>
  </si>
  <si>
    <t>FF</t>
  </si>
  <si>
    <t>CALCULO DE LA P´RIMA DEL 25%</t>
  </si>
  <si>
    <t>=</t>
  </si>
  <si>
    <t>25%VC</t>
  </si>
  <si>
    <t>+</t>
  </si>
  <si>
    <t>TASA</t>
  </si>
  <si>
    <t>NPER</t>
  </si>
  <si>
    <t>PAGO</t>
  </si>
  <si>
    <t>VF</t>
  </si>
  <si>
    <t>TIPO</t>
  </si>
  <si>
    <t>VA=</t>
  </si>
  <si>
    <t>-</t>
  </si>
  <si>
    <t xml:space="preserve"> VC</t>
  </si>
  <si>
    <t>PRIMA=</t>
  </si>
  <si>
    <t>*</t>
  </si>
  <si>
    <t>PASO 3</t>
  </si>
  <si>
    <t>ELABORACION DE LA ECUACION… DESPEJE DE LAS VARIABLE O NUEVOS PAGOS</t>
  </si>
  <si>
    <t>ESTRUCTURA ACTUAL</t>
  </si>
  <si>
    <t>NUEVA FORMA DE PAGO</t>
  </si>
  <si>
    <t xml:space="preserve">CADA PAGO </t>
  </si>
  <si>
    <t>DIAS</t>
  </si>
  <si>
    <t>MES</t>
  </si>
  <si>
    <t>INTERES SIM</t>
  </si>
  <si>
    <t>INTERES COMPUESTO</t>
  </si>
  <si>
    <t>(1+(0.5%*(20/30)))</t>
  </si>
  <si>
    <t>(1+0.5%)^8</t>
  </si>
  <si>
    <t>(1+(0.5%*(15/30)))</t>
  </si>
  <si>
    <t>MONTO DEL PRIMER DEPOSITO</t>
  </si>
  <si>
    <t>(1+(0.5%*(10/30)))</t>
  </si>
  <si>
    <t>(1+0.5%)^4</t>
  </si>
  <si>
    <t>MONTO TOTAL</t>
  </si>
  <si>
    <t>TASA CONTINUA</t>
  </si>
  <si>
    <t>PASO 2</t>
  </si>
  <si>
    <t>Paso 3</t>
  </si>
  <si>
    <t>tasa</t>
  </si>
  <si>
    <t>nper</t>
  </si>
  <si>
    <t>pago</t>
  </si>
  <si>
    <t>va</t>
  </si>
  <si>
    <t>tipo}</t>
  </si>
  <si>
    <t>vf=</t>
  </si>
  <si>
    <t>x</t>
  </si>
  <si>
    <t>primer pago X</t>
  </si>
  <si>
    <t>SEGUNDO PAGO X</t>
  </si>
  <si>
    <t>DEUDAS ORIGINALES</t>
  </si>
  <si>
    <t>PRIMAS</t>
  </si>
  <si>
    <t>SEGUNDO PAGO</t>
  </si>
  <si>
    <t>PRIMER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</si>
</sst>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3" formatCode="_-* #,##0.00_-;\-* #,##0.00_-;_-* &quot;-&quot;??_-;_-@_-"/>
    <numFmt numFmtId="166" formatCode="&quot;$&quot;#,##0.00000;[Red]\-&quot;$&quot;#,##0.00000"/>
    <numFmt numFmtId="167" formatCode="&quot;$&quot;#,##0.000000;[Red]\-&quot;$&quot;#,##0.000000"/>
    <numFmt numFmtId="168" formatCode="&quot;$&quot;#,##0.0000000;[Red]\-&quot;$&quot;#,##0.0000000"/>
    <numFmt numFmtId="170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9" fontId="0" fillId="0" borderId="0" xfId="0" applyNumberFormat="1"/>
    <xf numFmtId="43" fontId="0" fillId="0" borderId="0" xfId="1" applyFont="1"/>
    <xf numFmtId="10" fontId="0" fillId="0" borderId="0" xfId="0" applyNumberFormat="1"/>
    <xf numFmtId="43" fontId="0" fillId="0" borderId="2" xfId="1" applyFont="1" applyBorder="1"/>
    <xf numFmtId="10" fontId="0" fillId="0" borderId="3" xfId="0" applyNumberFormat="1" applyBorder="1"/>
    <xf numFmtId="8" fontId="0" fillId="0" borderId="0" xfId="0" applyNumberFormat="1"/>
    <xf numFmtId="0" fontId="0" fillId="0" borderId="4" xfId="0" applyBorder="1"/>
    <xf numFmtId="10" fontId="0" fillId="0" borderId="4" xfId="0" applyNumberFormat="1" applyBorder="1"/>
    <xf numFmtId="8" fontId="0" fillId="0" borderId="4" xfId="0" applyNumberFormat="1" applyBorder="1"/>
    <xf numFmtId="0" fontId="0" fillId="0" borderId="0" xfId="0" applyAlignment="1">
      <alignment horizontal="right"/>
    </xf>
    <xf numFmtId="8" fontId="4" fillId="0" borderId="0" xfId="0" applyNumberFormat="1" applyFont="1"/>
    <xf numFmtId="0" fontId="0" fillId="0" borderId="0" xfId="0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43" fontId="0" fillId="0" borderId="0" xfId="0" applyNumberFormat="1"/>
    <xf numFmtId="0" fontId="0" fillId="0" borderId="0" xfId="0" applyAlignment="1">
      <alignment horizontal="center" vertical="center" wrapText="1"/>
    </xf>
    <xf numFmtId="43" fontId="0" fillId="0" borderId="1" xfId="0" applyNumberFormat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8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/>
    <xf numFmtId="168" fontId="0" fillId="0" borderId="0" xfId="0" applyNumberFormat="1"/>
    <xf numFmtId="167" fontId="0" fillId="0" borderId="4" xfId="0" applyNumberFormat="1" applyBorder="1"/>
    <xf numFmtId="8" fontId="0" fillId="4" borderId="0" xfId="0" applyNumberFormat="1" applyFill="1" applyAlignment="1">
      <alignment horizontal="center"/>
    </xf>
    <xf numFmtId="14" fontId="0" fillId="0" borderId="0" xfId="0" applyNumberFormat="1"/>
    <xf numFmtId="170" fontId="0" fillId="0" borderId="0" xfId="2" applyNumberFormat="1" applyFont="1"/>
    <xf numFmtId="14" fontId="0" fillId="4" borderId="0" xfId="0" applyNumberFormat="1" applyFill="1"/>
    <xf numFmtId="43" fontId="2" fillId="0" borderId="0" xfId="1" applyFont="1"/>
    <xf numFmtId="0" fontId="2" fillId="0" borderId="0" xfId="0" applyFont="1"/>
    <xf numFmtId="0" fontId="2" fillId="4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4" borderId="0" xfId="1" applyFont="1" applyFill="1"/>
    <xf numFmtId="0" fontId="3" fillId="4" borderId="5" xfId="0" applyFont="1" applyFill="1" applyBorder="1"/>
    <xf numFmtId="43" fontId="3" fillId="4" borderId="6" xfId="0" applyNumberFormat="1" applyFont="1" applyFill="1" applyBorder="1"/>
    <xf numFmtId="9" fontId="0" fillId="0" borderId="3" xfId="0" applyNumberFormat="1" applyBorder="1"/>
    <xf numFmtId="170" fontId="0" fillId="0" borderId="0" xfId="0" applyNumberFormat="1"/>
    <xf numFmtId="8" fontId="0" fillId="0" borderId="15" xfId="0" applyNumberFormat="1" applyBorder="1"/>
    <xf numFmtId="166" fontId="0" fillId="0" borderId="10" xfId="0" applyNumberFormat="1" applyBorder="1" applyAlignment="1">
      <alignment horizontal="center"/>
    </xf>
    <xf numFmtId="170" fontId="0" fillId="0" borderId="4" xfId="0" applyNumberFormat="1" applyBorder="1"/>
    <xf numFmtId="43" fontId="0" fillId="0" borderId="4" xfId="0" applyNumberFormat="1" applyBorder="1"/>
    <xf numFmtId="0" fontId="0" fillId="5" borderId="0" xfId="0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295784</xdr:colOff>
      <xdr:row>10</xdr:row>
      <xdr:rowOff>9792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7E0B7-7DD7-9E72-835A-31342920F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97592" cy="1914792"/>
        </a:xfrm>
        <a:prstGeom prst="rect">
          <a:avLst/>
        </a:prstGeom>
      </xdr:spPr>
    </xdr:pic>
    <xdr:clientData/>
  </xdr:twoCellAnchor>
  <xdr:twoCellAnchor>
    <xdr:from>
      <xdr:col>1</xdr:col>
      <xdr:colOff>205154</xdr:colOff>
      <xdr:row>14</xdr:row>
      <xdr:rowOff>0</xdr:rowOff>
    </xdr:from>
    <xdr:to>
      <xdr:col>11</xdr:col>
      <xdr:colOff>271096</xdr:colOff>
      <xdr:row>14</xdr:row>
      <xdr:rowOff>14654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218DCE-B396-FEDD-90AB-6F969BA11A91}"/>
            </a:ext>
          </a:extLst>
        </xdr:cNvPr>
        <xdr:cNvCxnSpPr/>
      </xdr:nvCxnSpPr>
      <xdr:spPr>
        <a:xfrm>
          <a:off x="967154" y="2674327"/>
          <a:ext cx="8389327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337038</xdr:colOff>
      <xdr:row>13</xdr:row>
      <xdr:rowOff>175846</xdr:rowOff>
    </xdr:from>
    <xdr:to>
      <xdr:col>1</xdr:col>
      <xdr:colOff>622788</xdr:colOff>
      <xdr:row>20</xdr:row>
      <xdr:rowOff>0</xdr:rowOff>
    </xdr:to>
    <xdr:cxnSp macro="">
      <xdr:nvCxnSpPr>
        <xdr:cNvPr id="7" name="Conector: curvado 6">
          <a:extLst>
            <a:ext uri="{FF2B5EF4-FFF2-40B4-BE49-F238E27FC236}">
              <a16:creationId xmlns:a16="http://schemas.microsoft.com/office/drawing/2014/main" id="{B5EAFDBD-C72F-D455-B3CB-7EC6221DAF61}"/>
            </a:ext>
          </a:extLst>
        </xdr:cNvPr>
        <xdr:cNvCxnSpPr/>
      </xdr:nvCxnSpPr>
      <xdr:spPr>
        <a:xfrm rot="5400000">
          <a:off x="663086" y="3088298"/>
          <a:ext cx="1157654" cy="285750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65942</xdr:colOff>
      <xdr:row>53</xdr:row>
      <xdr:rowOff>95251</xdr:rowOff>
    </xdr:from>
    <xdr:to>
      <xdr:col>2</xdr:col>
      <xdr:colOff>580351</xdr:colOff>
      <xdr:row>72</xdr:row>
      <xdr:rowOff>65892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B9E7A3-638F-B511-2A58-73ED2BDE5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42" y="10243039"/>
          <a:ext cx="2309505" cy="3612122"/>
        </a:xfrm>
        <a:prstGeom prst="rect">
          <a:avLst/>
        </a:prstGeom>
      </xdr:spPr>
    </xdr:pic>
    <xdr:clientData/>
  </xdr:twoCellAnchor>
  <xdr:twoCellAnchor editAs="oneCell">
    <xdr:from>
      <xdr:col>0</xdr:col>
      <xdr:colOff>402982</xdr:colOff>
      <xdr:row>82</xdr:row>
      <xdr:rowOff>146538</xdr:rowOff>
    </xdr:from>
    <xdr:to>
      <xdr:col>6</xdr:col>
      <xdr:colOff>493853</xdr:colOff>
      <xdr:row>95</xdr:row>
      <xdr:rowOff>187574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D1A818-504C-CDF1-0CD1-7552A24F0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82" y="15862788"/>
          <a:ext cx="5937756" cy="2517536"/>
        </a:xfrm>
        <a:prstGeom prst="rect">
          <a:avLst/>
        </a:prstGeom>
      </xdr:spPr>
    </xdr:pic>
    <xdr:clientData/>
  </xdr:twoCellAnchor>
  <xdr:twoCellAnchor>
    <xdr:from>
      <xdr:col>1</xdr:col>
      <xdr:colOff>446942</xdr:colOff>
      <xdr:row>98</xdr:row>
      <xdr:rowOff>168519</xdr:rowOff>
    </xdr:from>
    <xdr:to>
      <xdr:col>11</xdr:col>
      <xdr:colOff>454270</xdr:colOff>
      <xdr:row>98</xdr:row>
      <xdr:rowOff>183173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99969DF-1844-DE95-4A85-01BA80DA0FB4}"/>
            </a:ext>
          </a:extLst>
        </xdr:cNvPr>
        <xdr:cNvCxnSpPr/>
      </xdr:nvCxnSpPr>
      <xdr:spPr>
        <a:xfrm>
          <a:off x="1326173" y="18932769"/>
          <a:ext cx="9290539" cy="1465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263771</xdr:colOff>
      <xdr:row>98</xdr:row>
      <xdr:rowOff>183172</xdr:rowOff>
    </xdr:from>
    <xdr:to>
      <xdr:col>10</xdr:col>
      <xdr:colOff>534867</xdr:colOff>
      <xdr:row>107</xdr:row>
      <xdr:rowOff>43961</xdr:rowOff>
    </xdr:to>
    <xdr:cxnSp macro="">
      <xdr:nvCxnSpPr>
        <xdr:cNvPr id="16" name="Conector: curvado 15">
          <a:extLst>
            <a:ext uri="{FF2B5EF4-FFF2-40B4-BE49-F238E27FC236}">
              <a16:creationId xmlns:a16="http://schemas.microsoft.com/office/drawing/2014/main" id="{9E916341-7CB1-3AA2-FA16-C6A2B9A8178A}"/>
            </a:ext>
          </a:extLst>
        </xdr:cNvPr>
        <xdr:cNvCxnSpPr/>
      </xdr:nvCxnSpPr>
      <xdr:spPr>
        <a:xfrm rot="5400000">
          <a:off x="9012116" y="19599519"/>
          <a:ext cx="1575289" cy="271096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7FD1-20F3-45CD-9613-44F6FF019312}">
  <dimension ref="A13:O131"/>
  <sheetViews>
    <sheetView tabSelected="1" topLeftCell="A102" zoomScale="130" zoomScaleNormal="130" workbookViewId="0">
      <selection activeCell="H115" sqref="H115:N115"/>
    </sheetView>
  </sheetViews>
  <sheetFormatPr baseColWidth="10" defaultRowHeight="15" x14ac:dyDescent="0.25"/>
  <cols>
    <col min="1" max="1" width="13.140625" customWidth="1"/>
    <col min="2" max="2" width="13.7109375" customWidth="1"/>
    <col min="3" max="3" width="13.85546875" bestFit="1" customWidth="1"/>
    <col min="4" max="4" width="14.85546875" customWidth="1"/>
    <col min="5" max="5" width="17.42578125" customWidth="1"/>
    <col min="6" max="6" width="14.5703125" customWidth="1"/>
    <col min="7" max="7" width="13.7109375" customWidth="1"/>
    <col min="8" max="8" width="13.85546875" bestFit="1" customWidth="1"/>
    <col min="9" max="9" width="13.7109375" bestFit="1" customWidth="1"/>
    <col min="10" max="10" width="14.42578125" customWidth="1"/>
  </cols>
  <sheetData>
    <row r="13" spans="2:10" x14ac:dyDescent="0.25">
      <c r="D13">
        <v>3</v>
      </c>
      <c r="G13">
        <v>6</v>
      </c>
      <c r="J13">
        <v>12</v>
      </c>
    </row>
    <row r="14" spans="2:10" ht="15.75" thickBot="1" x14ac:dyDescent="0.3">
      <c r="B14" s="12">
        <v>0</v>
      </c>
      <c r="D14">
        <v>1</v>
      </c>
      <c r="G14">
        <v>2</v>
      </c>
    </row>
    <row r="15" spans="2:10" x14ac:dyDescent="0.25">
      <c r="B15" s="1">
        <v>0.25</v>
      </c>
      <c r="D15" s="4">
        <v>350000</v>
      </c>
      <c r="G15" s="4">
        <v>650000</v>
      </c>
    </row>
    <row r="16" spans="2:10" ht="15.75" thickBot="1" x14ac:dyDescent="0.3">
      <c r="B16" t="s">
        <v>0</v>
      </c>
      <c r="D16" s="5">
        <v>1.2500000000000001E-2</v>
      </c>
      <c r="E16" t="s">
        <v>1</v>
      </c>
      <c r="G16" s="5">
        <v>1.2500000000000001E-2</v>
      </c>
    </row>
    <row r="17" spans="1:11" ht="15.75" thickBot="1" x14ac:dyDescent="0.3">
      <c r="B17" s="20">
        <f>+D38</f>
        <v>313503.36147516657</v>
      </c>
    </row>
    <row r="19" spans="1:11" x14ac:dyDescent="0.25">
      <c r="G19" s="22" t="s">
        <v>2</v>
      </c>
      <c r="H19" s="10"/>
      <c r="I19" s="10"/>
      <c r="J19" s="22" t="s">
        <v>2</v>
      </c>
      <c r="K19" s="10"/>
    </row>
    <row r="21" spans="1:11" x14ac:dyDescent="0.25">
      <c r="B21" t="s">
        <v>3</v>
      </c>
    </row>
    <row r="22" spans="1:11" ht="15.75" thickBot="1" x14ac:dyDescent="0.3"/>
    <row r="23" spans="1:11" ht="15.75" thickBot="1" x14ac:dyDescent="0.3">
      <c r="A23" s="15" t="s">
        <v>4</v>
      </c>
      <c r="B23" s="16"/>
      <c r="C23" s="17"/>
    </row>
    <row r="24" spans="1:11" x14ac:dyDescent="0.25">
      <c r="B24" t="s">
        <v>0</v>
      </c>
      <c r="C24" t="s">
        <v>5</v>
      </c>
      <c r="D24" t="s">
        <v>6</v>
      </c>
      <c r="E24" t="s">
        <v>7</v>
      </c>
      <c r="F24" s="7" t="s">
        <v>8</v>
      </c>
      <c r="G24" s="8">
        <v>1.2500000000000001E-2</v>
      </c>
      <c r="I24" s="7" t="s">
        <v>8</v>
      </c>
      <c r="J24" s="8">
        <v>1.2500000000000001E-2</v>
      </c>
    </row>
    <row r="25" spans="1:11" x14ac:dyDescent="0.25">
      <c r="F25" s="7" t="s">
        <v>9</v>
      </c>
      <c r="G25" s="7">
        <v>3</v>
      </c>
      <c r="I25" s="7" t="s">
        <v>9</v>
      </c>
      <c r="J25" s="7">
        <v>6</v>
      </c>
    </row>
    <row r="26" spans="1:11" x14ac:dyDescent="0.25">
      <c r="F26" s="7" t="s">
        <v>10</v>
      </c>
      <c r="G26" s="7">
        <v>0</v>
      </c>
      <c r="I26" s="7" t="s">
        <v>10</v>
      </c>
      <c r="J26" s="7">
        <v>0</v>
      </c>
    </row>
    <row r="27" spans="1:11" x14ac:dyDescent="0.25">
      <c r="F27" s="7" t="s">
        <v>11</v>
      </c>
      <c r="G27" s="7">
        <v>-350000</v>
      </c>
      <c r="I27" s="7" t="s">
        <v>11</v>
      </c>
      <c r="J27" s="7">
        <v>-650000</v>
      </c>
    </row>
    <row r="28" spans="1:11" x14ac:dyDescent="0.25">
      <c r="F28" s="7" t="s">
        <v>12</v>
      </c>
      <c r="G28" s="7">
        <v>0</v>
      </c>
      <c r="I28" s="7" t="s">
        <v>12</v>
      </c>
      <c r="J28" s="7">
        <v>0</v>
      </c>
    </row>
    <row r="29" spans="1:11" x14ac:dyDescent="0.25">
      <c r="F29" s="7" t="s">
        <v>13</v>
      </c>
      <c r="G29" s="9">
        <f>PV(G24,G25,G26,G27,G28)</f>
        <v>337196.41503007867</v>
      </c>
      <c r="I29" s="7" t="s">
        <v>13</v>
      </c>
      <c r="J29" s="9">
        <f>PV(J24,J25,J26,J27,J28)</f>
        <v>603313.66939542093</v>
      </c>
    </row>
    <row r="31" spans="1:11" x14ac:dyDescent="0.25">
      <c r="A31" t="s">
        <v>0</v>
      </c>
      <c r="B31" t="s">
        <v>14</v>
      </c>
      <c r="C31" s="1">
        <v>0.25</v>
      </c>
      <c r="D31" t="s">
        <v>15</v>
      </c>
      <c r="E31" t="s">
        <v>5</v>
      </c>
      <c r="F31" s="6">
        <f>+G29+J29</f>
        <v>940510.08442549966</v>
      </c>
    </row>
    <row r="32" spans="1:11" ht="15.75" thickBot="1" x14ac:dyDescent="0.3">
      <c r="C32" s="10" t="s">
        <v>0</v>
      </c>
      <c r="D32" s="3">
        <f>100%-25%</f>
        <v>0.75</v>
      </c>
      <c r="E32" t="s">
        <v>5</v>
      </c>
    </row>
    <row r="33" spans="1:13" ht="15.75" thickBot="1" x14ac:dyDescent="0.3">
      <c r="C33" t="s">
        <v>0</v>
      </c>
      <c r="E33" t="s">
        <v>5</v>
      </c>
      <c r="F33" s="11">
        <f>+F31</f>
        <v>940510.08442549966</v>
      </c>
      <c r="G33" s="13">
        <f>+F33/F34</f>
        <v>1254013.4459006663</v>
      </c>
      <c r="H33" s="14"/>
    </row>
    <row r="34" spans="1:13" x14ac:dyDescent="0.25">
      <c r="F34" s="3">
        <f>+D32</f>
        <v>0.75</v>
      </c>
    </row>
    <row r="36" spans="1:13" x14ac:dyDescent="0.25">
      <c r="C36" s="19" t="s">
        <v>16</v>
      </c>
      <c r="D36" t="s">
        <v>0</v>
      </c>
      <c r="E36" t="s">
        <v>17</v>
      </c>
      <c r="F36" s="1">
        <v>0.25</v>
      </c>
    </row>
    <row r="37" spans="1:13" x14ac:dyDescent="0.25">
      <c r="C37" s="19"/>
      <c r="D37" s="18">
        <f>+G33</f>
        <v>1254013.4459006663</v>
      </c>
      <c r="E37" t="s">
        <v>17</v>
      </c>
      <c r="F37" s="1">
        <f>+F36</f>
        <v>0.25</v>
      </c>
    </row>
    <row r="38" spans="1:13" x14ac:dyDescent="0.25">
      <c r="C38" s="19"/>
      <c r="D38" s="2">
        <f>+D37*F37</f>
        <v>313503.36147516657</v>
      </c>
    </row>
    <row r="40" spans="1:13" x14ac:dyDescent="0.25">
      <c r="A40" t="s">
        <v>18</v>
      </c>
    </row>
    <row r="41" spans="1:13" x14ac:dyDescent="0.25">
      <c r="A41" t="s">
        <v>19</v>
      </c>
    </row>
    <row r="42" spans="1:13" x14ac:dyDescent="0.25">
      <c r="A42" s="21" t="s">
        <v>20</v>
      </c>
      <c r="B42" s="21"/>
      <c r="C42" s="21"/>
      <c r="D42" s="21"/>
      <c r="E42" s="21"/>
      <c r="F42" s="21"/>
      <c r="G42" s="21"/>
      <c r="H42" t="s">
        <v>5</v>
      </c>
      <c r="I42" s="26" t="s">
        <v>21</v>
      </c>
      <c r="J42" s="26"/>
      <c r="K42" s="26"/>
      <c r="L42" s="26"/>
      <c r="M42" s="26"/>
    </row>
    <row r="43" spans="1:13" x14ac:dyDescent="0.25">
      <c r="A43" s="21"/>
      <c r="B43" s="21"/>
      <c r="C43" s="21"/>
      <c r="D43" s="21"/>
      <c r="E43" s="21"/>
      <c r="F43" s="21"/>
      <c r="G43" s="21"/>
      <c r="I43" s="26"/>
      <c r="J43" s="26"/>
      <c r="K43" s="26"/>
      <c r="L43" s="26"/>
      <c r="M43" s="26"/>
    </row>
    <row r="44" spans="1:13" x14ac:dyDescent="0.25">
      <c r="A44" s="18">
        <f>+B17</f>
        <v>313503.36147516657</v>
      </c>
      <c r="B44" t="s">
        <v>7</v>
      </c>
      <c r="C44" s="7" t="s">
        <v>8</v>
      </c>
      <c r="D44" s="8">
        <f>18%/4</f>
        <v>4.4999999999999998E-2</v>
      </c>
      <c r="F44" s="7" t="s">
        <v>8</v>
      </c>
      <c r="G44" s="8">
        <f>18%/4</f>
        <v>4.4999999999999998E-2</v>
      </c>
      <c r="I44" s="7" t="s">
        <v>8</v>
      </c>
      <c r="J44" s="8">
        <f>18%/4</f>
        <v>4.4999999999999998E-2</v>
      </c>
      <c r="L44" s="7" t="s">
        <v>8</v>
      </c>
      <c r="M44" s="8">
        <f>18%/4</f>
        <v>4.4999999999999998E-2</v>
      </c>
    </row>
    <row r="45" spans="1:13" x14ac:dyDescent="0.25">
      <c r="C45" s="7" t="s">
        <v>9</v>
      </c>
      <c r="D45" s="7">
        <v>1</v>
      </c>
      <c r="F45" s="7" t="s">
        <v>9</v>
      </c>
      <c r="G45" s="7">
        <v>2</v>
      </c>
      <c r="I45" s="7" t="s">
        <v>9</v>
      </c>
      <c r="J45" s="7">
        <v>2</v>
      </c>
      <c r="L45" s="7" t="s">
        <v>9</v>
      </c>
      <c r="M45" s="7">
        <v>4</v>
      </c>
    </row>
    <row r="46" spans="1:13" x14ac:dyDescent="0.25">
      <c r="C46" s="7" t="s">
        <v>10</v>
      </c>
      <c r="D46" s="7">
        <v>0</v>
      </c>
      <c r="F46" s="7" t="s">
        <v>10</v>
      </c>
      <c r="G46" s="7">
        <v>0</v>
      </c>
      <c r="I46" s="7" t="s">
        <v>10</v>
      </c>
      <c r="J46" s="7">
        <v>0</v>
      </c>
      <c r="L46" s="7" t="s">
        <v>10</v>
      </c>
      <c r="M46" s="7">
        <v>0</v>
      </c>
    </row>
    <row r="47" spans="1:13" x14ac:dyDescent="0.25">
      <c r="C47" s="7" t="s">
        <v>11</v>
      </c>
      <c r="D47" s="7">
        <v>-350000</v>
      </c>
      <c r="F47" s="7" t="s">
        <v>11</v>
      </c>
      <c r="G47" s="7">
        <v>-650000</v>
      </c>
      <c r="I47" s="7" t="s">
        <v>11</v>
      </c>
      <c r="J47" s="7">
        <v>-1</v>
      </c>
      <c r="L47" s="7" t="s">
        <v>11</v>
      </c>
      <c r="M47" s="7">
        <v>-1</v>
      </c>
    </row>
    <row r="48" spans="1:13" x14ac:dyDescent="0.25">
      <c r="C48" s="7" t="s">
        <v>12</v>
      </c>
      <c r="D48" s="7">
        <v>0</v>
      </c>
      <c r="F48" s="7" t="s">
        <v>12</v>
      </c>
      <c r="G48" s="7">
        <v>0</v>
      </c>
      <c r="I48" s="7" t="s">
        <v>12</v>
      </c>
      <c r="J48" s="7">
        <v>0</v>
      </c>
      <c r="L48" s="7" t="s">
        <v>12</v>
      </c>
      <c r="M48" s="7">
        <v>0</v>
      </c>
    </row>
    <row r="49" spans="3:15" x14ac:dyDescent="0.25">
      <c r="C49" s="7" t="s">
        <v>13</v>
      </c>
      <c r="D49" s="9">
        <f>PV(D44,D45,D46,D47,D48)</f>
        <v>334928.22966507182</v>
      </c>
      <c r="E49" t="s">
        <v>7</v>
      </c>
      <c r="F49" s="7" t="s">
        <v>13</v>
      </c>
      <c r="G49" s="9">
        <f>PV(G44,G45,G46,G47,G48)</f>
        <v>595224.46830429719</v>
      </c>
      <c r="I49" s="7" t="s">
        <v>13</v>
      </c>
      <c r="J49" s="29">
        <f>PV(J44,J45,J46,J47,J48)</f>
        <v>0.91572995123738021</v>
      </c>
      <c r="K49" t="s">
        <v>2</v>
      </c>
      <c r="L49" s="7" t="s">
        <v>13</v>
      </c>
      <c r="M49" s="29">
        <f>PV(M44,M45,M46,M47,M48)</f>
        <v>0.83856134359321488</v>
      </c>
      <c r="N49" s="23" t="s">
        <v>2</v>
      </c>
    </row>
    <row r="51" spans="3:15" x14ac:dyDescent="0.25">
      <c r="G51" s="6">
        <f>+G49+D49+A44</f>
        <v>1243656.0594445355</v>
      </c>
      <c r="H51" t="s">
        <v>5</v>
      </c>
      <c r="I51" s="28">
        <f>+J49+M49</f>
        <v>1.7542912948305951</v>
      </c>
      <c r="J51" t="s">
        <v>2</v>
      </c>
    </row>
    <row r="53" spans="3:15" x14ac:dyDescent="0.25">
      <c r="G53" t="s">
        <v>2</v>
      </c>
      <c r="H53" t="s">
        <v>5</v>
      </c>
      <c r="I53" s="11">
        <f>+G51</f>
        <v>1243656.0594445355</v>
      </c>
      <c r="K53" s="30">
        <f>+I53/I54</f>
        <v>708922.20870572724</v>
      </c>
      <c r="L53" s="30"/>
    </row>
    <row r="54" spans="3:15" x14ac:dyDescent="0.25">
      <c r="I54" s="28">
        <f>+I51</f>
        <v>1.7542912948305951</v>
      </c>
      <c r="K54" s="25" t="s">
        <v>22</v>
      </c>
      <c r="L54" s="25"/>
    </row>
    <row r="56" spans="3:15" ht="15.75" thickBot="1" x14ac:dyDescent="0.3">
      <c r="D56" s="31">
        <v>43866</v>
      </c>
      <c r="E56" s="31">
        <v>43886</v>
      </c>
      <c r="F56" s="31">
        <v>43915</v>
      </c>
      <c r="G56" s="31">
        <v>43946</v>
      </c>
      <c r="H56" s="31">
        <v>43976</v>
      </c>
      <c r="I56" s="31">
        <v>44007</v>
      </c>
      <c r="J56" s="31">
        <v>44037</v>
      </c>
      <c r="K56" s="31">
        <v>44068</v>
      </c>
      <c r="L56" s="31">
        <v>44099</v>
      </c>
      <c r="M56" s="31">
        <v>44129</v>
      </c>
      <c r="O56" s="33">
        <v>44145</v>
      </c>
    </row>
    <row r="57" spans="3:15" x14ac:dyDescent="0.25">
      <c r="D57">
        <v>0</v>
      </c>
      <c r="E57" s="48">
        <f>+E56-D56</f>
        <v>20</v>
      </c>
      <c r="F57" s="37">
        <v>1</v>
      </c>
      <c r="G57" s="38">
        <v>2</v>
      </c>
      <c r="H57" s="38">
        <v>3</v>
      </c>
      <c r="I57" s="38">
        <v>4</v>
      </c>
      <c r="J57" s="38">
        <v>5</v>
      </c>
      <c r="K57" s="38">
        <v>6</v>
      </c>
      <c r="L57" s="38">
        <v>7</v>
      </c>
      <c r="M57" s="39">
        <v>8</v>
      </c>
      <c r="O57" s="36">
        <v>15</v>
      </c>
    </row>
    <row r="58" spans="3:15" x14ac:dyDescent="0.25">
      <c r="D58" s="2">
        <v>250000</v>
      </c>
      <c r="E58" s="47" t="s">
        <v>23</v>
      </c>
      <c r="F58" s="41" t="s">
        <v>24</v>
      </c>
      <c r="G58" s="42"/>
      <c r="H58" s="42"/>
      <c r="I58" s="42"/>
      <c r="J58" s="42"/>
      <c r="K58" s="42"/>
      <c r="L58" s="42"/>
      <c r="M58" s="43"/>
      <c r="O58" s="36" t="s">
        <v>23</v>
      </c>
    </row>
    <row r="59" spans="3:15" ht="15.75" thickBot="1" x14ac:dyDescent="0.3">
      <c r="E59" s="12" t="s">
        <v>25</v>
      </c>
      <c r="F59" s="44" t="s">
        <v>26</v>
      </c>
      <c r="G59" s="45"/>
      <c r="H59" s="45"/>
      <c r="I59" s="45"/>
      <c r="J59" s="45"/>
      <c r="K59" s="45"/>
      <c r="L59" s="45"/>
      <c r="M59" s="46"/>
      <c r="O59" s="24"/>
    </row>
    <row r="60" spans="3:15" x14ac:dyDescent="0.25">
      <c r="O60" s="24"/>
    </row>
    <row r="61" spans="3:15" x14ac:dyDescent="0.25">
      <c r="J61" s="31"/>
      <c r="L61" s="32">
        <f>6%/12</f>
        <v>5.0000000000000001E-3</v>
      </c>
      <c r="O61" s="24"/>
    </row>
    <row r="62" spans="3:15" x14ac:dyDescent="0.25">
      <c r="O62" s="24"/>
    </row>
    <row r="63" spans="3:15" x14ac:dyDescent="0.25">
      <c r="O63" s="24"/>
    </row>
    <row r="66" spans="4:13" x14ac:dyDescent="0.25">
      <c r="D66">
        <v>250000</v>
      </c>
      <c r="E66" s="35" t="s">
        <v>27</v>
      </c>
      <c r="F66" t="s">
        <v>28</v>
      </c>
      <c r="G66" s="35" t="s">
        <v>29</v>
      </c>
    </row>
    <row r="67" spans="4:13" x14ac:dyDescent="0.25">
      <c r="E67" s="35">
        <f>+(1+(0.5%*(20/30)))</f>
        <v>1.0033333333333334</v>
      </c>
      <c r="F67">
        <f>+(1+0.5%)^8</f>
        <v>1.0407070439254369</v>
      </c>
      <c r="G67" s="35">
        <f>+(1+(0.5%*(15/30)))</f>
        <v>1.0024999999999999</v>
      </c>
    </row>
    <row r="68" spans="4:13" x14ac:dyDescent="0.25">
      <c r="D68" s="49">
        <f>+D66*E67*F67*G67</f>
        <v>261696.6268934253</v>
      </c>
      <c r="E68" t="s">
        <v>30</v>
      </c>
    </row>
    <row r="71" spans="4:13" ht="15.75" thickBot="1" x14ac:dyDescent="0.3">
      <c r="F71" s="31">
        <v>43997</v>
      </c>
      <c r="G71" s="31">
        <v>44007</v>
      </c>
      <c r="H71" s="31">
        <v>44037</v>
      </c>
      <c r="I71" s="31">
        <v>44068</v>
      </c>
      <c r="J71" s="31">
        <v>44099</v>
      </c>
      <c r="K71" s="31">
        <v>44129</v>
      </c>
      <c r="M71" s="33">
        <v>44145</v>
      </c>
    </row>
    <row r="72" spans="4:13" x14ac:dyDescent="0.25">
      <c r="F72">
        <v>125000</v>
      </c>
      <c r="G72" s="34">
        <f>+G71-F71</f>
        <v>10</v>
      </c>
      <c r="H72" s="37">
        <v>1</v>
      </c>
      <c r="I72" s="38">
        <v>2</v>
      </c>
      <c r="J72" s="38">
        <v>3</v>
      </c>
      <c r="K72" s="39">
        <v>4</v>
      </c>
      <c r="M72" s="36">
        <v>15</v>
      </c>
    </row>
    <row r="73" spans="4:13" ht="15.75" thickBot="1" x14ac:dyDescent="0.3">
      <c r="G73" s="35" t="s">
        <v>23</v>
      </c>
      <c r="H73" s="44" t="s">
        <v>24</v>
      </c>
      <c r="I73" s="45"/>
      <c r="J73" s="45"/>
      <c r="K73" s="46"/>
      <c r="M73" s="36" t="s">
        <v>23</v>
      </c>
    </row>
    <row r="74" spans="4:13" x14ac:dyDescent="0.25">
      <c r="M74" s="24"/>
    </row>
    <row r="75" spans="4:13" x14ac:dyDescent="0.25">
      <c r="F75">
        <f>+F72</f>
        <v>125000</v>
      </c>
      <c r="G75" s="35" t="s">
        <v>31</v>
      </c>
      <c r="H75" t="s">
        <v>32</v>
      </c>
      <c r="I75" s="35" t="s">
        <v>29</v>
      </c>
      <c r="M75" s="24"/>
    </row>
    <row r="76" spans="4:13" x14ac:dyDescent="0.25">
      <c r="G76" s="35">
        <f>+(1+(0.5%*(10/30)))</f>
        <v>1.0016666666666667</v>
      </c>
      <c r="H76">
        <f>+(1+0.5%)^4</f>
        <v>1.0201505006249993</v>
      </c>
      <c r="I76" s="35">
        <f>+(1+(0.5%*(15/30)))</f>
        <v>1.0024999999999999</v>
      </c>
      <c r="M76" s="24"/>
    </row>
    <row r="77" spans="4:13" x14ac:dyDescent="0.25">
      <c r="F77" s="49">
        <f>+F75*G76*H76*I76</f>
        <v>128050.67229225286</v>
      </c>
      <c r="G77" t="s">
        <v>30</v>
      </c>
      <c r="M77" s="24"/>
    </row>
    <row r="78" spans="4:13" x14ac:dyDescent="0.25">
      <c r="M78" s="24"/>
    </row>
    <row r="79" spans="4:13" ht="15.75" thickBot="1" x14ac:dyDescent="0.3"/>
    <row r="80" spans="4:13" ht="15.75" thickBot="1" x14ac:dyDescent="0.3">
      <c r="D80" s="50" t="s">
        <v>33</v>
      </c>
      <c r="E80" s="51">
        <f>+D68+F77</f>
        <v>389747.29918567813</v>
      </c>
    </row>
    <row r="99" spans="1:11" ht="15.75" thickBot="1" x14ac:dyDescent="0.3">
      <c r="B99">
        <v>0</v>
      </c>
      <c r="E99">
        <v>8</v>
      </c>
      <c r="G99">
        <v>12</v>
      </c>
      <c r="H99">
        <v>16</v>
      </c>
      <c r="K99">
        <v>24</v>
      </c>
    </row>
    <row r="100" spans="1:11" x14ac:dyDescent="0.25">
      <c r="B100" s="1">
        <v>0.05</v>
      </c>
      <c r="E100" s="4">
        <v>750000</v>
      </c>
      <c r="F100" s="2"/>
      <c r="G100" s="2"/>
      <c r="H100" s="4">
        <v>1600000</v>
      </c>
      <c r="I100" s="2"/>
    </row>
    <row r="101" spans="1:11" ht="15.75" thickBot="1" x14ac:dyDescent="0.3">
      <c r="B101" s="2">
        <v>2500000</v>
      </c>
      <c r="E101" s="52">
        <v>0.03</v>
      </c>
      <c r="H101" s="52">
        <v>0.03</v>
      </c>
      <c r="I101" t="s">
        <v>34</v>
      </c>
    </row>
    <row r="102" spans="1:11" x14ac:dyDescent="0.25">
      <c r="B102" s="2">
        <f>+B101*B100</f>
        <v>125000</v>
      </c>
      <c r="E102" s="18">
        <f>+A113</f>
        <v>765151.00502006686</v>
      </c>
      <c r="H102" s="18">
        <f>+C113</f>
        <v>1665297.2387078211</v>
      </c>
    </row>
    <row r="105" spans="1:11" x14ac:dyDescent="0.25">
      <c r="B105" s="1">
        <v>0.1</v>
      </c>
    </row>
    <row r="106" spans="1:11" x14ac:dyDescent="0.25">
      <c r="B106" s="2">
        <f>+B101*B105</f>
        <v>250000</v>
      </c>
      <c r="F106" s="24">
        <v>1</v>
      </c>
      <c r="G106" s="24" t="s">
        <v>2</v>
      </c>
      <c r="J106" s="24">
        <f>1/3</f>
        <v>0.33333333333333331</v>
      </c>
      <c r="K106" s="24" t="s">
        <v>2</v>
      </c>
    </row>
    <row r="108" spans="1:11" x14ac:dyDescent="0.25">
      <c r="K108" s="12" t="s">
        <v>3</v>
      </c>
    </row>
    <row r="109" spans="1:11" x14ac:dyDescent="0.25">
      <c r="A109" t="s">
        <v>35</v>
      </c>
    </row>
    <row r="110" spans="1:11" x14ac:dyDescent="0.25">
      <c r="A110" s="2">
        <v>750000</v>
      </c>
      <c r="C110" s="2">
        <v>1600000</v>
      </c>
    </row>
    <row r="111" spans="1:11" x14ac:dyDescent="0.25">
      <c r="A111" s="1">
        <v>0.03</v>
      </c>
      <c r="C111" s="1">
        <v>0.03</v>
      </c>
    </row>
    <row r="112" spans="1:11" x14ac:dyDescent="0.25">
      <c r="A112">
        <f>8/12</f>
        <v>0.66666666666666663</v>
      </c>
      <c r="C112">
        <f>16/12</f>
        <v>1.3333333333333333</v>
      </c>
    </row>
    <row r="113" spans="1:14" x14ac:dyDescent="0.25">
      <c r="A113" s="2">
        <f>+A110*EXP(A111*A112)</f>
        <v>765151.00502006686</v>
      </c>
      <c r="C113" s="2">
        <f>+C110*EXP(C111*C112)</f>
        <v>1665297.2387078211</v>
      </c>
    </row>
    <row r="114" spans="1:14" x14ac:dyDescent="0.25">
      <c r="H114" t="s">
        <v>47</v>
      </c>
      <c r="I114" t="s">
        <v>7</v>
      </c>
      <c r="J114" t="s">
        <v>49</v>
      </c>
      <c r="M114" t="s">
        <v>48</v>
      </c>
    </row>
    <row r="115" spans="1:14" x14ac:dyDescent="0.25">
      <c r="A115" t="s">
        <v>36</v>
      </c>
      <c r="B115" s="58" t="s">
        <v>46</v>
      </c>
      <c r="C115" s="58"/>
      <c r="D115" s="58"/>
      <c r="E115" s="58"/>
      <c r="F115" s="58"/>
      <c r="H115" s="25" t="s">
        <v>21</v>
      </c>
      <c r="I115" s="25"/>
      <c r="J115" s="25"/>
      <c r="K115" s="25"/>
      <c r="L115" s="25"/>
      <c r="M115" s="25"/>
      <c r="N115" s="25"/>
    </row>
    <row r="116" spans="1:14" x14ac:dyDescent="0.25">
      <c r="A116" s="7" t="s">
        <v>37</v>
      </c>
      <c r="B116" s="56">
        <f>18%/12</f>
        <v>1.4999999999999999E-2</v>
      </c>
      <c r="D116" s="56">
        <f>18%/12</f>
        <v>1.4999999999999999E-2</v>
      </c>
      <c r="F116" s="56">
        <f>18%/12</f>
        <v>1.4999999999999999E-2</v>
      </c>
      <c r="H116" s="53">
        <f>18%/12</f>
        <v>1.4999999999999999E-2</v>
      </c>
      <c r="J116" s="53">
        <f>18%/12</f>
        <v>1.4999999999999999E-2</v>
      </c>
    </row>
    <row r="117" spans="1:14" x14ac:dyDescent="0.25">
      <c r="A117" s="7" t="s">
        <v>38</v>
      </c>
      <c r="B117" s="7">
        <v>24</v>
      </c>
      <c r="D117" s="7">
        <f>24-8</f>
        <v>16</v>
      </c>
      <c r="F117" s="7">
        <f>24-16</f>
        <v>8</v>
      </c>
      <c r="H117">
        <v>24</v>
      </c>
      <c r="J117">
        <v>12</v>
      </c>
    </row>
    <row r="118" spans="1:14" x14ac:dyDescent="0.25">
      <c r="A118" s="7" t="s">
        <v>39</v>
      </c>
      <c r="B118" s="7">
        <v>0</v>
      </c>
      <c r="D118" s="7">
        <v>0</v>
      </c>
      <c r="F118" s="7">
        <v>0</v>
      </c>
      <c r="H118">
        <v>0</v>
      </c>
      <c r="J118">
        <v>0</v>
      </c>
    </row>
    <row r="119" spans="1:14" x14ac:dyDescent="0.25">
      <c r="A119" s="7" t="s">
        <v>40</v>
      </c>
      <c r="B119" s="57">
        <f>-B102</f>
        <v>-125000</v>
      </c>
      <c r="D119" s="57">
        <f>-A113</f>
        <v>-765151.00502006686</v>
      </c>
      <c r="F119" s="57">
        <f>-C113</f>
        <v>-1665297.2387078211</v>
      </c>
      <c r="H119" s="18">
        <f>-B106</f>
        <v>-250000</v>
      </c>
      <c r="J119" s="18">
        <v>-1</v>
      </c>
    </row>
    <row r="120" spans="1:14" x14ac:dyDescent="0.25">
      <c r="A120" s="7" t="s">
        <v>41</v>
      </c>
      <c r="B120" s="7">
        <v>0</v>
      </c>
      <c r="D120" s="7">
        <v>0</v>
      </c>
      <c r="F120" s="7">
        <v>0</v>
      </c>
      <c r="H120">
        <v>0</v>
      </c>
      <c r="J120">
        <v>0</v>
      </c>
    </row>
    <row r="121" spans="1:14" x14ac:dyDescent="0.25">
      <c r="A121" s="7" t="s">
        <v>42</v>
      </c>
      <c r="B121" s="9">
        <f>+FV(B116,B117,B118,B119,B120)</f>
        <v>178687.85149112754</v>
      </c>
      <c r="D121" s="9">
        <f>+FV(D116,D117,D118,D119,D120)</f>
        <v>970965.56714353745</v>
      </c>
      <c r="F121" s="9">
        <f>+FV(F116,F117,F118,F119,F120)</f>
        <v>1875944.9938819937</v>
      </c>
      <c r="H121" s="6">
        <f>+FV(H116,H117,H118,H119,H120)</f>
        <v>357375.70298225508</v>
      </c>
      <c r="I121" t="s">
        <v>7</v>
      </c>
      <c r="J121" s="6">
        <f>+FV(J116,J117,J118,J119,J120)</f>
        <v>1.1956181714615333</v>
      </c>
      <c r="K121" t="s">
        <v>43</v>
      </c>
      <c r="L121" t="s">
        <v>7</v>
      </c>
      <c r="M121">
        <f>+J106</f>
        <v>0.33333333333333331</v>
      </c>
      <c r="N121" t="s">
        <v>43</v>
      </c>
    </row>
    <row r="123" spans="1:14" x14ac:dyDescent="0.25">
      <c r="F123" s="6">
        <f>+F121+D121+B121</f>
        <v>3025598.4125166587</v>
      </c>
      <c r="G123" t="s">
        <v>5</v>
      </c>
      <c r="H123" s="6">
        <f>+H121</f>
        <v>357375.70298225508</v>
      </c>
      <c r="I123" t="s">
        <v>7</v>
      </c>
      <c r="J123" s="27">
        <f>+J121+M121</f>
        <v>1.5289515047948665</v>
      </c>
      <c r="K123" t="s">
        <v>43</v>
      </c>
    </row>
    <row r="125" spans="1:14" ht="15.75" thickBot="1" x14ac:dyDescent="0.3">
      <c r="E125" s="54">
        <f>+F123</f>
        <v>3025598.4125166587</v>
      </c>
      <c r="F125" s="40" t="s">
        <v>14</v>
      </c>
      <c r="G125" s="54">
        <f>+H123</f>
        <v>357375.70298225508</v>
      </c>
      <c r="H125" s="26" t="s">
        <v>5</v>
      </c>
      <c r="I125" s="26" t="s">
        <v>43</v>
      </c>
    </row>
    <row r="126" spans="1:14" x14ac:dyDescent="0.25">
      <c r="E126" s="55">
        <f>+J123</f>
        <v>1.5289515047948665</v>
      </c>
      <c r="F126" s="55"/>
      <c r="G126" s="55"/>
      <c r="H126" s="26"/>
      <c r="I126" s="26"/>
    </row>
    <row r="129" spans="5:6" x14ac:dyDescent="0.25">
      <c r="E129" s="24" t="s">
        <v>44</v>
      </c>
      <c r="F129" s="49">
        <f>+(E125-G125)/E126</f>
        <v>1745132.3349149576</v>
      </c>
    </row>
    <row r="130" spans="5:6" x14ac:dyDescent="0.25">
      <c r="E130" s="24"/>
      <c r="F130" s="49"/>
    </row>
    <row r="131" spans="5:6" x14ac:dyDescent="0.25">
      <c r="E131" s="24" t="s">
        <v>45</v>
      </c>
      <c r="F131" s="49">
        <f>+F129*M121</f>
        <v>581710.77830498584</v>
      </c>
    </row>
  </sheetData>
  <mergeCells count="14">
    <mergeCell ref="F58:M58"/>
    <mergeCell ref="F59:M59"/>
    <mergeCell ref="H73:K73"/>
    <mergeCell ref="E126:G126"/>
    <mergeCell ref="H125:H126"/>
    <mergeCell ref="I125:I126"/>
    <mergeCell ref="B115:F115"/>
    <mergeCell ref="H115:N115"/>
    <mergeCell ref="G33:H33"/>
    <mergeCell ref="C36:C38"/>
    <mergeCell ref="A42:G43"/>
    <mergeCell ref="I42:M43"/>
    <mergeCell ref="K53:L53"/>
    <mergeCell ref="K54:L54"/>
  </mergeCells>
  <phoneticPr fontId="6" type="noConversion"/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6D7558CBE14F4F9BE67229F7A63999" ma:contentTypeVersion="15" ma:contentTypeDescription="Create a new document." ma:contentTypeScope="" ma:versionID="79a0781de859a1eb0619d72acd5638e8">
  <xsd:schema xmlns:xsd="http://www.w3.org/2001/XMLSchema" xmlns:xs="http://www.w3.org/2001/XMLSchema" xmlns:p="http://schemas.microsoft.com/office/2006/metadata/properties" xmlns:ns3="786b9c96-f422-4045-9a23-be2ee4e3d3f8" xmlns:ns4="f57ffcee-2ae9-44a8-8b62-ee22c93776fa" targetNamespace="http://schemas.microsoft.com/office/2006/metadata/properties" ma:root="true" ma:fieldsID="3c068b82b1f4aec1e161972ea475e819" ns3:_="" ns4:_="">
    <xsd:import namespace="786b9c96-f422-4045-9a23-be2ee4e3d3f8"/>
    <xsd:import namespace="f57ffcee-2ae9-44a8-8b62-ee22c93776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b9c96-f422-4045-9a23-be2ee4e3d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ffcee-2ae9-44a8-8b62-ee22c93776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6b9c96-f422-4045-9a23-be2ee4e3d3f8" xsi:nil="true"/>
  </documentManagement>
</p:properties>
</file>

<file path=customXml/itemProps1.xml><?xml version="1.0" encoding="utf-8"?>
<ds:datastoreItem xmlns:ds="http://schemas.openxmlformats.org/officeDocument/2006/customXml" ds:itemID="{FC1C2F5F-DDA9-4BDF-836C-C8784328E3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b9c96-f422-4045-9a23-be2ee4e3d3f8"/>
    <ds:schemaRef ds:uri="f57ffcee-2ae9-44a8-8b62-ee22c93776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D401C-838D-4A91-BB40-2BC132FCC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4CB06-3722-4944-B49D-024E6209F424}">
  <ds:schemaRefs>
    <ds:schemaRef ds:uri="http://purl.org/dc/elements/1.1/"/>
    <ds:schemaRef ds:uri="http://schemas.microsoft.com/office/2006/metadata/properties"/>
    <ds:schemaRef ds:uri="f57ffcee-2ae9-44a8-8b62-ee22c93776fa"/>
    <ds:schemaRef ds:uri="786b9c96-f422-4045-9a23-be2ee4e3d3f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50432</dc:creator>
  <cp:lastModifiedBy>50432188395</cp:lastModifiedBy>
  <dcterms:created xsi:type="dcterms:W3CDTF">2023-03-20T19:03:50Z</dcterms:created>
  <dcterms:modified xsi:type="dcterms:W3CDTF">2023-03-20T19:57:57Z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0x010100BC6D7558CBE14F4F9BE67229F7A63999</vt:lpwstr>
  </property>
</Properties>
</file>