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0fd310bda9b5d9/Desktop/"/>
    </mc:Choice>
  </mc:AlternateContent>
  <xr:revisionPtr revIDLastSave="15" documentId="8_{79A4BB1A-CA7D-4F2F-96EE-E644C25A5363}" xr6:coauthVersionLast="47" xr6:coauthVersionMax="47" xr10:uidLastSave="{BEDDA858-DC1B-47EE-ABFA-748381C943D6}"/>
  <bookViews>
    <workbookView xWindow="-120" yWindow="-120" windowWidth="19440" windowHeight="15000" xr2:uid="{DF6C860D-177F-46D8-BFCC-AA21297923A5}"/>
  </bookViews>
  <sheets>
    <sheet name="AAPL DCF" sheetId="1" r:id="rId1"/>
  </sheets>
  <definedNames>
    <definedName name="Case">'AAPL DCF'!$B$3</definedName>
    <definedName name="TGR">'AAPL DCF'!$B$4</definedName>
    <definedName name="WACC">'AAPL DCF'!$B$5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G116" i="1"/>
  <c r="G117" i="1"/>
  <c r="G118" i="1"/>
  <c r="G115" i="1"/>
  <c r="H118" i="1"/>
  <c r="F118" i="1"/>
  <c r="B129" i="1"/>
  <c r="B135" i="1"/>
  <c r="B120" i="1"/>
  <c r="B119" i="1"/>
  <c r="B110" i="1"/>
  <c r="J83" i="1"/>
  <c r="K83" i="1" s="1"/>
  <c r="L83" i="1" s="1"/>
  <c r="M83" i="1" s="1"/>
  <c r="N83" i="1" s="1"/>
  <c r="O83" i="1" s="1"/>
  <c r="P83" i="1" s="1"/>
  <c r="Q83" i="1" s="1"/>
  <c r="B70" i="1"/>
  <c r="B69" i="1"/>
  <c r="B76" i="1"/>
  <c r="B122" i="1" l="1"/>
  <c r="B124" i="1" s="1"/>
  <c r="J26" i="1" l="1"/>
  <c r="D26" i="1"/>
  <c r="E26" i="1"/>
  <c r="C26" i="1"/>
  <c r="J16" i="1"/>
  <c r="Q16" i="1"/>
  <c r="I16" i="1"/>
  <c r="E16" i="1"/>
  <c r="D16" i="1"/>
  <c r="C50" i="1"/>
  <c r="D50" i="1"/>
  <c r="E50" i="1"/>
  <c r="G50" i="1"/>
  <c r="H50" i="1"/>
  <c r="F50" i="1"/>
  <c r="D33" i="1"/>
  <c r="D34" i="1" s="1"/>
  <c r="E33" i="1"/>
  <c r="C33" i="1"/>
  <c r="G25" i="1"/>
  <c r="H25" i="1"/>
  <c r="F25" i="1"/>
  <c r="C39" i="1"/>
  <c r="D39" i="1"/>
  <c r="E39" i="1"/>
  <c r="F39" i="1"/>
  <c r="G39" i="1"/>
  <c r="H39" i="1"/>
  <c r="G15" i="1"/>
  <c r="H15" i="1"/>
  <c r="F15" i="1"/>
  <c r="F16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K17" i="1" s="1"/>
  <c r="E40" i="1" l="1"/>
  <c r="C40" i="1"/>
  <c r="D40" i="1"/>
  <c r="G26" i="1"/>
  <c r="F26" i="1"/>
  <c r="H26" i="1"/>
  <c r="I15" i="1"/>
  <c r="K19" i="1"/>
  <c r="L19" i="1" s="1"/>
  <c r="M19" i="1" s="1"/>
  <c r="N19" i="1" s="1"/>
  <c r="O19" i="1" s="1"/>
  <c r="P19" i="1" s="1"/>
  <c r="L17" i="1"/>
  <c r="K18" i="1"/>
  <c r="L18" i="1" s="1"/>
  <c r="M18" i="1" s="1"/>
  <c r="N18" i="1" s="1"/>
  <c r="O18" i="1" s="1"/>
  <c r="P18" i="1" s="1"/>
  <c r="H16" i="1"/>
  <c r="G16" i="1"/>
  <c r="F33" i="1"/>
  <c r="F34" i="1" s="1"/>
  <c r="H33" i="1"/>
  <c r="H34" i="1" s="1"/>
  <c r="C46" i="1"/>
  <c r="C56" i="1" s="1"/>
  <c r="E46" i="1"/>
  <c r="E56" i="1" s="1"/>
  <c r="G33" i="1"/>
  <c r="G46" i="1" s="1"/>
  <c r="G56" i="1" s="1"/>
  <c r="E34" i="1"/>
  <c r="C34" i="1"/>
  <c r="D46" i="1"/>
  <c r="D56" i="1" s="1"/>
  <c r="H46" i="1" l="1"/>
  <c r="H56" i="1" s="1"/>
  <c r="H58" i="1" s="1"/>
  <c r="F40" i="1"/>
  <c r="D51" i="1"/>
  <c r="E51" i="1"/>
  <c r="G51" i="1"/>
  <c r="C51" i="1"/>
  <c r="G40" i="1"/>
  <c r="H40" i="1"/>
  <c r="K16" i="1"/>
  <c r="Q29" i="1"/>
  <c r="K29" i="1" s="1"/>
  <c r="L29" i="1" s="1"/>
  <c r="M29" i="1" s="1"/>
  <c r="N29" i="1" s="1"/>
  <c r="O29" i="1" s="1"/>
  <c r="P29" i="1" s="1"/>
  <c r="I27" i="1"/>
  <c r="Q28" i="1"/>
  <c r="K28" i="1" s="1"/>
  <c r="L28" i="1" s="1"/>
  <c r="M28" i="1" s="1"/>
  <c r="N28" i="1" s="1"/>
  <c r="O28" i="1" s="1"/>
  <c r="P28" i="1" s="1"/>
  <c r="Q27" i="1"/>
  <c r="J15" i="1"/>
  <c r="M17" i="1"/>
  <c r="L16" i="1"/>
  <c r="F46" i="1"/>
  <c r="G62" i="1"/>
  <c r="G86" i="1" s="1"/>
  <c r="G89" i="1" s="1"/>
  <c r="G58" i="1"/>
  <c r="E58" i="1"/>
  <c r="E62" i="1"/>
  <c r="E86" i="1" s="1"/>
  <c r="E89" i="1" s="1"/>
  <c r="D58" i="1"/>
  <c r="D62" i="1"/>
  <c r="D86" i="1" s="1"/>
  <c r="D89" i="1" s="1"/>
  <c r="C62" i="1"/>
  <c r="C86" i="1" s="1"/>
  <c r="C89" i="1" s="1"/>
  <c r="C58" i="1"/>
  <c r="G34" i="1"/>
  <c r="H62" i="1" l="1"/>
  <c r="H86" i="1" s="1"/>
  <c r="H89" i="1" s="1"/>
  <c r="H51" i="1"/>
  <c r="Q42" i="1"/>
  <c r="Q41" i="1"/>
  <c r="I41" i="1"/>
  <c r="Q43" i="1"/>
  <c r="C92" i="1"/>
  <c r="G92" i="1"/>
  <c r="D92" i="1"/>
  <c r="E92" i="1"/>
  <c r="C98" i="1"/>
  <c r="C95" i="1"/>
  <c r="I95" i="1" s="1"/>
  <c r="J95" i="1" s="1"/>
  <c r="K95" i="1" s="1"/>
  <c r="L95" i="1" s="1"/>
  <c r="M95" i="1" s="1"/>
  <c r="N95" i="1" s="1"/>
  <c r="O95" i="1" s="1"/>
  <c r="P95" i="1" s="1"/>
  <c r="Q95" i="1" s="1"/>
  <c r="G98" i="1"/>
  <c r="G95" i="1"/>
  <c r="E98" i="1"/>
  <c r="E95" i="1"/>
  <c r="D98" i="1"/>
  <c r="D95" i="1"/>
  <c r="F56" i="1"/>
  <c r="F62" i="1" s="1"/>
  <c r="F86" i="1" s="1"/>
  <c r="F89" i="1" s="1"/>
  <c r="F51" i="1"/>
  <c r="K15" i="1"/>
  <c r="L15" i="1" s="1"/>
  <c r="J25" i="1"/>
  <c r="J33" i="1" s="1"/>
  <c r="Q26" i="1"/>
  <c r="K27" i="1"/>
  <c r="I28" i="1"/>
  <c r="I29" i="1" s="1"/>
  <c r="I26" i="1" s="1"/>
  <c r="I25" i="1" s="1"/>
  <c r="I33" i="1" s="1"/>
  <c r="N17" i="1"/>
  <c r="M16" i="1"/>
  <c r="H92" i="1" l="1"/>
  <c r="H98" i="1"/>
  <c r="H95" i="1"/>
  <c r="Q53" i="1"/>
  <c r="I42" i="1"/>
  <c r="J41" i="1"/>
  <c r="K41" i="1" s="1"/>
  <c r="L41" i="1" s="1"/>
  <c r="M41" i="1" s="1"/>
  <c r="N41" i="1" s="1"/>
  <c r="O41" i="1" s="1"/>
  <c r="P41" i="1" s="1"/>
  <c r="F92" i="1"/>
  <c r="I92" i="1" s="1"/>
  <c r="J92" i="1" s="1"/>
  <c r="K92" i="1" s="1"/>
  <c r="L92" i="1" s="1"/>
  <c r="M92" i="1" s="1"/>
  <c r="N92" i="1" s="1"/>
  <c r="O92" i="1" s="1"/>
  <c r="I89" i="1"/>
  <c r="J89" i="1" s="1"/>
  <c r="K89" i="1" s="1"/>
  <c r="L89" i="1" s="1"/>
  <c r="M89" i="1" s="1"/>
  <c r="N89" i="1" s="1"/>
  <c r="O89" i="1" s="1"/>
  <c r="P89" i="1" s="1"/>
  <c r="F98" i="1"/>
  <c r="F95" i="1"/>
  <c r="I52" i="1"/>
  <c r="J52" i="1" s="1"/>
  <c r="Q52" i="1"/>
  <c r="F58" i="1"/>
  <c r="B78" i="1" s="1"/>
  <c r="B81" i="1" s="1"/>
  <c r="J34" i="1"/>
  <c r="I34" i="1"/>
  <c r="M15" i="1"/>
  <c r="K26" i="1"/>
  <c r="K25" i="1" s="1"/>
  <c r="K33" i="1" s="1"/>
  <c r="L27" i="1"/>
  <c r="O17" i="1"/>
  <c r="N16" i="1"/>
  <c r="I43" i="1" l="1"/>
  <c r="J42" i="1"/>
  <c r="K42" i="1" s="1"/>
  <c r="L42" i="1" s="1"/>
  <c r="M42" i="1" s="1"/>
  <c r="N42" i="1" s="1"/>
  <c r="O42" i="1" s="1"/>
  <c r="P42" i="1" s="1"/>
  <c r="P92" i="1"/>
  <c r="I53" i="1"/>
  <c r="J53" i="1" s="1"/>
  <c r="K53" i="1" s="1"/>
  <c r="L53" i="1" s="1"/>
  <c r="M53" i="1" s="1"/>
  <c r="N53" i="1" s="1"/>
  <c r="O53" i="1" s="1"/>
  <c r="P53" i="1" s="1"/>
  <c r="K52" i="1"/>
  <c r="L52" i="1" s="1"/>
  <c r="M52" i="1" s="1"/>
  <c r="N52" i="1" s="1"/>
  <c r="O52" i="1" s="1"/>
  <c r="P52" i="1" s="1"/>
  <c r="I58" i="1"/>
  <c r="J58" i="1" s="1"/>
  <c r="K58" i="1" s="1"/>
  <c r="K34" i="1"/>
  <c r="N15" i="1"/>
  <c r="M27" i="1"/>
  <c r="L26" i="1"/>
  <c r="L25" i="1" s="1"/>
  <c r="L33" i="1" s="1"/>
  <c r="P17" i="1"/>
  <c r="P16" i="1" s="1"/>
  <c r="O16" i="1"/>
  <c r="I54" i="1" l="1"/>
  <c r="I51" i="1" s="1"/>
  <c r="J43" i="1"/>
  <c r="K43" i="1" s="1"/>
  <c r="L43" i="1" s="1"/>
  <c r="M43" i="1" s="1"/>
  <c r="N43" i="1" s="1"/>
  <c r="O43" i="1" s="1"/>
  <c r="I40" i="1"/>
  <c r="I39" i="1" s="1"/>
  <c r="I46" i="1" s="1"/>
  <c r="Q92" i="1"/>
  <c r="L58" i="1"/>
  <c r="L34" i="1"/>
  <c r="O15" i="1"/>
  <c r="P15" i="1" s="1"/>
  <c r="N27" i="1"/>
  <c r="M26" i="1"/>
  <c r="M25" i="1" s="1"/>
  <c r="M33" i="1" s="1"/>
  <c r="J54" i="1" l="1"/>
  <c r="J51" i="1" s="1"/>
  <c r="J40" i="1"/>
  <c r="J39" i="1" s="1"/>
  <c r="J46" i="1" s="1"/>
  <c r="M58" i="1"/>
  <c r="N58" i="1" s="1"/>
  <c r="O58" i="1" s="1"/>
  <c r="P58" i="1" s="1"/>
  <c r="Q58" i="1" s="1"/>
  <c r="I50" i="1"/>
  <c r="I56" i="1" s="1"/>
  <c r="M34" i="1"/>
  <c r="O27" i="1"/>
  <c r="N26" i="1"/>
  <c r="N25" i="1" s="1"/>
  <c r="N33" i="1" s="1"/>
  <c r="Q15" i="1"/>
  <c r="K54" i="1" l="1"/>
  <c r="L54" i="1" s="1"/>
  <c r="K40" i="1"/>
  <c r="K39" i="1" s="1"/>
  <c r="K46" i="1" s="1"/>
  <c r="L40" i="1"/>
  <c r="I57" i="1"/>
  <c r="I62" i="1" s="1"/>
  <c r="I86" i="1" s="1"/>
  <c r="J50" i="1"/>
  <c r="J56" i="1" s="1"/>
  <c r="N34" i="1"/>
  <c r="Q25" i="1"/>
  <c r="Q33" i="1" s="1"/>
  <c r="P27" i="1"/>
  <c r="P26" i="1" s="1"/>
  <c r="P25" i="1" s="1"/>
  <c r="P33" i="1" s="1"/>
  <c r="O26" i="1"/>
  <c r="O25" i="1" s="1"/>
  <c r="O33" i="1" s="1"/>
  <c r="K51" i="1" l="1"/>
  <c r="K50" i="1" s="1"/>
  <c r="K56" i="1" s="1"/>
  <c r="I88" i="1"/>
  <c r="I91" i="1"/>
  <c r="I94" i="1"/>
  <c r="M54" i="1"/>
  <c r="L51" i="1"/>
  <c r="L39" i="1"/>
  <c r="L46" i="1" s="1"/>
  <c r="J57" i="1"/>
  <c r="J62" i="1" s="1"/>
  <c r="J86" i="1" s="1"/>
  <c r="P34" i="1"/>
  <c r="O34" i="1"/>
  <c r="Q34" i="1"/>
  <c r="I98" i="1" l="1"/>
  <c r="I99" i="1" s="1"/>
  <c r="J91" i="1"/>
  <c r="J94" i="1"/>
  <c r="K57" i="1"/>
  <c r="K62" i="1" s="1"/>
  <c r="K86" i="1" s="1"/>
  <c r="L50" i="1"/>
  <c r="L56" i="1" s="1"/>
  <c r="N54" i="1"/>
  <c r="M51" i="1"/>
  <c r="K91" i="1" l="1"/>
  <c r="K94" i="1"/>
  <c r="O54" i="1"/>
  <c r="N51" i="1"/>
  <c r="L57" i="1"/>
  <c r="L62" i="1" s="1"/>
  <c r="L86" i="1" s="1"/>
  <c r="L91" i="1" l="1"/>
  <c r="L94" i="1"/>
  <c r="P54" i="1"/>
  <c r="O51" i="1"/>
  <c r="Q54" i="1" l="1"/>
  <c r="P51" i="1"/>
  <c r="Q51" i="1" l="1"/>
  <c r="J88" i="1" l="1"/>
  <c r="J98" i="1" s="1"/>
  <c r="J99" i="1" s="1"/>
  <c r="L88" i="1" l="1"/>
  <c r="L98" i="1" s="1"/>
  <c r="L99" i="1" s="1"/>
  <c r="K88" i="1"/>
  <c r="K98" i="1" s="1"/>
  <c r="K99" i="1" s="1"/>
  <c r="P43" i="1" l="1"/>
  <c r="M40" i="1"/>
  <c r="M39" i="1" s="1"/>
  <c r="M46" i="1" s="1"/>
  <c r="M50" i="1" s="1"/>
  <c r="M56" i="1" s="1"/>
  <c r="M57" i="1" s="1"/>
  <c r="M62" i="1" s="1"/>
  <c r="M86" i="1" s="1"/>
  <c r="M91" i="1" l="1"/>
  <c r="M94" i="1"/>
  <c r="M88" i="1"/>
  <c r="N40" i="1"/>
  <c r="N39" i="1" s="1"/>
  <c r="N46" i="1" s="1"/>
  <c r="N50" i="1" s="1"/>
  <c r="N56" i="1" s="1"/>
  <c r="N57" i="1" s="1"/>
  <c r="N62" i="1" s="1"/>
  <c r="N86" i="1" s="1"/>
  <c r="M98" i="1" l="1"/>
  <c r="M99" i="1" s="1"/>
  <c r="O40" i="1"/>
  <c r="O39" i="1" s="1"/>
  <c r="O46" i="1" s="1"/>
  <c r="O50" i="1" s="1"/>
  <c r="O56" i="1" s="1"/>
  <c r="O57" i="1" s="1"/>
  <c r="O62" i="1" s="1"/>
  <c r="O86" i="1" s="1"/>
  <c r="N91" i="1"/>
  <c r="N94" i="1"/>
  <c r="N88" i="1"/>
  <c r="N98" i="1" l="1"/>
  <c r="N99" i="1" s="1"/>
  <c r="O91" i="1"/>
  <c r="O94" i="1"/>
  <c r="O88" i="1"/>
  <c r="Q40" i="1"/>
  <c r="Q39" i="1" s="1"/>
  <c r="Q46" i="1" s="1"/>
  <c r="Q50" i="1" s="1"/>
  <c r="Q56" i="1" s="1"/>
  <c r="Q57" i="1" s="1"/>
  <c r="Q62" i="1" s="1"/>
  <c r="Q86" i="1" s="1"/>
  <c r="P40" i="1"/>
  <c r="P39" i="1" s="1"/>
  <c r="P46" i="1" s="1"/>
  <c r="P50" i="1" s="1"/>
  <c r="P56" i="1" s="1"/>
  <c r="P57" i="1" s="1"/>
  <c r="P62" i="1" s="1"/>
  <c r="P86" i="1" s="1"/>
  <c r="O98" i="1" l="1"/>
  <c r="O99" i="1" s="1"/>
  <c r="Q88" i="1"/>
  <c r="Q91" i="1"/>
  <c r="Q94" i="1"/>
  <c r="P91" i="1"/>
  <c r="P94" i="1"/>
  <c r="P88" i="1"/>
  <c r="Q98" i="1" l="1"/>
  <c r="P98" i="1"/>
  <c r="P99" i="1" s="1"/>
  <c r="B106" i="1" l="1"/>
  <c r="B107" i="1" s="1"/>
  <c r="E106" i="1"/>
  <c r="Q99" i="1"/>
  <c r="B109" i="1" l="1"/>
  <c r="B112" i="1" s="1"/>
  <c r="B114" i="1" s="1"/>
  <c r="B1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Azrae</author>
  </authors>
  <commentList>
    <comment ref="B3" authorId="0" shapeId="0" xr:uid="{6ECDA93F-4848-4AB8-BE21-508B7E8B5AAB}">
      <text>
        <r>
          <rPr>
            <b/>
            <sz val="9"/>
            <color indexed="81"/>
            <rFont val="Tahoma"/>
            <family val="2"/>
          </rPr>
          <t xml:space="preserve">Maurice Hoffman:
</t>
        </r>
        <r>
          <rPr>
            <sz val="9"/>
            <color indexed="81"/>
            <rFont val="Tahoma"/>
            <family val="2"/>
          </rPr>
          <t>A: Optimistic Case
B: Base Case
C: Conservative Case</t>
        </r>
      </text>
    </comment>
    <comment ref="I17" authorId="0" shapeId="0" xr:uid="{E52AD902-BCE8-4238-B6BC-469979FD8637}">
      <text>
        <r>
          <rPr>
            <b/>
            <sz val="9"/>
            <color indexed="81"/>
            <rFont val="Tahoma"/>
            <family val="2"/>
          </rPr>
          <t>Maurice Hoffman:</t>
        </r>
        <r>
          <rPr>
            <sz val="9"/>
            <color indexed="81"/>
            <rFont val="Tahoma"/>
            <family val="2"/>
          </rPr>
          <t xml:space="preserve">
Optimistic Case</t>
        </r>
      </text>
    </comment>
    <comment ref="I18" authorId="0" shapeId="0" xr:uid="{D26E5A63-B4A9-4F8C-8A88-FDDB28976112}">
      <text>
        <r>
          <rPr>
            <b/>
            <sz val="9"/>
            <color indexed="81"/>
            <rFont val="Tahoma"/>
            <family val="2"/>
          </rPr>
          <t xml:space="preserve">Maurice Hoffman:
</t>
        </r>
        <r>
          <rPr>
            <sz val="9"/>
            <color indexed="81"/>
            <rFont val="Tahoma"/>
            <family val="2"/>
          </rPr>
          <t>Street Case/Base Case</t>
        </r>
      </text>
    </comment>
    <comment ref="I19" authorId="0" shapeId="0" xr:uid="{5479A7F4-BB54-47AB-A61A-5995779C56BD}">
      <text>
        <r>
          <rPr>
            <b/>
            <sz val="9"/>
            <color indexed="81"/>
            <rFont val="Tahoma"/>
            <family val="2"/>
          </rPr>
          <t xml:space="preserve">Maurice Hoffman:
</t>
        </r>
        <r>
          <rPr>
            <sz val="9"/>
            <color indexed="81"/>
            <rFont val="Tahoma"/>
            <family val="2"/>
          </rPr>
          <t>Conservative Case</t>
        </r>
      </text>
    </comment>
    <comment ref="I27" authorId="0" shapeId="0" xr:uid="{353F269A-FE52-405B-B166-2F763D315429}">
      <text>
        <r>
          <rPr>
            <b/>
            <sz val="9"/>
            <color indexed="81"/>
            <rFont val="Tahoma"/>
            <family val="2"/>
          </rPr>
          <t>Maurice Hoffman:</t>
        </r>
        <r>
          <rPr>
            <sz val="9"/>
            <color indexed="81"/>
            <rFont val="Tahoma"/>
            <family val="2"/>
          </rPr>
          <t xml:space="preserve">
Optimistic Case</t>
        </r>
      </text>
    </comment>
    <comment ref="I28" authorId="0" shapeId="0" xr:uid="{AD5FEDFF-27B9-4923-813F-C984863F3561}">
      <text>
        <r>
          <rPr>
            <b/>
            <sz val="9"/>
            <color indexed="81"/>
            <rFont val="Tahoma"/>
            <family val="2"/>
          </rPr>
          <t xml:space="preserve">Maurice Hoffman:
</t>
        </r>
        <r>
          <rPr>
            <sz val="9"/>
            <color indexed="81"/>
            <rFont val="Tahoma"/>
            <family val="2"/>
          </rPr>
          <t>Street Case/Base Case</t>
        </r>
      </text>
    </comment>
    <comment ref="I29" authorId="0" shapeId="0" xr:uid="{7CD90381-CA2D-4B60-B7EE-E1AD63BD50DF}">
      <text>
        <r>
          <rPr>
            <b/>
            <sz val="9"/>
            <color indexed="81"/>
            <rFont val="Tahoma"/>
            <family val="2"/>
          </rPr>
          <t xml:space="preserve">Maurice Hoffman:
</t>
        </r>
        <r>
          <rPr>
            <sz val="9"/>
            <color indexed="81"/>
            <rFont val="Tahoma"/>
            <family val="2"/>
          </rPr>
          <t>Conservative Case</t>
        </r>
      </text>
    </comment>
    <comment ref="I41" authorId="0" shapeId="0" xr:uid="{719D506A-F2AC-4380-BB60-2C9AFB2E3085}">
      <text>
        <r>
          <rPr>
            <b/>
            <sz val="9"/>
            <color indexed="81"/>
            <rFont val="Tahoma"/>
            <family val="2"/>
          </rPr>
          <t>Maurice Hoffman:</t>
        </r>
        <r>
          <rPr>
            <sz val="9"/>
            <color indexed="81"/>
            <rFont val="Tahoma"/>
            <family val="2"/>
          </rPr>
          <t xml:space="preserve">
Optimistic Case</t>
        </r>
      </text>
    </comment>
    <comment ref="I42" authorId="0" shapeId="0" xr:uid="{A4EEA00A-50E1-4640-A5C5-F32C22D15774}">
      <text>
        <r>
          <rPr>
            <b/>
            <sz val="9"/>
            <color indexed="81"/>
            <rFont val="Tahoma"/>
            <family val="2"/>
          </rPr>
          <t xml:space="preserve">Maurice Hoffman:
</t>
        </r>
        <r>
          <rPr>
            <sz val="9"/>
            <color indexed="81"/>
            <rFont val="Tahoma"/>
            <family val="2"/>
          </rPr>
          <t>Street Case/Base Case</t>
        </r>
      </text>
    </comment>
    <comment ref="I43" authorId="0" shapeId="0" xr:uid="{ECCB767E-9E1B-4C30-8610-648E1BBEB1C7}">
      <text>
        <r>
          <rPr>
            <b/>
            <sz val="9"/>
            <color indexed="81"/>
            <rFont val="Tahoma"/>
            <family val="2"/>
          </rPr>
          <t xml:space="preserve">Maurice Hoffman:
</t>
        </r>
        <r>
          <rPr>
            <sz val="9"/>
            <color indexed="81"/>
            <rFont val="Tahoma"/>
            <family val="2"/>
          </rPr>
          <t>Conservative Case</t>
        </r>
      </text>
    </comment>
    <comment ref="I52" authorId="0" shapeId="0" xr:uid="{73AB6828-B20F-43AF-9541-9B81C2887578}">
      <text>
        <r>
          <rPr>
            <b/>
            <sz val="9"/>
            <color indexed="81"/>
            <rFont val="Tahoma"/>
            <family val="2"/>
          </rPr>
          <t>Maurice Hoffman:</t>
        </r>
        <r>
          <rPr>
            <sz val="9"/>
            <color indexed="81"/>
            <rFont val="Tahoma"/>
            <family val="2"/>
          </rPr>
          <t xml:space="preserve">
Optimistic Case</t>
        </r>
      </text>
    </comment>
    <comment ref="I53" authorId="0" shapeId="0" xr:uid="{81A0FE1C-7A5A-4A58-8239-8DF8B00015FD}">
      <text>
        <r>
          <rPr>
            <b/>
            <sz val="9"/>
            <color indexed="81"/>
            <rFont val="Tahoma"/>
            <family val="2"/>
          </rPr>
          <t xml:space="preserve">Maurice Hoffman:
</t>
        </r>
        <r>
          <rPr>
            <sz val="9"/>
            <color indexed="81"/>
            <rFont val="Tahoma"/>
            <family val="2"/>
          </rPr>
          <t>Street Case/Base Case</t>
        </r>
      </text>
    </comment>
    <comment ref="I54" authorId="0" shapeId="0" xr:uid="{7E17BF04-56FB-40F1-905C-0099D163B166}">
      <text>
        <r>
          <rPr>
            <b/>
            <sz val="9"/>
            <color indexed="81"/>
            <rFont val="Tahoma"/>
            <family val="2"/>
          </rPr>
          <t xml:space="preserve">Maurice Hoffman:
</t>
        </r>
        <r>
          <rPr>
            <sz val="9"/>
            <color indexed="81"/>
            <rFont val="Tahoma"/>
            <family val="2"/>
          </rPr>
          <t>Conservative Case</t>
        </r>
      </text>
    </comment>
    <comment ref="I89" authorId="0" shapeId="0" xr:uid="{12FA3A20-8D4D-49EB-87F6-C517B97C7E36}">
      <text>
        <r>
          <rPr>
            <b/>
            <sz val="9"/>
            <color indexed="81"/>
            <rFont val="Tahoma"/>
            <family val="2"/>
          </rPr>
          <t xml:space="preserve">Maurice Hoffman:
</t>
        </r>
        <r>
          <rPr>
            <sz val="9"/>
            <color indexed="81"/>
            <rFont val="Tahoma"/>
            <family val="2"/>
          </rPr>
          <t xml:space="preserve">Assuming D&amp;A trends to 12%
</t>
        </r>
      </text>
    </comment>
    <comment ref="I92" authorId="0" shapeId="0" xr:uid="{E633846B-9EAF-4061-AC09-8E9022103558}">
      <text>
        <r>
          <rPr>
            <b/>
            <sz val="9"/>
            <color indexed="81"/>
            <rFont val="Tahoma"/>
            <family val="2"/>
          </rPr>
          <t xml:space="preserve">Maurice Hoffman:
</t>
        </r>
        <r>
          <rPr>
            <sz val="9"/>
            <color indexed="81"/>
            <rFont val="Tahoma"/>
            <family val="2"/>
          </rPr>
          <t xml:space="preserve">Assuming CAPEX is Stagnant
</t>
        </r>
      </text>
    </comment>
    <comment ref="I95" authorId="0" shapeId="0" xr:uid="{9B90EFC7-A2DE-4BC7-BD32-AAF3545955BB}">
      <text>
        <r>
          <rPr>
            <b/>
            <sz val="9"/>
            <color indexed="81"/>
            <rFont val="Tahoma"/>
            <family val="2"/>
          </rPr>
          <t xml:space="preserve">Maurice Hoffman:
</t>
        </r>
        <r>
          <rPr>
            <sz val="9"/>
            <color indexed="81"/>
            <rFont val="Tahoma"/>
            <family val="2"/>
          </rPr>
          <t xml:space="preserve">Assuming %EBIAT is Stagnant
</t>
        </r>
      </text>
    </comment>
  </commentList>
</comments>
</file>

<file path=xl/sharedStrings.xml><?xml version="1.0" encoding="utf-8"?>
<sst xmlns="http://schemas.openxmlformats.org/spreadsheetml/2006/main" count="93" uniqueCount="79">
  <si>
    <t>Assumptions</t>
  </si>
  <si>
    <t>WACC</t>
  </si>
  <si>
    <t>TGR</t>
  </si>
  <si>
    <t>Income Statement ($M)</t>
  </si>
  <si>
    <t>Products</t>
  </si>
  <si>
    <t>Services</t>
  </si>
  <si>
    <t>Cost of Sales</t>
  </si>
  <si>
    <t xml:space="preserve"> Total Cost Of Sales</t>
  </si>
  <si>
    <t xml:space="preserve"> Total Net Sales</t>
  </si>
  <si>
    <t xml:space="preserve">    Gross Margin</t>
  </si>
  <si>
    <t>Operating Expenses</t>
  </si>
  <si>
    <t xml:space="preserve"> R&amp;D</t>
  </si>
  <si>
    <t xml:space="preserve"> SG&amp;A</t>
  </si>
  <si>
    <t xml:space="preserve">    Total OPEX</t>
  </si>
  <si>
    <t>Operating Income</t>
  </si>
  <si>
    <t>Income Before Taxes</t>
  </si>
  <si>
    <t>Provision For Income Tax</t>
  </si>
  <si>
    <t>Net Income</t>
  </si>
  <si>
    <t>Revenues (Net Sales)</t>
  </si>
  <si>
    <t>$AAPL</t>
  </si>
  <si>
    <r>
      <t xml:space="preserve">        </t>
    </r>
    <r>
      <rPr>
        <i/>
        <sz val="11"/>
        <color theme="1"/>
        <rFont val="Calibri"/>
        <family val="2"/>
        <scheme val="minor"/>
      </rPr>
      <t>% of Revenue</t>
    </r>
  </si>
  <si>
    <t>Interest Expense</t>
  </si>
  <si>
    <t>Interest and Investment Income</t>
  </si>
  <si>
    <t>Other Income/Expense (Total)</t>
  </si>
  <si>
    <t>Other Non Operating Income/Expense</t>
  </si>
  <si>
    <t>Taxes (%)</t>
  </si>
  <si>
    <t>DCF</t>
  </si>
  <si>
    <t>Scenario</t>
  </si>
  <si>
    <t xml:space="preserve">  % Growth</t>
  </si>
  <si>
    <t xml:space="preserve">  % of Net Sales</t>
  </si>
  <si>
    <r>
      <t xml:space="preserve">        </t>
    </r>
    <r>
      <rPr>
        <i/>
        <sz val="11"/>
        <color theme="1"/>
        <rFont val="Calibri"/>
        <family val="2"/>
        <scheme val="minor"/>
      </rPr>
      <t>% of Gross Margin</t>
    </r>
  </si>
  <si>
    <r>
      <t xml:space="preserve">  </t>
    </r>
    <r>
      <rPr>
        <i/>
        <sz val="11"/>
        <color theme="1"/>
        <rFont val="Calibri"/>
        <family val="2"/>
        <scheme val="minor"/>
      </rPr>
      <t>% of Operating Income</t>
    </r>
  </si>
  <si>
    <t>EBIAT</t>
  </si>
  <si>
    <t>D&amp;A</t>
  </si>
  <si>
    <t>CAPEX</t>
  </si>
  <si>
    <t>Change in NWC</t>
  </si>
  <si>
    <t>FCF</t>
  </si>
  <si>
    <r>
      <t xml:space="preserve">  </t>
    </r>
    <r>
      <rPr>
        <i/>
        <sz val="11"/>
        <color theme="1"/>
        <rFont val="Calibri"/>
        <family val="2"/>
        <scheme val="minor"/>
      </rPr>
      <t>% of EBIAT</t>
    </r>
  </si>
  <si>
    <t>WACC Calculations</t>
  </si>
  <si>
    <t>RFR 10YR Us Treasury Yield</t>
  </si>
  <si>
    <t>Historical S&amp;P 500 Return</t>
  </si>
  <si>
    <t>AAPL Levered Beta</t>
  </si>
  <si>
    <t>Cost of Equity (CAPM)</t>
  </si>
  <si>
    <t>Average Tax Rate</t>
  </si>
  <si>
    <t>Equity Value</t>
  </si>
  <si>
    <t>Equity Value ($M)</t>
  </si>
  <si>
    <t>Long Term Debt</t>
  </si>
  <si>
    <t>Equity %</t>
  </si>
  <si>
    <t>Debt %</t>
  </si>
  <si>
    <t>Cost of Debt</t>
  </si>
  <si>
    <t>PV of FCF</t>
  </si>
  <si>
    <t>VALUATION</t>
  </si>
  <si>
    <t>Terminal Value</t>
  </si>
  <si>
    <t>PV of Terminal Value</t>
  </si>
  <si>
    <t>Enterprise Value</t>
  </si>
  <si>
    <t>Debt</t>
  </si>
  <si>
    <t>Cash</t>
  </si>
  <si>
    <t>Diluted Shares Outstanding</t>
  </si>
  <si>
    <t>Share Price</t>
  </si>
  <si>
    <t>AAPL EBITDA</t>
  </si>
  <si>
    <t>52 Week Range</t>
  </si>
  <si>
    <t>Industry EBITDA/EV Multiple</t>
  </si>
  <si>
    <t>Low</t>
  </si>
  <si>
    <t>High</t>
  </si>
  <si>
    <t>Average</t>
  </si>
  <si>
    <t>EBITDA Multiples</t>
  </si>
  <si>
    <t>P/E Multiples</t>
  </si>
  <si>
    <t>Terminal Value Sensitivity Table</t>
  </si>
  <si>
    <t>Industry P/E Multiple</t>
  </si>
  <si>
    <t>AAPL EPS</t>
  </si>
  <si>
    <t>Summary Table</t>
  </si>
  <si>
    <t>MIN</t>
  </si>
  <si>
    <t>MAX</t>
  </si>
  <si>
    <t>EBITDA(X)</t>
  </si>
  <si>
    <t>P/E (X)</t>
  </si>
  <si>
    <t>52 Week</t>
  </si>
  <si>
    <t>Difference</t>
  </si>
  <si>
    <t>AAPL Average Valuation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</si>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</sst>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0\A"/>
    <numFmt numFmtId="165" formatCode="0\F"/>
    <numFmt numFmtId="166" formatCode="&quot;$&quot;#,##0.00"/>
    <numFmt numFmtId="167" formatCode="&quot;$&quot;#,##0"/>
    <numFmt numFmtId="168" formatCode="0.0%"/>
    <numFmt numFmtId="169" formatCode="0\x"/>
    <numFmt numFmtId="170" formatCode="_([$$-409]* #,##0_);_([$$-409]* \(#,##0\);_([$$-409]* &quot;-&quot;??_);_(@_)"/>
    <numFmt numFmtId="171" formatCode="_(&quot;$&quot;* #,##0_);_(&quot;$&quot;* \(#,##0\);_(&quot;$&quot;* &quot;-&quot;??_);_(@_)"/>
    <numFmt numFmtId="172" formatCode="0.00\x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60">
    <xf numFmtId="0" fontId="0" fillId="0" borderId="0" xfId="0"/>
    <xf numFmtId="0" fontId="5" fillId="0" borderId="0" xfId="0" applyFont="1"/>
    <xf numFmtId="0" fontId="3" fillId="0" borderId="0" xfId="0" applyFont="1"/>
    <xf numFmtId="0" fontId="0" fillId="2" borderId="1" xfId="3" applyFont="1"/>
    <xf numFmtId="0" fontId="2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164" fontId="2" fillId="3" borderId="2" xfId="0" applyNumberFormat="1" applyFont="1" applyFill="1" applyBorder="1"/>
    <xf numFmtId="164" fontId="2" fillId="3" borderId="3" xfId="0" applyNumberFormat="1" applyFont="1" applyFill="1" applyBorder="1"/>
    <xf numFmtId="0" fontId="0" fillId="4" borderId="0" xfId="0" applyFill="1"/>
    <xf numFmtId="166" fontId="0" fillId="0" borderId="0" xfId="0" applyNumberFormat="1"/>
    <xf numFmtId="167" fontId="0" fillId="0" borderId="0" xfId="0" applyNumberFormat="1"/>
    <xf numFmtId="9" fontId="0" fillId="0" borderId="0" xfId="2" applyFont="1"/>
    <xf numFmtId="0" fontId="0" fillId="0" borderId="0" xfId="0" applyBorder="1"/>
    <xf numFmtId="167" fontId="0" fillId="0" borderId="0" xfId="0" applyNumberFormat="1" applyBorder="1"/>
    <xf numFmtId="0" fontId="0" fillId="0" borderId="6" xfId="0" applyBorder="1"/>
    <xf numFmtId="167" fontId="0" fillId="0" borderId="6" xfId="0" applyNumberFormat="1" applyBorder="1"/>
    <xf numFmtId="167" fontId="0" fillId="0" borderId="7" xfId="0" applyNumberFormat="1" applyBorder="1"/>
    <xf numFmtId="167" fontId="8" fillId="0" borderId="0" xfId="0" applyNumberFormat="1" applyFont="1"/>
    <xf numFmtId="167" fontId="8" fillId="0" borderId="6" xfId="0" applyNumberFormat="1" applyFont="1" applyBorder="1"/>
    <xf numFmtId="0" fontId="8" fillId="0" borderId="0" xfId="0" applyFont="1"/>
    <xf numFmtId="167" fontId="8" fillId="0" borderId="0" xfId="0" applyNumberFormat="1" applyFont="1" applyBorder="1"/>
    <xf numFmtId="0" fontId="6" fillId="0" borderId="0" xfId="0" applyFont="1" applyFill="1" applyBorder="1"/>
    <xf numFmtId="9" fontId="8" fillId="0" borderId="0" xfId="2" applyFont="1" applyBorder="1"/>
    <xf numFmtId="9" fontId="0" fillId="2" borderId="1" xfId="2" applyFont="1" applyFill="1" applyBorder="1"/>
    <xf numFmtId="10" fontId="0" fillId="2" borderId="1" xfId="3" applyNumberFormat="1" applyFont="1"/>
    <xf numFmtId="0" fontId="0" fillId="2" borderId="1" xfId="3" applyFont="1" applyAlignment="1">
      <alignment horizontal="center"/>
    </xf>
    <xf numFmtId="10" fontId="0" fillId="2" borderId="5" xfId="2" applyNumberFormat="1" applyFont="1" applyFill="1" applyBorder="1" applyAlignment="1">
      <alignment horizontal="center"/>
    </xf>
    <xf numFmtId="9" fontId="11" fillId="0" borderId="0" xfId="2" applyFont="1" applyBorder="1"/>
    <xf numFmtId="9" fontId="11" fillId="0" borderId="0" xfId="2" applyFont="1" applyFill="1" applyBorder="1"/>
    <xf numFmtId="165" fontId="3" fillId="4" borderId="2" xfId="0" applyNumberFormat="1" applyFont="1" applyFill="1" applyBorder="1"/>
    <xf numFmtId="165" fontId="3" fillId="4" borderId="3" xfId="0" applyNumberFormat="1" applyFont="1" applyFill="1" applyBorder="1"/>
    <xf numFmtId="165" fontId="3" fillId="4" borderId="4" xfId="0" applyNumberFormat="1" applyFont="1" applyFill="1" applyBorder="1"/>
    <xf numFmtId="9" fontId="0" fillId="0" borderId="0" xfId="2" applyFont="1" applyBorder="1"/>
    <xf numFmtId="168" fontId="0" fillId="0" borderId="0" xfId="2" applyNumberFormat="1" applyFont="1" applyBorder="1"/>
    <xf numFmtId="10" fontId="0" fillId="2" borderId="1" xfId="2" applyNumberFormat="1" applyFont="1" applyFill="1" applyBorder="1"/>
    <xf numFmtId="10" fontId="11" fillId="0" borderId="0" xfId="2" applyNumberFormat="1" applyFont="1" applyFill="1" applyBorder="1"/>
    <xf numFmtId="9" fontId="0" fillId="2" borderId="1" xfId="3" applyNumberFormat="1" applyFont="1"/>
    <xf numFmtId="0" fontId="7" fillId="0" borderId="0" xfId="0" applyFont="1"/>
    <xf numFmtId="9" fontId="8" fillId="0" borderId="0" xfId="2" applyFont="1"/>
    <xf numFmtId="168" fontId="8" fillId="0" borderId="0" xfId="2" applyNumberFormat="1" applyFont="1"/>
    <xf numFmtId="168" fontId="0" fillId="2" borderId="1" xfId="3" applyNumberFormat="1" applyFon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1" applyNumberFormat="1" applyFont="1"/>
    <xf numFmtId="167" fontId="4" fillId="0" borderId="0" xfId="0" applyNumberFormat="1" applyFont="1"/>
    <xf numFmtId="9" fontId="3" fillId="0" borderId="0" xfId="2" applyFont="1" applyAlignment="1">
      <alignment horizontal="center"/>
    </xf>
    <xf numFmtId="9" fontId="3" fillId="0" borderId="0" xfId="2" applyFont="1" applyAlignment="1">
      <alignment horizontal="right"/>
    </xf>
    <xf numFmtId="172" fontId="0" fillId="0" borderId="0" xfId="0" applyNumberFormat="1"/>
    <xf numFmtId="2" fontId="0" fillId="0" borderId="0" xfId="0" applyNumberFormat="1"/>
    <xf numFmtId="166" fontId="3" fillId="0" borderId="0" xfId="0" applyNumberFormat="1" applyFont="1"/>
    <xf numFmtId="0" fontId="3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4">
    <cellStyle name="Currency" xfId="1" builtinId="4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Football Field 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'AAPL DCF'!$F$114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'AAPL DCF'!$E$115:$E$118</c:f>
              <c:strCache>
                <c:ptCount val="4"/>
                <c:pt idx="0">
                  <c:v>DCF</c:v>
                </c:pt>
                <c:pt idx="1">
                  <c:v>EBITDA(X)</c:v>
                </c:pt>
                <c:pt idx="2">
                  <c:v>P/E (X)</c:v>
                </c:pt>
                <c:pt idx="3">
                  <c:v>52 Week</c:v>
                </c:pt>
              </c:strCache>
            </c:strRef>
          </c:cat>
          <c:val>
            <c:numRef>
              <c:f>'AAPL DCF'!$F$115:$F$118</c:f>
              <c:numCache>
                <c:formatCode>General</c:formatCode>
                <c:ptCount val="4"/>
                <c:pt idx="0">
                  <c:v>122.57</c:v>
                </c:pt>
                <c:pt idx="1">
                  <c:v>153.32</c:v>
                </c:pt>
                <c:pt idx="2">
                  <c:v>81.349999999999994</c:v>
                </c:pt>
                <c:pt idx="3" formatCode="&quot;$&quot;#,##0">
                  <c:v>112.59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3-4BC5-A2E2-B60B9B6069D3}"/>
            </c:ext>
          </c:extLst>
        </c:ser>
        <c:ser>
          <c:idx val="1"/>
          <c:order val="1"/>
          <c:tx>
            <c:strRef>
              <c:f>'AAPL DCF'!$G$114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'AAPL DCF'!$E$115:$E$118</c:f>
              <c:strCache>
                <c:ptCount val="4"/>
                <c:pt idx="0">
                  <c:v>DCF</c:v>
                </c:pt>
                <c:pt idx="1">
                  <c:v>EBITDA(X)</c:v>
                </c:pt>
                <c:pt idx="2">
                  <c:v>P/E (X)</c:v>
                </c:pt>
                <c:pt idx="3">
                  <c:v>52 Week</c:v>
                </c:pt>
              </c:strCache>
            </c:strRef>
          </c:cat>
          <c:val>
            <c:numRef>
              <c:f>'AAPL DCF'!$G$115:$G$118</c:f>
              <c:numCache>
                <c:formatCode>0.00</c:formatCode>
                <c:ptCount val="4"/>
                <c:pt idx="0">
                  <c:v>51.010000000000019</c:v>
                </c:pt>
                <c:pt idx="1">
                  <c:v>28.680000000000007</c:v>
                </c:pt>
                <c:pt idx="2">
                  <c:v>80.84</c:v>
                </c:pt>
                <c:pt idx="3">
                  <c:v>53.109999999999985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3-4BC5-A2E2-B60B9B6069D3}"/>
            </c:ext>
          </c:extLst>
        </c:ser>
        <c:ser>
          <c:idx val="2"/>
          <c:order val="2"/>
          <c:tx>
            <c:strRef>
              <c:f>'AAPL DCF'!$H$114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'AAPL DCF'!$E$115:$E$118</c:f>
              <c:strCache>
                <c:ptCount val="4"/>
                <c:pt idx="0">
                  <c:v>DCF</c:v>
                </c:pt>
                <c:pt idx="1">
                  <c:v>EBITDA(X)</c:v>
                </c:pt>
                <c:pt idx="2">
                  <c:v>P/E (X)</c:v>
                </c:pt>
                <c:pt idx="3">
                  <c:v>52 Week</c:v>
                </c:pt>
              </c:strCache>
            </c:strRef>
          </c:cat>
          <c:val>
            <c:numRef>
              <c:f>'AAPL DCF'!$H$115:$H$118</c:f>
              <c:numCache>
                <c:formatCode>General</c:formatCode>
                <c:ptCount val="4"/>
                <c:pt idx="0">
                  <c:v>173.58</c:v>
                </c:pt>
                <c:pt idx="1">
                  <c:v>182</c:v>
                </c:pt>
                <c:pt idx="2">
                  <c:v>162.19</c:v>
                </c:pt>
                <c:pt idx="3" formatCode="&quot;$&quot;#,##0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3-4BC5-A2E2-B60B9B6069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1173568"/>
        <c:axId val="961173152"/>
      </c:barChart>
      <c:catAx>
        <c:axId val="96117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73152"/>
        <c:crosses val="autoZero"/>
        <c:auto val="1"/>
        <c:lblAlgn val="ctr"/>
        <c:lblOffset val="100"/>
        <c:noMultiLvlLbl val="0"/>
      </c:catAx>
      <c:valAx>
        <c:axId val="9611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103</xdr:row>
      <xdr:rowOff>171451</xdr:rowOff>
    </xdr:from>
    <xdr:to>
      <xdr:col>8</xdr:col>
      <xdr:colOff>923925</xdr:colOff>
      <xdr:row>104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14BDF95-CBBE-468D-836F-7811E874AC38}"/>
            </a:ext>
          </a:extLst>
        </xdr:cNvPr>
        <xdr:cNvSpPr txBox="1"/>
      </xdr:nvSpPr>
      <xdr:spPr>
        <a:xfrm>
          <a:off x="5019675" y="20021551"/>
          <a:ext cx="4410075" cy="152399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WACC</a:t>
          </a:r>
        </a:p>
      </xdr:txBody>
    </xdr:sp>
    <xdr:clientData/>
  </xdr:twoCellAnchor>
  <xdr:twoCellAnchor>
    <xdr:from>
      <xdr:col>4</xdr:col>
      <xdr:colOff>161925</xdr:colOff>
      <xdr:row>103</xdr:row>
      <xdr:rowOff>171447</xdr:rowOff>
    </xdr:from>
    <xdr:to>
      <xdr:col>4</xdr:col>
      <xdr:colOff>428628</xdr:colOff>
      <xdr:row>110</xdr:row>
      <xdr:rowOff>9522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F6147BC-20A7-4CC8-9312-5258A2A0C235}"/>
            </a:ext>
          </a:extLst>
        </xdr:cNvPr>
        <xdr:cNvSpPr txBox="1"/>
      </xdr:nvSpPr>
      <xdr:spPr>
        <a:xfrm rot="16200000">
          <a:off x="4567239" y="20473983"/>
          <a:ext cx="1171575" cy="266703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TGR</a:t>
          </a:r>
        </a:p>
      </xdr:txBody>
    </xdr:sp>
    <xdr:clientData/>
  </xdr:twoCellAnchor>
  <xdr:twoCellAnchor>
    <xdr:from>
      <xdr:col>3</xdr:col>
      <xdr:colOff>742950</xdr:colOff>
      <xdr:row>111</xdr:row>
      <xdr:rowOff>71437</xdr:rowOff>
    </xdr:from>
    <xdr:to>
      <xdr:col>8</xdr:col>
      <xdr:colOff>876300</xdr:colOff>
      <xdr:row>125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FD9331-A38B-410B-80B1-3017DBB75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7BDC-7A3D-433F-9761-81A2B92358D4}">
  <dimension ref="A1:Q139"/>
  <sheetViews>
    <sheetView showGridLines="0" tabSelected="1" workbookViewId="0">
      <pane xSplit="2" ySplit="8" topLeftCell="C9" activePane="bottomRight" state="frozen"/>
      <selection pane="topRight" activeCell="C1" sqref="C1"/>
      <selection pane="bottomLeft" activeCell="A8" sqref="A8"/>
      <selection pane="bottomRight" activeCell="Q19" sqref="Q19"/>
    </sheetView>
  </sheetViews>
  <sheetFormatPr defaultRowHeight="15" x14ac:dyDescent="0.25"/>
  <cols>
    <col min="1" max="1" width="36.7109375" bestFit="1" customWidth="1"/>
    <col min="2" max="2" width="11.5703125" bestFit="1" customWidth="1"/>
    <col min="3" max="3" width="12.7109375" bestFit="1" customWidth="1"/>
    <col min="4" max="5" width="11.85546875" bestFit="1" customWidth="1"/>
    <col min="6" max="9" width="14.28515625" bestFit="1" customWidth="1"/>
    <col min="10" max="15" width="8.5703125" bestFit="1" customWidth="1"/>
    <col min="16" max="17" width="10.140625" bestFit="1" customWidth="1"/>
  </cols>
  <sheetData>
    <row r="1" spans="1:17" ht="31.5" x14ac:dyDescent="0.5">
      <c r="A1" s="1" t="s">
        <v>19</v>
      </c>
    </row>
    <row r="2" spans="1:17" x14ac:dyDescent="0.25">
      <c r="A2" s="58" t="s">
        <v>0</v>
      </c>
      <c r="B2" s="59"/>
    </row>
    <row r="3" spans="1:17" x14ac:dyDescent="0.25">
      <c r="A3" t="s">
        <v>27</v>
      </c>
      <c r="B3" s="29" t="s">
        <v>78</v>
      </c>
    </row>
    <row r="4" spans="1:17" x14ac:dyDescent="0.25">
      <c r="A4" t="s">
        <v>2</v>
      </c>
      <c r="B4" s="30">
        <v>0.02</v>
      </c>
    </row>
    <row r="5" spans="1:17" x14ac:dyDescent="0.25">
      <c r="A5" t="s">
        <v>1</v>
      </c>
      <c r="B5" s="30">
        <f>B81</f>
        <v>9.2608107176034876E-2</v>
      </c>
    </row>
    <row r="8" spans="1:17" x14ac:dyDescent="0.25">
      <c r="C8" s="10">
        <v>2016</v>
      </c>
      <c r="D8" s="11">
        <f>C8+1</f>
        <v>2017</v>
      </c>
      <c r="E8" s="11">
        <f t="shared" ref="E8:H8" si="0">D8+1</f>
        <v>2018</v>
      </c>
      <c r="F8" s="11">
        <f t="shared" si="0"/>
        <v>2019</v>
      </c>
      <c r="G8" s="11">
        <f t="shared" si="0"/>
        <v>2020</v>
      </c>
      <c r="H8" s="11">
        <f t="shared" si="0"/>
        <v>2021</v>
      </c>
      <c r="I8" s="33">
        <f t="shared" ref="I8:Q8" si="1">H8+1</f>
        <v>2022</v>
      </c>
      <c r="J8" s="34">
        <f t="shared" si="1"/>
        <v>2023</v>
      </c>
      <c r="K8" s="34">
        <f t="shared" si="1"/>
        <v>2024</v>
      </c>
      <c r="L8" s="34">
        <f t="shared" si="1"/>
        <v>2025</v>
      </c>
      <c r="M8" s="34">
        <f t="shared" si="1"/>
        <v>2026</v>
      </c>
      <c r="N8" s="34">
        <f t="shared" si="1"/>
        <v>2027</v>
      </c>
      <c r="O8" s="34">
        <f t="shared" si="1"/>
        <v>2028</v>
      </c>
      <c r="P8" s="34">
        <f t="shared" si="1"/>
        <v>2029</v>
      </c>
      <c r="Q8" s="35">
        <f t="shared" si="1"/>
        <v>2030</v>
      </c>
    </row>
    <row r="9" spans="1:17" x14ac:dyDescent="0.25">
      <c r="A9" s="4" t="s">
        <v>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1" spans="1:17" x14ac:dyDescent="0.25">
      <c r="A11" s="2" t="s">
        <v>18</v>
      </c>
    </row>
    <row r="12" spans="1:17" x14ac:dyDescent="0.25">
      <c r="A12" s="8" t="s">
        <v>4</v>
      </c>
      <c r="C12" s="12"/>
      <c r="D12" s="12"/>
      <c r="E12" s="12"/>
      <c r="F12" s="21">
        <v>213883</v>
      </c>
      <c r="G12" s="21">
        <v>220747</v>
      </c>
      <c r="H12" s="21">
        <v>297392</v>
      </c>
    </row>
    <row r="13" spans="1:17" x14ac:dyDescent="0.25">
      <c r="A13" s="9" t="s">
        <v>5</v>
      </c>
      <c r="C13" s="12"/>
      <c r="D13" s="12"/>
      <c r="E13" s="12"/>
      <c r="F13" s="21">
        <v>46291</v>
      </c>
      <c r="G13" s="21">
        <v>53768</v>
      </c>
      <c r="H13" s="21">
        <v>68425</v>
      </c>
    </row>
    <row r="14" spans="1:17" x14ac:dyDescent="0.25">
      <c r="A14" s="9"/>
    </row>
    <row r="15" spans="1:17" x14ac:dyDescent="0.25">
      <c r="A15" s="9" t="s">
        <v>8</v>
      </c>
      <c r="C15" s="22">
        <v>215639</v>
      </c>
      <c r="D15" s="22">
        <v>229234</v>
      </c>
      <c r="E15" s="22">
        <v>265595</v>
      </c>
      <c r="F15" s="19">
        <f>F12+F13</f>
        <v>260174</v>
      </c>
      <c r="G15" s="19">
        <f t="shared" ref="G15:H15" si="2">G12+G13</f>
        <v>274515</v>
      </c>
      <c r="H15" s="19">
        <f t="shared" si="2"/>
        <v>365817</v>
      </c>
      <c r="I15" s="14">
        <f>H15*(1+I16)</f>
        <v>435322.23</v>
      </c>
      <c r="J15" s="14">
        <f t="shared" ref="J15:Q15" si="3">I15*(1+J16)</f>
        <v>513680.23139999993</v>
      </c>
      <c r="K15" s="14">
        <f t="shared" si="3"/>
        <v>603207.35744399996</v>
      </c>
      <c r="L15" s="14">
        <f t="shared" si="3"/>
        <v>704890.88341313135</v>
      </c>
      <c r="M15" s="14">
        <f t="shared" si="3"/>
        <v>819687.39871184132</v>
      </c>
      <c r="N15" s="14">
        <f t="shared" si="3"/>
        <v>948495.41850941652</v>
      </c>
      <c r="O15" s="14">
        <f t="shared" si="3"/>
        <v>1092124.7247408426</v>
      </c>
      <c r="P15" s="14">
        <f t="shared" si="3"/>
        <v>1251262.8989173656</v>
      </c>
      <c r="Q15" s="14">
        <f t="shared" si="3"/>
        <v>1426439.7047657969</v>
      </c>
    </row>
    <row r="16" spans="1:17" x14ac:dyDescent="0.25">
      <c r="A16" s="25" t="s">
        <v>28</v>
      </c>
      <c r="C16" s="24"/>
      <c r="D16" s="31">
        <f>D15/C15-1</f>
        <v>6.304518199398057E-2</v>
      </c>
      <c r="E16" s="31">
        <f t="shared" ref="E16:H16" si="4">E15/D15-1</f>
        <v>0.15861957650261305</v>
      </c>
      <c r="F16" s="31">
        <f t="shared" si="4"/>
        <v>-2.04107758052674E-2</v>
      </c>
      <c r="G16" s="31">
        <f t="shared" si="4"/>
        <v>5.5120803769784787E-2</v>
      </c>
      <c r="H16" s="31">
        <f t="shared" si="4"/>
        <v>0.33259384733074704</v>
      </c>
      <c r="I16" s="32">
        <f t="shared" ref="I16:Q16" si="5">IF(Case="A",I17, IF(Case="B",I18,I19))</f>
        <v>0.19</v>
      </c>
      <c r="J16" s="32">
        <f t="shared" si="5"/>
        <v>0.18</v>
      </c>
      <c r="K16" s="32">
        <f t="shared" si="5"/>
        <v>0.17428571428571429</v>
      </c>
      <c r="L16" s="32">
        <f t="shared" si="5"/>
        <v>0.16857142857142859</v>
      </c>
      <c r="M16" s="32">
        <f t="shared" si="5"/>
        <v>0.16285714285714289</v>
      </c>
      <c r="N16" s="32">
        <f t="shared" si="5"/>
        <v>0.1571428571428572</v>
      </c>
      <c r="O16" s="32">
        <f t="shared" si="5"/>
        <v>0.1514285714285715</v>
      </c>
      <c r="P16" s="32">
        <f t="shared" si="5"/>
        <v>0.1457142857142858</v>
      </c>
      <c r="Q16" s="32">
        <f t="shared" si="5"/>
        <v>0.14000000000000001</v>
      </c>
    </row>
    <row r="17" spans="1:17" x14ac:dyDescent="0.25">
      <c r="A17" s="25"/>
      <c r="C17" s="24"/>
      <c r="D17" s="26"/>
      <c r="E17" s="26"/>
      <c r="F17" s="26"/>
      <c r="G17" s="26"/>
      <c r="H17" s="26"/>
      <c r="I17" s="27">
        <v>0.19</v>
      </c>
      <c r="J17" s="27">
        <v>0.18</v>
      </c>
      <c r="K17" s="27">
        <f>J17-($J$17-$Q$17)/($Q$8-$J$8)</f>
        <v>0.20285714285714285</v>
      </c>
      <c r="L17" s="27">
        <f t="shared" ref="L17:P17" si="6">K17-($J$17-$Q$17)/($Q$8-$J$8)</f>
        <v>0.2257142857142857</v>
      </c>
      <c r="M17" s="27">
        <f t="shared" si="6"/>
        <v>0.24857142857142855</v>
      </c>
      <c r="N17" s="27">
        <f t="shared" si="6"/>
        <v>0.27142857142857141</v>
      </c>
      <c r="O17" s="27">
        <f t="shared" si="6"/>
        <v>0.29428571428571426</v>
      </c>
      <c r="P17" s="27">
        <f t="shared" si="6"/>
        <v>0.31714285714285712</v>
      </c>
      <c r="Q17" s="27">
        <v>0.34</v>
      </c>
    </row>
    <row r="18" spans="1:17" x14ac:dyDescent="0.25">
      <c r="A18" s="25"/>
      <c r="C18" s="24"/>
      <c r="D18" s="26"/>
      <c r="E18" s="26"/>
      <c r="F18" s="26"/>
      <c r="G18" s="26"/>
      <c r="H18" s="26"/>
      <c r="I18" s="27">
        <v>0.19</v>
      </c>
      <c r="J18" s="27">
        <v>0.18</v>
      </c>
      <c r="K18" s="27">
        <f>J18-($J$18-$Q$18)/($Q$8-$J$8)</f>
        <v>0.17428571428571429</v>
      </c>
      <c r="L18" s="27">
        <f t="shared" ref="L18:P18" si="7">K18-($J$18-$Q$18)/($Q$8-$J$8)</f>
        <v>0.16857142857142859</v>
      </c>
      <c r="M18" s="27">
        <f t="shared" si="7"/>
        <v>0.16285714285714289</v>
      </c>
      <c r="N18" s="27">
        <f t="shared" si="7"/>
        <v>0.1571428571428572</v>
      </c>
      <c r="O18" s="27">
        <f t="shared" si="7"/>
        <v>0.1514285714285715</v>
      </c>
      <c r="P18" s="27">
        <f t="shared" si="7"/>
        <v>0.1457142857142858</v>
      </c>
      <c r="Q18" s="27">
        <v>0.14000000000000001</v>
      </c>
    </row>
    <row r="19" spans="1:17" x14ac:dyDescent="0.25">
      <c r="A19" s="25"/>
      <c r="C19" s="24"/>
      <c r="D19" s="26"/>
      <c r="E19" s="26"/>
      <c r="F19" s="26"/>
      <c r="G19" s="26"/>
      <c r="H19" s="26"/>
      <c r="I19" s="27">
        <v>0.19</v>
      </c>
      <c r="J19" s="27">
        <v>0.18</v>
      </c>
      <c r="K19" s="27">
        <f>J19-($J$19-$Q$19)/($Q$8-$J$8)</f>
        <v>0.1657142857142857</v>
      </c>
      <c r="L19" s="27">
        <f t="shared" ref="L19:P19" si="8">K19-($J$19-$Q$19)/($Q$8-$J$8)</f>
        <v>0.15142857142857141</v>
      </c>
      <c r="M19" s="27">
        <f t="shared" si="8"/>
        <v>0.13714285714285712</v>
      </c>
      <c r="N19" s="27">
        <f t="shared" si="8"/>
        <v>0.12285714285714283</v>
      </c>
      <c r="O19" s="27">
        <f t="shared" si="8"/>
        <v>0.10857142857142854</v>
      </c>
      <c r="P19" s="27">
        <f t="shared" si="8"/>
        <v>9.4285714285714251E-2</v>
      </c>
      <c r="Q19" s="27">
        <v>0.08</v>
      </c>
    </row>
    <row r="20" spans="1:17" x14ac:dyDescent="0.25">
      <c r="A20" s="9"/>
      <c r="C20" s="24"/>
      <c r="D20" s="24"/>
      <c r="E20" s="24"/>
      <c r="F20" s="17"/>
      <c r="G20" s="17"/>
      <c r="H20" s="17"/>
    </row>
    <row r="22" spans="1:17" x14ac:dyDescent="0.25">
      <c r="A22" s="2" t="s">
        <v>6</v>
      </c>
    </row>
    <row r="23" spans="1:17" x14ac:dyDescent="0.25">
      <c r="A23" t="s">
        <v>4</v>
      </c>
      <c r="C23" s="12"/>
      <c r="D23" s="12"/>
      <c r="E23" s="12"/>
      <c r="F23" s="23">
        <v>144996</v>
      </c>
      <c r="G23" s="23">
        <v>151286</v>
      </c>
      <c r="H23" s="23">
        <v>192266</v>
      </c>
    </row>
    <row r="24" spans="1:17" x14ac:dyDescent="0.25">
      <c r="A24" t="s">
        <v>5</v>
      </c>
      <c r="C24" s="12"/>
      <c r="D24" s="12"/>
      <c r="E24" s="12"/>
      <c r="F24" s="23">
        <v>16786</v>
      </c>
      <c r="G24" s="23">
        <v>18273</v>
      </c>
      <c r="H24" s="23">
        <v>20715</v>
      </c>
    </row>
    <row r="25" spans="1:17" x14ac:dyDescent="0.25">
      <c r="A25" t="s">
        <v>7</v>
      </c>
      <c r="C25" s="22">
        <v>-131376</v>
      </c>
      <c r="D25" s="22">
        <v>-141048</v>
      </c>
      <c r="E25" s="22">
        <v>-163756</v>
      </c>
      <c r="F25" s="19">
        <f>-(F23+F24)</f>
        <v>-161782</v>
      </c>
      <c r="G25" s="19">
        <f t="shared" ref="G25:H25" si="9">-(G23+G24)</f>
        <v>-169559</v>
      </c>
      <c r="H25" s="19">
        <f t="shared" si="9"/>
        <v>-212981</v>
      </c>
      <c r="I25" s="14">
        <f>I26*I15</f>
        <v>270693.0785315212</v>
      </c>
      <c r="J25" s="14">
        <f t="shared" ref="J25:Q25" si="10">J26*J15</f>
        <v>308208.13883999997</v>
      </c>
      <c r="K25" s="14">
        <f t="shared" si="10"/>
        <v>362826.3659518396</v>
      </c>
      <c r="L25" s="14">
        <f t="shared" si="10"/>
        <v>425042.51951956342</v>
      </c>
      <c r="M25" s="14">
        <f t="shared" si="10"/>
        <v>495489.37514842895</v>
      </c>
      <c r="N25" s="14">
        <f t="shared" si="10"/>
        <v>574770.23795569292</v>
      </c>
      <c r="O25" s="14">
        <f t="shared" si="10"/>
        <v>663439.88377510314</v>
      </c>
      <c r="P25" s="14">
        <f t="shared" si="10"/>
        <v>761983.51519442955</v>
      </c>
      <c r="Q25" s="14">
        <f t="shared" si="10"/>
        <v>870794.10473201168</v>
      </c>
    </row>
    <row r="26" spans="1:17" x14ac:dyDescent="0.25">
      <c r="A26" s="25" t="s">
        <v>29</v>
      </c>
      <c r="C26" s="31">
        <f>-C25/C15</f>
        <v>0.60924044351902951</v>
      </c>
      <c r="D26" s="31">
        <f t="shared" ref="D26:H26" si="11">-D25/D15</f>
        <v>0.6153013950810089</v>
      </c>
      <c r="E26" s="31">
        <f t="shared" si="11"/>
        <v>0.6165628117999209</v>
      </c>
      <c r="F26" s="31">
        <f t="shared" si="11"/>
        <v>0.62182231890965278</v>
      </c>
      <c r="G26" s="31">
        <f t="shared" si="11"/>
        <v>0.61766752272189129</v>
      </c>
      <c r="H26" s="31">
        <f t="shared" si="11"/>
        <v>0.58220640374832222</v>
      </c>
      <c r="I26" s="32">
        <f t="shared" ref="I26:Q26" si="12">IF(Case="A",I27, IF(Case="B",I28,I29))</f>
        <v>0.62182231890965278</v>
      </c>
      <c r="J26" s="32">
        <f t="shared" si="12"/>
        <v>0.6</v>
      </c>
      <c r="K26" s="32">
        <f t="shared" si="12"/>
        <v>0.60149525942332915</v>
      </c>
      <c r="L26" s="32">
        <f t="shared" si="12"/>
        <v>0.60299051884665833</v>
      </c>
      <c r="M26" s="32">
        <f t="shared" si="12"/>
        <v>0.60448577826998751</v>
      </c>
      <c r="N26" s="32">
        <f t="shared" si="12"/>
        <v>0.60598103769331668</v>
      </c>
      <c r="O26" s="32">
        <f t="shared" si="12"/>
        <v>0.60747629711664586</v>
      </c>
      <c r="P26" s="32">
        <f t="shared" si="12"/>
        <v>0.60897155653997503</v>
      </c>
      <c r="Q26" s="32">
        <f t="shared" si="12"/>
        <v>0.61046681596330421</v>
      </c>
    </row>
    <row r="27" spans="1:17" x14ac:dyDescent="0.25">
      <c r="A27" s="25"/>
      <c r="C27" s="26"/>
      <c r="D27" s="26"/>
      <c r="E27" s="26"/>
      <c r="F27" s="26"/>
      <c r="G27" s="26"/>
      <c r="H27" s="26"/>
      <c r="I27" s="27">
        <f>MAX(C26:H26)</f>
        <v>0.62182231890965278</v>
      </c>
      <c r="J27" s="27">
        <v>0.61</v>
      </c>
      <c r="K27" s="27">
        <f>J27-($J$27-$Q$27)/($Q$8-$J$8)</f>
        <v>0.60602948624976027</v>
      </c>
      <c r="L27" s="27">
        <f t="shared" ref="L27:P27" si="13">K27-($J$27-$Q$27)/($Q$8-$J$8)</f>
        <v>0.60205897249952056</v>
      </c>
      <c r="M27" s="27">
        <f t="shared" si="13"/>
        <v>0.59808845874928085</v>
      </c>
      <c r="N27" s="27">
        <f t="shared" si="13"/>
        <v>0.59411794499904114</v>
      </c>
      <c r="O27" s="27">
        <f t="shared" si="13"/>
        <v>0.59014743124880142</v>
      </c>
      <c r="P27" s="27">
        <f t="shared" si="13"/>
        <v>0.58617691749856171</v>
      </c>
      <c r="Q27" s="27">
        <f>MIN(C26:H26)</f>
        <v>0.58220640374832222</v>
      </c>
    </row>
    <row r="28" spans="1:17" x14ac:dyDescent="0.25">
      <c r="A28" s="25"/>
      <c r="C28" s="26"/>
      <c r="D28" s="26"/>
      <c r="E28" s="26"/>
      <c r="F28" s="26"/>
      <c r="G28" s="26"/>
      <c r="H28" s="26"/>
      <c r="I28" s="27">
        <f>I27</f>
        <v>0.62182231890965278</v>
      </c>
      <c r="J28" s="27">
        <v>0.6</v>
      </c>
      <c r="K28" s="27">
        <f>J28-($J$28-$Q$28)/($Q$8-$J$8)</f>
        <v>0.60149525942332915</v>
      </c>
      <c r="L28" s="27">
        <f t="shared" ref="L28:P28" si="14">K28-($J$28-$Q$28)/($Q$8-$J$8)</f>
        <v>0.60299051884665833</v>
      </c>
      <c r="M28" s="27">
        <f t="shared" si="14"/>
        <v>0.60448577826998751</v>
      </c>
      <c r="N28" s="27">
        <f t="shared" si="14"/>
        <v>0.60598103769331668</v>
      </c>
      <c r="O28" s="27">
        <f t="shared" si="14"/>
        <v>0.60747629711664586</v>
      </c>
      <c r="P28" s="27">
        <f t="shared" si="14"/>
        <v>0.60897155653997503</v>
      </c>
      <c r="Q28" s="27">
        <f>AVERAGE(C26:H26)</f>
        <v>0.61046681596330421</v>
      </c>
    </row>
    <row r="29" spans="1:17" x14ac:dyDescent="0.25">
      <c r="A29" s="25"/>
      <c r="C29" s="26"/>
      <c r="D29" s="26"/>
      <c r="E29" s="26"/>
      <c r="F29" s="26"/>
      <c r="G29" s="26"/>
      <c r="H29" s="26"/>
      <c r="I29" s="27">
        <f>I28</f>
        <v>0.62182231890965278</v>
      </c>
      <c r="J29" s="27">
        <v>0.6</v>
      </c>
      <c r="K29" s="27">
        <f>J29-($J$29-$Q$29)/($Q$8-$J$8)</f>
        <v>0.61026033127280754</v>
      </c>
      <c r="L29" s="27">
        <f t="shared" ref="L29:P29" si="15">K29-($J$29-$Q$29)/($Q$8-$J$8)</f>
        <v>0.62052066254561511</v>
      </c>
      <c r="M29" s="27">
        <f t="shared" si="15"/>
        <v>0.63078099381842268</v>
      </c>
      <c r="N29" s="27">
        <f t="shared" si="15"/>
        <v>0.64104132509123024</v>
      </c>
      <c r="O29" s="27">
        <f t="shared" si="15"/>
        <v>0.65130165636403781</v>
      </c>
      <c r="P29" s="27">
        <f t="shared" si="15"/>
        <v>0.66156198763684537</v>
      </c>
      <c r="Q29" s="27">
        <f>MAX(C26:H26)+0.05</f>
        <v>0.67182231890965283</v>
      </c>
    </row>
    <row r="30" spans="1:17" x14ac:dyDescent="0.25">
      <c r="A30" s="25"/>
      <c r="C30" s="26"/>
      <c r="D30" s="26"/>
      <c r="E30" s="26"/>
      <c r="F30" s="26"/>
      <c r="G30" s="26"/>
      <c r="H30" s="26"/>
    </row>
    <row r="31" spans="1:17" x14ac:dyDescent="0.25">
      <c r="C31" s="24"/>
      <c r="D31" s="24"/>
      <c r="E31" s="24"/>
      <c r="F31" s="17"/>
      <c r="G31" s="17"/>
      <c r="H31" s="17"/>
    </row>
    <row r="32" spans="1:17" x14ac:dyDescent="0.25">
      <c r="C32" s="14"/>
      <c r="D32" s="14"/>
      <c r="E32" s="14"/>
      <c r="F32" s="14"/>
      <c r="G32" s="14"/>
      <c r="H32" s="14"/>
    </row>
    <row r="33" spans="1:17" x14ac:dyDescent="0.25">
      <c r="A33" s="2" t="s">
        <v>9</v>
      </c>
      <c r="C33" s="14">
        <f>C15+C25</f>
        <v>84263</v>
      </c>
      <c r="D33" s="14">
        <f t="shared" ref="D33:H33" si="16">D15+D25</f>
        <v>88186</v>
      </c>
      <c r="E33" s="14">
        <f t="shared" si="16"/>
        <v>101839</v>
      </c>
      <c r="F33" s="14">
        <f t="shared" si="16"/>
        <v>98392</v>
      </c>
      <c r="G33" s="14">
        <f t="shared" si="16"/>
        <v>104956</v>
      </c>
      <c r="H33" s="14">
        <f t="shared" si="16"/>
        <v>152836</v>
      </c>
      <c r="I33" s="14">
        <f>I15-I25</f>
        <v>164629.15146847878</v>
      </c>
      <c r="J33" s="14">
        <f t="shared" ref="J33:Q33" si="17">J15-J25</f>
        <v>205472.09255999996</v>
      </c>
      <c r="K33" s="14">
        <f t="shared" si="17"/>
        <v>240380.99149216036</v>
      </c>
      <c r="L33" s="14">
        <f t="shared" si="17"/>
        <v>279848.36389356793</v>
      </c>
      <c r="M33" s="14">
        <f t="shared" si="17"/>
        <v>324198.02356341237</v>
      </c>
      <c r="N33" s="14">
        <f t="shared" si="17"/>
        <v>373725.18055372359</v>
      </c>
      <c r="O33" s="14">
        <f t="shared" si="17"/>
        <v>428684.84096573945</v>
      </c>
      <c r="P33" s="14">
        <f t="shared" si="17"/>
        <v>489279.38372293604</v>
      </c>
      <c r="Q33" s="14">
        <f t="shared" si="17"/>
        <v>555645.60003378522</v>
      </c>
    </row>
    <row r="34" spans="1:17" s="8" customFormat="1" x14ac:dyDescent="0.25">
      <c r="A34" s="8" t="s">
        <v>20</v>
      </c>
      <c r="C34" s="15">
        <f>C33/C15</f>
        <v>0.39075955648097049</v>
      </c>
      <c r="D34" s="15">
        <f t="shared" ref="D34:H34" si="18">D33/D15</f>
        <v>0.38469860491899105</v>
      </c>
      <c r="E34" s="15">
        <f t="shared" si="18"/>
        <v>0.38343718820007905</v>
      </c>
      <c r="F34" s="15">
        <f t="shared" si="18"/>
        <v>0.37817768109034722</v>
      </c>
      <c r="G34" s="15">
        <f t="shared" si="18"/>
        <v>0.38233247727810865</v>
      </c>
      <c r="H34" s="15">
        <f t="shared" si="18"/>
        <v>0.41779359625167778</v>
      </c>
      <c r="I34" s="15">
        <f>I33/I15</f>
        <v>0.37817768109034722</v>
      </c>
      <c r="J34" s="15">
        <f t="shared" ref="J34:Q34" si="19">J33/J15</f>
        <v>0.39999999999999997</v>
      </c>
      <c r="K34" s="15">
        <f t="shared" si="19"/>
        <v>0.39850474057667085</v>
      </c>
      <c r="L34" s="15">
        <f t="shared" si="19"/>
        <v>0.39700948115334167</v>
      </c>
      <c r="M34" s="15">
        <f t="shared" si="19"/>
        <v>0.39551422173001249</v>
      </c>
      <c r="N34" s="15">
        <f t="shared" si="19"/>
        <v>0.39401896230668332</v>
      </c>
      <c r="O34" s="15">
        <f t="shared" si="19"/>
        <v>0.39252370288335414</v>
      </c>
      <c r="P34" s="15">
        <f t="shared" si="19"/>
        <v>0.39102844346002497</v>
      </c>
      <c r="Q34" s="15">
        <f t="shared" si="19"/>
        <v>0.38953318403669585</v>
      </c>
    </row>
    <row r="36" spans="1:17" x14ac:dyDescent="0.25">
      <c r="A36" s="2" t="s">
        <v>10</v>
      </c>
    </row>
    <row r="37" spans="1:17" x14ac:dyDescent="0.25">
      <c r="A37" t="s">
        <v>11</v>
      </c>
      <c r="C37" s="21">
        <v>-10045</v>
      </c>
      <c r="D37" s="21">
        <v>-11581</v>
      </c>
      <c r="E37" s="21">
        <v>-14236</v>
      </c>
      <c r="F37" s="21">
        <v>-16217</v>
      </c>
      <c r="G37" s="21">
        <v>-18752</v>
      </c>
      <c r="H37" s="21">
        <v>-21914</v>
      </c>
    </row>
    <row r="38" spans="1:17" x14ac:dyDescent="0.25">
      <c r="A38" t="s">
        <v>12</v>
      </c>
      <c r="C38" s="21">
        <v>-14194</v>
      </c>
      <c r="D38" s="21">
        <v>-15261</v>
      </c>
      <c r="E38" s="21">
        <v>-16705</v>
      </c>
      <c r="F38" s="21">
        <v>-18245</v>
      </c>
      <c r="G38" s="21">
        <v>-19916</v>
      </c>
      <c r="H38" s="21">
        <v>-21973</v>
      </c>
    </row>
    <row r="39" spans="1:17" x14ac:dyDescent="0.25">
      <c r="A39" t="s">
        <v>13</v>
      </c>
      <c r="C39" s="19">
        <f t="shared" ref="C39:H39" si="20">C37+C38</f>
        <v>-24239</v>
      </c>
      <c r="D39" s="19">
        <f t="shared" si="20"/>
        <v>-26842</v>
      </c>
      <c r="E39" s="19">
        <f t="shared" si="20"/>
        <v>-30941</v>
      </c>
      <c r="F39" s="19">
        <f t="shared" si="20"/>
        <v>-34462</v>
      </c>
      <c r="G39" s="19">
        <f t="shared" si="20"/>
        <v>-38668</v>
      </c>
      <c r="H39" s="19">
        <f t="shared" si="20"/>
        <v>-43887</v>
      </c>
      <c r="I39" s="14">
        <f>I40*I33</f>
        <v>47273.414447493575</v>
      </c>
      <c r="J39" s="14">
        <f t="shared" ref="J39:Q39" si="21">J40*J33</f>
        <v>59001.503089460057</v>
      </c>
      <c r="K39" s="14">
        <f t="shared" si="21"/>
        <v>70048.844300270939</v>
      </c>
      <c r="L39" s="14">
        <f t="shared" si="21"/>
        <v>82741.153187647622</v>
      </c>
      <c r="M39" s="14">
        <f t="shared" si="21"/>
        <v>97233.759784828624</v>
      </c>
      <c r="N39" s="14">
        <f t="shared" si="21"/>
        <v>113678.80695861042</v>
      </c>
      <c r="O39" s="14">
        <f t="shared" si="21"/>
        <v>132221.06372884367</v>
      </c>
      <c r="P39" s="14">
        <f t="shared" si="21"/>
        <v>152993.18496786081</v>
      </c>
      <c r="Q39" s="14">
        <f t="shared" si="21"/>
        <v>176110.48351260714</v>
      </c>
    </row>
    <row r="40" spans="1:17" x14ac:dyDescent="0.25">
      <c r="A40" s="8" t="s">
        <v>30</v>
      </c>
      <c r="C40" s="36">
        <f t="shared" ref="C40:H40" si="22">-C39/C33</f>
        <v>0.28765887756191921</v>
      </c>
      <c r="D40" s="36">
        <f t="shared" si="22"/>
        <v>0.30437937994693037</v>
      </c>
      <c r="E40" s="36">
        <f t="shared" si="22"/>
        <v>0.30382270053712235</v>
      </c>
      <c r="F40" s="36">
        <f t="shared" si="22"/>
        <v>0.35025205301244006</v>
      </c>
      <c r="G40" s="36">
        <f t="shared" si="22"/>
        <v>0.36842105263157893</v>
      </c>
      <c r="H40" s="36">
        <f t="shared" si="22"/>
        <v>0.28715093302625033</v>
      </c>
      <c r="I40" s="32">
        <f t="shared" ref="I40:Q40" si="23">IF(Case="A",I41, IF(Case="B",I42,I43))</f>
        <v>0.28715093302625033</v>
      </c>
      <c r="J40" s="32">
        <f t="shared" si="23"/>
        <v>0.28715093302625033</v>
      </c>
      <c r="K40" s="32">
        <f t="shared" si="23"/>
        <v>0.29140758537288697</v>
      </c>
      <c r="L40" s="32">
        <f t="shared" si="23"/>
        <v>0.2956642377195236</v>
      </c>
      <c r="M40" s="32">
        <f t="shared" si="23"/>
        <v>0.29992089006616024</v>
      </c>
      <c r="N40" s="32">
        <f t="shared" si="23"/>
        <v>0.30417754241279688</v>
      </c>
      <c r="O40" s="32">
        <f t="shared" si="23"/>
        <v>0.30843419475943351</v>
      </c>
      <c r="P40" s="32">
        <f t="shared" si="23"/>
        <v>0.31269084710607015</v>
      </c>
      <c r="Q40" s="32">
        <f t="shared" si="23"/>
        <v>0.31694749945270689</v>
      </c>
    </row>
    <row r="41" spans="1:17" x14ac:dyDescent="0.25">
      <c r="A41" s="8"/>
      <c r="C41" s="36"/>
      <c r="D41" s="36"/>
      <c r="E41" s="36"/>
      <c r="F41" s="36"/>
      <c r="G41" s="36"/>
      <c r="H41" s="36"/>
      <c r="I41" s="38">
        <f>MIN(C40:H40)</f>
        <v>0.28715093302625033</v>
      </c>
      <c r="J41" s="38">
        <f>I41</f>
        <v>0.28715093302625033</v>
      </c>
      <c r="K41" s="38">
        <f>J41-($J$41-$Q$41)/($Q$8-$J$8)</f>
        <v>0.28715093302625033</v>
      </c>
      <c r="L41" s="38">
        <f t="shared" ref="L41:P41" si="24">K41-($J$41-$Q$41)/($Q$8-$J$8)</f>
        <v>0.28715093302625033</v>
      </c>
      <c r="M41" s="38">
        <f t="shared" si="24"/>
        <v>0.28715093302625033</v>
      </c>
      <c r="N41" s="38">
        <f t="shared" si="24"/>
        <v>0.28715093302625033</v>
      </c>
      <c r="O41" s="38">
        <f t="shared" si="24"/>
        <v>0.28715093302625033</v>
      </c>
      <c r="P41" s="38">
        <f t="shared" si="24"/>
        <v>0.28715093302625033</v>
      </c>
      <c r="Q41" s="38">
        <f>MIN(C40:H40)</f>
        <v>0.28715093302625033</v>
      </c>
    </row>
    <row r="42" spans="1:17" x14ac:dyDescent="0.25">
      <c r="A42" s="8"/>
      <c r="C42" s="36"/>
      <c r="D42" s="36"/>
      <c r="E42" s="36"/>
      <c r="F42" s="36"/>
      <c r="G42" s="36"/>
      <c r="H42" s="36"/>
      <c r="I42" s="38">
        <f>I41</f>
        <v>0.28715093302625033</v>
      </c>
      <c r="J42" s="38">
        <f>I42</f>
        <v>0.28715093302625033</v>
      </c>
      <c r="K42" s="38">
        <f>J42-($J$42-$Q$42)/($Q$8-$J$8)</f>
        <v>0.29140758537288697</v>
      </c>
      <c r="L42" s="38">
        <f t="shared" ref="L42:P42" si="25">K42-($J$42-$Q$42)/($Q$8-$J$8)</f>
        <v>0.2956642377195236</v>
      </c>
      <c r="M42" s="38">
        <f t="shared" si="25"/>
        <v>0.29992089006616024</v>
      </c>
      <c r="N42" s="38">
        <f t="shared" si="25"/>
        <v>0.30417754241279688</v>
      </c>
      <c r="O42" s="38">
        <f t="shared" si="25"/>
        <v>0.30843419475943351</v>
      </c>
      <c r="P42" s="38">
        <f t="shared" si="25"/>
        <v>0.31269084710607015</v>
      </c>
      <c r="Q42" s="38">
        <f>AVERAGE(C40:H40)</f>
        <v>0.31694749945270689</v>
      </c>
    </row>
    <row r="43" spans="1:17" x14ac:dyDescent="0.25">
      <c r="A43" s="8"/>
      <c r="C43" s="36"/>
      <c r="D43" s="36"/>
      <c r="E43" s="36"/>
      <c r="F43" s="36"/>
      <c r="G43" s="36"/>
      <c r="H43" s="36"/>
      <c r="I43" s="38">
        <f>I42</f>
        <v>0.28715093302625033</v>
      </c>
      <c r="J43" s="38">
        <f>I43</f>
        <v>0.28715093302625033</v>
      </c>
      <c r="K43" s="38">
        <f t="shared" ref="K43:P43" si="26">J43-($J$43-$Q$43)/($Q$8-$J$8)</f>
        <v>0.29876095011272585</v>
      </c>
      <c r="L43" s="38">
        <f t="shared" si="26"/>
        <v>0.31037096719920138</v>
      </c>
      <c r="M43" s="38">
        <f t="shared" si="26"/>
        <v>0.3219809842856769</v>
      </c>
      <c r="N43" s="38">
        <f t="shared" si="26"/>
        <v>0.33359100137215242</v>
      </c>
      <c r="O43" s="38">
        <f t="shared" si="26"/>
        <v>0.34520101845862794</v>
      </c>
      <c r="P43" s="38">
        <f t="shared" si="26"/>
        <v>0.35681103554510346</v>
      </c>
      <c r="Q43" s="38">
        <f>MAX(C40:H40)</f>
        <v>0.36842105263157893</v>
      </c>
    </row>
    <row r="44" spans="1:17" x14ac:dyDescent="0.25">
      <c r="C44" s="17"/>
      <c r="D44" s="17"/>
      <c r="E44" s="17"/>
      <c r="F44" s="17"/>
      <c r="G44" s="17"/>
      <c r="H44" s="17"/>
    </row>
    <row r="46" spans="1:17" x14ac:dyDescent="0.25">
      <c r="A46" s="2" t="s">
        <v>14</v>
      </c>
      <c r="C46" s="14">
        <f t="shared" ref="C46:H46" si="27">C33+C39</f>
        <v>60024</v>
      </c>
      <c r="D46" s="14">
        <f t="shared" si="27"/>
        <v>61344</v>
      </c>
      <c r="E46" s="14">
        <f t="shared" si="27"/>
        <v>70898</v>
      </c>
      <c r="F46" s="14">
        <f t="shared" si="27"/>
        <v>63930</v>
      </c>
      <c r="G46" s="14">
        <f t="shared" si="27"/>
        <v>66288</v>
      </c>
      <c r="H46" s="14">
        <f t="shared" si="27"/>
        <v>108949</v>
      </c>
      <c r="I46" s="14">
        <f>I33-I39</f>
        <v>117355.73702098521</v>
      </c>
      <c r="J46" s="14">
        <f t="shared" ref="J46:Q46" si="28">J33-J39</f>
        <v>146470.58947053991</v>
      </c>
      <c r="K46" s="14">
        <f t="shared" si="28"/>
        <v>170332.14719188941</v>
      </c>
      <c r="L46" s="14">
        <f t="shared" si="28"/>
        <v>197107.2107059203</v>
      </c>
      <c r="M46" s="14">
        <f t="shared" si="28"/>
        <v>226964.26377858373</v>
      </c>
      <c r="N46" s="14">
        <f t="shared" si="28"/>
        <v>260046.37359511317</v>
      </c>
      <c r="O46" s="14">
        <f t="shared" si="28"/>
        <v>296463.77723689575</v>
      </c>
      <c r="P46" s="14">
        <f t="shared" si="28"/>
        <v>336286.19875507522</v>
      </c>
      <c r="Q46" s="14">
        <f t="shared" si="28"/>
        <v>379535.11652117805</v>
      </c>
    </row>
    <row r="47" spans="1:17" x14ac:dyDescent="0.25">
      <c r="A47" s="8" t="s">
        <v>21</v>
      </c>
      <c r="C47" s="23">
        <v>-1456</v>
      </c>
      <c r="D47" s="23">
        <v>-2323</v>
      </c>
      <c r="E47" s="23">
        <v>-3240</v>
      </c>
      <c r="F47" s="23">
        <v>-3576</v>
      </c>
      <c r="G47" s="23">
        <v>-2873</v>
      </c>
      <c r="H47" s="23">
        <v>-2645</v>
      </c>
    </row>
    <row r="48" spans="1:17" x14ac:dyDescent="0.25">
      <c r="A48" s="8" t="s">
        <v>22</v>
      </c>
      <c r="C48" s="23">
        <v>3999</v>
      </c>
      <c r="D48" s="23">
        <v>5201</v>
      </c>
      <c r="E48" s="23">
        <v>5686</v>
      </c>
      <c r="F48" s="23">
        <v>4961</v>
      </c>
      <c r="G48" s="23">
        <v>3763</v>
      </c>
      <c r="H48" s="23">
        <v>2843</v>
      </c>
    </row>
    <row r="49" spans="1:17" x14ac:dyDescent="0.25">
      <c r="A49" s="8" t="s">
        <v>24</v>
      </c>
      <c r="C49" s="23">
        <v>-1195</v>
      </c>
      <c r="D49" s="23">
        <v>-133</v>
      </c>
      <c r="E49" s="23">
        <v>-441</v>
      </c>
      <c r="F49" s="23">
        <v>422</v>
      </c>
      <c r="G49" s="23">
        <v>-87</v>
      </c>
      <c r="H49" s="23">
        <v>60</v>
      </c>
    </row>
    <row r="50" spans="1:17" x14ac:dyDescent="0.25">
      <c r="A50" s="8" t="s">
        <v>23</v>
      </c>
      <c r="C50" s="18">
        <f t="shared" ref="C50:H50" si="29">C47+C48+C49</f>
        <v>1348</v>
      </c>
      <c r="D50" s="18">
        <f t="shared" si="29"/>
        <v>2745</v>
      </c>
      <c r="E50" s="18">
        <f t="shared" si="29"/>
        <v>2005</v>
      </c>
      <c r="F50" s="18">
        <f t="shared" si="29"/>
        <v>1807</v>
      </c>
      <c r="G50" s="18">
        <f t="shared" si="29"/>
        <v>803</v>
      </c>
      <c r="H50" s="18">
        <f t="shared" si="29"/>
        <v>258</v>
      </c>
      <c r="I50" s="14">
        <f>I46*I51</f>
        <v>277.90782982325845</v>
      </c>
      <c r="J50" s="14">
        <f t="shared" ref="J50:Q50" si="30">J46*J51</f>
        <v>346.85414352953489</v>
      </c>
      <c r="K50" s="14">
        <f t="shared" si="30"/>
        <v>906.3433361437136</v>
      </c>
      <c r="L50" s="14">
        <f t="shared" si="30"/>
        <v>1630.8630407791313</v>
      </c>
      <c r="M50" s="14">
        <f t="shared" si="30"/>
        <v>2548.1151666125747</v>
      </c>
      <c r="N50" s="14">
        <f t="shared" si="30"/>
        <v>3687.4313179434203</v>
      </c>
      <c r="O50" s="14">
        <f t="shared" si="30"/>
        <v>5079.2705093375789</v>
      </c>
      <c r="P50" s="14">
        <f t="shared" si="30"/>
        <v>6754.5801188041205</v>
      </c>
      <c r="Q50" s="14">
        <f t="shared" si="30"/>
        <v>8744.0195714173133</v>
      </c>
    </row>
    <row r="51" spans="1:17" x14ac:dyDescent="0.25">
      <c r="A51" s="8" t="s">
        <v>31</v>
      </c>
      <c r="C51" s="37">
        <f>C50/C46</f>
        <v>2.2457683593229374E-2</v>
      </c>
      <c r="D51" s="37">
        <f t="shared" ref="D51:H51" si="31">D50/D46</f>
        <v>4.4747652582159625E-2</v>
      </c>
      <c r="E51" s="37">
        <f t="shared" si="31"/>
        <v>2.8280064317752263E-2</v>
      </c>
      <c r="F51" s="37">
        <f t="shared" si="31"/>
        <v>2.8265290161113718E-2</v>
      </c>
      <c r="G51" s="37">
        <f t="shared" si="31"/>
        <v>1.211380642046826E-2</v>
      </c>
      <c r="H51" s="37">
        <f t="shared" si="31"/>
        <v>2.3680804780218268E-3</v>
      </c>
      <c r="I51" s="39">
        <f t="shared" ref="I51:Q51" si="32">IF(Case="A",I52,IF(Case="B",I53,I54))</f>
        <v>2.3680804780218268E-3</v>
      </c>
      <c r="J51" s="39">
        <f t="shared" si="32"/>
        <v>2.3680804780218268E-3</v>
      </c>
      <c r="K51" s="39">
        <f t="shared" si="32"/>
        <v>5.3210351133697814E-3</v>
      </c>
      <c r="L51" s="39">
        <f t="shared" si="32"/>
        <v>8.2739897487177361E-3</v>
      </c>
      <c r="M51" s="39">
        <f t="shared" si="32"/>
        <v>1.1226944384065692E-2</v>
      </c>
      <c r="N51" s="39">
        <f t="shared" si="32"/>
        <v>1.4179899019413647E-2</v>
      </c>
      <c r="O51" s="39">
        <f t="shared" si="32"/>
        <v>1.7132853654761603E-2</v>
      </c>
      <c r="P51" s="39">
        <f t="shared" si="32"/>
        <v>2.0085808290109558E-2</v>
      </c>
      <c r="Q51" s="39">
        <f t="shared" si="32"/>
        <v>2.303876292545751E-2</v>
      </c>
    </row>
    <row r="52" spans="1:17" x14ac:dyDescent="0.25">
      <c r="A52" s="8"/>
      <c r="C52" s="16"/>
      <c r="D52" s="16"/>
      <c r="E52" s="16"/>
      <c r="F52" s="16"/>
      <c r="G52" s="16"/>
      <c r="H52" s="16"/>
      <c r="I52" s="38">
        <f>MIN(C51:H51)</f>
        <v>2.3680804780218268E-3</v>
      </c>
      <c r="J52" s="38">
        <f>I52</f>
        <v>2.3680804780218268E-3</v>
      </c>
      <c r="K52" s="38">
        <f t="shared" ref="K52:P52" si="33">J52-($J$52-$Q$52)/($Q$8-$J$8)</f>
        <v>8.4223050643272256E-3</v>
      </c>
      <c r="L52" s="38">
        <f t="shared" si="33"/>
        <v>1.4476529650632626E-2</v>
      </c>
      <c r="M52" s="38">
        <f t="shared" si="33"/>
        <v>2.0530754236938027E-2</v>
      </c>
      <c r="N52" s="38">
        <f t="shared" si="33"/>
        <v>2.6584978823243427E-2</v>
      </c>
      <c r="O52" s="38">
        <f t="shared" si="33"/>
        <v>3.2639203409548824E-2</v>
      </c>
      <c r="P52" s="38">
        <f t="shared" si="33"/>
        <v>3.8693427995854221E-2</v>
      </c>
      <c r="Q52" s="38">
        <f>MAX(C51:H51)</f>
        <v>4.4747652582159625E-2</v>
      </c>
    </row>
    <row r="53" spans="1:17" x14ac:dyDescent="0.25">
      <c r="A53" s="8"/>
      <c r="C53" s="16"/>
      <c r="D53" s="16"/>
      <c r="E53" s="16"/>
      <c r="F53" s="16"/>
      <c r="G53" s="16"/>
      <c r="H53" s="16"/>
      <c r="I53" s="38">
        <f>I52</f>
        <v>2.3680804780218268E-3</v>
      </c>
      <c r="J53" s="38">
        <f>I53</f>
        <v>2.3680804780218268E-3</v>
      </c>
      <c r="K53" s="38">
        <f>J53-($J$53-$Q$53)/($Q$8-$J$8)</f>
        <v>5.3210351133697814E-3</v>
      </c>
      <c r="L53" s="38">
        <f t="shared" ref="L53:P53" si="34">K53-($J$53-$Q$53)/($Q$8-$J$8)</f>
        <v>8.2739897487177361E-3</v>
      </c>
      <c r="M53" s="38">
        <f t="shared" si="34"/>
        <v>1.1226944384065692E-2</v>
      </c>
      <c r="N53" s="38">
        <f t="shared" si="34"/>
        <v>1.4179899019413647E-2</v>
      </c>
      <c r="O53" s="38">
        <f t="shared" si="34"/>
        <v>1.7132853654761603E-2</v>
      </c>
      <c r="P53" s="38">
        <f t="shared" si="34"/>
        <v>2.0085808290109558E-2</v>
      </c>
      <c r="Q53" s="38">
        <f>AVERAGE(C51:H51)</f>
        <v>2.303876292545751E-2</v>
      </c>
    </row>
    <row r="54" spans="1:17" x14ac:dyDescent="0.25">
      <c r="A54" s="8"/>
      <c r="I54" s="38">
        <f>I53</f>
        <v>2.3680804780218268E-3</v>
      </c>
      <c r="J54" s="38">
        <f>I54</f>
        <v>2.3680804780218268E-3</v>
      </c>
      <c r="K54" s="38">
        <f t="shared" ref="K54:Q54" si="35">J54</f>
        <v>2.3680804780218268E-3</v>
      </c>
      <c r="L54" s="38">
        <f t="shared" si="35"/>
        <v>2.3680804780218268E-3</v>
      </c>
      <c r="M54" s="38">
        <f t="shared" si="35"/>
        <v>2.3680804780218268E-3</v>
      </c>
      <c r="N54" s="38">
        <f t="shared" si="35"/>
        <v>2.3680804780218268E-3</v>
      </c>
      <c r="O54" s="38">
        <f t="shared" si="35"/>
        <v>2.3680804780218268E-3</v>
      </c>
      <c r="P54" s="38">
        <f t="shared" si="35"/>
        <v>2.3680804780218268E-3</v>
      </c>
      <c r="Q54" s="38">
        <f t="shared" si="35"/>
        <v>2.3680804780218268E-3</v>
      </c>
    </row>
    <row r="56" spans="1:17" x14ac:dyDescent="0.25">
      <c r="A56" s="2" t="s">
        <v>15</v>
      </c>
      <c r="C56" s="14">
        <f t="shared" ref="C56:I56" si="36">C46+C50</f>
        <v>61372</v>
      </c>
      <c r="D56" s="14">
        <f t="shared" si="36"/>
        <v>64089</v>
      </c>
      <c r="E56" s="14">
        <f t="shared" si="36"/>
        <v>72903</v>
      </c>
      <c r="F56" s="14">
        <f t="shared" si="36"/>
        <v>65737</v>
      </c>
      <c r="G56" s="14">
        <f t="shared" si="36"/>
        <v>67091</v>
      </c>
      <c r="H56" s="14">
        <f t="shared" si="36"/>
        <v>109207</v>
      </c>
      <c r="I56" s="14">
        <f t="shared" si="36"/>
        <v>117633.64485080847</v>
      </c>
      <c r="J56" s="14">
        <f t="shared" ref="J56:Q56" si="37">J46+J50</f>
        <v>146817.44361406946</v>
      </c>
      <c r="K56" s="14">
        <f t="shared" si="37"/>
        <v>171238.49052803311</v>
      </c>
      <c r="L56" s="14">
        <f t="shared" si="37"/>
        <v>198738.07374669943</v>
      </c>
      <c r="M56" s="14">
        <f t="shared" si="37"/>
        <v>229512.37894519631</v>
      </c>
      <c r="N56" s="14">
        <f t="shared" si="37"/>
        <v>263733.80491305661</v>
      </c>
      <c r="O56" s="14">
        <f t="shared" si="37"/>
        <v>301543.04774623335</v>
      </c>
      <c r="P56" s="14">
        <f t="shared" si="37"/>
        <v>343040.77887387935</v>
      </c>
      <c r="Q56" s="14">
        <f t="shared" si="37"/>
        <v>388279.13609259535</v>
      </c>
    </row>
    <row r="57" spans="1:17" x14ac:dyDescent="0.25">
      <c r="A57" t="s">
        <v>16</v>
      </c>
      <c r="C57" s="23">
        <v>-15685</v>
      </c>
      <c r="D57" s="23">
        <v>-15738</v>
      </c>
      <c r="E57" s="23">
        <v>-13372</v>
      </c>
      <c r="F57" s="23">
        <v>-10481</v>
      </c>
      <c r="G57" s="23">
        <v>-9680</v>
      </c>
      <c r="H57" s="23">
        <v>-14527</v>
      </c>
      <c r="I57" s="14">
        <f>I56*I58</f>
        <v>21983.802288752042</v>
      </c>
      <c r="J57" s="14">
        <f t="shared" ref="J57:Q57" si="38">J56*J58</f>
        <v>25756.987225995155</v>
      </c>
      <c r="K57" s="14">
        <f t="shared" si="38"/>
        <v>28039.832733252264</v>
      </c>
      <c r="L57" s="14">
        <f t="shared" si="38"/>
        <v>31891.133554755532</v>
      </c>
      <c r="M57" s="14">
        <f t="shared" si="38"/>
        <v>36868.821539335448</v>
      </c>
      <c r="N57" s="14">
        <f t="shared" si="38"/>
        <v>43085.177158608196</v>
      </c>
      <c r="O57" s="14">
        <f t="shared" si="38"/>
        <v>50786.908537061834</v>
      </c>
      <c r="P57" s="14">
        <f t="shared" si="38"/>
        <v>56720.663401661084</v>
      </c>
      <c r="Q57" s="14">
        <f t="shared" si="38"/>
        <v>63547.800846488237</v>
      </c>
    </row>
    <row r="58" spans="1:17" x14ac:dyDescent="0.25">
      <c r="A58" t="s">
        <v>25</v>
      </c>
      <c r="C58" s="15">
        <f>-C57/C56</f>
        <v>0.25557257381216192</v>
      </c>
      <c r="D58" s="15">
        <f t="shared" ref="D58:H58" si="39">-D57/D56</f>
        <v>0.24556476150353415</v>
      </c>
      <c r="E58" s="15">
        <f t="shared" si="39"/>
        <v>0.18342180705869443</v>
      </c>
      <c r="F58" s="15">
        <f t="shared" si="39"/>
        <v>0.15943836804235059</v>
      </c>
      <c r="G58" s="15">
        <f t="shared" si="39"/>
        <v>0.14428164731484103</v>
      </c>
      <c r="H58" s="15">
        <f t="shared" si="39"/>
        <v>0.13302260844085087</v>
      </c>
      <c r="I58" s="40">
        <f>AVERAGE(C58:H58)</f>
        <v>0.18688362769540548</v>
      </c>
      <c r="J58" s="40">
        <f t="shared" ref="J58:Q58" si="40">AVERAGE(D58:I58)</f>
        <v>0.17543547000927942</v>
      </c>
      <c r="K58" s="40">
        <f t="shared" si="40"/>
        <v>0.16374725476023697</v>
      </c>
      <c r="L58" s="40">
        <f t="shared" si="40"/>
        <v>0.16046816271049405</v>
      </c>
      <c r="M58" s="40">
        <f t="shared" si="40"/>
        <v>0.16063979515518464</v>
      </c>
      <c r="N58" s="40">
        <f t="shared" si="40"/>
        <v>0.16336615312857525</v>
      </c>
      <c r="O58" s="40">
        <f t="shared" si="40"/>
        <v>0.16842341057652929</v>
      </c>
      <c r="P58" s="40">
        <f t="shared" si="40"/>
        <v>0.16534670772338328</v>
      </c>
      <c r="Q58" s="40">
        <f t="shared" si="40"/>
        <v>0.16366524734240059</v>
      </c>
    </row>
    <row r="62" spans="1:17" ht="15.75" thickBot="1" x14ac:dyDescent="0.3">
      <c r="A62" s="2" t="s">
        <v>17</v>
      </c>
      <c r="C62" s="20">
        <f>C56+C57</f>
        <v>45687</v>
      </c>
      <c r="D62" s="20">
        <f t="shared" ref="D62:H62" si="41">D56+D57</f>
        <v>48351</v>
      </c>
      <c r="E62" s="20">
        <f t="shared" si="41"/>
        <v>59531</v>
      </c>
      <c r="F62" s="20">
        <f t="shared" si="41"/>
        <v>55256</v>
      </c>
      <c r="G62" s="20">
        <f t="shared" si="41"/>
        <v>57411</v>
      </c>
      <c r="H62" s="20">
        <f t="shared" si="41"/>
        <v>94680</v>
      </c>
      <c r="I62" s="14">
        <f>I56-I57</f>
        <v>95649.842562056438</v>
      </c>
      <c r="J62" s="14">
        <f t="shared" ref="J62:Q62" si="42">J56-J57</f>
        <v>121060.45638807431</v>
      </c>
      <c r="K62" s="14">
        <f t="shared" si="42"/>
        <v>143198.65779478085</v>
      </c>
      <c r="L62" s="14">
        <f t="shared" si="42"/>
        <v>166846.9401919439</v>
      </c>
      <c r="M62" s="14">
        <f t="shared" si="42"/>
        <v>192643.55740586086</v>
      </c>
      <c r="N62" s="14">
        <f t="shared" si="42"/>
        <v>220648.62775444842</v>
      </c>
      <c r="O62" s="14">
        <f t="shared" si="42"/>
        <v>250756.13920917152</v>
      </c>
      <c r="P62" s="14">
        <f t="shared" si="42"/>
        <v>286320.11547221825</v>
      </c>
      <c r="Q62" s="14">
        <f t="shared" si="42"/>
        <v>324731.33524610713</v>
      </c>
    </row>
    <row r="63" spans="1:17" ht="15.75" thickTop="1" x14ac:dyDescent="0.25"/>
    <row r="64" spans="1:17" x14ac:dyDescent="0.25">
      <c r="A64" s="4" t="s">
        <v>38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6"/>
    </row>
    <row r="66" spans="1:2" x14ac:dyDescent="0.25">
      <c r="A66" t="s">
        <v>45</v>
      </c>
      <c r="B66" s="3">
        <v>1685000</v>
      </c>
    </row>
    <row r="67" spans="1:2" x14ac:dyDescent="0.25">
      <c r="A67" t="s">
        <v>46</v>
      </c>
      <c r="B67" s="3">
        <v>21415</v>
      </c>
    </row>
    <row r="69" spans="1:2" x14ac:dyDescent="0.25">
      <c r="A69" t="s">
        <v>47</v>
      </c>
      <c r="B69" s="44">
        <f>B66/(B66+B67)</f>
        <v>0.98745029784665517</v>
      </c>
    </row>
    <row r="70" spans="1:2" x14ac:dyDescent="0.25">
      <c r="A70" t="s">
        <v>48</v>
      </c>
      <c r="B70" s="44">
        <f>B67 /(B66+B67)</f>
        <v>1.2549702153344878E-2</v>
      </c>
    </row>
    <row r="72" spans="1:2" x14ac:dyDescent="0.25">
      <c r="A72" t="s">
        <v>39</v>
      </c>
      <c r="B72" s="38">
        <v>1.54E-2</v>
      </c>
    </row>
    <row r="73" spans="1:2" x14ac:dyDescent="0.25">
      <c r="A73" t="s">
        <v>40</v>
      </c>
      <c r="B73" s="27">
        <v>0.08</v>
      </c>
    </row>
    <row r="74" spans="1:2" x14ac:dyDescent="0.25">
      <c r="A74" t="s">
        <v>41</v>
      </c>
      <c r="B74" s="3">
        <v>1.21</v>
      </c>
    </row>
    <row r="76" spans="1:2" x14ac:dyDescent="0.25">
      <c r="A76" s="2" t="s">
        <v>42</v>
      </c>
      <c r="B76" s="28">
        <f>B72+(B74*(B73-B72))</f>
        <v>9.3565999999999996E-2</v>
      </c>
    </row>
    <row r="77" spans="1:2" x14ac:dyDescent="0.25">
      <c r="A77" s="2" t="s">
        <v>49</v>
      </c>
      <c r="B77" s="28">
        <v>2.12E-2</v>
      </c>
    </row>
    <row r="78" spans="1:2" x14ac:dyDescent="0.25">
      <c r="A78" t="s">
        <v>43</v>
      </c>
      <c r="B78" s="40">
        <f>AVERAGE(C58:H58)</f>
        <v>0.18688362769540548</v>
      </c>
    </row>
    <row r="81" spans="1:17" x14ac:dyDescent="0.25">
      <c r="A81" s="2" t="s">
        <v>1</v>
      </c>
      <c r="B81" s="28">
        <f>B76*B69+B77*B70*(1-B78)</f>
        <v>9.2608107176034876E-2</v>
      </c>
    </row>
    <row r="83" spans="1:17" x14ac:dyDescent="0.25">
      <c r="I83" s="45">
        <v>1</v>
      </c>
      <c r="J83" s="45">
        <f>I83+1</f>
        <v>2</v>
      </c>
      <c r="K83" s="45">
        <f t="shared" ref="K83:Q83" si="43">J83+1</f>
        <v>3</v>
      </c>
      <c r="L83" s="45">
        <f t="shared" si="43"/>
        <v>4</v>
      </c>
      <c r="M83" s="45">
        <f t="shared" si="43"/>
        <v>5</v>
      </c>
      <c r="N83" s="45">
        <f t="shared" si="43"/>
        <v>6</v>
      </c>
      <c r="O83" s="45">
        <f t="shared" si="43"/>
        <v>7</v>
      </c>
      <c r="P83" s="45">
        <f t="shared" si="43"/>
        <v>8</v>
      </c>
      <c r="Q83" s="45">
        <f t="shared" si="43"/>
        <v>9</v>
      </c>
    </row>
    <row r="84" spans="1:17" x14ac:dyDescent="0.25">
      <c r="A84" s="4" t="s">
        <v>26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"/>
    </row>
    <row r="86" spans="1:17" x14ac:dyDescent="0.25">
      <c r="A86" s="2" t="s">
        <v>32</v>
      </c>
      <c r="C86" s="14">
        <f t="shared" ref="C86:Q86" si="44">C62-C50</f>
        <v>44339</v>
      </c>
      <c r="D86" s="14">
        <f t="shared" si="44"/>
        <v>45606</v>
      </c>
      <c r="E86" s="14">
        <f t="shared" si="44"/>
        <v>57526</v>
      </c>
      <c r="F86" s="14">
        <f t="shared" si="44"/>
        <v>53449</v>
      </c>
      <c r="G86" s="14">
        <f t="shared" si="44"/>
        <v>56608</v>
      </c>
      <c r="H86" s="14">
        <f t="shared" si="44"/>
        <v>94422</v>
      </c>
      <c r="I86" s="14">
        <f t="shared" si="44"/>
        <v>95371.934732233174</v>
      </c>
      <c r="J86" s="14">
        <f t="shared" si="44"/>
        <v>120713.60224454477</v>
      </c>
      <c r="K86" s="14">
        <f t="shared" si="44"/>
        <v>142292.31445863715</v>
      </c>
      <c r="L86" s="14">
        <f t="shared" si="44"/>
        <v>165216.07715116476</v>
      </c>
      <c r="M86" s="14">
        <f t="shared" si="44"/>
        <v>190095.44223924828</v>
      </c>
      <c r="N86" s="14">
        <f t="shared" si="44"/>
        <v>216961.19643650501</v>
      </c>
      <c r="O86" s="14">
        <f t="shared" si="44"/>
        <v>245676.86869983395</v>
      </c>
      <c r="P86" s="14">
        <f t="shared" si="44"/>
        <v>279565.53535341413</v>
      </c>
      <c r="Q86" s="14">
        <f t="shared" si="44"/>
        <v>315987.31567468983</v>
      </c>
    </row>
    <row r="88" spans="1:17" x14ac:dyDescent="0.25">
      <c r="A88" s="2" t="s">
        <v>33</v>
      </c>
      <c r="C88" s="21">
        <v>10505</v>
      </c>
      <c r="D88" s="21">
        <v>10157</v>
      </c>
      <c r="E88" s="21">
        <v>10903</v>
      </c>
      <c r="F88" s="21">
        <v>12547</v>
      </c>
      <c r="G88" s="21">
        <v>11056</v>
      </c>
      <c r="H88" s="21">
        <v>11284</v>
      </c>
      <c r="I88" s="14">
        <f>I86*I89</f>
        <v>19054.191790300047</v>
      </c>
      <c r="J88" s="14">
        <f t="shared" ref="J88:Q88" si="45">J86*J89</f>
        <v>22741.226742835617</v>
      </c>
      <c r="K88" s="14">
        <f t="shared" si="45"/>
        <v>25184.545261357613</v>
      </c>
      <c r="L88" s="14">
        <f t="shared" si="45"/>
        <v>27358.672920823035</v>
      </c>
      <c r="M88" s="14">
        <f t="shared" si="45"/>
        <v>29311.759799705989</v>
      </c>
      <c r="N88" s="14">
        <f t="shared" si="45"/>
        <v>30981.330384577901</v>
      </c>
      <c r="O88" s="14">
        <f t="shared" si="45"/>
        <v>32281.528106166144</v>
      </c>
      <c r="P88" s="14">
        <f t="shared" si="45"/>
        <v>33547.864242409712</v>
      </c>
      <c r="Q88" s="14">
        <f t="shared" si="45"/>
        <v>37918.477880962775</v>
      </c>
    </row>
    <row r="89" spans="1:17" s="16" customFormat="1" x14ac:dyDescent="0.25">
      <c r="A89" s="41" t="s">
        <v>37</v>
      </c>
      <c r="C89" s="26">
        <f>C88/C86</f>
        <v>0.23692460362209342</v>
      </c>
      <c r="D89" s="26">
        <f t="shared" ref="D89:H89" si="46">D88/D86</f>
        <v>0.22271192386966626</v>
      </c>
      <c r="E89" s="26">
        <f t="shared" si="46"/>
        <v>0.18953169001842646</v>
      </c>
      <c r="F89" s="26">
        <f t="shared" si="46"/>
        <v>0.23474714213549364</v>
      </c>
      <c r="G89" s="26">
        <f t="shared" si="46"/>
        <v>0.1953080836630865</v>
      </c>
      <c r="H89" s="26">
        <f t="shared" si="46"/>
        <v>0.11950604731948063</v>
      </c>
      <c r="I89" s="40">
        <f>AVERAGE(C89:H89)</f>
        <v>0.19978824843804113</v>
      </c>
      <c r="J89" s="40">
        <f t="shared" ref="J89:P89" si="47">I89-($I$89-$Q$89)/($Q$8-$J$8)</f>
        <v>0.1883899272326067</v>
      </c>
      <c r="K89" s="40">
        <f t="shared" si="47"/>
        <v>0.17699160602717226</v>
      </c>
      <c r="L89" s="40">
        <f t="shared" si="47"/>
        <v>0.16559328482173782</v>
      </c>
      <c r="M89" s="40">
        <f t="shared" si="47"/>
        <v>0.15419496361630339</v>
      </c>
      <c r="N89" s="40">
        <f t="shared" si="47"/>
        <v>0.14279664241086895</v>
      </c>
      <c r="O89" s="40">
        <f t="shared" si="47"/>
        <v>0.13139832120543452</v>
      </c>
      <c r="P89" s="40">
        <f t="shared" si="47"/>
        <v>0.12000000000000006</v>
      </c>
      <c r="Q89" s="40">
        <v>0.12</v>
      </c>
    </row>
    <row r="91" spans="1:17" x14ac:dyDescent="0.25">
      <c r="A91" s="2" t="s">
        <v>34</v>
      </c>
      <c r="C91" s="21">
        <v>-12734</v>
      </c>
      <c r="D91" s="21">
        <v>-12451</v>
      </c>
      <c r="E91" s="21">
        <v>-13313</v>
      </c>
      <c r="F91" s="21">
        <v>-10495</v>
      </c>
      <c r="G91" s="21">
        <v>-7309</v>
      </c>
      <c r="H91" s="21">
        <v>-11085</v>
      </c>
      <c r="I91" s="14">
        <f>-(I86*I92)</f>
        <v>-19622.845578519762</v>
      </c>
      <c r="J91" s="14">
        <f t="shared" ref="J91:Q91" si="48">-(J86*J92)</f>
        <v>-24836.912271121055</v>
      </c>
      <c r="K91" s="14">
        <f t="shared" si="48"/>
        <v>-29276.748148932424</v>
      </c>
      <c r="L91" s="14">
        <f t="shared" si="48"/>
        <v>-33993.329150010417</v>
      </c>
      <c r="M91" s="14">
        <f t="shared" si="48"/>
        <v>-39112.276779475658</v>
      </c>
      <c r="N91" s="14">
        <f t="shared" si="48"/>
        <v>-44639.925426253758</v>
      </c>
      <c r="O91" s="14">
        <f t="shared" si="48"/>
        <v>-50548.196073050698</v>
      </c>
      <c r="P91" s="14">
        <f t="shared" si="48"/>
        <v>-57520.814112856351</v>
      </c>
      <c r="Q91" s="14">
        <f t="shared" si="48"/>
        <v>-65014.622149211653</v>
      </c>
    </row>
    <row r="92" spans="1:17" x14ac:dyDescent="0.25">
      <c r="A92" s="41" t="s">
        <v>37</v>
      </c>
      <c r="C92" s="42">
        <f t="shared" ref="C92:H92" si="49">-C91/C86</f>
        <v>0.28719637339588172</v>
      </c>
      <c r="D92" s="42">
        <f t="shared" si="49"/>
        <v>0.27301232293996403</v>
      </c>
      <c r="E92" s="42">
        <f t="shared" si="49"/>
        <v>0.23142579007753017</v>
      </c>
      <c r="F92" s="42">
        <f t="shared" si="49"/>
        <v>0.19635540421710415</v>
      </c>
      <c r="G92" s="42">
        <f t="shared" si="49"/>
        <v>0.12911602600339175</v>
      </c>
      <c r="H92" s="42">
        <f t="shared" si="49"/>
        <v>0.11739848764059224</v>
      </c>
      <c r="I92" s="40">
        <f>AVERAGE(C92:H92)</f>
        <v>0.20575073404574398</v>
      </c>
      <c r="J92" s="40">
        <f>I92</f>
        <v>0.20575073404574398</v>
      </c>
      <c r="K92" s="40">
        <f t="shared" ref="K92:Q92" si="50">J92</f>
        <v>0.20575073404574398</v>
      </c>
      <c r="L92" s="40">
        <f t="shared" si="50"/>
        <v>0.20575073404574398</v>
      </c>
      <c r="M92" s="40">
        <f t="shared" si="50"/>
        <v>0.20575073404574398</v>
      </c>
      <c r="N92" s="40">
        <f t="shared" si="50"/>
        <v>0.20575073404574398</v>
      </c>
      <c r="O92" s="40">
        <f t="shared" si="50"/>
        <v>0.20575073404574398</v>
      </c>
      <c r="P92" s="40">
        <f t="shared" si="50"/>
        <v>0.20575073404574398</v>
      </c>
      <c r="Q92" s="40">
        <f t="shared" si="50"/>
        <v>0.20575073404574398</v>
      </c>
    </row>
    <row r="94" spans="1:17" x14ac:dyDescent="0.25">
      <c r="A94" s="2" t="s">
        <v>35</v>
      </c>
      <c r="C94" s="21">
        <v>405</v>
      </c>
      <c r="D94" s="21">
        <v>-4923</v>
      </c>
      <c r="E94" s="21">
        <v>34694</v>
      </c>
      <c r="F94" s="21">
        <v>-3488</v>
      </c>
      <c r="G94" s="21">
        <v>5690</v>
      </c>
      <c r="H94" s="21">
        <v>-4911</v>
      </c>
      <c r="I94" s="14">
        <f>I95*I86</f>
        <v>871.14354330396338</v>
      </c>
      <c r="J94" s="14">
        <f t="shared" ref="J94:Q94" si="51">J95*J86</f>
        <v>1102.618663231932</v>
      </c>
      <c r="K94" s="14">
        <f t="shared" si="51"/>
        <v>1299.722306676922</v>
      </c>
      <c r="L94" s="14">
        <f t="shared" si="51"/>
        <v>1509.1118709538268</v>
      </c>
      <c r="M94" s="14">
        <f t="shared" si="51"/>
        <v>1736.3642415682707</v>
      </c>
      <c r="N94" s="14">
        <f t="shared" si="51"/>
        <v>1981.7606296214287</v>
      </c>
      <c r="O94" s="14">
        <f t="shared" si="51"/>
        <v>2244.0544852935959</v>
      </c>
      <c r="P94" s="14">
        <f t="shared" si="51"/>
        <v>2553.599355378622</v>
      </c>
      <c r="Q94" s="14">
        <f t="shared" si="51"/>
        <v>2886.2821184115423</v>
      </c>
    </row>
    <row r="95" spans="1:17" x14ac:dyDescent="0.25">
      <c r="A95" s="41" t="s">
        <v>37</v>
      </c>
      <c r="C95" s="43">
        <f t="shared" ref="C95:H95" si="52">C94/C86</f>
        <v>9.1341708202710929E-3</v>
      </c>
      <c r="D95" s="43">
        <f t="shared" si="52"/>
        <v>-0.10794632285225628</v>
      </c>
      <c r="E95" s="43">
        <f t="shared" si="52"/>
        <v>0.60310120641101417</v>
      </c>
      <c r="F95" s="43">
        <f t="shared" si="52"/>
        <v>-6.5258470691687401E-2</v>
      </c>
      <c r="G95" s="43">
        <f t="shared" si="52"/>
        <v>0.10051582815149802</v>
      </c>
      <c r="H95" s="43">
        <f t="shared" si="52"/>
        <v>-5.2011183834275908E-2</v>
      </c>
      <c r="I95" s="40">
        <f>C95</f>
        <v>9.1341708202710929E-3</v>
      </c>
      <c r="J95" s="40">
        <f>I95</f>
        <v>9.1341708202710929E-3</v>
      </c>
      <c r="K95" s="40">
        <f t="shared" ref="K95:Q95" si="53">J95</f>
        <v>9.1341708202710929E-3</v>
      </c>
      <c r="L95" s="40">
        <f t="shared" si="53"/>
        <v>9.1341708202710929E-3</v>
      </c>
      <c r="M95" s="40">
        <f t="shared" si="53"/>
        <v>9.1341708202710929E-3</v>
      </c>
      <c r="N95" s="40">
        <f t="shared" si="53"/>
        <v>9.1341708202710929E-3</v>
      </c>
      <c r="O95" s="40">
        <f t="shared" si="53"/>
        <v>9.1341708202710929E-3</v>
      </c>
      <c r="P95" s="40">
        <f t="shared" si="53"/>
        <v>9.1341708202710929E-3</v>
      </c>
      <c r="Q95" s="40">
        <f t="shared" si="53"/>
        <v>9.1341708202710929E-3</v>
      </c>
    </row>
    <row r="98" spans="1:17" x14ac:dyDescent="0.25">
      <c r="A98" s="2" t="s">
        <v>36</v>
      </c>
      <c r="C98" s="19">
        <f t="shared" ref="C98:H98" si="54">C86+C88+C91+C94</f>
        <v>42515</v>
      </c>
      <c r="D98" s="19">
        <f t="shared" si="54"/>
        <v>38389</v>
      </c>
      <c r="E98" s="19">
        <f t="shared" si="54"/>
        <v>89810</v>
      </c>
      <c r="F98" s="19">
        <f t="shared" si="54"/>
        <v>52013</v>
      </c>
      <c r="G98" s="19">
        <f t="shared" si="54"/>
        <v>66045</v>
      </c>
      <c r="H98" s="19">
        <f t="shared" si="54"/>
        <v>89710</v>
      </c>
      <c r="I98" s="19">
        <f t="shared" ref="I98:Q98" si="55">I86+I88+I91+I94</f>
        <v>95674.424487317418</v>
      </c>
      <c r="J98" s="19">
        <f t="shared" si="55"/>
        <v>119720.53537949128</v>
      </c>
      <c r="K98" s="19">
        <f t="shared" si="55"/>
        <v>139499.83387773926</v>
      </c>
      <c r="L98" s="19">
        <f t="shared" si="55"/>
        <v>160090.53279293119</v>
      </c>
      <c r="M98" s="19">
        <f t="shared" si="55"/>
        <v>182031.28950104691</v>
      </c>
      <c r="N98" s="19">
        <f t="shared" si="55"/>
        <v>205284.36202445059</v>
      </c>
      <c r="O98" s="19">
        <f t="shared" si="55"/>
        <v>229654.25521824299</v>
      </c>
      <c r="P98" s="19">
        <f t="shared" si="55"/>
        <v>258146.18483834612</v>
      </c>
      <c r="Q98" s="19">
        <f t="shared" si="55"/>
        <v>291777.45352485252</v>
      </c>
    </row>
    <row r="99" spans="1:17" x14ac:dyDescent="0.25">
      <c r="A99" s="7" t="s">
        <v>50</v>
      </c>
      <c r="I99" s="14">
        <f>I98/(1+$B$81)^I83</f>
        <v>87565.179005122365</v>
      </c>
      <c r="J99" s="14">
        <f t="shared" ref="J99:Q99" si="56">J98/(1+$B$81)^J83</f>
        <v>100285.88536090721</v>
      </c>
      <c r="K99" s="14">
        <f t="shared" si="56"/>
        <v>106949.9127079937</v>
      </c>
      <c r="L99" s="14">
        <f t="shared" si="56"/>
        <v>112333.15981986532</v>
      </c>
      <c r="M99" s="14">
        <f t="shared" si="56"/>
        <v>116902.54131827354</v>
      </c>
      <c r="N99" s="14">
        <f t="shared" si="56"/>
        <v>120661.67653415499</v>
      </c>
      <c r="O99" s="14">
        <f t="shared" si="56"/>
        <v>123544.54268338277</v>
      </c>
      <c r="P99" s="14">
        <f t="shared" si="56"/>
        <v>127101.40801323742</v>
      </c>
      <c r="Q99" s="14">
        <f t="shared" si="56"/>
        <v>131483.71359580246</v>
      </c>
    </row>
    <row r="102" spans="1:17" x14ac:dyDescent="0.25">
      <c r="A102" s="4" t="s">
        <v>51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6"/>
    </row>
    <row r="104" spans="1:17" x14ac:dyDescent="0.25">
      <c r="A104" s="46" t="s">
        <v>26</v>
      </c>
      <c r="E104" s="57" t="s">
        <v>67</v>
      </c>
      <c r="F104" s="57"/>
      <c r="G104" s="57"/>
      <c r="H104" s="57"/>
      <c r="I104" s="57"/>
    </row>
    <row r="105" spans="1:17" x14ac:dyDescent="0.25">
      <c r="A105" s="46"/>
    </row>
    <row r="106" spans="1:17" x14ac:dyDescent="0.25">
      <c r="A106" s="2" t="s">
        <v>52</v>
      </c>
      <c r="B106" s="14">
        <f>$Q$98*(1+TGR)/(WACC-TGR)</f>
        <v>4098894.9329556427</v>
      </c>
      <c r="E106" s="51">
        <f>$Q$98*(1+TGR)/(WACC-TGR)</f>
        <v>4098894.9329556427</v>
      </c>
      <c r="F106" s="52">
        <v>7.0000000000000007E-2</v>
      </c>
      <c r="G106" s="52">
        <v>0.08</v>
      </c>
      <c r="H106" s="52">
        <v>0.09</v>
      </c>
      <c r="I106" s="52">
        <v>0.1</v>
      </c>
    </row>
    <row r="107" spans="1:17" x14ac:dyDescent="0.25">
      <c r="A107" s="7" t="s">
        <v>53</v>
      </c>
      <c r="B107" s="14">
        <f>B106/(1+B5)^Q83</f>
        <v>1847085.5815393596</v>
      </c>
      <c r="E107" s="53">
        <v>0.01</v>
      </c>
      <c r="F107" s="49">
        <f t="dataTable" ref="F107:I110" dt2D="1" dtr="1" r1="B5" r2="B4"/>
        <v>4911587.1343350168</v>
      </c>
      <c r="G107" s="49">
        <v>4209931.8294300148</v>
      </c>
      <c r="H107" s="49">
        <v>3683690.3507512631</v>
      </c>
      <c r="I107" s="49">
        <v>3274391.4228900112</v>
      </c>
    </row>
    <row r="108" spans="1:17" x14ac:dyDescent="0.25">
      <c r="A108" s="7"/>
      <c r="B108" s="14"/>
      <c r="E108" s="53">
        <v>0.02</v>
      </c>
      <c r="F108" s="49">
        <v>5952260.0519069908</v>
      </c>
      <c r="G108" s="49">
        <v>4960216.7099224925</v>
      </c>
      <c r="H108" s="49">
        <v>4251614.3227907084</v>
      </c>
      <c r="I108" s="49">
        <v>3720162.5324418694</v>
      </c>
    </row>
    <row r="109" spans="1:17" x14ac:dyDescent="0.25">
      <c r="A109" s="2" t="s">
        <v>54</v>
      </c>
      <c r="B109" s="14">
        <f>SUM(I99:Q99,B107)</f>
        <v>2873913.6005780995</v>
      </c>
      <c r="E109" s="53">
        <v>0.03</v>
      </c>
      <c r="F109" s="49">
        <v>7513269.4282649504</v>
      </c>
      <c r="G109" s="49">
        <v>6010615.5426119613</v>
      </c>
      <c r="H109" s="49">
        <v>5008846.2855099682</v>
      </c>
      <c r="I109" s="49">
        <v>4293296.816151401</v>
      </c>
    </row>
    <row r="110" spans="1:17" x14ac:dyDescent="0.25">
      <c r="A110" t="s">
        <v>55</v>
      </c>
      <c r="B110">
        <f>B67</f>
        <v>21415</v>
      </c>
      <c r="E110" s="53">
        <v>0.04</v>
      </c>
      <c r="F110" s="49">
        <v>10114951.722194886</v>
      </c>
      <c r="G110" s="49">
        <v>7586213.7916461648</v>
      </c>
      <c r="H110" s="49">
        <v>6068971.0333169326</v>
      </c>
      <c r="I110" s="49">
        <v>5057475.8610974429</v>
      </c>
    </row>
    <row r="111" spans="1:17" x14ac:dyDescent="0.25">
      <c r="A111" t="s">
        <v>56</v>
      </c>
      <c r="B111">
        <v>34940</v>
      </c>
    </row>
    <row r="112" spans="1:17" x14ac:dyDescent="0.25">
      <c r="A112" t="s">
        <v>44</v>
      </c>
      <c r="B112" s="14">
        <f>B109-B110+B111</f>
        <v>2887438.6005780995</v>
      </c>
    </row>
    <row r="113" spans="1:9" x14ac:dyDescent="0.25">
      <c r="A113" t="s">
        <v>57</v>
      </c>
      <c r="B113">
        <v>16635</v>
      </c>
      <c r="E113" s="57" t="s">
        <v>70</v>
      </c>
      <c r="F113" s="57"/>
      <c r="G113" s="57"/>
      <c r="H113" s="57"/>
      <c r="I113" s="57"/>
    </row>
    <row r="114" spans="1:9" x14ac:dyDescent="0.25">
      <c r="A114" s="2" t="s">
        <v>58</v>
      </c>
      <c r="B114" s="13">
        <f>B112/B113</f>
        <v>173.5761106449113</v>
      </c>
      <c r="F114" t="s">
        <v>71</v>
      </c>
      <c r="G114" t="s">
        <v>76</v>
      </c>
      <c r="H114" t="s">
        <v>72</v>
      </c>
    </row>
    <row r="115" spans="1:9" x14ac:dyDescent="0.25">
      <c r="E115" t="s">
        <v>26</v>
      </c>
      <c r="F115">
        <v>122.57</v>
      </c>
      <c r="G115" s="55">
        <f>H115-F115</f>
        <v>51.010000000000019</v>
      </c>
      <c r="H115">
        <v>173.58</v>
      </c>
    </row>
    <row r="116" spans="1:9" x14ac:dyDescent="0.25">
      <c r="A116" s="46" t="s">
        <v>65</v>
      </c>
      <c r="E116" t="s">
        <v>73</v>
      </c>
      <c r="F116">
        <v>153.32</v>
      </c>
      <c r="G116" s="55">
        <f t="shared" ref="G116:G118" si="57">H116-F116</f>
        <v>28.680000000000007</v>
      </c>
      <c r="H116">
        <v>182</v>
      </c>
    </row>
    <row r="117" spans="1:9" x14ac:dyDescent="0.25">
      <c r="A117" t="s">
        <v>61</v>
      </c>
      <c r="B117" s="48">
        <v>21.1</v>
      </c>
      <c r="E117" t="s">
        <v>74</v>
      </c>
      <c r="F117">
        <v>81.349999999999994</v>
      </c>
      <c r="G117" s="55">
        <f t="shared" si="57"/>
        <v>80.84</v>
      </c>
      <c r="H117">
        <v>162.19</v>
      </c>
    </row>
    <row r="118" spans="1:9" x14ac:dyDescent="0.25">
      <c r="A118" t="s">
        <v>59</v>
      </c>
      <c r="B118" s="14">
        <v>120233</v>
      </c>
      <c r="E118" t="s">
        <v>75</v>
      </c>
      <c r="F118" s="14">
        <f>B133</f>
        <v>112.59</v>
      </c>
      <c r="G118" s="55">
        <f t="shared" si="57"/>
        <v>53.109999999999985</v>
      </c>
      <c r="H118" s="14">
        <f>B134</f>
        <v>165.7</v>
      </c>
    </row>
    <row r="119" spans="1:9" x14ac:dyDescent="0.25">
      <c r="A119" t="s">
        <v>54</v>
      </c>
      <c r="B119" s="49">
        <f>B118*B117</f>
        <v>2536916.3000000003</v>
      </c>
    </row>
    <row r="120" spans="1:9" x14ac:dyDescent="0.25">
      <c r="A120" t="s">
        <v>55</v>
      </c>
      <c r="B120" s="47">
        <f>B67</f>
        <v>21415</v>
      </c>
    </row>
    <row r="121" spans="1:9" x14ac:dyDescent="0.25">
      <c r="A121" t="s">
        <v>56</v>
      </c>
      <c r="B121" s="50">
        <v>34940</v>
      </c>
    </row>
    <row r="122" spans="1:9" x14ac:dyDescent="0.25">
      <c r="A122" t="s">
        <v>44</v>
      </c>
      <c r="B122" s="14">
        <f>B119-B120+B121</f>
        <v>2550441.3000000003</v>
      </c>
    </row>
    <row r="123" spans="1:9" x14ac:dyDescent="0.25">
      <c r="A123" t="s">
        <v>57</v>
      </c>
      <c r="B123">
        <v>16635</v>
      </c>
    </row>
    <row r="124" spans="1:9" x14ac:dyDescent="0.25">
      <c r="A124" s="2" t="s">
        <v>58</v>
      </c>
      <c r="B124" s="13">
        <f>B122/B123</f>
        <v>153.31778178539227</v>
      </c>
    </row>
    <row r="125" spans="1:9" x14ac:dyDescent="0.25">
      <c r="A125" s="2"/>
      <c r="B125" s="13"/>
    </row>
    <row r="126" spans="1:9" x14ac:dyDescent="0.25">
      <c r="A126" s="46" t="s">
        <v>66</v>
      </c>
      <c r="B126" s="13"/>
    </row>
    <row r="127" spans="1:9" x14ac:dyDescent="0.25">
      <c r="A127" s="8" t="s">
        <v>68</v>
      </c>
      <c r="B127" s="54">
        <v>28.91</v>
      </c>
    </row>
    <row r="128" spans="1:9" x14ac:dyDescent="0.25">
      <c r="A128" s="8" t="s">
        <v>69</v>
      </c>
      <c r="B128" s="13">
        <v>5.61</v>
      </c>
    </row>
    <row r="129" spans="1:2" x14ac:dyDescent="0.25">
      <c r="A129" s="2" t="s">
        <v>58</v>
      </c>
      <c r="B129" s="13">
        <f>B127*B128</f>
        <v>162.18510000000001</v>
      </c>
    </row>
    <row r="130" spans="1:2" x14ac:dyDescent="0.25">
      <c r="A130" s="8"/>
      <c r="B130" s="13"/>
    </row>
    <row r="132" spans="1:2" x14ac:dyDescent="0.25">
      <c r="A132" s="46" t="s">
        <v>60</v>
      </c>
    </row>
    <row r="133" spans="1:2" x14ac:dyDescent="0.25">
      <c r="A133" t="s">
        <v>62</v>
      </c>
      <c r="B133" s="14">
        <v>112.59</v>
      </c>
    </row>
    <row r="134" spans="1:2" x14ac:dyDescent="0.25">
      <c r="A134" t="s">
        <v>63</v>
      </c>
      <c r="B134" s="14">
        <v>165.7</v>
      </c>
    </row>
    <row r="135" spans="1:2" x14ac:dyDescent="0.25">
      <c r="A135" s="2" t="s">
        <v>64</v>
      </c>
      <c r="B135" s="14">
        <f>AVERAGE(B133:B134)</f>
        <v>139.14499999999998</v>
      </c>
    </row>
    <row r="139" spans="1:2" x14ac:dyDescent="0.25">
      <c r="A139" t="s">
        <v>77</v>
      </c>
      <c r="B139" s="56">
        <f>AVERAGE(B114,B124,B129,B135)</f>
        <v>157.0559981075759</v>
      </c>
    </row>
  </sheetData>
  <mergeCells count="3">
    <mergeCell ref="E104:I104"/>
    <mergeCell ref="E113:I113"/>
    <mergeCell ref="A2:B2"/>
  </mergeCells>
  <dataValidations count="1">
    <dataValidation type="list" allowBlank="1" showInputMessage="1" showErrorMessage="1" sqref="B3" xr:uid="{D993639A-7949-40E2-A57D-8D257673142C}">
      <formula1>"A, B, C"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AAPL DCF</vt:lpstr>
      <vt:lpstr>Case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Azrae</dc:creator>
  <cp:lastModifiedBy>L Hoffman</cp:lastModifiedBy>
  <dcterms:created xsi:type="dcterms:W3CDTF">2021-11-21T23:38:18Z</dcterms:created>
  <dcterms:modified xsi:type="dcterms:W3CDTF">2021-11-24T23:49:05Z</dcterms:modified>
</cp:coreProperties>
</file>