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P:\Programs\Itogovoe\Документы\"/>
    </mc:Choice>
  </mc:AlternateContent>
  <xr:revisionPtr revIDLastSave="0" documentId="13_ncr:1_{EB127A1C-EF18-4D60-AAD3-9C7555F703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поиска макс." sheetId="2" r:id="rId4"/>
    <sheet name="Результаты подтв. максимума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4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B16" i="6"/>
  <c r="F12" i="3"/>
  <c r="F11" i="3"/>
  <c r="F10" i="3"/>
  <c r="F9" i="3"/>
  <c r="F8" i="3"/>
  <c r="F7" i="3"/>
  <c r="F6" i="3"/>
  <c r="F5" i="3"/>
  <c r="F4" i="3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E16" i="6" l="1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72" i="2" l="1"/>
  <c r="H73" i="2"/>
  <c r="H74" i="2"/>
  <c r="H75" i="2"/>
  <c r="H76" i="2"/>
  <c r="H77" i="2"/>
  <c r="H78" i="2"/>
  <c r="H79" i="2"/>
  <c r="H80" i="2"/>
  <c r="H81" i="2"/>
  <c r="H82" i="2"/>
  <c r="H83" i="2"/>
  <c r="H84" i="2"/>
  <c r="G67" i="2" l="1"/>
  <c r="I67" i="2" s="1"/>
  <c r="F67" i="2"/>
  <c r="G66" i="2"/>
  <c r="I66" i="2" s="1"/>
  <c r="F66" i="2"/>
  <c r="G65" i="2"/>
  <c r="I65" i="2" s="1"/>
  <c r="F65" i="2"/>
  <c r="G64" i="2"/>
  <c r="I64" i="2" s="1"/>
  <c r="F64" i="2"/>
  <c r="G63" i="2"/>
  <c r="I63" i="2" s="1"/>
  <c r="F63" i="2"/>
  <c r="G62" i="2"/>
  <c r="I62" i="2" s="1"/>
  <c r="F62" i="2"/>
  <c r="G61" i="2"/>
  <c r="I61" i="2" s="1"/>
  <c r="F61" i="2"/>
  <c r="G60" i="2"/>
  <c r="I60" i="2" s="1"/>
  <c r="F60" i="2"/>
  <c r="G59" i="2"/>
  <c r="I59" i="2" s="1"/>
  <c r="F59" i="2"/>
  <c r="G58" i="2"/>
  <c r="I58" i="2" s="1"/>
  <c r="F58" i="2"/>
  <c r="G57" i="2"/>
  <c r="I57" i="2" s="1"/>
  <c r="F57" i="2"/>
  <c r="G56" i="2"/>
  <c r="I56" i="2" s="1"/>
  <c r="F56" i="2"/>
  <c r="G55" i="2"/>
  <c r="I55" i="2" s="1"/>
  <c r="F55" i="2"/>
  <c r="G50" i="2"/>
  <c r="I50" i="2" s="1"/>
  <c r="F50" i="2"/>
  <c r="G49" i="2"/>
  <c r="I49" i="2" s="1"/>
  <c r="F49" i="2"/>
  <c r="G48" i="2"/>
  <c r="I48" i="2" s="1"/>
  <c r="F48" i="2"/>
  <c r="G47" i="2"/>
  <c r="I47" i="2" s="1"/>
  <c r="F47" i="2"/>
  <c r="G46" i="2"/>
  <c r="I46" i="2" s="1"/>
  <c r="F46" i="2"/>
  <c r="G45" i="2"/>
  <c r="I45" i="2" s="1"/>
  <c r="F45" i="2"/>
  <c r="G44" i="2"/>
  <c r="I44" i="2" s="1"/>
  <c r="F44" i="2"/>
  <c r="G43" i="2"/>
  <c r="I43" i="2" s="1"/>
  <c r="F43" i="2"/>
  <c r="G42" i="2"/>
  <c r="I42" i="2" s="1"/>
  <c r="F42" i="2"/>
  <c r="G41" i="2"/>
  <c r="I41" i="2" s="1"/>
  <c r="F41" i="2"/>
  <c r="G40" i="2"/>
  <c r="I40" i="2" s="1"/>
  <c r="F40" i="2"/>
  <c r="G39" i="2"/>
  <c r="I39" i="2" s="1"/>
  <c r="F39" i="2"/>
  <c r="G38" i="2"/>
  <c r="I38" i="2" s="1"/>
  <c r="F38" i="2"/>
  <c r="G33" i="2"/>
  <c r="I33" i="2" s="1"/>
  <c r="F33" i="2"/>
  <c r="G32" i="2"/>
  <c r="I32" i="2" s="1"/>
  <c r="F32" i="2"/>
  <c r="G31" i="2"/>
  <c r="I31" i="2" s="1"/>
  <c r="F31" i="2"/>
  <c r="G30" i="2"/>
  <c r="I30" i="2" s="1"/>
  <c r="F30" i="2"/>
  <c r="G29" i="2"/>
  <c r="I29" i="2" s="1"/>
  <c r="F29" i="2"/>
  <c r="G28" i="2"/>
  <c r="I28" i="2" s="1"/>
  <c r="F28" i="2"/>
  <c r="G27" i="2"/>
  <c r="I27" i="2" s="1"/>
  <c r="F27" i="2"/>
  <c r="G26" i="2"/>
  <c r="I26" i="2" s="1"/>
  <c r="F26" i="2"/>
  <c r="G25" i="2"/>
  <c r="I25" i="2" s="1"/>
  <c r="F25" i="2"/>
  <c r="G24" i="2"/>
  <c r="I24" i="2" s="1"/>
  <c r="F24" i="2"/>
  <c r="G23" i="2"/>
  <c r="I23" i="2" s="1"/>
  <c r="F23" i="2"/>
  <c r="G22" i="2"/>
  <c r="I22" i="2" s="1"/>
  <c r="F22" i="2"/>
  <c r="G21" i="2"/>
  <c r="I21" i="2" s="1"/>
  <c r="F21" i="2"/>
  <c r="G16" i="2"/>
  <c r="I16" i="2" s="1"/>
  <c r="F16" i="2"/>
  <c r="G15" i="2"/>
  <c r="I15" i="2" s="1"/>
  <c r="F15" i="2"/>
  <c r="G14" i="2"/>
  <c r="I14" i="2" s="1"/>
  <c r="F14" i="2"/>
  <c r="G13" i="2"/>
  <c r="I13" i="2" s="1"/>
  <c r="F13" i="2"/>
  <c r="G12" i="2"/>
  <c r="I12" i="2" s="1"/>
  <c r="F12" i="2"/>
  <c r="G11" i="2"/>
  <c r="I11" i="2" s="1"/>
  <c r="F11" i="2"/>
  <c r="G10" i="2"/>
  <c r="I10" i="2" s="1"/>
  <c r="F10" i="2"/>
  <c r="G9" i="2"/>
  <c r="I9" i="2" s="1"/>
  <c r="F9" i="2"/>
  <c r="G8" i="2"/>
  <c r="I8" i="2" s="1"/>
  <c r="F8" i="2"/>
  <c r="G7" i="2"/>
  <c r="I7" i="2" s="1"/>
  <c r="F7" i="2"/>
  <c r="G6" i="2"/>
  <c r="I6" i="2" s="1"/>
  <c r="F6" i="2"/>
  <c r="G5" i="2"/>
  <c r="I5" i="2" s="1"/>
  <c r="F5" i="2"/>
  <c r="G4" i="2"/>
  <c r="I4" i="2" s="1"/>
  <c r="F4" i="2"/>
  <c r="G84" i="2"/>
  <c r="F84" i="2"/>
  <c r="F83" i="2"/>
  <c r="G72" i="2"/>
  <c r="F73" i="2"/>
  <c r="F72" i="2"/>
  <c r="G64" i="3"/>
  <c r="E2" i="3"/>
  <c r="F2" i="3" s="1"/>
  <c r="E3" i="3"/>
  <c r="F3" i="3" s="1"/>
  <c r="E4" i="3"/>
  <c r="E5" i="3"/>
  <c r="E6" i="3"/>
  <c r="E7" i="3"/>
  <c r="E8" i="3"/>
  <c r="E9" i="3"/>
  <c r="E11" i="3"/>
  <c r="E12" i="3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H57" i="3"/>
  <c r="H56" i="3"/>
  <c r="H55" i="3"/>
  <c r="G20" i="3"/>
  <c r="G21" i="3"/>
  <c r="G22" i="3"/>
  <c r="D20" i="3"/>
  <c r="D21" i="3"/>
  <c r="D22" i="3"/>
  <c r="G31" i="3"/>
  <c r="G30" i="3"/>
  <c r="G29" i="3"/>
  <c r="G28" i="3"/>
  <c r="G27" i="3"/>
  <c r="G26" i="3"/>
  <c r="G25" i="3"/>
  <c r="G24" i="3"/>
  <c r="G23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0" i="3"/>
  <c r="D12" i="3"/>
  <c r="D3" i="3"/>
  <c r="I84" i="2" l="1"/>
  <c r="H21" i="3"/>
  <c r="H22" i="3"/>
  <c r="H20" i="3"/>
  <c r="H12" i="3"/>
  <c r="H3" i="3"/>
  <c r="A13" i="4" l="1"/>
  <c r="E5" i="6"/>
  <c r="E6" i="6"/>
  <c r="E7" i="6"/>
  <c r="E8" i="6"/>
  <c r="E9" i="6"/>
  <c r="E10" i="6"/>
  <c r="E11" i="6"/>
  <c r="E12" i="6"/>
  <c r="E13" i="6"/>
  <c r="E14" i="6"/>
  <c r="E15" i="6"/>
  <c r="E4" i="6"/>
  <c r="G83" i="2"/>
  <c r="I83" i="2" s="1"/>
  <c r="G82" i="2"/>
  <c r="I82" i="2" s="1"/>
  <c r="G81" i="2"/>
  <c r="I81" i="2" s="1"/>
  <c r="G80" i="2"/>
  <c r="I80" i="2" s="1"/>
  <c r="G79" i="2"/>
  <c r="I79" i="2" s="1"/>
  <c r="G78" i="2"/>
  <c r="I78" i="2" s="1"/>
  <c r="G77" i="2"/>
  <c r="I77" i="2" s="1"/>
  <c r="G76" i="2"/>
  <c r="I76" i="2" s="1"/>
  <c r="G75" i="2"/>
  <c r="I75" i="2" s="1"/>
  <c r="G74" i="2"/>
  <c r="I74" i="2" s="1"/>
  <c r="G73" i="2"/>
  <c r="I73" i="2" s="1"/>
  <c r="I72" i="2"/>
  <c r="D2" i="3"/>
  <c r="H2" i="3" s="1"/>
  <c r="P4" i="3"/>
  <c r="D25" i="3"/>
  <c r="H25" i="3" s="1"/>
  <c r="C58" i="3"/>
  <c r="C63" i="3"/>
  <c r="C62" i="3"/>
  <c r="C66" i="3"/>
  <c r="D66" i="3" l="1"/>
  <c r="G66" i="3"/>
  <c r="G58" i="3"/>
  <c r="D58" i="3"/>
  <c r="G62" i="3"/>
  <c r="Z3" i="3"/>
  <c r="Z4" i="3"/>
  <c r="Z5" i="3"/>
  <c r="Z6" i="3"/>
  <c r="Z7" i="3"/>
  <c r="Z2" i="3"/>
  <c r="D4" i="3"/>
  <c r="H4" i="3" s="1"/>
  <c r="D5" i="3"/>
  <c r="H5" i="3" s="1"/>
  <c r="D6" i="3"/>
  <c r="H6" i="3" s="1"/>
  <c r="D7" i="3"/>
  <c r="H7" i="3" s="1"/>
  <c r="D8" i="3"/>
  <c r="H8" i="3" s="1"/>
  <c r="D9" i="3"/>
  <c r="H9" i="3" s="1"/>
  <c r="D10" i="3"/>
  <c r="H10" i="3" s="1"/>
  <c r="D11" i="3"/>
  <c r="H11" i="3" s="1"/>
  <c r="D13" i="3"/>
  <c r="H13" i="3" s="1"/>
  <c r="D14" i="3"/>
  <c r="H14" i="3" s="1"/>
  <c r="D15" i="3"/>
  <c r="H15" i="3" s="1"/>
  <c r="D16" i="3"/>
  <c r="H16" i="3" s="1"/>
  <c r="D17" i="3"/>
  <c r="H17" i="3" s="1"/>
  <c r="D18" i="3"/>
  <c r="H18" i="3" s="1"/>
  <c r="D19" i="3"/>
  <c r="H19" i="3" s="1"/>
  <c r="D23" i="3"/>
  <c r="H23" i="3" s="1"/>
  <c r="D24" i="3"/>
  <c r="H24" i="3" s="1"/>
  <c r="D26" i="3"/>
  <c r="H26" i="3" s="1"/>
  <c r="D27" i="3"/>
  <c r="H27" i="3" s="1"/>
  <c r="D28" i="3"/>
  <c r="H28" i="3" s="1"/>
  <c r="D29" i="3"/>
  <c r="H29" i="3" s="1"/>
  <c r="D30" i="3"/>
  <c r="H30" i="3" s="1"/>
  <c r="D31" i="3"/>
  <c r="F31" i="3"/>
  <c r="C61" i="3"/>
  <c r="C57" i="3"/>
  <c r="C59" i="3"/>
  <c r="H31" i="3" l="1"/>
  <c r="G57" i="3"/>
  <c r="G61" i="3"/>
  <c r="G59" i="3"/>
  <c r="P2" i="3"/>
  <c r="P6" i="3"/>
  <c r="P7" i="3"/>
  <c r="C55" i="3"/>
  <c r="C56" i="3"/>
  <c r="G56" i="3" l="1"/>
  <c r="G55" i="3"/>
  <c r="D55" i="3"/>
  <c r="B68" i="3"/>
  <c r="P3" i="3" l="1"/>
  <c r="D57" i="3" l="1"/>
  <c r="W2" i="3" l="1"/>
  <c r="S7" i="3" l="1"/>
  <c r="S2" i="3"/>
  <c r="A3" i="4" l="1"/>
  <c r="A4" i="4"/>
  <c r="A5" i="4"/>
  <c r="A6" i="4"/>
  <c r="F66" i="3" s="1"/>
  <c r="H66" i="3" s="1"/>
  <c r="I66" i="3" s="1"/>
  <c r="A7" i="4"/>
  <c r="A8" i="4"/>
  <c r="A9" i="4"/>
  <c r="A10" i="4"/>
  <c r="A11" i="4"/>
  <c r="A12" i="4"/>
  <c r="A14" i="4"/>
  <c r="A2" i="4"/>
  <c r="F67" i="3" l="1"/>
  <c r="B10" i="6"/>
  <c r="F79" i="2"/>
  <c r="B8" i="6"/>
  <c r="B5" i="6"/>
  <c r="F77" i="2"/>
  <c r="B7" i="6"/>
  <c r="F76" i="2"/>
  <c r="B6" i="6"/>
  <c r="F75" i="2"/>
  <c r="B15" i="6"/>
  <c r="B4" i="6"/>
  <c r="F82" i="2"/>
  <c r="F74" i="2"/>
  <c r="B11" i="6"/>
  <c r="B14" i="6"/>
  <c r="B13" i="6"/>
  <c r="F81" i="2"/>
  <c r="B12" i="6"/>
  <c r="F80" i="2"/>
  <c r="B9" i="6"/>
  <c r="F78" i="2"/>
  <c r="F55" i="3"/>
  <c r="F58" i="3"/>
  <c r="H58" i="3" s="1"/>
  <c r="F57" i="3"/>
  <c r="H67" i="3"/>
  <c r="F64" i="3"/>
  <c r="H64" i="3" s="1"/>
  <c r="F59" i="3"/>
  <c r="H59" i="3" s="1"/>
  <c r="F65" i="3"/>
  <c r="H65" i="3" s="1"/>
  <c r="F60" i="3"/>
  <c r="H60" i="3" s="1"/>
  <c r="F56" i="3"/>
  <c r="F63" i="3"/>
  <c r="H63" i="3" s="1"/>
  <c r="F62" i="3"/>
  <c r="H62" i="3" s="1"/>
  <c r="F61" i="3"/>
  <c r="H61" i="3" s="1"/>
  <c r="T7" i="3"/>
  <c r="C64" i="3"/>
  <c r="C60" i="3"/>
  <c r="G60" i="3" l="1"/>
  <c r="I60" i="3" s="1"/>
  <c r="I57" i="3"/>
  <c r="G63" i="3"/>
  <c r="I55" i="3"/>
  <c r="I62" i="3"/>
  <c r="I61" i="3"/>
  <c r="I59" i="3"/>
  <c r="I56" i="3"/>
  <c r="I63" i="3"/>
  <c r="I64" i="3"/>
  <c r="I58" i="3"/>
  <c r="C67" i="3"/>
  <c r="C65" i="3"/>
  <c r="G65" i="3" l="1"/>
  <c r="I65" i="3" s="1"/>
  <c r="G67" i="3"/>
  <c r="I67" i="3" s="1"/>
  <c r="H68" i="3"/>
  <c r="G68" i="3"/>
  <c r="D64" i="3"/>
  <c r="D65" i="3"/>
  <c r="D67" i="3"/>
  <c r="S6" i="3" l="1"/>
  <c r="S5" i="3"/>
  <c r="S3" i="3"/>
  <c r="S4" i="3"/>
  <c r="T2" i="3"/>
  <c r="T6" i="3"/>
  <c r="T3" i="3"/>
  <c r="S8" i="3" l="1"/>
  <c r="V3" i="3"/>
  <c r="V2" i="3"/>
  <c r="T4" i="3"/>
  <c r="D56" i="3"/>
  <c r="V6" i="3"/>
  <c r="D59" i="3"/>
  <c r="V4" i="3" l="1"/>
  <c r="C68" i="3"/>
  <c r="D62" i="3"/>
  <c r="D63" i="3"/>
  <c r="D60" i="3"/>
  <c r="D61" i="3"/>
  <c r="D68" i="3" l="1"/>
  <c r="P5" i="3" l="1"/>
  <c r="T5" i="3" s="1"/>
  <c r="V5" i="3" s="1"/>
  <c r="V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11" authorId="0" shapeId="0" xr:uid="{B91C9029-D6E5-4482-A601-0F0F390B208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9" authorId="0" shapeId="0" xr:uid="{9A5CA27F-54B3-4AFB-80C6-B51BE2763B0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19" authorId="0" shapeId="0" xr:uid="{4189638D-8260-4AC5-907A-D6860AFF092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30" authorId="0" shapeId="0" xr:uid="{BF7AADD9-B987-47E8-BE13-A354631555E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30" authorId="0" shapeId="0" xr:uid="{36B68B5A-12C9-4939-B7CD-6E0420F2A0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T31" authorId="0" shapeId="0" xr:uid="{BABE5B3D-14D2-416C-A4BF-A667A8D248C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U31" authorId="0" shapeId="0" xr:uid="{714D9FA9-956D-47DA-B57A-6EDED59BCD7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<sst xmlns="http://schemas.openxmlformats.org/spreadsheetml/2006/main" count="368" uniqueCount="95">
  <si>
    <t>Вход в систему</t>
  </si>
  <si>
    <t>Выход из системы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</si>
  <si>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</si>
  <si>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</si>
  <si>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</si>
  <si>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</si>
  <si>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</si>
  <si>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</si>
  <si>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Transaction Name</t>
  </si>
  <si>
    <t>Pass</t>
  </si>
  <si>
    <t>Fail</t>
  </si>
  <si>
    <t>Stop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</si>
  <si>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</si>
  <si>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</si>
  <si>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</si>
  <si>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</si>
  <si>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</si>
  <si>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</si>
  <si>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</si>
  <si>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</si>
  <si>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</si>
  <si>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</si>
  <si>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</si>
  <si>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</si>
  <si>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</si>
  <si>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</si>
  <si>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</si>
  <si>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</si>
  <si>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</si>
  <si>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</si>
  <si>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</si>
  <si>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</si>
  <si>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% Отклонение от Профиля</t>
  </si>
  <si>
    <t>Регистрация новых пользователей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</si>
  <si>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</si>
  <si>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</si>
  <si>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</si>
  <si>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</si>
  <si>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</si>
  <si>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</si>
  <si>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</si>
  <si>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</si>
  <si>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</si>
  <si>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</si>
  <si>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</si>
  <si>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</si>
  <si>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</si>
  <si>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</si>
  <si>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</si>
  <si>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</si>
  <si>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Названия строк</t>
  </si>
  <si>
    <t>Общий итог</t>
  </si>
  <si>
    <t>Login</t>
  </si>
  <si>
    <t>Logout</t>
  </si>
  <si>
    <t>OpenLandingPage</t>
  </si>
  <si>
    <t>OpenRegistrationPage</t>
  </si>
  <si>
    <t>UserRegistered</t>
  </si>
  <si>
    <t>Фактическая интенсивность в тесте</t>
  </si>
  <si>
    <t>Поиск максимума 5 ступень</t>
  </si>
  <si>
    <t>Поиск максимума 1 ступень</t>
  </si>
  <si>
    <t>Passed</t>
  </si>
  <si>
    <t>Поиск максимума 4 ступень</t>
  </si>
  <si>
    <t>SLA</t>
  </si>
  <si>
    <t>Failed</t>
  </si>
  <si>
    <t>Поиск максимума 3 ступень</t>
  </si>
  <si>
    <r>
      <t xml:space="preserve">Поиск максимума 2 ступень </t>
    </r>
    <r>
      <rPr>
        <sz val="11"/>
        <color rgb="FFFF0000"/>
        <rFont val="Calibri"/>
        <family val="2"/>
        <charset val="204"/>
        <scheme val="minor"/>
      </rPr>
      <t>(Выбрана как максимальная)</t>
    </r>
  </si>
  <si>
    <r>
      <t xml:space="preserve">Подтверждение максимума </t>
    </r>
    <r>
      <rPr>
        <sz val="11"/>
        <color rgb="FFFF0000"/>
        <rFont val="Calibri"/>
        <family val="2"/>
        <charset val="204"/>
        <scheme val="minor"/>
      </rPr>
      <t>(20 vusers, 100% от L0)</t>
    </r>
  </si>
  <si>
    <t>Главная страница</t>
  </si>
  <si>
    <t>Страница регистрации</t>
  </si>
  <si>
    <t>Регистрация пользователя</t>
  </si>
  <si>
    <t>ChooseCategory</t>
  </si>
  <si>
    <t>Выбор категории товаров</t>
  </si>
  <si>
    <t>ChooseProduct</t>
  </si>
  <si>
    <t>AddToCart</t>
  </si>
  <si>
    <t>Добавление товара в корзину</t>
  </si>
  <si>
    <t>OpenCart</t>
  </si>
  <si>
    <t>Переход в корзину</t>
  </si>
  <si>
    <t>CheckoutUserData</t>
  </si>
  <si>
    <t>Проверка пользовательских данных перед покупкой</t>
  </si>
  <si>
    <t>Payment</t>
  </si>
  <si>
    <t>Оплата</t>
  </si>
  <si>
    <t>DeleteProduct</t>
  </si>
  <si>
    <t>Удаление продукта</t>
  </si>
  <si>
    <t>SeachProduct</t>
  </si>
  <si>
    <t>Поиск продукта</t>
  </si>
  <si>
    <t>Переход на страницу продукта</t>
  </si>
  <si>
    <t>Покупка товара</t>
  </si>
  <si>
    <t xml:space="preserve">Удаление товаара </t>
  </si>
  <si>
    <t xml:space="preserve">Поиск товара </t>
  </si>
  <si>
    <t>UC1_RandomUserRegistration</t>
  </si>
  <si>
    <t>UC2_LoginLogout</t>
  </si>
  <si>
    <t>UC4_AddToCart</t>
  </si>
  <si>
    <t>UC5_BuyingProduct</t>
  </si>
  <si>
    <t>UC6_DeleteProduct</t>
  </si>
  <si>
    <t>UC7_SeachProduct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</si>
</sst>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1"/>
      <color rgb="FF212529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color rgb="FF212529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4D4D4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27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7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7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7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7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7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9" fontId="28" fillId="0" borderId="0" applyFont="0" applyFill="0" applyBorder="0" applyAlignment="0" applyProtection="0"/>
    <xf numFmtId="0" fontId="5" fillId="0" borderId="0"/>
    <xf numFmtId="0" fontId="32" fillId="4" borderId="0" applyNumberFormat="0" applyBorder="0" applyAlignment="0" applyProtection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7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9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38" borderId="2" xfId="44" applyFont="1" applyFill="1" applyBorder="1"/>
    <xf numFmtId="0" fontId="10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10" fillId="39" borderId="14" xfId="0" applyFont="1" applyFill="1" applyBorder="1" applyAlignment="1">
      <alignment vertical="center" wrapText="1"/>
    </xf>
    <xf numFmtId="0" fontId="8" fillId="39" borderId="14" xfId="0" applyFont="1" applyFill="1" applyBorder="1" applyAlignment="1">
      <alignment horizontal="left" vertical="center" wrapText="1"/>
    </xf>
    <xf numFmtId="0" fontId="9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6" xfId="0" applyBorder="1"/>
    <xf numFmtId="0" fontId="29" fillId="0" borderId="22" xfId="0" applyFont="1" applyBorder="1"/>
    <xf numFmtId="9" fontId="0" fillId="0" borderId="27" xfId="0" applyNumberFormat="1" applyBorder="1"/>
    <xf numFmtId="0" fontId="10" fillId="39" borderId="19" xfId="0" applyFont="1" applyFill="1" applyBorder="1" applyAlignment="1">
      <alignment vertical="center" wrapText="1"/>
    </xf>
    <xf numFmtId="0" fontId="8" fillId="39" borderId="19" xfId="0" applyFont="1" applyFill="1" applyBorder="1" applyAlignment="1">
      <alignment horizontal="center" vertical="center" wrapText="1"/>
    </xf>
    <xf numFmtId="0" fontId="8" fillId="39" borderId="30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0" fillId="0" borderId="2" xfId="0" applyBorder="1"/>
    <xf numFmtId="0" fontId="33" fillId="0" borderId="25" xfId="0" applyFont="1" applyBorder="1"/>
    <xf numFmtId="0" fontId="33" fillId="42" borderId="22" xfId="0" applyFont="1" applyFill="1" applyBorder="1"/>
    <xf numFmtId="2" fontId="33" fillId="42" borderId="2" xfId="0" applyNumberFormat="1" applyFont="1" applyFill="1" applyBorder="1"/>
    <xf numFmtId="0" fontId="10" fillId="0" borderId="0" xfId="0" applyFont="1" applyAlignment="1">
      <alignment vertical="center" wrapText="1"/>
    </xf>
    <xf numFmtId="0" fontId="3" fillId="40" borderId="14" xfId="0" applyFont="1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5" borderId="1" xfId="0" applyNumberFormat="1" applyFill="1" applyBorder="1"/>
    <xf numFmtId="0" fontId="0" fillId="35" borderId="33" xfId="0" applyFill="1" applyBorder="1"/>
    <xf numFmtId="1" fontId="0" fillId="37" borderId="34" xfId="0" applyNumberFormat="1" applyFill="1" applyBorder="1"/>
    <xf numFmtId="1" fontId="0" fillId="0" borderId="34" xfId="0" applyNumberFormat="1" applyBorder="1"/>
    <xf numFmtId="1" fontId="0" fillId="35" borderId="34" xfId="0" applyNumberFormat="1" applyFill="1" applyBorder="1"/>
    <xf numFmtId="0" fontId="0" fillId="35" borderId="35" xfId="0" applyFill="1" applyBorder="1"/>
    <xf numFmtId="0" fontId="0" fillId="35" borderId="2" xfId="0" applyFill="1" applyBorder="1"/>
    <xf numFmtId="0" fontId="3" fillId="0" borderId="0" xfId="0" applyFont="1"/>
    <xf numFmtId="0" fontId="0" fillId="0" borderId="31" xfId="0" applyBorder="1"/>
    <xf numFmtId="0" fontId="0" fillId="0" borderId="20" xfId="0" applyBorder="1"/>
    <xf numFmtId="0" fontId="0" fillId="0" borderId="36" xfId="0" applyBorder="1"/>
    <xf numFmtId="0" fontId="0" fillId="0" borderId="37" xfId="0" applyBorder="1"/>
    <xf numFmtId="0" fontId="0" fillId="0" borderId="2" xfId="0" quotePrefix="1" applyBorder="1"/>
    <xf numFmtId="1" fontId="0" fillId="40" borderId="2" xfId="0" applyNumberFormat="1" applyFill="1" applyBorder="1"/>
    <xf numFmtId="0" fontId="34" fillId="0" borderId="2" xfId="0" applyFont="1" applyBorder="1" applyAlignment="1">
      <alignment horizontal="left" vertical="top"/>
    </xf>
    <xf numFmtId="0" fontId="0" fillId="42" borderId="2" xfId="0" applyFill="1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0" borderId="32" xfId="0" applyBorder="1"/>
    <xf numFmtId="9" fontId="0" fillId="0" borderId="2" xfId="44" applyFont="1" applyFill="1" applyBorder="1"/>
    <xf numFmtId="9" fontId="0" fillId="0" borderId="2" xfId="44" applyFont="1" applyBorder="1"/>
    <xf numFmtId="0" fontId="35" fillId="0" borderId="0" xfId="0" applyFont="1"/>
    <xf numFmtId="0" fontId="36" fillId="0" borderId="2" xfId="0" applyFont="1" applyBorder="1" applyAlignment="1">
      <alignment horizontal="left" vertical="top"/>
    </xf>
    <xf numFmtId="0" fontId="36" fillId="0" borderId="2" xfId="0" applyFont="1" applyBorder="1"/>
    <xf numFmtId="0" fontId="36" fillId="0" borderId="2" xfId="4" applyFont="1" applyBorder="1" applyAlignment="1">
      <alignment horizontal="left" vertical="top"/>
    </xf>
    <xf numFmtId="0" fontId="36" fillId="0" borderId="39" xfId="0" applyFont="1" applyBorder="1" applyAlignment="1">
      <alignment horizontal="left" vertical="top"/>
    </xf>
    <xf numFmtId="0" fontId="37" fillId="0" borderId="0" xfId="0" applyFont="1"/>
    <xf numFmtId="10" fontId="38" fillId="0" borderId="2" xfId="0" applyNumberFormat="1" applyFont="1" applyBorder="1" applyAlignment="1">
      <alignment horizontal="left" vertical="top"/>
    </xf>
    <xf numFmtId="0" fontId="36" fillId="0" borderId="2" xfId="42" applyFont="1" applyBorder="1"/>
    <xf numFmtId="10" fontId="0" fillId="0" borderId="0" xfId="0" applyNumberFormat="1"/>
    <xf numFmtId="0" fontId="35" fillId="0" borderId="2" xfId="0" applyFont="1" applyBorder="1"/>
    <xf numFmtId="0" fontId="15" fillId="5" borderId="2" xfId="0" applyFont="1" applyFill="1" applyBorder="1" applyAlignment="1">
      <alignment horizontal="center" vertical="top"/>
    </xf>
    <xf numFmtId="0" fontId="8" fillId="43" borderId="14" xfId="0" applyFont="1" applyFill="1" applyBorder="1" applyAlignment="1">
      <alignment horizontal="left" vertical="center" wrapText="1"/>
    </xf>
    <xf numFmtId="0" fontId="2" fillId="40" borderId="14" xfId="0" applyFont="1" applyFill="1" applyBorder="1"/>
    <xf numFmtId="0" fontId="2" fillId="40" borderId="28" xfId="0" applyFont="1" applyFill="1" applyBorder="1"/>
    <xf numFmtId="0" fontId="2" fillId="40" borderId="2" xfId="0" applyFont="1" applyFill="1" applyBorder="1"/>
    <xf numFmtId="0" fontId="0" fillId="0" borderId="34" xfId="0" applyBorder="1"/>
    <xf numFmtId="0" fontId="3" fillId="40" borderId="2" xfId="0" applyFont="1" applyFill="1" applyBorder="1"/>
    <xf numFmtId="0" fontId="29" fillId="0" borderId="0" xfId="0" applyFont="1"/>
    <xf numFmtId="1" fontId="29" fillId="0" borderId="0" xfId="0" applyNumberFormat="1" applyFont="1"/>
    <xf numFmtId="0" fontId="39" fillId="40" borderId="2" xfId="0" applyFont="1" applyFill="1" applyBorder="1"/>
    <xf numFmtId="0" fontId="39" fillId="40" borderId="14" xfId="0" applyFont="1" applyFill="1" applyBorder="1"/>
    <xf numFmtId="0" fontId="33" fillId="0" borderId="2" xfId="0" applyFont="1" applyBorder="1"/>
    <xf numFmtId="0" fontId="37" fillId="0" borderId="2" xfId="0" applyFont="1" applyBorder="1"/>
    <xf numFmtId="0" fontId="1" fillId="40" borderId="38" xfId="0" applyFont="1" applyFill="1" applyBorder="1"/>
    <xf numFmtId="0" fontId="1" fillId="40" borderId="2" xfId="0" applyFont="1" applyFill="1" applyBorder="1"/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colors>
    <mruColors>
      <color rgb="FFEF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Клейменов" refreshedDate="45672.670376967595" createdVersion="8" refreshedVersion="8" minRefreshableVersion="3" recordCount="30" xr:uid="{0BB46A07-82A4-4AE1-BD7F-6A0E54336BAD}">
  <cacheSource type="worksheet">
    <worksheetSource ref="A1:H31" sheet="Автоматизированный расчет"/>
  </cacheSource>
  <cacheFields count="8">
    <cacheField name="Script name" numFmtId="0">
      <sharedItems/>
    </cacheField>
    <cacheField name="transaction rq" numFmtId="0">
      <sharedItems count="13">
        <s v="Главная страница"/>
        <s v="Вход в систему"/>
        <s v="Выбор категории товаров"/>
        <s v="Переход на страницу продукта"/>
        <s v="Добавление товара в корзину"/>
        <s v="Переход в корзину"/>
        <s v="Проверка пользовательских данных перед покупкой"/>
        <s v="Оплата"/>
        <s v="Выход из системы"/>
        <s v="Страница регистрации"/>
        <s v="Регистрация пользователя"/>
        <s v="Удаление продукта"/>
        <s v="Поиск продукта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51" maxValue="130"/>
    </cacheField>
    <cacheField name="одним пользователем в минуту" numFmtId="2">
      <sharedItems containsSemiMixedTypes="0" containsString="0" containsNumber="1" minValue="0.46153846153846156" maxValue="1.17647058823529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3.636363636363635" maxValue="43.636363636363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Покупка товара"/>
    <x v="0"/>
    <n v="1"/>
    <n v="2"/>
    <n v="130"/>
    <n v="0.46153846153846156"/>
    <n v="20"/>
    <n v="18.461538461538463"/>
  </r>
  <r>
    <s v="Покупка товара"/>
    <x v="1"/>
    <n v="1"/>
    <n v="2"/>
    <n v="130"/>
    <n v="0.46153846153846156"/>
    <n v="20"/>
    <n v="18.461538461538463"/>
  </r>
  <r>
    <s v="Покупка товара"/>
    <x v="2"/>
    <n v="1"/>
    <n v="2"/>
    <n v="130"/>
    <n v="0.46153846153846156"/>
    <n v="20"/>
    <n v="18.461538461538463"/>
  </r>
  <r>
    <s v="Покупка товара"/>
    <x v="3"/>
    <n v="1"/>
    <n v="2"/>
    <n v="130"/>
    <n v="0.46153846153846156"/>
    <n v="20"/>
    <n v="18.461538461538463"/>
  </r>
  <r>
    <s v="Покупка товара"/>
    <x v="4"/>
    <n v="1"/>
    <n v="2"/>
    <n v="130"/>
    <n v="0.46153846153846156"/>
    <n v="20"/>
    <n v="18.461538461538463"/>
  </r>
  <r>
    <s v="Покупка товара"/>
    <x v="5"/>
    <n v="1"/>
    <n v="2"/>
    <n v="130"/>
    <n v="0.46153846153846156"/>
    <n v="20"/>
    <n v="18.461538461538463"/>
  </r>
  <r>
    <s v="Покупка товара"/>
    <x v="6"/>
    <n v="1"/>
    <n v="2"/>
    <n v="130"/>
    <n v="0.46153846153846156"/>
    <n v="20"/>
    <n v="18.461538461538463"/>
  </r>
  <r>
    <s v="Покупка товара"/>
    <x v="7"/>
    <n v="1"/>
    <n v="2"/>
    <n v="130"/>
    <n v="0.46153846153846156"/>
    <n v="20"/>
    <n v="18.461538461538463"/>
  </r>
  <r>
    <s v="Логин"/>
    <x v="0"/>
    <n v="1"/>
    <n v="2"/>
    <n v="55"/>
    <n v="1.0909090909090908"/>
    <n v="20"/>
    <n v="43.636363636363633"/>
  </r>
  <r>
    <s v="Логин"/>
    <x v="1"/>
    <n v="1"/>
    <n v="2"/>
    <n v="55"/>
    <n v="1.0909090909090908"/>
    <n v="20"/>
    <n v="43.636363636363633"/>
  </r>
  <r>
    <s v="Логин"/>
    <x v="2"/>
    <n v="1"/>
    <n v="2"/>
    <n v="55"/>
    <n v="1.0909090909090908"/>
    <n v="20"/>
    <n v="43.636363636363633"/>
  </r>
  <r>
    <s v="Логин"/>
    <x v="8"/>
    <n v="1"/>
    <n v="2"/>
    <n v="55"/>
    <n v="1.0909090909090908"/>
    <n v="20"/>
    <n v="43.636363636363633"/>
  </r>
  <r>
    <s v="Регистрация новых пользователей"/>
    <x v="0"/>
    <n v="1"/>
    <n v="1"/>
    <n v="51"/>
    <n v="1.1764705882352942"/>
    <n v="20"/>
    <n v="23.529411764705884"/>
  </r>
  <r>
    <s v="Регистрация новых пользователей"/>
    <x v="9"/>
    <n v="1"/>
    <n v="1"/>
    <n v="51"/>
    <n v="1.1764705882352942"/>
    <n v="20"/>
    <n v="23.529411764705884"/>
  </r>
  <r>
    <s v="Регистрация новых пользователей"/>
    <x v="10"/>
    <n v="1"/>
    <n v="1"/>
    <n v="51"/>
    <n v="1.1764705882352942"/>
    <n v="20"/>
    <n v="23.529411764705884"/>
  </r>
  <r>
    <s v="Регистрация новых пользователей"/>
    <x v="8"/>
    <n v="1"/>
    <n v="1"/>
    <n v="51"/>
    <n v="1.1764705882352942"/>
    <n v="20"/>
    <n v="23.529411764705884"/>
  </r>
  <r>
    <s v="Удаление товаара "/>
    <x v="0"/>
    <n v="1"/>
    <n v="1"/>
    <n v="88"/>
    <n v="0.68181818181818177"/>
    <n v="20"/>
    <n v="13.636363636363635"/>
  </r>
  <r>
    <s v="Удаление товаара "/>
    <x v="1"/>
    <n v="1"/>
    <n v="1"/>
    <n v="88"/>
    <n v="0.68181818181818177"/>
    <n v="20"/>
    <n v="13.636363636363635"/>
  </r>
  <r>
    <s v="Удаление товаара "/>
    <x v="2"/>
    <n v="1"/>
    <n v="1"/>
    <n v="88"/>
    <n v="0.68181818181818177"/>
    <n v="20"/>
    <n v="13.636363636363635"/>
  </r>
  <r>
    <s v="Удаление товаара "/>
    <x v="3"/>
    <n v="1"/>
    <n v="1"/>
    <n v="88"/>
    <n v="0.68181818181818177"/>
    <n v="20"/>
    <n v="13.636363636363635"/>
  </r>
  <r>
    <s v="Удаление товаара "/>
    <x v="4"/>
    <n v="1"/>
    <n v="1"/>
    <n v="88"/>
    <n v="0.68181818181818177"/>
    <n v="20"/>
    <n v="13.636363636363635"/>
  </r>
  <r>
    <s v="Удаление товаара "/>
    <x v="5"/>
    <n v="1"/>
    <n v="1"/>
    <n v="88"/>
    <n v="0.68181818181818177"/>
    <n v="20"/>
    <n v="13.636363636363635"/>
  </r>
  <r>
    <s v="Удаление товаара "/>
    <x v="11"/>
    <n v="1"/>
    <n v="1"/>
    <n v="88"/>
    <n v="0.68181818181818177"/>
    <n v="20"/>
    <n v="13.636363636363635"/>
  </r>
  <r>
    <s v="Поиск товара "/>
    <x v="0"/>
    <n v="1"/>
    <n v="2"/>
    <n v="55"/>
    <n v="1.0909090909090908"/>
    <n v="20"/>
    <n v="43.636363636363633"/>
  </r>
  <r>
    <s v="Поиск товара "/>
    <x v="12"/>
    <n v="1"/>
    <n v="2"/>
    <n v="55"/>
    <n v="1.0909090909090908"/>
    <n v="20"/>
    <n v="43.636363636363633"/>
  </r>
  <r>
    <s v="Добавление товара в корзину"/>
    <x v="0"/>
    <n v="1"/>
    <n v="2"/>
    <n v="80"/>
    <n v="0.75"/>
    <n v="20"/>
    <n v="30"/>
  </r>
  <r>
    <s v="Добавление товара в корзину"/>
    <x v="1"/>
    <n v="1"/>
    <n v="2"/>
    <n v="80"/>
    <n v="0.75"/>
    <n v="20"/>
    <n v="30"/>
  </r>
  <r>
    <s v="Добавление товара в корзину"/>
    <x v="2"/>
    <n v="1"/>
    <n v="2"/>
    <n v="80"/>
    <n v="0.75"/>
    <n v="20"/>
    <n v="30"/>
  </r>
  <r>
    <s v="Добавление товара в корзину"/>
    <x v="3"/>
    <n v="1"/>
    <n v="2"/>
    <n v="80"/>
    <n v="0.75"/>
    <n v="20"/>
    <n v="30"/>
  </r>
  <r>
    <s v="Добавление товара в корзину"/>
    <x v="4"/>
    <n v="1"/>
    <n v="2"/>
    <n v="80"/>
    <n v="0.75"/>
    <n v="2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5BE3F-A2D6-4025-A342-1F950D6F6F4E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5" firstHeaderRow="1" firstDataRow="1" firstDataCol="1"/>
  <pivotFields count="8">
    <pivotField showAll="0"/>
    <pivotField axis="axisRow" showAll="0">
      <items count="14">
        <item x="1"/>
        <item x="8"/>
        <item x="0"/>
        <item x="2"/>
        <item x="3"/>
        <item x="4"/>
        <item x="5"/>
        <item x="6"/>
        <item x="7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"/>
  <sheetViews>
    <sheetView tabSelected="1" topLeftCell="A22" zoomScale="85" zoomScaleNormal="85" workbookViewId="0">
      <selection activeCell="B27" sqref="B27:B31"/>
    </sheetView>
  </sheetViews>
  <sheetFormatPr defaultColWidth="11.42578125" defaultRowHeight="15" x14ac:dyDescent="0.25"/>
  <cols>
    <col min="1" max="1" width="36.85546875" customWidth="1"/>
    <col min="2" max="2" width="46.5703125" customWidth="1"/>
    <col min="3" max="3" width="18.140625" customWidth="1"/>
    <col min="4" max="4" width="17.85546875" customWidth="1"/>
    <col min="5" max="5" width="13.5703125" customWidth="1"/>
    <col min="6" max="6" width="33.42578125" customWidth="1"/>
    <col min="7" max="7" width="34.28515625" customWidth="1"/>
    <col min="8" max="8" width="27.28515625" customWidth="1"/>
    <col min="9" max="9" width="50.85546875" bestFit="1" customWidth="1"/>
    <col min="10" max="10" width="21.5703125" bestFit="1" customWidth="1"/>
    <col min="11" max="11" width="18.140625" customWidth="1"/>
    <col min="12" max="12" width="26.7109375" customWidth="1"/>
    <col min="13" max="13" width="35.8554687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  <col min="21" max="21" width="19.140625" customWidth="1"/>
  </cols>
  <sheetData>
    <row r="1" spans="1:26" ht="15.75" thickBot="1" x14ac:dyDescent="0.3">
      <c r="A1" s="8" t="s">
        <v>12</v>
      </c>
      <c r="B1" s="8" t="s">
        <v>13</v>
      </c>
      <c r="C1" s="8" t="s">
        <v>14</v>
      </c>
      <c r="D1" s="8" t="s">
        <v>16</v>
      </c>
      <c r="E1" s="8" t="s">
        <v>25</v>
      </c>
      <c r="F1" s="8" t="s">
        <v>26</v>
      </c>
      <c r="G1" s="8" t="s">
        <v>27</v>
      </c>
      <c r="H1" s="8" t="s">
        <v>2</v>
      </c>
      <c r="I1" s="1" t="s">
        <v>50</v>
      </c>
      <c r="J1" t="s">
        <v>24</v>
      </c>
      <c r="M1" s="21" t="s">
        <v>15</v>
      </c>
      <c r="N1" s="22" t="s">
        <v>17</v>
      </c>
      <c r="O1" s="22" t="s">
        <v>18</v>
      </c>
      <c r="P1" s="22" t="s">
        <v>47</v>
      </c>
      <c r="Q1" s="22" t="s">
        <v>19</v>
      </c>
      <c r="R1" s="22" t="s">
        <v>16</v>
      </c>
      <c r="S1" s="29" t="s">
        <v>22</v>
      </c>
      <c r="T1" s="39" t="s">
        <v>49</v>
      </c>
      <c r="U1" s="30" t="s">
        <v>20</v>
      </c>
      <c r="V1" s="30" t="s">
        <v>21</v>
      </c>
      <c r="W1" s="15" t="s">
        <v>23</v>
      </c>
    </row>
    <row r="2" spans="1:26" ht="15.75" thickBot="1" x14ac:dyDescent="0.3">
      <c r="A2" s="80" t="s">
        <v>86</v>
      </c>
      <c r="B2" s="29" t="s">
        <v>67</v>
      </c>
      <c r="C2" s="53">
        <v>1</v>
      </c>
      <c r="D2" s="54">
        <f>VLOOKUP(A2,$M$1:$X$8,6,FALSE)</f>
        <v>2</v>
      </c>
      <c r="E2">
        <f>VLOOKUP(A2,$M$1:$X$8,5,FALSE)</f>
        <v>130</v>
      </c>
      <c r="F2" s="4">
        <f>60/E2*C2</f>
        <v>0.46153846153846156</v>
      </c>
      <c r="G2">
        <f t="shared" ref="G2:G11" si="0">VLOOKUP(A2,$M$1:$X$8,9,FALSE)</f>
        <v>20</v>
      </c>
      <c r="H2" s="3">
        <f t="shared" ref="H2:H11" si="1">D2*F2*G2</f>
        <v>18.461538461538463</v>
      </c>
      <c r="I2" s="2" t="s">
        <v>0</v>
      </c>
      <c r="J2" s="3">
        <v>105.73426573426573</v>
      </c>
      <c r="L2" s="61"/>
      <c r="M2" s="64" t="s">
        <v>86</v>
      </c>
      <c r="N2" s="5">
        <v>30</v>
      </c>
      <c r="O2" s="18">
        <v>35</v>
      </c>
      <c r="P2" s="19">
        <f>N2+O2</f>
        <v>65</v>
      </c>
      <c r="Q2" s="9">
        <v>130</v>
      </c>
      <c r="R2" s="27">
        <v>2</v>
      </c>
      <c r="S2" s="28">
        <f>R2/W$2</f>
        <v>0.2</v>
      </c>
      <c r="T2" s="40">
        <f t="shared" ref="T2:T7" si="2">60/(Q2)</f>
        <v>0.46153846153846156</v>
      </c>
      <c r="U2" s="84">
        <v>20</v>
      </c>
      <c r="V2" s="85">
        <f>ROUND(R2*T2*U2,0)</f>
        <v>18</v>
      </c>
      <c r="W2" s="13">
        <f>SUM(R2:R7)</f>
        <v>10</v>
      </c>
      <c r="Y2">
        <v>10</v>
      </c>
      <c r="Z2">
        <f>Q2+((Q2/100)*Y2)</f>
        <v>143</v>
      </c>
    </row>
    <row r="3" spans="1:26" ht="15.75" thickBot="1" x14ac:dyDescent="0.3">
      <c r="A3" s="81" t="s">
        <v>86</v>
      </c>
      <c r="B3" s="37" t="s">
        <v>0</v>
      </c>
      <c r="C3" s="53">
        <v>1</v>
      </c>
      <c r="D3" s="54">
        <f>VLOOKUP(A3,$M$1:$X$8,6,FALSE)</f>
        <v>2</v>
      </c>
      <c r="E3">
        <f t="shared" ref="E3:E11" si="3">VLOOKUP(A3,$M$1:$X$8,5,FALSE)</f>
        <v>130</v>
      </c>
      <c r="F3" s="4">
        <f t="shared" ref="F3" si="4">60/E3*C3</f>
        <v>0.46153846153846156</v>
      </c>
      <c r="G3">
        <f t="shared" si="0"/>
        <v>20</v>
      </c>
      <c r="H3" s="3">
        <f t="shared" si="1"/>
        <v>18.461538461538463</v>
      </c>
      <c r="I3" s="2" t="s">
        <v>1</v>
      </c>
      <c r="J3" s="3">
        <v>67.16577540106951</v>
      </c>
      <c r="L3" s="62"/>
      <c r="M3" s="64" t="s">
        <v>87</v>
      </c>
      <c r="N3" s="5">
        <v>20</v>
      </c>
      <c r="O3" s="18">
        <v>24</v>
      </c>
      <c r="P3" s="19">
        <f t="shared" ref="P3:P7" si="5">N3+O3</f>
        <v>44</v>
      </c>
      <c r="Q3" s="9">
        <v>88</v>
      </c>
      <c r="R3" s="27">
        <v>1</v>
      </c>
      <c r="S3" s="28">
        <f t="shared" ref="S3:S6" si="6">R3/W$2</f>
        <v>0.1</v>
      </c>
      <c r="T3" s="40">
        <f t="shared" si="2"/>
        <v>0.68181818181818177</v>
      </c>
      <c r="U3" s="84">
        <v>20</v>
      </c>
      <c r="V3" s="85">
        <f>ROUND(R3*T3*U3,0)</f>
        <v>14</v>
      </c>
      <c r="W3" s="13"/>
      <c r="Y3">
        <v>10</v>
      </c>
      <c r="Z3">
        <f t="shared" ref="Z3:Z7" si="7">Q3+((Q3/100)*Y3)</f>
        <v>96.8</v>
      </c>
    </row>
    <row r="4" spans="1:26" ht="15.75" thickBot="1" x14ac:dyDescent="0.3">
      <c r="A4" s="81" t="s">
        <v>86</v>
      </c>
      <c r="B4" s="37" t="s">
        <v>71</v>
      </c>
      <c r="C4" s="53">
        <v>1</v>
      </c>
      <c r="D4" s="54">
        <f t="shared" ref="D4:D8" si="8">VLOOKUP(A4,$M$1:$X$8,6,FALSE)</f>
        <v>2</v>
      </c>
      <c r="E4">
        <f t="shared" si="3"/>
        <v>130</v>
      </c>
      <c r="F4" s="4">
        <f t="shared" ref="F4:F12" si="9">60/E4*C4</f>
        <v>0.46153846153846156</v>
      </c>
      <c r="G4">
        <f t="shared" si="0"/>
        <v>20</v>
      </c>
      <c r="H4" s="3">
        <f t="shared" si="1"/>
        <v>18.461538461538463</v>
      </c>
      <c r="I4" s="2" t="s">
        <v>67</v>
      </c>
      <c r="J4" s="3">
        <v>172.90004113533524</v>
      </c>
      <c r="L4" s="61"/>
      <c r="M4" s="64" t="s">
        <v>33</v>
      </c>
      <c r="N4" s="5">
        <v>9</v>
      </c>
      <c r="O4" s="18">
        <v>15</v>
      </c>
      <c r="P4" s="19">
        <f t="shared" si="5"/>
        <v>24</v>
      </c>
      <c r="Q4" s="9">
        <v>51</v>
      </c>
      <c r="R4" s="27">
        <v>1</v>
      </c>
      <c r="S4" s="28">
        <f t="shared" si="6"/>
        <v>0.1</v>
      </c>
      <c r="T4" s="40">
        <f t="shared" si="2"/>
        <v>1.1764705882352942</v>
      </c>
      <c r="U4" s="84">
        <v>20</v>
      </c>
      <c r="V4" s="85">
        <f>ROUND(R4*T4*U4,0)</f>
        <v>24</v>
      </c>
      <c r="W4" s="13"/>
      <c r="Y4">
        <v>10</v>
      </c>
      <c r="Z4">
        <f t="shared" si="7"/>
        <v>56.1</v>
      </c>
    </row>
    <row r="5" spans="1:26" ht="15.75" thickBot="1" x14ac:dyDescent="0.3">
      <c r="A5" s="81" t="s">
        <v>86</v>
      </c>
      <c r="B5" s="37" t="s">
        <v>85</v>
      </c>
      <c r="C5" s="53">
        <v>1</v>
      </c>
      <c r="D5" s="54">
        <f t="shared" si="8"/>
        <v>2</v>
      </c>
      <c r="E5">
        <f t="shared" si="3"/>
        <v>130</v>
      </c>
      <c r="F5" s="4">
        <f t="shared" si="9"/>
        <v>0.46153846153846156</v>
      </c>
      <c r="G5">
        <f t="shared" si="0"/>
        <v>20</v>
      </c>
      <c r="H5" s="3">
        <f t="shared" si="1"/>
        <v>18.461538461538463</v>
      </c>
      <c r="I5" s="2" t="s">
        <v>71</v>
      </c>
      <c r="J5" s="3">
        <v>105.73426573426573</v>
      </c>
      <c r="L5" s="61"/>
      <c r="M5" s="24" t="s">
        <v>88</v>
      </c>
      <c r="N5" s="5">
        <v>19</v>
      </c>
      <c r="O5" s="43">
        <v>5</v>
      </c>
      <c r="P5" s="44">
        <f>N5+O5</f>
        <v>24</v>
      </c>
      <c r="Q5" s="45">
        <v>55</v>
      </c>
      <c r="R5" s="46">
        <v>2</v>
      </c>
      <c r="S5" s="28">
        <f t="shared" si="6"/>
        <v>0.2</v>
      </c>
      <c r="T5" s="40">
        <f t="shared" si="2"/>
        <v>1.0909090909090908</v>
      </c>
      <c r="U5" s="84">
        <v>20</v>
      </c>
      <c r="V5" s="85">
        <f>ROUND(R5*T5*U5,0)</f>
        <v>44</v>
      </c>
      <c r="W5" s="13"/>
      <c r="Y5">
        <v>10</v>
      </c>
      <c r="Z5">
        <f t="shared" si="7"/>
        <v>60.5</v>
      </c>
    </row>
    <row r="6" spans="1:26" ht="15.75" thickBot="1" x14ac:dyDescent="0.3">
      <c r="A6" s="81" t="s">
        <v>86</v>
      </c>
      <c r="B6" s="37" t="s">
        <v>74</v>
      </c>
      <c r="C6" s="53">
        <v>1</v>
      </c>
      <c r="D6" s="54">
        <f t="shared" si="8"/>
        <v>2</v>
      </c>
      <c r="E6">
        <f t="shared" si="3"/>
        <v>130</v>
      </c>
      <c r="F6" s="4">
        <f t="shared" si="9"/>
        <v>0.46153846153846156</v>
      </c>
      <c r="G6">
        <f t="shared" si="0"/>
        <v>20</v>
      </c>
      <c r="H6" s="3">
        <f t="shared" si="1"/>
        <v>18.461538461538463</v>
      </c>
      <c r="I6" s="2" t="s">
        <v>85</v>
      </c>
      <c r="J6" s="3">
        <v>62.0979020979021</v>
      </c>
      <c r="L6" s="61"/>
      <c r="M6" s="24" t="s">
        <v>74</v>
      </c>
      <c r="N6" s="5">
        <v>18</v>
      </c>
      <c r="O6" s="18">
        <v>20</v>
      </c>
      <c r="P6" s="19">
        <f>N6+O6</f>
        <v>38</v>
      </c>
      <c r="Q6" s="9">
        <v>80</v>
      </c>
      <c r="R6" s="51">
        <v>2</v>
      </c>
      <c r="S6" s="28">
        <f t="shared" si="6"/>
        <v>0.2</v>
      </c>
      <c r="T6" s="40">
        <f t="shared" si="2"/>
        <v>0.75</v>
      </c>
      <c r="U6" s="84">
        <v>20</v>
      </c>
      <c r="V6" s="85">
        <f>ROUND(R6*T6*U6,0)</f>
        <v>30</v>
      </c>
      <c r="W6" s="13"/>
      <c r="Y6">
        <v>10</v>
      </c>
      <c r="Z6">
        <f t="shared" si="7"/>
        <v>88</v>
      </c>
    </row>
    <row r="7" spans="1:26" ht="15.75" thickBot="1" x14ac:dyDescent="0.3">
      <c r="A7" s="81" t="s">
        <v>86</v>
      </c>
      <c r="B7" s="63" t="s">
        <v>76</v>
      </c>
      <c r="C7" s="53">
        <v>1</v>
      </c>
      <c r="D7" s="54">
        <f t="shared" si="8"/>
        <v>2</v>
      </c>
      <c r="E7">
        <f t="shared" si="3"/>
        <v>130</v>
      </c>
      <c r="F7" s="4">
        <f t="shared" si="9"/>
        <v>0.46153846153846156</v>
      </c>
      <c r="G7">
        <f t="shared" si="0"/>
        <v>20</v>
      </c>
      <c r="H7" s="3">
        <f t="shared" si="1"/>
        <v>18.461538461538463</v>
      </c>
      <c r="I7" s="2" t="s">
        <v>74</v>
      </c>
      <c r="J7" s="3">
        <v>62.0979020979021</v>
      </c>
      <c r="L7" s="61"/>
      <c r="M7" s="24" t="s">
        <v>34</v>
      </c>
      <c r="N7" s="5">
        <v>13</v>
      </c>
      <c r="O7" s="47">
        <v>15</v>
      </c>
      <c r="P7" s="48">
        <f t="shared" si="5"/>
        <v>28</v>
      </c>
      <c r="Q7" s="49">
        <v>55</v>
      </c>
      <c r="R7" s="50">
        <v>2</v>
      </c>
      <c r="S7" s="28">
        <f>R7/W$2</f>
        <v>0.2</v>
      </c>
      <c r="T7" s="40">
        <f t="shared" si="2"/>
        <v>1.0909090909090908</v>
      </c>
      <c r="U7" s="84">
        <v>20</v>
      </c>
      <c r="V7" s="85">
        <f>SUM(V2:V6)</f>
        <v>130</v>
      </c>
      <c r="W7" s="13"/>
      <c r="Y7">
        <v>10</v>
      </c>
      <c r="Z7">
        <f t="shared" si="7"/>
        <v>60.5</v>
      </c>
    </row>
    <row r="8" spans="1:26" ht="15.75" thickBot="1" x14ac:dyDescent="0.3">
      <c r="A8" s="81" t="s">
        <v>86</v>
      </c>
      <c r="B8" s="37" t="s">
        <v>78</v>
      </c>
      <c r="C8" s="53">
        <v>1</v>
      </c>
      <c r="D8" s="54">
        <f t="shared" si="8"/>
        <v>2</v>
      </c>
      <c r="E8">
        <f t="shared" si="3"/>
        <v>130</v>
      </c>
      <c r="F8" s="4">
        <f t="shared" si="9"/>
        <v>0.46153846153846156</v>
      </c>
      <c r="G8">
        <f t="shared" si="0"/>
        <v>20</v>
      </c>
      <c r="H8" s="3">
        <f t="shared" si="1"/>
        <v>18.461538461538463</v>
      </c>
      <c r="I8" s="2" t="s">
        <v>76</v>
      </c>
      <c r="J8" s="3">
        <v>32.0979020979021</v>
      </c>
      <c r="M8" s="25"/>
      <c r="N8" s="26"/>
      <c r="O8" s="26"/>
      <c r="P8" s="26"/>
      <c r="Q8" s="26"/>
      <c r="R8" s="26"/>
      <c r="S8" s="31">
        <f>SUM(S2:S7)</f>
        <v>1</v>
      </c>
      <c r="T8" s="38"/>
      <c r="U8" s="26"/>
      <c r="V8" s="26"/>
      <c r="W8" s="14"/>
    </row>
    <row r="9" spans="1:26" ht="15.75" thickBot="1" x14ac:dyDescent="0.3">
      <c r="A9" s="81" t="s">
        <v>86</v>
      </c>
      <c r="B9" s="37" t="s">
        <v>80</v>
      </c>
      <c r="C9" s="53">
        <v>1</v>
      </c>
      <c r="D9" s="55">
        <f t="shared" ref="D9:D11" si="10">VLOOKUP(A9,$M$1:$X$8,6,FALSE)</f>
        <v>2</v>
      </c>
      <c r="E9">
        <f t="shared" si="3"/>
        <v>130</v>
      </c>
      <c r="F9" s="4">
        <f t="shared" si="9"/>
        <v>0.46153846153846156</v>
      </c>
      <c r="G9">
        <f t="shared" si="0"/>
        <v>20</v>
      </c>
      <c r="H9" s="3">
        <f t="shared" si="1"/>
        <v>18.461538461538463</v>
      </c>
      <c r="I9" s="2" t="s">
        <v>78</v>
      </c>
      <c r="J9" s="3">
        <v>18.461538461538463</v>
      </c>
    </row>
    <row r="10" spans="1:26" ht="15.75" thickBot="1" x14ac:dyDescent="0.3">
      <c r="A10" s="87" t="s">
        <v>34</v>
      </c>
      <c r="B10" s="37" t="s">
        <v>67</v>
      </c>
      <c r="C10" s="53">
        <v>1</v>
      </c>
      <c r="D10" s="55">
        <f t="shared" si="10"/>
        <v>2</v>
      </c>
      <c r="E10">
        <f t="shared" si="3"/>
        <v>55</v>
      </c>
      <c r="F10" s="4">
        <f t="shared" si="9"/>
        <v>1.0909090909090908</v>
      </c>
      <c r="G10">
        <f t="shared" si="0"/>
        <v>20</v>
      </c>
      <c r="H10" s="3">
        <f t="shared" si="1"/>
        <v>43.636363636363633</v>
      </c>
      <c r="I10" s="2" t="s">
        <v>80</v>
      </c>
      <c r="J10" s="3">
        <v>18.461538461538463</v>
      </c>
      <c r="Q10" s="3"/>
    </row>
    <row r="11" spans="1:26" ht="15.75" thickBot="1" x14ac:dyDescent="0.3">
      <c r="A11" s="86" t="s">
        <v>34</v>
      </c>
      <c r="B11" s="37" t="s">
        <v>0</v>
      </c>
      <c r="C11" s="53">
        <v>1</v>
      </c>
      <c r="D11" s="55">
        <f t="shared" si="10"/>
        <v>2</v>
      </c>
      <c r="E11">
        <f t="shared" si="3"/>
        <v>55</v>
      </c>
      <c r="F11" s="4">
        <f t="shared" si="9"/>
        <v>1.0909090909090908</v>
      </c>
      <c r="G11">
        <f t="shared" si="0"/>
        <v>20</v>
      </c>
      <c r="H11" s="3">
        <f t="shared" si="1"/>
        <v>43.636363636363633</v>
      </c>
      <c r="I11" s="2" t="s">
        <v>68</v>
      </c>
      <c r="J11" s="3">
        <v>23.529411764705884</v>
      </c>
      <c r="P11" s="3"/>
    </row>
    <row r="12" spans="1:26" ht="15.75" thickBot="1" x14ac:dyDescent="0.3">
      <c r="A12" s="86" t="s">
        <v>34</v>
      </c>
      <c r="B12" s="88" t="s">
        <v>71</v>
      </c>
      <c r="C12" s="53">
        <v>1</v>
      </c>
      <c r="D12" s="55">
        <f t="shared" ref="D12:D19" si="11">VLOOKUP(A12,$M$1:$X$8,6,FALSE)</f>
        <v>2</v>
      </c>
      <c r="E12">
        <f t="shared" ref="E12:E19" si="12">VLOOKUP(A12,$M$1:$X$8,5,FALSE)</f>
        <v>55</v>
      </c>
      <c r="F12" s="4">
        <f t="shared" si="9"/>
        <v>1.0909090909090908</v>
      </c>
      <c r="G12">
        <f t="shared" ref="G12:G19" si="13">VLOOKUP(A12,$M$1:$X$8,9,FALSE)</f>
        <v>20</v>
      </c>
      <c r="H12" s="3">
        <f t="shared" ref="H12:H19" si="14">D12*F12*G12</f>
        <v>43.636363636363633</v>
      </c>
      <c r="I12" s="2" t="s">
        <v>69</v>
      </c>
      <c r="J12" s="3">
        <v>23.529411764705884</v>
      </c>
      <c r="P12" s="3"/>
    </row>
    <row r="13" spans="1:26" ht="15.75" thickBot="1" x14ac:dyDescent="0.3">
      <c r="A13" s="86" t="s">
        <v>34</v>
      </c>
      <c r="B13" s="37" t="s">
        <v>1</v>
      </c>
      <c r="C13" s="53">
        <v>1</v>
      </c>
      <c r="D13" s="55">
        <f t="shared" si="11"/>
        <v>2</v>
      </c>
      <c r="E13">
        <f t="shared" si="12"/>
        <v>55</v>
      </c>
      <c r="F13" s="4">
        <f t="shared" ref="F13:F19" si="15">60/E13*C13</f>
        <v>1.0909090909090908</v>
      </c>
      <c r="G13">
        <f t="shared" si="13"/>
        <v>20</v>
      </c>
      <c r="H13" s="3">
        <f t="shared" si="14"/>
        <v>43.636363636363633</v>
      </c>
      <c r="I13" s="2" t="s">
        <v>82</v>
      </c>
      <c r="J13" s="3">
        <v>13.636363636363635</v>
      </c>
      <c r="P13" s="3"/>
    </row>
    <row r="14" spans="1:26" ht="15.75" thickBot="1" x14ac:dyDescent="0.3">
      <c r="A14" s="90" t="s">
        <v>33</v>
      </c>
      <c r="B14" s="82" t="s">
        <v>67</v>
      </c>
      <c r="C14" s="53">
        <v>1</v>
      </c>
      <c r="D14" s="56">
        <f t="shared" si="11"/>
        <v>1</v>
      </c>
      <c r="E14">
        <f t="shared" si="12"/>
        <v>51</v>
      </c>
      <c r="F14" s="4">
        <f t="shared" si="15"/>
        <v>1.1764705882352942</v>
      </c>
      <c r="G14">
        <f t="shared" si="13"/>
        <v>20</v>
      </c>
      <c r="H14" s="3">
        <f t="shared" si="14"/>
        <v>23.529411764705884</v>
      </c>
      <c r="I14" s="2" t="s">
        <v>84</v>
      </c>
      <c r="J14" s="3">
        <v>43.636363636363633</v>
      </c>
      <c r="P14" s="3"/>
    </row>
    <row r="15" spans="1:26" ht="15.75" thickBot="1" x14ac:dyDescent="0.3">
      <c r="A15" s="42" t="s">
        <v>33</v>
      </c>
      <c r="B15" s="37" t="s">
        <v>68</v>
      </c>
      <c r="C15" s="53">
        <v>1</v>
      </c>
      <c r="D15" s="54">
        <f t="shared" si="11"/>
        <v>1</v>
      </c>
      <c r="E15">
        <f t="shared" si="12"/>
        <v>51</v>
      </c>
      <c r="F15" s="4">
        <f t="shared" si="15"/>
        <v>1.1764705882352942</v>
      </c>
      <c r="G15">
        <f t="shared" si="13"/>
        <v>20</v>
      </c>
      <c r="H15" s="3">
        <f t="shared" si="14"/>
        <v>23.529411764705884</v>
      </c>
      <c r="I15" s="2" t="s">
        <v>51</v>
      </c>
      <c r="J15" s="3">
        <v>749.0826820238583</v>
      </c>
      <c r="P15" s="3"/>
    </row>
    <row r="16" spans="1:26" ht="15.75" thickBot="1" x14ac:dyDescent="0.3">
      <c r="A16" s="83" t="s">
        <v>33</v>
      </c>
      <c r="B16" s="37" t="s">
        <v>69</v>
      </c>
      <c r="C16" s="53">
        <v>1</v>
      </c>
      <c r="D16" s="54">
        <f t="shared" si="11"/>
        <v>1</v>
      </c>
      <c r="E16">
        <f t="shared" si="12"/>
        <v>51</v>
      </c>
      <c r="F16" s="4">
        <f t="shared" si="15"/>
        <v>1.1764705882352942</v>
      </c>
      <c r="G16">
        <f t="shared" si="13"/>
        <v>20</v>
      </c>
      <c r="H16" s="3">
        <f t="shared" si="14"/>
        <v>23.529411764705884</v>
      </c>
      <c r="P16" s="3"/>
    </row>
    <row r="17" spans="1:21" ht="15.75" thickBot="1" x14ac:dyDescent="0.3">
      <c r="A17" s="83" t="s">
        <v>33</v>
      </c>
      <c r="B17" s="37" t="s">
        <v>1</v>
      </c>
      <c r="C17" s="53">
        <v>1</v>
      </c>
      <c r="D17" s="55">
        <f t="shared" si="11"/>
        <v>1</v>
      </c>
      <c r="E17">
        <f t="shared" si="12"/>
        <v>51</v>
      </c>
      <c r="F17" s="4">
        <f t="shared" si="15"/>
        <v>1.1764705882352942</v>
      </c>
      <c r="G17">
        <f t="shared" si="13"/>
        <v>20</v>
      </c>
      <c r="H17" s="3">
        <f t="shared" si="14"/>
        <v>23.529411764705884</v>
      </c>
    </row>
    <row r="18" spans="1:21" ht="15.75" thickBot="1" x14ac:dyDescent="0.3">
      <c r="A18" s="91" t="s">
        <v>87</v>
      </c>
      <c r="B18" s="37" t="s">
        <v>67</v>
      </c>
      <c r="C18" s="53">
        <v>1</v>
      </c>
      <c r="D18" s="54">
        <f t="shared" si="11"/>
        <v>1</v>
      </c>
      <c r="E18">
        <f t="shared" si="12"/>
        <v>88</v>
      </c>
      <c r="F18" s="4">
        <f t="shared" si="15"/>
        <v>0.68181818181818177</v>
      </c>
      <c r="G18">
        <f t="shared" si="13"/>
        <v>20</v>
      </c>
      <c r="H18" s="3">
        <f t="shared" si="14"/>
        <v>13.636363636363635</v>
      </c>
      <c r="O18" s="3"/>
      <c r="P18" s="3"/>
      <c r="Q18" s="3"/>
    </row>
    <row r="19" spans="1:21" ht="15.75" thickBot="1" x14ac:dyDescent="0.3">
      <c r="A19" s="81" t="s">
        <v>87</v>
      </c>
      <c r="B19" s="37" t="s">
        <v>0</v>
      </c>
      <c r="C19" s="53">
        <v>1</v>
      </c>
      <c r="D19" s="54">
        <f t="shared" si="11"/>
        <v>1</v>
      </c>
      <c r="E19">
        <f t="shared" si="12"/>
        <v>88</v>
      </c>
      <c r="F19" s="4">
        <f t="shared" si="15"/>
        <v>0.68181818181818177</v>
      </c>
      <c r="G19">
        <f t="shared" si="13"/>
        <v>20</v>
      </c>
      <c r="H19" s="3">
        <f t="shared" si="14"/>
        <v>13.636363636363635</v>
      </c>
      <c r="P19" s="3"/>
    </row>
    <row r="20" spans="1:21" ht="15.75" thickBot="1" x14ac:dyDescent="0.3">
      <c r="A20" s="81" t="s">
        <v>87</v>
      </c>
      <c r="B20" s="37" t="s">
        <v>71</v>
      </c>
      <c r="C20" s="53">
        <v>1</v>
      </c>
      <c r="D20" s="54">
        <f t="shared" ref="D20:D22" si="16">VLOOKUP(A20,$M$1:$X$8,6,FALSE)</f>
        <v>1</v>
      </c>
      <c r="E20">
        <f t="shared" ref="E20:E22" si="17">VLOOKUP(A20,$M$1:$X$8,5,FALSE)</f>
        <v>88</v>
      </c>
      <c r="F20" s="4">
        <f t="shared" ref="F20:F23" si="18">60/E20*C20</f>
        <v>0.68181818181818177</v>
      </c>
      <c r="G20">
        <f t="shared" ref="G20:G22" si="19">VLOOKUP(A20,$M$1:$X$8,9,FALSE)</f>
        <v>20</v>
      </c>
      <c r="H20" s="3">
        <f t="shared" ref="H20:H22" si="20">D20*F20*G20</f>
        <v>13.636363636363635</v>
      </c>
      <c r="P20" s="3"/>
    </row>
    <row r="21" spans="1:21" ht="15.75" thickBot="1" x14ac:dyDescent="0.3">
      <c r="A21" s="81" t="s">
        <v>87</v>
      </c>
      <c r="B21" s="37" t="s">
        <v>85</v>
      </c>
      <c r="C21" s="53">
        <v>1</v>
      </c>
      <c r="D21" s="54">
        <f t="shared" si="16"/>
        <v>1</v>
      </c>
      <c r="E21">
        <f t="shared" si="17"/>
        <v>88</v>
      </c>
      <c r="F21" s="4">
        <f t="shared" si="18"/>
        <v>0.68181818181818177</v>
      </c>
      <c r="G21">
        <f t="shared" si="19"/>
        <v>20</v>
      </c>
      <c r="H21" s="3">
        <f t="shared" si="20"/>
        <v>13.636363636363635</v>
      </c>
    </row>
    <row r="22" spans="1:21" ht="15.75" thickBot="1" x14ac:dyDescent="0.3">
      <c r="A22" s="81" t="s">
        <v>87</v>
      </c>
      <c r="B22" s="37" t="s">
        <v>74</v>
      </c>
      <c r="C22" s="53">
        <v>1</v>
      </c>
      <c r="D22" s="54">
        <f t="shared" si="16"/>
        <v>1</v>
      </c>
      <c r="E22">
        <f t="shared" si="17"/>
        <v>88</v>
      </c>
      <c r="F22" s="4">
        <f t="shared" si="18"/>
        <v>0.68181818181818177</v>
      </c>
      <c r="G22">
        <f t="shared" si="19"/>
        <v>20</v>
      </c>
      <c r="H22" s="3">
        <f t="shared" si="20"/>
        <v>13.636363636363635</v>
      </c>
      <c r="P22" s="3"/>
    </row>
    <row r="23" spans="1:21" ht="15.75" thickBot="1" x14ac:dyDescent="0.3">
      <c r="A23" s="79" t="s">
        <v>87</v>
      </c>
      <c r="B23" s="37" t="s">
        <v>76</v>
      </c>
      <c r="C23" s="53">
        <v>1</v>
      </c>
      <c r="D23" s="54">
        <f t="shared" ref="D23:D31" si="21">VLOOKUP(A23,$M$1:$X$8,6,FALSE)</f>
        <v>1</v>
      </c>
      <c r="E23">
        <f t="shared" ref="E23:E31" si="22">VLOOKUP(A23,$M$1:$X$8,5,FALSE)</f>
        <v>88</v>
      </c>
      <c r="F23" s="4">
        <f t="shared" si="18"/>
        <v>0.68181818181818177</v>
      </c>
      <c r="G23">
        <f t="shared" ref="G23:G31" si="23">VLOOKUP(A23,$M$1:$X$8,9,FALSE)</f>
        <v>20</v>
      </c>
      <c r="H23" s="3">
        <f t="shared" ref="H23:H31" si="24">D23*F23*G23</f>
        <v>13.636363636363635</v>
      </c>
      <c r="P23" s="3"/>
    </row>
    <row r="24" spans="1:21" ht="15.75" thickBot="1" x14ac:dyDescent="0.3">
      <c r="A24" s="79" t="s">
        <v>87</v>
      </c>
      <c r="B24" s="37" t="s">
        <v>82</v>
      </c>
      <c r="C24" s="53">
        <v>1</v>
      </c>
      <c r="D24" s="54">
        <f t="shared" si="21"/>
        <v>1</v>
      </c>
      <c r="E24">
        <f t="shared" si="22"/>
        <v>88</v>
      </c>
      <c r="F24" s="4">
        <f t="shared" ref="F24:F31" si="25">60/E24*C24</f>
        <v>0.68181818181818177</v>
      </c>
      <c r="G24">
        <f t="shared" si="23"/>
        <v>20</v>
      </c>
      <c r="H24" s="3">
        <f t="shared" si="24"/>
        <v>13.636363636363635</v>
      </c>
      <c r="P24" s="3"/>
    </row>
    <row r="25" spans="1:21" ht="15.75" thickBot="1" x14ac:dyDescent="0.3">
      <c r="A25" s="86" t="s">
        <v>88</v>
      </c>
      <c r="B25" s="37" t="s">
        <v>67</v>
      </c>
      <c r="C25" s="53">
        <v>1</v>
      </c>
      <c r="D25" s="54">
        <f t="shared" si="21"/>
        <v>2</v>
      </c>
      <c r="E25">
        <f t="shared" si="22"/>
        <v>55</v>
      </c>
      <c r="F25" s="4">
        <f t="shared" si="25"/>
        <v>1.0909090909090908</v>
      </c>
      <c r="G25">
        <f t="shared" si="23"/>
        <v>20</v>
      </c>
      <c r="H25" s="3">
        <f t="shared" si="24"/>
        <v>43.636363636363633</v>
      </c>
      <c r="I25" s="52"/>
      <c r="N25" s="4"/>
      <c r="P25" s="3"/>
    </row>
    <row r="26" spans="1:21" ht="15.75" thickBot="1" x14ac:dyDescent="0.3">
      <c r="A26" s="86" t="s">
        <v>88</v>
      </c>
      <c r="B26" s="37" t="s">
        <v>84</v>
      </c>
      <c r="C26" s="53">
        <v>1</v>
      </c>
      <c r="D26" s="54">
        <f t="shared" si="21"/>
        <v>2</v>
      </c>
      <c r="E26">
        <f t="shared" si="22"/>
        <v>55</v>
      </c>
      <c r="F26" s="4">
        <f t="shared" si="25"/>
        <v>1.0909090909090908</v>
      </c>
      <c r="G26">
        <f t="shared" si="23"/>
        <v>20</v>
      </c>
      <c r="H26" s="3">
        <f t="shared" si="24"/>
        <v>43.636363636363633</v>
      </c>
    </row>
    <row r="27" spans="1:21" ht="15.75" thickBot="1" x14ac:dyDescent="0.3">
      <c r="A27" s="91" t="s">
        <v>74</v>
      </c>
      <c r="B27" s="37" t="s">
        <v>67</v>
      </c>
      <c r="C27" s="53">
        <v>1</v>
      </c>
      <c r="D27" s="54">
        <f t="shared" si="21"/>
        <v>2</v>
      </c>
      <c r="E27">
        <f t="shared" si="22"/>
        <v>80</v>
      </c>
      <c r="F27" s="4">
        <f t="shared" si="25"/>
        <v>0.75</v>
      </c>
      <c r="G27">
        <f t="shared" si="23"/>
        <v>20</v>
      </c>
      <c r="H27" s="3">
        <f t="shared" si="24"/>
        <v>30</v>
      </c>
    </row>
    <row r="28" spans="1:21" ht="15.75" thickBot="1" x14ac:dyDescent="0.3">
      <c r="A28" s="81" t="s">
        <v>74</v>
      </c>
      <c r="B28" s="37" t="s">
        <v>0</v>
      </c>
      <c r="C28" s="53">
        <v>1</v>
      </c>
      <c r="D28" s="54">
        <f t="shared" si="21"/>
        <v>2</v>
      </c>
      <c r="E28">
        <f t="shared" si="22"/>
        <v>80</v>
      </c>
      <c r="F28" s="4">
        <f t="shared" si="25"/>
        <v>0.75</v>
      </c>
      <c r="G28">
        <f t="shared" si="23"/>
        <v>20</v>
      </c>
      <c r="H28" s="3">
        <f t="shared" si="24"/>
        <v>30</v>
      </c>
    </row>
    <row r="29" spans="1:21" ht="15.75" thickBot="1" x14ac:dyDescent="0.3">
      <c r="A29" s="81" t="s">
        <v>74</v>
      </c>
      <c r="B29" s="37" t="s">
        <v>71</v>
      </c>
      <c r="C29" s="53">
        <v>1</v>
      </c>
      <c r="D29" s="54">
        <f t="shared" si="21"/>
        <v>2</v>
      </c>
      <c r="E29">
        <f t="shared" si="22"/>
        <v>80</v>
      </c>
      <c r="F29" s="4">
        <f t="shared" si="25"/>
        <v>0.75</v>
      </c>
      <c r="G29">
        <f t="shared" si="23"/>
        <v>20</v>
      </c>
      <c r="H29" s="3">
        <f t="shared" si="24"/>
        <v>30</v>
      </c>
    </row>
    <row r="30" spans="1:21" ht="15.75" thickBot="1" x14ac:dyDescent="0.3">
      <c r="A30" s="81" t="s">
        <v>74</v>
      </c>
      <c r="B30" s="37" t="s">
        <v>85</v>
      </c>
      <c r="C30" s="53">
        <v>1</v>
      </c>
      <c r="D30" s="54">
        <f t="shared" si="21"/>
        <v>2</v>
      </c>
      <c r="E30">
        <f t="shared" si="22"/>
        <v>80</v>
      </c>
      <c r="F30" s="4">
        <f t="shared" si="25"/>
        <v>0.75</v>
      </c>
      <c r="G30">
        <f t="shared" si="23"/>
        <v>20</v>
      </c>
      <c r="H30" s="3">
        <f t="shared" si="24"/>
        <v>30</v>
      </c>
      <c r="P30" s="3"/>
    </row>
    <row r="31" spans="1:21" ht="15.75" thickBot="1" x14ac:dyDescent="0.3">
      <c r="A31" s="81" t="s">
        <v>74</v>
      </c>
      <c r="B31" s="37" t="s">
        <v>74</v>
      </c>
      <c r="C31" s="53">
        <v>1</v>
      </c>
      <c r="D31" s="55">
        <f t="shared" si="21"/>
        <v>2</v>
      </c>
      <c r="E31">
        <f t="shared" si="22"/>
        <v>80</v>
      </c>
      <c r="F31" s="4">
        <f t="shared" si="25"/>
        <v>0.75</v>
      </c>
      <c r="G31">
        <f t="shared" si="23"/>
        <v>20</v>
      </c>
      <c r="H31" s="3">
        <f t="shared" si="24"/>
        <v>30</v>
      </c>
      <c r="P31" s="3"/>
      <c r="T31" s="3"/>
    </row>
    <row r="32" spans="1:21" x14ac:dyDescent="0.25">
      <c r="P32" s="3"/>
      <c r="T32" s="3"/>
    </row>
    <row r="33" spans="6:20" x14ac:dyDescent="0.25">
      <c r="F33" s="4"/>
      <c r="H33" s="3"/>
      <c r="P33" s="3"/>
      <c r="T33" s="3"/>
    </row>
    <row r="34" spans="6:20" x14ac:dyDescent="0.25">
      <c r="F34" s="4"/>
      <c r="H34" s="3"/>
      <c r="P34" s="3"/>
      <c r="T34" s="3"/>
    </row>
    <row r="35" spans="6:20" x14ac:dyDescent="0.25">
      <c r="F35" s="4"/>
      <c r="H35" s="3"/>
      <c r="P35" s="3"/>
      <c r="T35" s="3"/>
    </row>
    <row r="36" spans="6:20" x14ac:dyDescent="0.25">
      <c r="F36" s="4"/>
      <c r="H36" s="3"/>
      <c r="T36" s="3"/>
    </row>
    <row r="44" spans="6:20" x14ac:dyDescent="0.25">
      <c r="Q44">
        <v>4</v>
      </c>
    </row>
    <row r="52" spans="1:9" ht="15.75" thickBot="1" x14ac:dyDescent="0.3"/>
    <row r="53" spans="1:9" x14ac:dyDescent="0.25">
      <c r="A53" s="92" t="s">
        <v>37</v>
      </c>
      <c r="B53" s="93"/>
      <c r="C53" s="94" t="s">
        <v>48</v>
      </c>
      <c r="D53" s="95"/>
    </row>
    <row r="54" spans="1:9" ht="93.75" x14ac:dyDescent="0.3">
      <c r="A54" s="10" t="s">
        <v>36</v>
      </c>
      <c r="B54" s="32" t="s">
        <v>31</v>
      </c>
      <c r="C54" s="7" t="s">
        <v>29</v>
      </c>
      <c r="D54" s="7" t="s">
        <v>30</v>
      </c>
      <c r="E54" s="41"/>
      <c r="F54" s="36" t="s">
        <v>46</v>
      </c>
      <c r="G54" s="7" t="s">
        <v>28</v>
      </c>
      <c r="H54" s="7" t="s">
        <v>57</v>
      </c>
      <c r="I54" s="7" t="s">
        <v>32</v>
      </c>
    </row>
    <row r="55" spans="1:9" ht="18.75" x14ac:dyDescent="0.25">
      <c r="A55" s="10" t="s">
        <v>67</v>
      </c>
      <c r="B55" s="33">
        <v>520</v>
      </c>
      <c r="C55" s="19">
        <f>GETPIVOTDATA("Итого",$I$1,"transaction rq",A55)*3</f>
        <v>518.70012340600579</v>
      </c>
      <c r="D55" s="65">
        <f>1-B55/C55</f>
        <v>-2.5060271539143475E-3</v>
      </c>
      <c r="E55" s="20"/>
      <c r="F55" s="37" t="str">
        <f>VLOOKUP(A55,Соответствие!A:B,2,FALSE)</f>
        <v>OpenLandingPage</v>
      </c>
      <c r="G55" s="16">
        <f>C55/3</f>
        <v>172.90004113533527</v>
      </c>
      <c r="H55" s="58">
        <f>VLOOKUP(F55,SummaryReport!A:J,8,FALSE)</f>
        <v>180</v>
      </c>
      <c r="I55" s="6">
        <f>1-G55/H55</f>
        <v>3.9444215914804071E-2</v>
      </c>
    </row>
    <row r="56" spans="1:9" ht="18.75" x14ac:dyDescent="0.25">
      <c r="A56" s="11" t="s">
        <v>0</v>
      </c>
      <c r="B56" s="33">
        <v>320</v>
      </c>
      <c r="C56" s="19">
        <f>GETPIVOTDATA("Итого",$I$1,"transaction rq",A56)*3</f>
        <v>317.20279720279723</v>
      </c>
      <c r="D56" s="65">
        <f>1-B56/C56</f>
        <v>-8.818342151675429E-3</v>
      </c>
      <c r="E56" s="20"/>
      <c r="F56" s="37" t="str">
        <f>VLOOKUP(A56,Соответствие!A:B,2,FALSE)</f>
        <v>Login</v>
      </c>
      <c r="G56" s="16">
        <f>C56/3</f>
        <v>105.73426573426575</v>
      </c>
      <c r="H56" s="58">
        <f>VLOOKUP(F56,SummaryReport!A:J,8,FALSE)</f>
        <v>108</v>
      </c>
      <c r="I56" s="6">
        <f t="shared" ref="I56:I65" si="26">1-G56/H56</f>
        <v>2.0979020979020824E-2</v>
      </c>
    </row>
    <row r="57" spans="1:9" ht="37.5" x14ac:dyDescent="0.25">
      <c r="A57" s="78" t="s">
        <v>78</v>
      </c>
      <c r="B57" s="33">
        <v>55</v>
      </c>
      <c r="C57" s="19">
        <f t="shared" ref="C57:C64" si="27">GETPIVOTDATA("Итого",$I$1,"transaction rq",A57)*3</f>
        <v>55.384615384615387</v>
      </c>
      <c r="D57" s="65">
        <f>1-B57/C57</f>
        <v>6.9444444444445308E-3</v>
      </c>
      <c r="E57" s="20"/>
      <c r="F57" s="37" t="str">
        <f>VLOOKUP(A57,Соответствие!A:B,2,FALSE)</f>
        <v>CheckoutUserData</v>
      </c>
      <c r="G57" s="16">
        <f t="shared" ref="G57:G65" si="28">C57/3</f>
        <v>18.461538461538463</v>
      </c>
      <c r="H57" s="58">
        <f>VLOOKUP(F57,SummaryReport!A:J,8,FALSE)</f>
        <v>18</v>
      </c>
      <c r="I57" s="6">
        <f t="shared" si="26"/>
        <v>-2.5641025641025772E-2</v>
      </c>
    </row>
    <row r="58" spans="1:9" ht="21" customHeight="1" x14ac:dyDescent="0.25">
      <c r="A58" s="11" t="s">
        <v>74</v>
      </c>
      <c r="B58" s="33">
        <v>186</v>
      </c>
      <c r="C58" s="19">
        <f t="shared" si="27"/>
        <v>186.29370629370629</v>
      </c>
      <c r="D58" s="65">
        <f t="shared" ref="D58:D65" si="29">1-B58/C58</f>
        <v>1.576576576576616E-3</v>
      </c>
      <c r="E58" s="20"/>
      <c r="F58" s="37" t="str">
        <f>VLOOKUP(A58,Соответствие!A:B,2,FALSE)</f>
        <v>AddToCart</v>
      </c>
      <c r="G58" s="16">
        <f t="shared" si="28"/>
        <v>62.0979020979021</v>
      </c>
      <c r="H58" s="58">
        <f>VLOOKUP(F58,SummaryReport!A:J,8,FALSE)</f>
        <v>62</v>
      </c>
      <c r="I58" s="6">
        <f t="shared" si="26"/>
        <v>-1.5790660951950919E-3</v>
      </c>
    </row>
    <row r="59" spans="1:9" ht="18.75" x14ac:dyDescent="0.25">
      <c r="A59" s="11" t="s">
        <v>71</v>
      </c>
      <c r="B59" s="33">
        <v>317</v>
      </c>
      <c r="C59" s="19">
        <f t="shared" si="27"/>
        <v>317.20279720279723</v>
      </c>
      <c r="D59" s="65">
        <f t="shared" si="29"/>
        <v>6.3932980599656908E-4</v>
      </c>
      <c r="E59" s="20"/>
      <c r="F59" s="37" t="str">
        <f>VLOOKUP(A59,Соответствие!A:B,2,FALSE)</f>
        <v>ChooseCategory</v>
      </c>
      <c r="G59" s="16">
        <f t="shared" si="28"/>
        <v>105.73426573426575</v>
      </c>
      <c r="H59" s="58">
        <f>VLOOKUP(F59,SummaryReport!A:J,8,FALSE)</f>
        <v>108</v>
      </c>
      <c r="I59" s="6">
        <f t="shared" si="26"/>
        <v>2.0979020979020824E-2</v>
      </c>
    </row>
    <row r="60" spans="1:9" ht="18.75" x14ac:dyDescent="0.25">
      <c r="A60" s="11" t="s">
        <v>80</v>
      </c>
      <c r="B60" s="33">
        <v>55</v>
      </c>
      <c r="C60" s="19">
        <f t="shared" si="27"/>
        <v>55.384615384615387</v>
      </c>
      <c r="D60" s="65">
        <f t="shared" si="29"/>
        <v>6.9444444444445308E-3</v>
      </c>
      <c r="E60" s="20"/>
      <c r="F60" s="37" t="str">
        <f>VLOOKUP(A60,Соответствие!A:B,2,FALSE)</f>
        <v>Payment</v>
      </c>
      <c r="G60" s="16">
        <f>C60/3</f>
        <v>18.461538461538463</v>
      </c>
      <c r="H60" s="58">
        <f>VLOOKUP(F60,SummaryReport!A:J,8,FALSE)</f>
        <v>18</v>
      </c>
      <c r="I60" s="6">
        <f>1-G60/H60</f>
        <v>-2.5641025641025772E-2</v>
      </c>
    </row>
    <row r="61" spans="1:9" ht="18.75" x14ac:dyDescent="0.25">
      <c r="A61" s="11" t="s">
        <v>76</v>
      </c>
      <c r="B61" s="33">
        <v>95</v>
      </c>
      <c r="C61" s="19">
        <f t="shared" si="27"/>
        <v>96.293706293706293</v>
      </c>
      <c r="D61" s="65">
        <f t="shared" si="29"/>
        <v>1.3435003631082076E-2</v>
      </c>
      <c r="E61" s="20"/>
      <c r="F61" s="37" t="str">
        <f>VLOOKUP(A61,Соответствие!A:B,2,FALSE)</f>
        <v>OpenCart</v>
      </c>
      <c r="G61" s="16">
        <f t="shared" si="28"/>
        <v>32.0979020979021</v>
      </c>
      <c r="H61" s="58">
        <f>VLOOKUP(F61,SummaryReport!A:J,8,FALSE)</f>
        <v>32</v>
      </c>
      <c r="I61" s="6">
        <f t="shared" si="26"/>
        <v>-3.0594405594406293E-3</v>
      </c>
    </row>
    <row r="62" spans="1:9" ht="18.75" x14ac:dyDescent="0.25">
      <c r="A62" s="11" t="s">
        <v>82</v>
      </c>
      <c r="B62" s="33">
        <v>41</v>
      </c>
      <c r="C62" s="19">
        <f t="shared" si="27"/>
        <v>40.909090909090907</v>
      </c>
      <c r="D62" s="65">
        <f t="shared" si="29"/>
        <v>-2.2222222222223476E-3</v>
      </c>
      <c r="E62" s="20"/>
      <c r="F62" s="37" t="str">
        <f>VLOOKUP(A62,Соответствие!A:B,2,FALSE)</f>
        <v>DeleteProduct</v>
      </c>
      <c r="G62" s="16">
        <f t="shared" si="28"/>
        <v>13.636363636363635</v>
      </c>
      <c r="H62" s="58">
        <f>VLOOKUP(F62,SummaryReport!A:J,8,FALSE)</f>
        <v>14</v>
      </c>
      <c r="I62" s="6">
        <f>1-G62/H62</f>
        <v>2.5974025974026094E-2</v>
      </c>
    </row>
    <row r="63" spans="1:9" ht="18.75" x14ac:dyDescent="0.25">
      <c r="A63" s="11" t="s">
        <v>1</v>
      </c>
      <c r="B63" s="33">
        <v>200</v>
      </c>
      <c r="C63" s="19">
        <f>GETPIVOTDATA("Итого",$I$1,"transaction rq",A63)*3</f>
        <v>201.49732620320853</v>
      </c>
      <c r="D63" s="65">
        <f t="shared" si="29"/>
        <v>7.4309978768576368E-3</v>
      </c>
      <c r="E63" s="20"/>
      <c r="F63" s="37" t="str">
        <f>VLOOKUP(A63,Соответствие!A:B,2,FALSE)</f>
        <v>Logout</v>
      </c>
      <c r="G63" s="16">
        <f t="shared" si="28"/>
        <v>67.16577540106951</v>
      </c>
      <c r="H63" s="58">
        <f>VLOOKUP(F63,SummaryReport!A:J,8,FALSE)</f>
        <v>68</v>
      </c>
      <c r="I63" s="6">
        <f t="shared" si="26"/>
        <v>1.2268008807801323E-2</v>
      </c>
    </row>
    <row r="64" spans="1:9" ht="18.75" x14ac:dyDescent="0.25">
      <c r="A64" s="11" t="s">
        <v>68</v>
      </c>
      <c r="B64" s="33">
        <v>70</v>
      </c>
      <c r="C64" s="19">
        <f t="shared" si="27"/>
        <v>70.588235294117652</v>
      </c>
      <c r="D64" s="65">
        <f t="shared" si="29"/>
        <v>8.3333333333334147E-3</v>
      </c>
      <c r="E64" s="20"/>
      <c r="F64" s="37" t="str">
        <f>VLOOKUP(A64,Соответствие!A:B,2,FALSE)</f>
        <v>OpenRegistrationPage</v>
      </c>
      <c r="G64" s="16">
        <f>C64/3</f>
        <v>23.529411764705884</v>
      </c>
      <c r="H64" s="58">
        <f>VLOOKUP(F64,SummaryReport!A:J,8,FALSE)</f>
        <v>25</v>
      </c>
      <c r="I64" s="6">
        <f t="shared" si="26"/>
        <v>5.8823529411764608E-2</v>
      </c>
    </row>
    <row r="65" spans="1:9" ht="18.75" x14ac:dyDescent="0.25">
      <c r="A65" s="11" t="s">
        <v>69</v>
      </c>
      <c r="B65" s="33">
        <v>70</v>
      </c>
      <c r="C65" s="19">
        <f>GETPIVOTDATA("Итого",$I$1,"transaction rq",A65)*3</f>
        <v>70.588235294117652</v>
      </c>
      <c r="D65" s="65">
        <f t="shared" si="29"/>
        <v>8.3333333333334147E-3</v>
      </c>
      <c r="E65" s="20"/>
      <c r="F65" s="37" t="str">
        <f>VLOOKUP(A65,Соответствие!A:B,2,FALSE)</f>
        <v>UserRegistered</v>
      </c>
      <c r="G65" s="16">
        <f t="shared" si="28"/>
        <v>23.529411764705884</v>
      </c>
      <c r="H65" s="58">
        <f>VLOOKUP(F65,SummaryReport!A:J,8,FALSE)</f>
        <v>24</v>
      </c>
      <c r="I65" s="6">
        <f t="shared" si="26"/>
        <v>1.9607843137254832E-2</v>
      </c>
    </row>
    <row r="66" spans="1:9" ht="18.75" x14ac:dyDescent="0.25">
      <c r="A66" s="11" t="s">
        <v>84</v>
      </c>
      <c r="B66" s="33">
        <v>130</v>
      </c>
      <c r="C66" s="19">
        <f>GETPIVOTDATA("Итого",$I$1,"transaction rq",A66)*3</f>
        <v>130.90909090909091</v>
      </c>
      <c r="D66" s="65">
        <f t="shared" ref="D66" si="30">1-B66/C66</f>
        <v>6.9444444444444198E-3</v>
      </c>
      <c r="F66" s="37" t="str">
        <f>VLOOKUP(A66,Соответствие!A:B,2,FALSE)</f>
        <v>SeachProduct</v>
      </c>
      <c r="G66" s="16">
        <f t="shared" ref="G66" si="31">C66/3</f>
        <v>43.636363636363633</v>
      </c>
      <c r="H66" s="58">
        <f>VLOOKUP(F66,SummaryReport!A:J,8,FALSE)</f>
        <v>46</v>
      </c>
      <c r="I66" s="6">
        <f t="shared" ref="I66" si="32">1-G66/H66</f>
        <v>5.1383399209486202E-2</v>
      </c>
    </row>
    <row r="67" spans="1:9" ht="19.5" customHeight="1" x14ac:dyDescent="0.25">
      <c r="A67" s="11" t="s">
        <v>85</v>
      </c>
      <c r="B67" s="33">
        <v>186</v>
      </c>
      <c r="C67" s="19">
        <f>GETPIVOTDATA("Итого",$I$1,"transaction rq",A67)*3</f>
        <v>186.29370629370629</v>
      </c>
      <c r="D67" s="65">
        <f>1-B67/C67</f>
        <v>1.576576576576616E-3</v>
      </c>
      <c r="E67" s="20"/>
      <c r="F67" s="37" t="str">
        <f>VLOOKUP(A67,Соответствие!A:B,2,FALSE)</f>
        <v>ChooseProduct</v>
      </c>
      <c r="G67" s="16">
        <f>C67/3</f>
        <v>62.0979020979021</v>
      </c>
      <c r="H67" s="58">
        <f>VLOOKUP(F67,SummaryReport!A:J,8,FALSE)</f>
        <v>62</v>
      </c>
      <c r="I67" s="6">
        <f>1-G67/H67</f>
        <v>-1.5790660951950919E-3</v>
      </c>
    </row>
    <row r="68" spans="1:9" ht="19.5" thickBot="1" x14ac:dyDescent="0.3">
      <c r="A68" s="12" t="s">
        <v>2</v>
      </c>
      <c r="B68" s="34">
        <f>SUM(B55:B67)</f>
        <v>2245</v>
      </c>
      <c r="C68" s="35">
        <f>SUM(C55:C67)</f>
        <v>2247.2480460715756</v>
      </c>
      <c r="D68" s="66">
        <f>1-B68/C68</f>
        <v>1.0003551123363152E-3</v>
      </c>
      <c r="G68" s="3">
        <f>SUM(G55:G67)</f>
        <v>749.08268202385841</v>
      </c>
      <c r="H68" s="3">
        <f>SUM(H55:H67)</f>
        <v>765</v>
      </c>
    </row>
    <row r="69" spans="1:9" ht="15.75" thickBot="1" x14ac:dyDescent="0.3">
      <c r="I69" s="8"/>
    </row>
    <row r="70" spans="1:9" x14ac:dyDescent="0.25">
      <c r="A70" s="21"/>
      <c r="B70" s="22"/>
      <c r="C70" s="23" t="s">
        <v>35</v>
      </c>
      <c r="D70" s="23"/>
      <c r="E70" s="23"/>
      <c r="F70" s="23"/>
      <c r="G70" s="23"/>
      <c r="H70" s="23"/>
      <c r="I70" s="15"/>
    </row>
  </sheetData>
  <mergeCells count="2">
    <mergeCell ref="A53:B53"/>
    <mergeCell ref="C53:D5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13" sqref="A13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17" t="s">
        <v>38</v>
      </c>
      <c r="B1" s="17" t="s">
        <v>39</v>
      </c>
    </row>
    <row r="2" spans="1:2" x14ac:dyDescent="0.25">
      <c r="A2" s="37" t="str">
        <f>'Автоматизированный расчет'!A55</f>
        <v>Главная страница</v>
      </c>
      <c r="B2" s="37" t="s">
        <v>54</v>
      </c>
    </row>
    <row r="3" spans="1:2" x14ac:dyDescent="0.25">
      <c r="A3" s="37" t="str">
        <f>'Автоматизированный расчет'!A56</f>
        <v>Вход в систему</v>
      </c>
      <c r="B3" s="37" t="s">
        <v>52</v>
      </c>
    </row>
    <row r="4" spans="1:2" x14ac:dyDescent="0.25">
      <c r="A4" s="37" t="str">
        <f>'Автоматизированный расчет'!A57</f>
        <v>Проверка пользовательских данных перед покупкой</v>
      </c>
      <c r="B4" s="57" t="s">
        <v>77</v>
      </c>
    </row>
    <row r="5" spans="1:2" x14ac:dyDescent="0.25">
      <c r="A5" s="37" t="str">
        <f>'Автоматизированный расчет'!A58</f>
        <v>Добавление товара в корзину</v>
      </c>
      <c r="B5" s="37" t="s">
        <v>73</v>
      </c>
    </row>
    <row r="6" spans="1:2" x14ac:dyDescent="0.25">
      <c r="A6" s="37" t="str">
        <f>'Автоматизированный расчет'!A59</f>
        <v>Выбор категории товаров</v>
      </c>
      <c r="B6" s="37" t="s">
        <v>70</v>
      </c>
    </row>
    <row r="7" spans="1:2" x14ac:dyDescent="0.25">
      <c r="A7" s="37" t="str">
        <f>'Автоматизированный расчет'!A60</f>
        <v>Оплата</v>
      </c>
      <c r="B7" s="37" t="s">
        <v>79</v>
      </c>
    </row>
    <row r="8" spans="1:2" x14ac:dyDescent="0.25">
      <c r="A8" s="37" t="str">
        <f>'Автоматизированный расчет'!A61</f>
        <v>Переход в корзину</v>
      </c>
      <c r="B8" s="37" t="s">
        <v>75</v>
      </c>
    </row>
    <row r="9" spans="1:2" x14ac:dyDescent="0.25">
      <c r="A9" s="37" t="str">
        <f>'Автоматизированный расчет'!A62</f>
        <v>Удаление продукта</v>
      </c>
      <c r="B9" s="37" t="s">
        <v>81</v>
      </c>
    </row>
    <row r="10" spans="1:2" x14ac:dyDescent="0.25">
      <c r="A10" s="37" t="str">
        <f>'Автоматизированный расчет'!A63</f>
        <v>Выход из системы</v>
      </c>
      <c r="B10" s="37" t="s">
        <v>53</v>
      </c>
    </row>
    <row r="11" spans="1:2" x14ac:dyDescent="0.25">
      <c r="A11" s="37" t="str">
        <f>'Автоматизированный расчет'!A64</f>
        <v>Страница регистрации</v>
      </c>
      <c r="B11" s="37" t="s">
        <v>55</v>
      </c>
    </row>
    <row r="12" spans="1:2" x14ac:dyDescent="0.25">
      <c r="A12" s="37" t="str">
        <f>'Автоматизированный расчет'!A65</f>
        <v>Регистрация пользователя</v>
      </c>
      <c r="B12" s="37" t="s">
        <v>56</v>
      </c>
    </row>
    <row r="13" spans="1:2" x14ac:dyDescent="0.25">
      <c r="A13" s="37" t="str">
        <f>'Автоматизированный расчет'!A66</f>
        <v>Поиск продукта</v>
      </c>
      <c r="B13" s="37" t="s">
        <v>83</v>
      </c>
    </row>
    <row r="14" spans="1:2" x14ac:dyDescent="0.25">
      <c r="A14" s="37" t="str">
        <f>'Автоматизированный расчет'!A67</f>
        <v>Переход на страницу продукта</v>
      </c>
      <c r="B14" s="37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L31" sqref="L31"/>
    </sheetView>
  </sheetViews>
  <sheetFormatPr defaultColWidth="8.85546875" defaultRowHeight="15" x14ac:dyDescent="0.25"/>
  <cols>
    <col min="1" max="1" width="28.7109375" customWidth="1"/>
    <col min="2" max="2" width="21.85546875" customWidth="1"/>
    <col min="3" max="3" width="12.42578125" customWidth="1"/>
    <col min="4" max="4" width="13.140625" customWidth="1"/>
    <col min="6" max="6" width="10.28515625" customWidth="1"/>
    <col min="7" max="7" width="12.28515625" customWidth="1"/>
    <col min="8" max="8" width="10.140625" customWidth="1"/>
    <col min="13" max="13" width="15.85546875" customWidth="1"/>
  </cols>
  <sheetData>
    <row r="1" spans="1:10" x14ac:dyDescent="0.25">
      <c r="A1" s="60" t="s">
        <v>8</v>
      </c>
      <c r="B1" s="60" t="s">
        <v>40</v>
      </c>
      <c r="C1" s="60" t="s">
        <v>41</v>
      </c>
      <c r="D1" s="60" t="s">
        <v>42</v>
      </c>
      <c r="E1" s="60" t="s">
        <v>43</v>
      </c>
      <c r="F1" s="60" t="s">
        <v>44</v>
      </c>
      <c r="G1" s="60" t="s">
        <v>45</v>
      </c>
      <c r="H1" s="60" t="s">
        <v>9</v>
      </c>
      <c r="I1" s="60" t="s">
        <v>10</v>
      </c>
      <c r="J1" s="60" t="s">
        <v>11</v>
      </c>
    </row>
    <row r="2" spans="1:10" x14ac:dyDescent="0.25">
      <c r="A2" s="67" t="s">
        <v>73</v>
      </c>
      <c r="B2" s="67"/>
      <c r="C2">
        <v>0.58399999999999996</v>
      </c>
      <c r="D2">
        <v>0.68100000000000005</v>
      </c>
      <c r="E2">
        <v>0.89100000000000001</v>
      </c>
      <c r="F2">
        <v>7.1999999999999995E-2</v>
      </c>
      <c r="G2">
        <v>0.80800000000000005</v>
      </c>
      <c r="H2">
        <v>62</v>
      </c>
      <c r="I2">
        <v>0</v>
      </c>
      <c r="J2">
        <v>0</v>
      </c>
    </row>
    <row r="3" spans="1:10" x14ac:dyDescent="0.25">
      <c r="A3" t="s">
        <v>77</v>
      </c>
      <c r="C3">
        <v>2.024</v>
      </c>
      <c r="D3">
        <v>2.1429999999999998</v>
      </c>
      <c r="E3">
        <v>2.2440000000000002</v>
      </c>
      <c r="F3">
        <v>7.2999999999999995E-2</v>
      </c>
      <c r="G3">
        <v>2.2440000000000002</v>
      </c>
      <c r="H3">
        <v>18</v>
      </c>
      <c r="I3">
        <v>0</v>
      </c>
      <c r="J3">
        <v>0</v>
      </c>
    </row>
    <row r="4" spans="1:10" x14ac:dyDescent="0.25">
      <c r="A4" t="s">
        <v>70</v>
      </c>
      <c r="C4">
        <v>1.1930000000000001</v>
      </c>
      <c r="D4">
        <v>1.522</v>
      </c>
      <c r="E4">
        <v>1.9239999999999999</v>
      </c>
      <c r="F4">
        <v>0.29099999999999998</v>
      </c>
      <c r="G4">
        <v>1.899</v>
      </c>
      <c r="H4">
        <v>108</v>
      </c>
      <c r="I4">
        <v>0</v>
      </c>
      <c r="J4">
        <v>0</v>
      </c>
    </row>
    <row r="5" spans="1:10" x14ac:dyDescent="0.25">
      <c r="A5" t="s">
        <v>72</v>
      </c>
      <c r="C5">
        <v>1.4570000000000001</v>
      </c>
      <c r="D5">
        <v>1.649</v>
      </c>
      <c r="E5">
        <v>2.0219999999999998</v>
      </c>
      <c r="F5">
        <v>0.11700000000000001</v>
      </c>
      <c r="G5">
        <v>1.83</v>
      </c>
      <c r="H5">
        <v>62</v>
      </c>
      <c r="I5">
        <v>0</v>
      </c>
      <c r="J5">
        <v>0</v>
      </c>
    </row>
    <row r="6" spans="1:10" x14ac:dyDescent="0.25">
      <c r="A6" t="s">
        <v>81</v>
      </c>
      <c r="C6">
        <v>0.41299999999999998</v>
      </c>
      <c r="D6">
        <v>0.54300000000000004</v>
      </c>
      <c r="E6">
        <v>0.58599999999999997</v>
      </c>
      <c r="F6">
        <v>0.05</v>
      </c>
      <c r="G6">
        <v>0.57799999999999996</v>
      </c>
      <c r="H6">
        <v>14</v>
      </c>
      <c r="I6">
        <v>0</v>
      </c>
      <c r="J6">
        <v>0</v>
      </c>
    </row>
    <row r="7" spans="1:10" x14ac:dyDescent="0.25">
      <c r="A7" t="s">
        <v>52</v>
      </c>
      <c r="C7">
        <v>0.77600000000000002</v>
      </c>
      <c r="D7">
        <v>0.97399999999999998</v>
      </c>
      <c r="E7">
        <v>1.44</v>
      </c>
      <c r="F7">
        <v>0.2</v>
      </c>
      <c r="G7">
        <v>1.3109999999999999</v>
      </c>
      <c r="H7">
        <v>108</v>
      </c>
      <c r="I7">
        <v>0</v>
      </c>
      <c r="J7">
        <v>0</v>
      </c>
    </row>
    <row r="8" spans="1:10" x14ac:dyDescent="0.25">
      <c r="A8" t="s">
        <v>53</v>
      </c>
      <c r="C8">
        <v>0.30299999999999999</v>
      </c>
      <c r="D8">
        <v>0.32200000000000001</v>
      </c>
      <c r="E8">
        <v>0.35499999999999998</v>
      </c>
      <c r="F8">
        <v>0.01</v>
      </c>
      <c r="G8">
        <v>0.33300000000000002</v>
      </c>
      <c r="H8">
        <v>68</v>
      </c>
      <c r="I8">
        <v>0</v>
      </c>
      <c r="J8">
        <v>0</v>
      </c>
    </row>
    <row r="9" spans="1:10" x14ac:dyDescent="0.25">
      <c r="A9" t="s">
        <v>75</v>
      </c>
      <c r="C9">
        <v>0.7</v>
      </c>
      <c r="D9">
        <v>0.84799999999999998</v>
      </c>
      <c r="E9">
        <v>0.97399999999999998</v>
      </c>
      <c r="F9">
        <v>8.2000000000000003E-2</v>
      </c>
      <c r="G9">
        <v>0.95799999999999996</v>
      </c>
      <c r="H9">
        <v>32</v>
      </c>
      <c r="I9">
        <v>0</v>
      </c>
      <c r="J9">
        <v>0</v>
      </c>
    </row>
    <row r="10" spans="1:10" x14ac:dyDescent="0.25">
      <c r="A10" t="s">
        <v>54</v>
      </c>
      <c r="C10">
        <v>4.2190000000000003</v>
      </c>
      <c r="D10">
        <v>5.7060000000000004</v>
      </c>
      <c r="E10">
        <v>6.702</v>
      </c>
      <c r="F10">
        <v>0.63600000000000001</v>
      </c>
      <c r="G10">
        <v>6.516</v>
      </c>
      <c r="H10">
        <v>180</v>
      </c>
      <c r="I10">
        <v>0</v>
      </c>
      <c r="J10">
        <v>0</v>
      </c>
    </row>
    <row r="11" spans="1:10" x14ac:dyDescent="0.25">
      <c r="A11" t="s">
        <v>55</v>
      </c>
      <c r="C11">
        <v>0.38900000000000001</v>
      </c>
      <c r="D11">
        <v>0.42399999999999999</v>
      </c>
      <c r="E11">
        <v>0.46400000000000002</v>
      </c>
      <c r="F11">
        <v>1.9E-2</v>
      </c>
      <c r="G11">
        <v>0.45</v>
      </c>
      <c r="H11">
        <v>25</v>
      </c>
      <c r="I11">
        <v>0</v>
      </c>
      <c r="J11">
        <v>0</v>
      </c>
    </row>
    <row r="12" spans="1:10" x14ac:dyDescent="0.25">
      <c r="A12" t="s">
        <v>79</v>
      </c>
      <c r="C12">
        <v>1.0880000000000001</v>
      </c>
      <c r="D12">
        <v>1.1399999999999999</v>
      </c>
      <c r="E12">
        <v>1.1839999999999999</v>
      </c>
      <c r="F12">
        <v>3.6999999999999998E-2</v>
      </c>
      <c r="G12">
        <v>1.1839999999999999</v>
      </c>
      <c r="H12">
        <v>18</v>
      </c>
      <c r="I12">
        <v>0</v>
      </c>
      <c r="J12">
        <v>0</v>
      </c>
    </row>
    <row r="13" spans="1:10" x14ac:dyDescent="0.25">
      <c r="A13" t="s">
        <v>83</v>
      </c>
      <c r="C13">
        <v>3.3719999999999999</v>
      </c>
      <c r="D13">
        <v>6.3869999999999996</v>
      </c>
      <c r="E13">
        <v>9.3949999999999996</v>
      </c>
      <c r="F13">
        <v>1.76</v>
      </c>
      <c r="G13">
        <v>9.1560000000000006</v>
      </c>
      <c r="H13">
        <v>46</v>
      </c>
      <c r="I13">
        <v>0</v>
      </c>
      <c r="J13">
        <v>0</v>
      </c>
    </row>
    <row r="14" spans="1:10" x14ac:dyDescent="0.25">
      <c r="A14" t="s">
        <v>89</v>
      </c>
      <c r="C14">
        <v>7.6459999999999999</v>
      </c>
      <c r="D14">
        <v>8.0009999999999994</v>
      </c>
      <c r="E14">
        <v>8.2850000000000001</v>
      </c>
      <c r="F14">
        <v>0.183</v>
      </c>
      <c r="G14">
        <v>8.2309999999999999</v>
      </c>
      <c r="H14">
        <v>24</v>
      </c>
      <c r="I14">
        <v>0</v>
      </c>
      <c r="J14">
        <v>0</v>
      </c>
    </row>
    <row r="15" spans="1:10" x14ac:dyDescent="0.25">
      <c r="A15" t="s">
        <v>90</v>
      </c>
      <c r="C15">
        <v>8.9649999999999999</v>
      </c>
      <c r="D15">
        <v>9.4410000000000007</v>
      </c>
      <c r="E15">
        <v>9.7789999999999999</v>
      </c>
      <c r="F15">
        <v>0.193</v>
      </c>
      <c r="G15">
        <v>9.6669999999999998</v>
      </c>
      <c r="H15">
        <v>44</v>
      </c>
      <c r="I15">
        <v>0</v>
      </c>
      <c r="J15">
        <v>0</v>
      </c>
    </row>
    <row r="16" spans="1:10" x14ac:dyDescent="0.25">
      <c r="A16" t="s">
        <v>91</v>
      </c>
      <c r="C16">
        <v>9.1530000000000005</v>
      </c>
      <c r="D16">
        <v>9.7059999999999995</v>
      </c>
      <c r="E16">
        <v>10.077999999999999</v>
      </c>
      <c r="F16">
        <v>0.254</v>
      </c>
      <c r="G16">
        <v>10.071</v>
      </c>
      <c r="H16">
        <v>30</v>
      </c>
      <c r="I16">
        <v>0</v>
      </c>
      <c r="J16">
        <v>0</v>
      </c>
    </row>
    <row r="17" spans="1:10" x14ac:dyDescent="0.25">
      <c r="A17" t="s">
        <v>92</v>
      </c>
      <c r="C17">
        <v>13.577999999999999</v>
      </c>
      <c r="D17">
        <v>14.161</v>
      </c>
      <c r="E17">
        <v>14.693</v>
      </c>
      <c r="F17">
        <v>0.38100000000000001</v>
      </c>
      <c r="G17">
        <v>14.693</v>
      </c>
      <c r="H17">
        <v>18</v>
      </c>
      <c r="I17">
        <v>0</v>
      </c>
      <c r="J17">
        <v>0</v>
      </c>
    </row>
    <row r="18" spans="1:10" x14ac:dyDescent="0.25">
      <c r="A18" t="s">
        <v>93</v>
      </c>
      <c r="C18">
        <v>10.109</v>
      </c>
      <c r="D18">
        <v>10.956</v>
      </c>
      <c r="E18">
        <v>11.521000000000001</v>
      </c>
      <c r="F18">
        <v>0.41499999999999998</v>
      </c>
      <c r="G18">
        <v>11.506</v>
      </c>
      <c r="H18">
        <v>14</v>
      </c>
      <c r="I18">
        <v>0</v>
      </c>
      <c r="J18">
        <v>0</v>
      </c>
    </row>
    <row r="19" spans="1:10" x14ac:dyDescent="0.25">
      <c r="A19" t="s">
        <v>94</v>
      </c>
      <c r="C19">
        <v>8.7780000000000005</v>
      </c>
      <c r="D19">
        <v>11.837999999999999</v>
      </c>
      <c r="E19">
        <v>15.106</v>
      </c>
      <c r="F19">
        <v>1.7629999999999999</v>
      </c>
      <c r="G19">
        <v>14.532</v>
      </c>
      <c r="H19">
        <v>46</v>
      </c>
      <c r="I19">
        <v>0</v>
      </c>
      <c r="J19">
        <v>0</v>
      </c>
    </row>
    <row r="20" spans="1:10" x14ac:dyDescent="0.25">
      <c r="A20" s="67" t="s">
        <v>56</v>
      </c>
      <c r="C20">
        <v>0.77700000000000002</v>
      </c>
      <c r="D20">
        <v>0.82199999999999995</v>
      </c>
      <c r="E20">
        <v>0.89700000000000002</v>
      </c>
      <c r="F20">
        <v>3.5000000000000003E-2</v>
      </c>
      <c r="G20">
        <v>0.879</v>
      </c>
      <c r="H20">
        <v>24</v>
      </c>
      <c r="I20">
        <v>0</v>
      </c>
      <c r="J20">
        <v>0</v>
      </c>
    </row>
  </sheetData>
  <hyperlinks>
    <hyperlink ref="A2" display="AddToCart" xr:uid="{AACC72D6-1077-496B-A008-EF4BA5B3EF87}"/>
    <hyperlink ref="A3" display="CheckoutUserData" xr:uid="{B476F560-2DCC-489C-9F99-3BB32E869C53}"/>
    <hyperlink ref="A4" display="ChooseCategory" xr:uid="{ED3255CB-5A5F-4A09-A522-B8A249283A78}"/>
    <hyperlink ref="A5" display="ChooseProduct" xr:uid="{5CEF01F5-45FC-4282-9DE3-C7DE0F5CC174}"/>
    <hyperlink ref="A6" display="DeleteProduct" xr:uid="{E30160F1-9717-4FE6-A6F4-557B5D69D0D1}"/>
    <hyperlink ref="A7" display="Login" xr:uid="{958136F5-BEBD-46DF-AE80-8C04BA6D9DFB}"/>
    <hyperlink ref="A8" display="Logout" xr:uid="{4B4E4D94-F737-4240-879E-F6B072D797FC}"/>
    <hyperlink ref="A9" display="OpenCart" xr:uid="{3A143EB4-2DB0-4B0A-9BFB-981329646D38}"/>
    <hyperlink ref="A10" display="OpenLandingPage" xr:uid="{046A9FF8-15F2-4F7E-8F23-8002CEAE25E7}"/>
    <hyperlink ref="A11" display="OpenRegistrationPage" xr:uid="{BD63B2E6-E27E-45AF-8124-C75CAFD2939D}"/>
    <hyperlink ref="A12" display="Payment" xr:uid="{585477F5-6E5D-4ED7-B349-7173A6C73F65}"/>
    <hyperlink ref="A13" display="SeachProduct" xr:uid="{06D722B5-2027-4565-BC64-A1A72C3AA25F}"/>
    <hyperlink ref="A14" display="UC1_RandomUserRegistration" xr:uid="{369E980E-D6ED-494C-8E13-5691899721E5}"/>
    <hyperlink ref="A15" display="UC2_LoginLogout" xr:uid="{433B10C0-13F6-43DA-AA5F-785740B60C43}"/>
    <hyperlink ref="A16" display="UC4_AddToCart" xr:uid="{3F895890-EC13-4EBC-9DF8-FBFF4406FFB8}"/>
    <hyperlink ref="A17" display="UC5_BuyingProduct" xr:uid="{D4938E30-155C-4AC6-BCE3-C9A4E0D09745}"/>
    <hyperlink ref="A18" display="UC6_DeleteProduct" xr:uid="{6BF0567E-8C66-4AF6-B3B8-0835F478D664}"/>
    <hyperlink ref="A19" display="UC7_SeachProduct" xr:uid="{20986254-407C-4A0C-A511-59617D1FD1FE}"/>
    <hyperlink ref="A20" display="UserRegistered" xr:uid="{BF93AB1D-7FAE-4BF9-B400-AED4A200B6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Q84"/>
  <sheetViews>
    <sheetView topLeftCell="A61" workbookViewId="0">
      <selection activeCell="H72" sqref="H72:J84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34.5703125" customWidth="1"/>
    <col min="6" max="6" width="28.28515625" customWidth="1"/>
    <col min="7" max="7" width="15.28515625" customWidth="1"/>
    <col min="8" max="8" width="15.140625" customWidth="1"/>
    <col min="9" max="9" width="16.140625" customWidth="1"/>
    <col min="11" max="11" width="13.42578125" customWidth="1"/>
    <col min="12" max="12" width="38.28515625" customWidth="1"/>
    <col min="13" max="13" width="15" customWidth="1"/>
    <col min="14" max="14" width="14.28515625" customWidth="1"/>
    <col min="15" max="15" width="15.5703125" customWidth="1"/>
    <col min="16" max="16" width="15" customWidth="1"/>
    <col min="17" max="17" width="19.42578125" bestFit="1" customWidth="1"/>
  </cols>
  <sheetData>
    <row r="1" spans="5:12" x14ac:dyDescent="0.25">
      <c r="E1" s="96" t="s">
        <v>58</v>
      </c>
      <c r="F1" s="96"/>
      <c r="G1" s="96"/>
      <c r="H1" s="96"/>
      <c r="I1" s="96"/>
      <c r="J1" s="96"/>
    </row>
    <row r="3" spans="5:12" x14ac:dyDescent="0.25">
      <c r="E3" s="77" t="s">
        <v>3</v>
      </c>
      <c r="F3" s="77" t="s">
        <v>4</v>
      </c>
      <c r="G3" s="77" t="s">
        <v>5</v>
      </c>
      <c r="H3" s="77" t="s">
        <v>6</v>
      </c>
      <c r="I3" s="77" t="s">
        <v>7</v>
      </c>
      <c r="J3" s="77" t="s">
        <v>62</v>
      </c>
    </row>
    <row r="4" spans="5:12" ht="15.75" x14ac:dyDescent="0.25">
      <c r="E4" s="59" t="s">
        <v>67</v>
      </c>
      <c r="F4" s="70" t="str">
        <f>VLOOKUP(E4,Соответствие!$A$2:$B$14,2,FALSE)</f>
        <v>OpenLandingPage</v>
      </c>
      <c r="G4" s="71">
        <f>VLOOKUP(E4,'Автоматизированный расчет'!$A$55:$B$67,2,FALSE)</f>
        <v>520</v>
      </c>
      <c r="H4" s="89">
        <f>900*0.6</f>
        <v>540</v>
      </c>
      <c r="I4" s="73">
        <f>1-G4/H4</f>
        <v>3.703703703703709E-2</v>
      </c>
      <c r="J4" s="76" t="s">
        <v>60</v>
      </c>
    </row>
    <row r="5" spans="5:12" ht="15.75" x14ac:dyDescent="0.25">
      <c r="E5" s="59" t="s">
        <v>0</v>
      </c>
      <c r="F5" s="70" t="str">
        <f>VLOOKUP(E5,Соответствие!$A$2:$B$14,2,FALSE)</f>
        <v>Login</v>
      </c>
      <c r="G5" s="71">
        <f>VLOOKUP(E5,'Автоматизированный расчет'!$A$55:$B$67,2,FALSE)</f>
        <v>320</v>
      </c>
      <c r="H5" s="89">
        <f>531*0.6</f>
        <v>318.59999999999997</v>
      </c>
      <c r="I5" s="73">
        <f t="shared" ref="I5:I6" si="0">1-G5/H5</f>
        <v>-4.3942247332078299E-3</v>
      </c>
      <c r="J5" s="76" t="s">
        <v>63</v>
      </c>
    </row>
    <row r="6" spans="5:12" ht="15.75" x14ac:dyDescent="0.25">
      <c r="E6" s="59" t="s">
        <v>78</v>
      </c>
      <c r="F6" s="70" t="str">
        <f>VLOOKUP(E6,Соответствие!$A$2:$B$14,2,FALSE)</f>
        <v>CheckoutUserData</v>
      </c>
      <c r="G6" s="71">
        <f>VLOOKUP(E6,'Автоматизированный расчет'!$A$55:$B$67,2,FALSE)</f>
        <v>55</v>
      </c>
      <c r="H6" s="89">
        <f>92*0.6</f>
        <v>55.199999999999996</v>
      </c>
      <c r="I6" s="73">
        <f t="shared" si="0"/>
        <v>3.6231884057970065E-3</v>
      </c>
      <c r="J6" s="76" t="s">
        <v>60</v>
      </c>
    </row>
    <row r="7" spans="5:12" ht="15.75" x14ac:dyDescent="0.25">
      <c r="E7" s="59" t="s">
        <v>74</v>
      </c>
      <c r="F7" s="70" t="str">
        <f>VLOOKUP(E7,Соответствие!$A$2:$B$14,2,FALSE)</f>
        <v>AddToCart</v>
      </c>
      <c r="G7" s="71">
        <f>VLOOKUP(E7,'Автоматизированный расчет'!$A$55:$B$67,2,FALSE)</f>
        <v>186</v>
      </c>
      <c r="H7" s="89">
        <f>298*0.6</f>
        <v>178.79999999999998</v>
      </c>
      <c r="I7" s="73">
        <f>1-G7/H7</f>
        <v>-4.026845637583909E-2</v>
      </c>
      <c r="J7" s="76" t="s">
        <v>60</v>
      </c>
      <c r="L7" s="75"/>
    </row>
    <row r="8" spans="5:12" ht="15.75" x14ac:dyDescent="0.25">
      <c r="E8" s="59" t="s">
        <v>71</v>
      </c>
      <c r="F8" s="70" t="str">
        <f>VLOOKUP(E8,Соответствие!$A$2:$B$14,2,FALSE)</f>
        <v>ChooseCategory</v>
      </c>
      <c r="G8" s="71">
        <f>VLOOKUP(E8,'Автоматизированный расчет'!$A$55:$B$67,2,FALSE)</f>
        <v>317</v>
      </c>
      <c r="H8" s="89">
        <f>528*0.6</f>
        <v>316.8</v>
      </c>
      <c r="I8" s="73">
        <f>1-G8/H8</f>
        <v>-6.3131313131314926E-4</v>
      </c>
      <c r="J8" s="76" t="s">
        <v>60</v>
      </c>
      <c r="L8" s="75"/>
    </row>
    <row r="9" spans="5:12" ht="15.75" x14ac:dyDescent="0.25">
      <c r="E9" s="59" t="s">
        <v>80</v>
      </c>
      <c r="F9" s="70" t="str">
        <f>VLOOKUP(E9,Соответствие!$A$2:$B$14,2,FALSE)</f>
        <v>Payment</v>
      </c>
      <c r="G9" s="71">
        <f>VLOOKUP(E9,'Автоматизированный расчет'!$A$55:$B$67,2,FALSE)</f>
        <v>55</v>
      </c>
      <c r="H9" s="89">
        <f>92*0.6</f>
        <v>55.199999999999996</v>
      </c>
      <c r="I9" s="73">
        <f t="shared" ref="I9:I10" si="1">1-G9/H9</f>
        <v>3.6231884057970065E-3</v>
      </c>
      <c r="J9" s="76" t="s">
        <v>60</v>
      </c>
      <c r="L9" s="75"/>
    </row>
    <row r="10" spans="5:12" ht="15.75" x14ac:dyDescent="0.25">
      <c r="E10" s="59" t="s">
        <v>76</v>
      </c>
      <c r="F10" s="70" t="str">
        <f>VLOOKUP(E10,Соответствие!$A$2:$B$14,2,FALSE)</f>
        <v>OpenCart</v>
      </c>
      <c r="G10" s="71">
        <f>VLOOKUP(E10,'Автоматизированный расчет'!$A$55:$B$67,2,FALSE)</f>
        <v>95</v>
      </c>
      <c r="H10" s="89">
        <f>159*0.6</f>
        <v>95.399999999999991</v>
      </c>
      <c r="I10" s="73">
        <f t="shared" si="1"/>
        <v>4.1928721174003813E-3</v>
      </c>
      <c r="J10" s="76" t="s">
        <v>60</v>
      </c>
      <c r="L10" s="75"/>
    </row>
    <row r="11" spans="5:12" ht="15.75" customHeight="1" x14ac:dyDescent="0.25">
      <c r="E11" s="68" t="s">
        <v>82</v>
      </c>
      <c r="F11" s="70" t="str">
        <f>VLOOKUP(E11,Соответствие!$A$2:$B$14,2,FALSE)</f>
        <v>DeleteProduct</v>
      </c>
      <c r="G11" s="71">
        <f>VLOOKUP(E11,'Автоматизированный расчет'!$A$55:$B$67,2,FALSE)</f>
        <v>41</v>
      </c>
      <c r="H11" s="89">
        <f>69*0.6</f>
        <v>41.4</v>
      </c>
      <c r="I11" s="73">
        <f>1-G11/H11</f>
        <v>9.6618357487922024E-3</v>
      </c>
      <c r="J11" s="76" t="s">
        <v>60</v>
      </c>
    </row>
    <row r="12" spans="5:12" ht="15.75" x14ac:dyDescent="0.25">
      <c r="E12" s="59" t="s">
        <v>1</v>
      </c>
      <c r="F12" s="70" t="str">
        <f>VLOOKUP(E12,Соответствие!$A$2:$B$14,2,FALSE)</f>
        <v>Logout</v>
      </c>
      <c r="G12" s="71">
        <f>VLOOKUP(E12,'Автоматизированный расчет'!$A$55:$B$67,2,FALSE)</f>
        <v>200</v>
      </c>
      <c r="H12" s="89">
        <f>338*0.6</f>
        <v>202.79999999999998</v>
      </c>
      <c r="I12" s="73">
        <f>1-G12/H12</f>
        <v>1.3806706114398382E-2</v>
      </c>
      <c r="J12" s="76" t="s">
        <v>60</v>
      </c>
    </row>
    <row r="13" spans="5:12" ht="15.75" x14ac:dyDescent="0.25">
      <c r="E13" s="68" t="s">
        <v>68</v>
      </c>
      <c r="F13" s="70" t="str">
        <f>VLOOKUP(E13,Соответствие!$A$2:$B$14,2,FALSE)</f>
        <v>OpenRegistrationPage</v>
      </c>
      <c r="G13" s="71">
        <f>VLOOKUP(E13,'Автоматизированный расчет'!$A$55:$B$67,2,FALSE)</f>
        <v>70</v>
      </c>
      <c r="H13" s="89">
        <f>120*0.6</f>
        <v>72</v>
      </c>
      <c r="I13" s="73">
        <f t="shared" ref="I13:I16" si="2">1-G13/H13</f>
        <v>2.777777777777779E-2</v>
      </c>
      <c r="J13" s="76" t="s">
        <v>60</v>
      </c>
    </row>
    <row r="14" spans="5:12" ht="15.75" x14ac:dyDescent="0.25">
      <c r="E14" s="68" t="s">
        <v>69</v>
      </c>
      <c r="F14" s="70" t="str">
        <f>VLOOKUP(E14,Соответствие!$A$2:$B$14,2,FALSE)</f>
        <v>UserRegistered</v>
      </c>
      <c r="G14" s="71">
        <f>VLOOKUP(E14,'Автоматизированный расчет'!$A$55:$B$67,2,FALSE)</f>
        <v>70</v>
      </c>
      <c r="H14" s="89">
        <f>120*0.6</f>
        <v>72</v>
      </c>
      <c r="I14" s="73">
        <f t="shared" si="2"/>
        <v>2.777777777777779E-2</v>
      </c>
      <c r="J14" s="76" t="s">
        <v>60</v>
      </c>
    </row>
    <row r="15" spans="5:12" ht="15.75" x14ac:dyDescent="0.25">
      <c r="E15" s="68" t="s">
        <v>84</v>
      </c>
      <c r="F15" s="70" t="str">
        <f>VLOOKUP(E15,Соответствие!$A$2:$B$14,2,FALSE)</f>
        <v>SeachProduct</v>
      </c>
      <c r="G15" s="71">
        <f>VLOOKUP(E15,'Автоматизированный расчет'!$A$55:$B$67,2,FALSE)</f>
        <v>130</v>
      </c>
      <c r="H15" s="89">
        <f>221*0.6</f>
        <v>132.6</v>
      </c>
      <c r="I15" s="73">
        <f t="shared" si="2"/>
        <v>1.9607843137254832E-2</v>
      </c>
      <c r="J15" s="76" t="s">
        <v>63</v>
      </c>
    </row>
    <row r="16" spans="5:12" ht="15.75" customHeight="1" x14ac:dyDescent="0.25">
      <c r="E16" s="59" t="s">
        <v>85</v>
      </c>
      <c r="F16" s="70" t="str">
        <f>VLOOKUP(E16,Соответствие!$A$2:$B$14,2,FALSE)</f>
        <v>ChooseProduct</v>
      </c>
      <c r="G16" s="71">
        <f>VLOOKUP(E16,'Автоматизированный расчет'!$A$55:$B$67,2,FALSE)</f>
        <v>186</v>
      </c>
      <c r="H16" s="89">
        <f>307*0.6</f>
        <v>184.2</v>
      </c>
      <c r="I16" s="73">
        <f t="shared" si="2"/>
        <v>-9.7719869706840434E-3</v>
      </c>
      <c r="J16" s="76" t="s">
        <v>60</v>
      </c>
    </row>
    <row r="17" spans="5:17" ht="15.75" customHeight="1" x14ac:dyDescent="0.25"/>
    <row r="18" spans="5:17" x14ac:dyDescent="0.25">
      <c r="E18" s="96" t="s">
        <v>61</v>
      </c>
      <c r="F18" s="96"/>
      <c r="G18" s="96"/>
      <c r="H18" s="96"/>
      <c r="I18" s="96"/>
      <c r="J18" s="96"/>
    </row>
    <row r="20" spans="5:17" x14ac:dyDescent="0.25">
      <c r="E20" s="77" t="s">
        <v>3</v>
      </c>
      <c r="F20" s="77" t="s">
        <v>4</v>
      </c>
      <c r="G20" s="77" t="s">
        <v>5</v>
      </c>
      <c r="H20" s="77" t="s">
        <v>6</v>
      </c>
      <c r="I20" s="77" t="s">
        <v>7</v>
      </c>
      <c r="J20" s="77" t="s">
        <v>62</v>
      </c>
    </row>
    <row r="21" spans="5:17" ht="15.75" x14ac:dyDescent="0.25">
      <c r="E21" s="59" t="s">
        <v>67</v>
      </c>
      <c r="F21" s="70" t="str">
        <f>VLOOKUP(E21,Соответствие!$A$2:$B$14,2,FALSE)</f>
        <v>OpenLandingPage</v>
      </c>
      <c r="G21" s="71">
        <f>VLOOKUP(E21,'Автоматизированный расчет'!$A$55:$B$67,2,FALSE)</f>
        <v>520</v>
      </c>
      <c r="H21" s="89">
        <f>(718/4)*3</f>
        <v>538.5</v>
      </c>
      <c r="I21" s="73">
        <f>1-G21/H21</f>
        <v>3.4354688950789192E-2</v>
      </c>
      <c r="J21" s="76" t="s">
        <v>60</v>
      </c>
      <c r="L21" s="75"/>
      <c r="Q21" s="75"/>
    </row>
    <row r="22" spans="5:17" ht="15.75" x14ac:dyDescent="0.25">
      <c r="E22" s="59" t="s">
        <v>0</v>
      </c>
      <c r="F22" s="70" t="str">
        <f>VLOOKUP(E22,Соответствие!$A$2:$B$14,2,FALSE)</f>
        <v>Login</v>
      </c>
      <c r="G22" s="71">
        <f>VLOOKUP(E22,'Автоматизированный расчет'!$A$55:$B$67,2,FALSE)</f>
        <v>320</v>
      </c>
      <c r="H22" s="89">
        <f>(427/4)*3</f>
        <v>320.25</v>
      </c>
      <c r="I22" s="73">
        <f t="shared" ref="I22:I23" si="3">1-G22/H22</f>
        <v>7.8064012490242085E-4</v>
      </c>
      <c r="J22" s="76" t="s">
        <v>60</v>
      </c>
      <c r="L22" s="75"/>
      <c r="Q22" s="75"/>
    </row>
    <row r="23" spans="5:17" ht="15.75" x14ac:dyDescent="0.25">
      <c r="E23" s="59" t="s">
        <v>78</v>
      </c>
      <c r="F23" s="70" t="str">
        <f>VLOOKUP(E23,Соответствие!$A$2:$B$14,2,FALSE)</f>
        <v>CheckoutUserData</v>
      </c>
      <c r="G23" s="71">
        <f>VLOOKUP(E23,'Автоматизированный расчет'!$A$55:$B$67,2,FALSE)</f>
        <v>55</v>
      </c>
      <c r="H23" s="89">
        <f>(76/4)*3</f>
        <v>57</v>
      </c>
      <c r="I23" s="73">
        <f t="shared" si="3"/>
        <v>3.5087719298245612E-2</v>
      </c>
      <c r="J23" s="76" t="s">
        <v>60</v>
      </c>
      <c r="L23" s="75"/>
      <c r="Q23" s="75"/>
    </row>
    <row r="24" spans="5:17" ht="15.75" x14ac:dyDescent="0.25">
      <c r="E24" s="59" t="s">
        <v>74</v>
      </c>
      <c r="F24" s="70" t="str">
        <f>VLOOKUP(E24,Соответствие!$A$2:$B$14,2,FALSE)</f>
        <v>AddToCart</v>
      </c>
      <c r="G24" s="71">
        <f>VLOOKUP(E24,'Автоматизированный расчет'!$A$55:$B$67,2,FALSE)</f>
        <v>186</v>
      </c>
      <c r="H24" s="89">
        <f>(242/4)*3</f>
        <v>181.5</v>
      </c>
      <c r="I24" s="73">
        <f>1-G24/H24</f>
        <v>-2.4793388429751984E-2</v>
      </c>
      <c r="J24" s="76" t="s">
        <v>60</v>
      </c>
      <c r="L24" s="75"/>
      <c r="Q24" s="75"/>
    </row>
    <row r="25" spans="5:17" ht="15.75" x14ac:dyDescent="0.25">
      <c r="E25" s="59" t="s">
        <v>71</v>
      </c>
      <c r="F25" s="70" t="str">
        <f>VLOOKUP(E25,Соответствие!$A$2:$B$14,2,FALSE)</f>
        <v>ChooseCategory</v>
      </c>
      <c r="G25" s="71">
        <f>VLOOKUP(E25,'Автоматизированный расчет'!$A$55:$B$67,2,FALSE)</f>
        <v>317</v>
      </c>
      <c r="H25" s="89">
        <f>(424/4)*3</f>
        <v>318</v>
      </c>
      <c r="I25" s="73">
        <f>1-G25/H25</f>
        <v>3.1446540880503138E-3</v>
      </c>
      <c r="J25" s="76" t="s">
        <v>60</v>
      </c>
    </row>
    <row r="26" spans="5:17" ht="15.75" x14ac:dyDescent="0.25">
      <c r="E26" s="59" t="s">
        <v>80</v>
      </c>
      <c r="F26" s="70" t="str">
        <f>VLOOKUP(E26,Соответствие!$A$2:$B$14,2,FALSE)</f>
        <v>Payment</v>
      </c>
      <c r="G26" s="71">
        <f>VLOOKUP(E26,'Автоматизированный расчет'!$A$55:$B$67,2,FALSE)</f>
        <v>55</v>
      </c>
      <c r="H26" s="89">
        <f>(75/4)*3</f>
        <v>56.25</v>
      </c>
      <c r="I26" s="73">
        <f t="shared" ref="I26:I27" si="4">1-G26/H26</f>
        <v>2.2222222222222254E-2</v>
      </c>
      <c r="J26" s="76" t="s">
        <v>60</v>
      </c>
    </row>
    <row r="27" spans="5:17" ht="15.75" x14ac:dyDescent="0.25">
      <c r="E27" s="59" t="s">
        <v>76</v>
      </c>
      <c r="F27" s="70" t="str">
        <f>VLOOKUP(E27,Соответствие!$A$2:$B$14,2,FALSE)</f>
        <v>OpenCart</v>
      </c>
      <c r="G27" s="71">
        <f>VLOOKUP(E27,'Автоматизированный расчет'!$A$55:$B$67,2,FALSE)</f>
        <v>95</v>
      </c>
      <c r="H27" s="89">
        <f>(131/4)*3</f>
        <v>98.25</v>
      </c>
      <c r="I27" s="73">
        <f t="shared" si="4"/>
        <v>3.30788804071247E-2</v>
      </c>
      <c r="J27" s="76" t="s">
        <v>60</v>
      </c>
    </row>
    <row r="28" spans="5:17" ht="15.75" x14ac:dyDescent="0.25">
      <c r="E28" s="68" t="s">
        <v>82</v>
      </c>
      <c r="F28" s="70" t="str">
        <f>VLOOKUP(E28,Соответствие!$A$2:$B$14,2,FALSE)</f>
        <v>DeleteProduct</v>
      </c>
      <c r="G28" s="71">
        <f>VLOOKUP(E28,'Автоматизированный расчет'!$A$55:$B$67,2,FALSE)</f>
        <v>41</v>
      </c>
      <c r="H28" s="89">
        <f>(55/4)*3</f>
        <v>41.25</v>
      </c>
      <c r="I28" s="73">
        <f>1-G28/H28</f>
        <v>6.0606060606060996E-3</v>
      </c>
      <c r="J28" s="76" t="s">
        <v>60</v>
      </c>
    </row>
    <row r="29" spans="5:17" ht="15.75" x14ac:dyDescent="0.25">
      <c r="E29" s="59" t="s">
        <v>1</v>
      </c>
      <c r="F29" s="70" t="str">
        <f>VLOOKUP(E29,Соответствие!$A$2:$B$14,2,FALSE)</f>
        <v>Logout</v>
      </c>
      <c r="G29" s="71">
        <f>VLOOKUP(E29,'Автоматизированный расчет'!$A$55:$B$67,2,FALSE)</f>
        <v>200</v>
      </c>
      <c r="H29" s="89">
        <f>(270/4)*3</f>
        <v>202.5</v>
      </c>
      <c r="I29" s="73">
        <f>1-G29/H29</f>
        <v>1.2345679012345734E-2</v>
      </c>
      <c r="J29" s="76" t="s">
        <v>60</v>
      </c>
    </row>
    <row r="30" spans="5:17" ht="15.75" x14ac:dyDescent="0.25">
      <c r="E30" s="68" t="s">
        <v>68</v>
      </c>
      <c r="F30" s="70" t="str">
        <f>VLOOKUP(E30,Соответствие!$A$2:$B$14,2,FALSE)</f>
        <v>OpenRegistrationPage</v>
      </c>
      <c r="G30" s="71">
        <f>VLOOKUP(E30,'Автоматизированный расчет'!$A$55:$B$67,2,FALSE)</f>
        <v>70</v>
      </c>
      <c r="H30" s="89">
        <f>(96/4)*3</f>
        <v>72</v>
      </c>
      <c r="I30" s="73">
        <f t="shared" ref="I30:I33" si="5">1-G30/H30</f>
        <v>2.777777777777779E-2</v>
      </c>
      <c r="J30" s="76" t="s">
        <v>60</v>
      </c>
    </row>
    <row r="31" spans="5:17" ht="15.75" x14ac:dyDescent="0.25">
      <c r="E31" s="68" t="s">
        <v>69</v>
      </c>
      <c r="F31" s="70" t="str">
        <f>VLOOKUP(E31,Соответствие!$A$2:$B$14,2,FALSE)</f>
        <v>UserRegistered</v>
      </c>
      <c r="G31" s="71">
        <f>VLOOKUP(E31,'Автоматизированный расчет'!$A$55:$B$67,2,FALSE)</f>
        <v>70</v>
      </c>
      <c r="H31" s="89">
        <f>(96/4)*3</f>
        <v>72</v>
      </c>
      <c r="I31" s="73">
        <f t="shared" si="5"/>
        <v>2.777777777777779E-2</v>
      </c>
      <c r="J31" s="76" t="s">
        <v>60</v>
      </c>
      <c r="L31" s="75"/>
      <c r="Q31" s="75"/>
    </row>
    <row r="32" spans="5:17" ht="15.75" x14ac:dyDescent="0.25">
      <c r="E32" s="68" t="s">
        <v>84</v>
      </c>
      <c r="F32" s="70" t="str">
        <f>VLOOKUP(E32,Соответствие!$A$2:$B$14,2,FALSE)</f>
        <v>SeachProduct</v>
      </c>
      <c r="G32" s="71">
        <f>VLOOKUP(E32,'Автоматизированный расчет'!$A$55:$B$67,2,FALSE)</f>
        <v>130</v>
      </c>
      <c r="H32" s="89">
        <f>(177/4)*3</f>
        <v>132.75</v>
      </c>
      <c r="I32" s="73">
        <f t="shared" si="5"/>
        <v>2.0715630885122405E-2</v>
      </c>
      <c r="J32" s="76" t="s">
        <v>63</v>
      </c>
      <c r="L32" s="75"/>
      <c r="Q32" s="75"/>
    </row>
    <row r="33" spans="5:15" ht="15.75" x14ac:dyDescent="0.25">
      <c r="E33" s="59" t="s">
        <v>85</v>
      </c>
      <c r="F33" s="70" t="str">
        <f>VLOOKUP(E33,Соответствие!$A$2:$B$14,2,FALSE)</f>
        <v>ChooseProduct</v>
      </c>
      <c r="G33" s="71">
        <f>VLOOKUP(E33,'Автоматизированный расчет'!$A$55:$B$67,2,FALSE)</f>
        <v>186</v>
      </c>
      <c r="H33" s="89">
        <f>(247/4)*3</f>
        <v>185.25</v>
      </c>
      <c r="I33" s="73">
        <f t="shared" si="5"/>
        <v>-4.0485829959513442E-3</v>
      </c>
      <c r="J33" s="76" t="s">
        <v>60</v>
      </c>
    </row>
    <row r="35" spans="5:15" x14ac:dyDescent="0.25">
      <c r="E35" s="96" t="s">
        <v>64</v>
      </c>
      <c r="F35" s="96"/>
      <c r="G35" s="96"/>
      <c r="H35" s="96"/>
      <c r="I35" s="96"/>
      <c r="J35" s="96"/>
    </row>
    <row r="36" spans="5:15" ht="17.25" customHeight="1" x14ac:dyDescent="0.25"/>
    <row r="37" spans="5:15" x14ac:dyDescent="0.25">
      <c r="E37" s="77" t="s">
        <v>3</v>
      </c>
      <c r="F37" s="77" t="s">
        <v>4</v>
      </c>
      <c r="G37" s="77" t="s">
        <v>5</v>
      </c>
      <c r="H37" s="77" t="s">
        <v>6</v>
      </c>
      <c r="I37" s="77" t="s">
        <v>7</v>
      </c>
      <c r="J37" s="77" t="s">
        <v>62</v>
      </c>
    </row>
    <row r="38" spans="5:15" ht="15.75" x14ac:dyDescent="0.25">
      <c r="E38" s="59" t="s">
        <v>67</v>
      </c>
      <c r="F38" s="70" t="str">
        <f>VLOOKUP(E38,Соответствие!$A$2:$B$14,2,FALSE)</f>
        <v>OpenLandingPage</v>
      </c>
      <c r="G38" s="71">
        <f>VLOOKUP(E38,'Автоматизированный расчет'!$A$55:$B$67,2,FALSE)</f>
        <v>520</v>
      </c>
      <c r="H38" s="72">
        <v>540</v>
      </c>
      <c r="I38" s="73">
        <f>1-G38/H38</f>
        <v>3.703703703703709E-2</v>
      </c>
      <c r="J38" s="76" t="s">
        <v>60</v>
      </c>
    </row>
    <row r="39" spans="5:15" ht="15.75" x14ac:dyDescent="0.25">
      <c r="E39" s="59" t="s">
        <v>0</v>
      </c>
      <c r="F39" s="70" t="str">
        <f>VLOOKUP(E39,Соответствие!$A$2:$B$14,2,FALSE)</f>
        <v>Login</v>
      </c>
      <c r="G39" s="71">
        <f>VLOOKUP(E39,'Автоматизированный расчет'!$A$55:$B$67,2,FALSE)</f>
        <v>320</v>
      </c>
      <c r="H39" s="74">
        <v>324</v>
      </c>
      <c r="I39" s="73">
        <f t="shared" ref="I39:I40" si="6">1-G39/H39</f>
        <v>1.2345679012345734E-2</v>
      </c>
      <c r="J39" s="76" t="s">
        <v>60</v>
      </c>
    </row>
    <row r="40" spans="5:15" ht="15.75" x14ac:dyDescent="0.25">
      <c r="E40" s="59" t="s">
        <v>78</v>
      </c>
      <c r="F40" s="70" t="str">
        <f>VLOOKUP(E40,Соответствие!$A$2:$B$14,2,FALSE)</f>
        <v>CheckoutUserData</v>
      </c>
      <c r="G40" s="71">
        <f>VLOOKUP(E40,'Автоматизированный расчет'!$A$55:$B$67,2,FALSE)</f>
        <v>55</v>
      </c>
      <c r="H40" s="69">
        <v>55</v>
      </c>
      <c r="I40" s="73">
        <f t="shared" si="6"/>
        <v>0</v>
      </c>
      <c r="J40" s="76" t="s">
        <v>60</v>
      </c>
      <c r="L40" s="75"/>
      <c r="O40" s="75"/>
    </row>
    <row r="41" spans="5:15" ht="15.75" x14ac:dyDescent="0.25">
      <c r="E41" s="59" t="s">
        <v>74</v>
      </c>
      <c r="F41" s="70" t="str">
        <f>VLOOKUP(E41,Соответствие!$A$2:$B$14,2,FALSE)</f>
        <v>AddToCart</v>
      </c>
      <c r="G41" s="71">
        <f>VLOOKUP(E41,'Автоматизированный расчет'!$A$55:$B$67,2,FALSE)</f>
        <v>186</v>
      </c>
      <c r="H41" s="74">
        <v>183</v>
      </c>
      <c r="I41" s="73">
        <f>1-G41/H41</f>
        <v>-1.6393442622950838E-2</v>
      </c>
      <c r="J41" s="76" t="s">
        <v>60</v>
      </c>
    </row>
    <row r="42" spans="5:15" ht="15.75" x14ac:dyDescent="0.25">
      <c r="E42" s="59" t="s">
        <v>71</v>
      </c>
      <c r="F42" s="70" t="str">
        <f>VLOOKUP(E42,Соответствие!$A$2:$B$14,2,FALSE)</f>
        <v>ChooseCategory</v>
      </c>
      <c r="G42" s="71">
        <f>VLOOKUP(E42,'Автоматизированный расчет'!$A$55:$B$67,2,FALSE)</f>
        <v>317</v>
      </c>
      <c r="H42" s="74">
        <v>320</v>
      </c>
      <c r="I42" s="73">
        <f>1-G42/H42</f>
        <v>9.3750000000000222E-3</v>
      </c>
      <c r="J42" s="76" t="s">
        <v>60</v>
      </c>
    </row>
    <row r="43" spans="5:15" ht="15.75" x14ac:dyDescent="0.25">
      <c r="E43" s="59" t="s">
        <v>80</v>
      </c>
      <c r="F43" s="70" t="str">
        <f>VLOOKUP(E43,Соответствие!$A$2:$B$14,2,FALSE)</f>
        <v>Payment</v>
      </c>
      <c r="G43" s="71">
        <f>VLOOKUP(E43,'Автоматизированный расчет'!$A$55:$B$67,2,FALSE)</f>
        <v>55</v>
      </c>
      <c r="H43" s="74">
        <v>55</v>
      </c>
      <c r="I43" s="73">
        <f t="shared" ref="I43:I44" si="7">1-G43/H43</f>
        <v>0</v>
      </c>
      <c r="J43" s="76" t="s">
        <v>60</v>
      </c>
    </row>
    <row r="44" spans="5:15" ht="15.75" x14ac:dyDescent="0.25">
      <c r="E44" s="59" t="s">
        <v>76</v>
      </c>
      <c r="F44" s="70" t="str">
        <f>VLOOKUP(E44,Соответствие!$A$2:$B$14,2,FALSE)</f>
        <v>OpenCart</v>
      </c>
      <c r="G44" s="71">
        <f>VLOOKUP(E44,'Автоматизированный расчет'!$A$55:$B$67,2,FALSE)</f>
        <v>95</v>
      </c>
      <c r="H44" s="74">
        <v>95</v>
      </c>
      <c r="I44" s="73">
        <f t="shared" si="7"/>
        <v>0</v>
      </c>
      <c r="J44" s="76" t="s">
        <v>60</v>
      </c>
    </row>
    <row r="45" spans="5:15" ht="15.75" x14ac:dyDescent="0.25">
      <c r="E45" s="68" t="s">
        <v>82</v>
      </c>
      <c r="F45" s="70" t="str">
        <f>VLOOKUP(E45,Соответствие!$A$2:$B$14,2,FALSE)</f>
        <v>DeleteProduct</v>
      </c>
      <c r="G45" s="71">
        <f>VLOOKUP(E45,'Автоматизированный расчет'!$A$55:$B$67,2,FALSE)</f>
        <v>41</v>
      </c>
      <c r="H45" s="74">
        <v>42</v>
      </c>
      <c r="I45" s="73">
        <f>1-G45/H45</f>
        <v>2.3809523809523836E-2</v>
      </c>
      <c r="J45" s="76" t="s">
        <v>60</v>
      </c>
    </row>
    <row r="46" spans="5:15" ht="15.75" x14ac:dyDescent="0.25">
      <c r="E46" s="59" t="s">
        <v>1</v>
      </c>
      <c r="F46" s="70" t="str">
        <f>VLOOKUP(E46,Соответствие!$A$2:$B$14,2,FALSE)</f>
        <v>Logout</v>
      </c>
      <c r="G46" s="71">
        <f>VLOOKUP(E46,'Автоматизированный расчет'!$A$55:$B$67,2,FALSE)</f>
        <v>200</v>
      </c>
      <c r="H46" s="74">
        <v>203</v>
      </c>
      <c r="I46" s="73">
        <f>1-G46/H46</f>
        <v>1.4778325123152691E-2</v>
      </c>
      <c r="J46" s="76" t="s">
        <v>60</v>
      </c>
      <c r="L46" s="75"/>
      <c r="O46" s="75"/>
    </row>
    <row r="47" spans="5:15" ht="15.75" x14ac:dyDescent="0.25">
      <c r="E47" s="68" t="s">
        <v>68</v>
      </c>
      <c r="F47" s="70" t="str">
        <f>VLOOKUP(E47,Соответствие!$A$2:$B$14,2,FALSE)</f>
        <v>OpenRegistrationPage</v>
      </c>
      <c r="G47" s="71">
        <f>VLOOKUP(E47,'Автоматизированный расчет'!$A$55:$B$67,2,FALSE)</f>
        <v>70</v>
      </c>
      <c r="H47" s="69">
        <v>72</v>
      </c>
      <c r="I47" s="73">
        <f t="shared" ref="I47:I50" si="8">1-G47/H47</f>
        <v>2.777777777777779E-2</v>
      </c>
      <c r="J47" s="76" t="s">
        <v>60</v>
      </c>
    </row>
    <row r="48" spans="5:15" ht="15.75" x14ac:dyDescent="0.25">
      <c r="E48" s="68" t="s">
        <v>69</v>
      </c>
      <c r="F48" s="70" t="str">
        <f>VLOOKUP(E48,Соответствие!$A$2:$B$14,2,FALSE)</f>
        <v>UserRegistered</v>
      </c>
      <c r="G48" s="71">
        <f>VLOOKUP(E48,'Автоматизированный расчет'!$A$55:$B$67,2,FALSE)</f>
        <v>70</v>
      </c>
      <c r="H48" s="69">
        <v>72</v>
      </c>
      <c r="I48" s="73">
        <f t="shared" si="8"/>
        <v>2.777777777777779E-2</v>
      </c>
      <c r="J48" s="76" t="s">
        <v>60</v>
      </c>
    </row>
    <row r="49" spans="5:10" ht="15.75" x14ac:dyDescent="0.25">
      <c r="E49" s="68" t="s">
        <v>84</v>
      </c>
      <c r="F49" s="70" t="str">
        <f>VLOOKUP(E49,Соответствие!$A$2:$B$14,2,FALSE)</f>
        <v>SeachProduct</v>
      </c>
      <c r="G49" s="71">
        <f>VLOOKUP(E49,'Автоматизированный расчет'!$A$55:$B$67,2,FALSE)</f>
        <v>130</v>
      </c>
      <c r="H49" s="69">
        <v>132</v>
      </c>
      <c r="I49" s="73">
        <f t="shared" si="8"/>
        <v>1.5151515151515138E-2</v>
      </c>
      <c r="J49" s="76" t="s">
        <v>63</v>
      </c>
    </row>
    <row r="50" spans="5:10" ht="15.75" x14ac:dyDescent="0.25">
      <c r="E50" s="59" t="s">
        <v>85</v>
      </c>
      <c r="F50" s="70" t="str">
        <f>VLOOKUP(E50,Соответствие!$A$2:$B$14,2,FALSE)</f>
        <v>ChooseProduct</v>
      </c>
      <c r="G50" s="71">
        <f>VLOOKUP(E50,'Автоматизированный расчет'!$A$55:$B$67,2,FALSE)</f>
        <v>186</v>
      </c>
      <c r="H50" s="69">
        <v>189</v>
      </c>
      <c r="I50" s="73">
        <f t="shared" si="8"/>
        <v>1.5873015873015928E-2</v>
      </c>
      <c r="J50" s="76" t="s">
        <v>60</v>
      </c>
    </row>
    <row r="52" spans="5:10" x14ac:dyDescent="0.25">
      <c r="E52" s="96" t="s">
        <v>65</v>
      </c>
      <c r="F52" s="96"/>
      <c r="G52" s="96"/>
      <c r="H52" s="96"/>
      <c r="I52" s="96"/>
      <c r="J52" s="96"/>
    </row>
    <row r="54" spans="5:10" x14ac:dyDescent="0.25">
      <c r="E54" s="77" t="s">
        <v>3</v>
      </c>
      <c r="F54" s="77" t="s">
        <v>4</v>
      </c>
      <c r="G54" s="77" t="s">
        <v>5</v>
      </c>
      <c r="H54" s="77" t="s">
        <v>6</v>
      </c>
      <c r="I54" s="77" t="s">
        <v>7</v>
      </c>
      <c r="J54" s="77" t="s">
        <v>62</v>
      </c>
    </row>
    <row r="55" spans="5:10" ht="15.75" x14ac:dyDescent="0.25">
      <c r="E55" s="59" t="s">
        <v>67</v>
      </c>
      <c r="F55" s="70" t="str">
        <f>VLOOKUP(E55,Соответствие!$A$2:$B$14,2,FALSE)</f>
        <v>OpenLandingPage</v>
      </c>
      <c r="G55" s="71">
        <f>VLOOKUP(E55,'Автоматизированный расчет'!$A$55:$B$67,2,FALSE)</f>
        <v>520</v>
      </c>
      <c r="H55" s="89">
        <f>(360/2)*3</f>
        <v>540</v>
      </c>
      <c r="I55" s="73">
        <f>1-G55/H55</f>
        <v>3.703703703703709E-2</v>
      </c>
      <c r="J55" s="76" t="s">
        <v>60</v>
      </c>
    </row>
    <row r="56" spans="5:10" ht="15.75" x14ac:dyDescent="0.25">
      <c r="E56" s="59" t="s">
        <v>0</v>
      </c>
      <c r="F56" s="70" t="str">
        <f>VLOOKUP(E56,Соответствие!$A$2:$B$14,2,FALSE)</f>
        <v>Login</v>
      </c>
      <c r="G56" s="71">
        <f>VLOOKUP(E56,'Автоматизированный расчет'!$A$55:$B$67,2,FALSE)</f>
        <v>320</v>
      </c>
      <c r="H56" s="89">
        <f>(218/2)*3</f>
        <v>327</v>
      </c>
      <c r="I56" s="73">
        <f t="shared" ref="I56:I57" si="9">1-G56/H56</f>
        <v>2.1406727828746197E-2</v>
      </c>
      <c r="J56" s="76" t="s">
        <v>60</v>
      </c>
    </row>
    <row r="57" spans="5:10" ht="15.75" x14ac:dyDescent="0.25">
      <c r="E57" s="59" t="s">
        <v>78</v>
      </c>
      <c r="F57" s="70" t="str">
        <f>VLOOKUP(E57,Соответствие!$A$2:$B$14,2,FALSE)</f>
        <v>CheckoutUserData</v>
      </c>
      <c r="G57" s="71">
        <f>VLOOKUP(E57,'Автоматизированный расчет'!$A$55:$B$67,2,FALSE)</f>
        <v>55</v>
      </c>
      <c r="H57" s="89">
        <f>(40/2)*3</f>
        <v>60</v>
      </c>
      <c r="I57" s="73">
        <f t="shared" si="9"/>
        <v>8.333333333333337E-2</v>
      </c>
      <c r="J57" s="76" t="s">
        <v>60</v>
      </c>
    </row>
    <row r="58" spans="5:10" ht="15.75" x14ac:dyDescent="0.25">
      <c r="E58" s="59" t="s">
        <v>74</v>
      </c>
      <c r="F58" s="70" t="str">
        <f>VLOOKUP(E58,Соответствие!$A$2:$B$14,2,FALSE)</f>
        <v>AddToCart</v>
      </c>
      <c r="G58" s="71">
        <f>VLOOKUP(E58,'Автоматизированный расчет'!$A$55:$B$67,2,FALSE)</f>
        <v>186</v>
      </c>
      <c r="H58" s="89">
        <f>(127/2)*3</f>
        <v>190.5</v>
      </c>
      <c r="I58" s="73">
        <f>1-G58/H58</f>
        <v>2.3622047244094446E-2</v>
      </c>
      <c r="J58" s="76" t="s">
        <v>60</v>
      </c>
    </row>
    <row r="59" spans="5:10" ht="15.75" x14ac:dyDescent="0.25">
      <c r="E59" s="59" t="s">
        <v>71</v>
      </c>
      <c r="F59" s="70" t="str">
        <f>VLOOKUP(E59,Соответствие!$A$2:$B$14,2,FALSE)</f>
        <v>ChooseCategory</v>
      </c>
      <c r="G59" s="71">
        <f>VLOOKUP(E59,'Автоматизированный расчет'!$A$55:$B$67,2,FALSE)</f>
        <v>317</v>
      </c>
      <c r="H59" s="89">
        <f>(214/2)*3</f>
        <v>321</v>
      </c>
      <c r="I59" s="73">
        <f>1-G59/H59</f>
        <v>1.2461059190031154E-2</v>
      </c>
      <c r="J59" s="76" t="s">
        <v>60</v>
      </c>
    </row>
    <row r="60" spans="5:10" ht="15.75" x14ac:dyDescent="0.25">
      <c r="E60" s="59" t="s">
        <v>80</v>
      </c>
      <c r="F60" s="70" t="str">
        <f>VLOOKUP(E60,Соответствие!$A$2:$B$14,2,FALSE)</f>
        <v>Payment</v>
      </c>
      <c r="G60" s="71">
        <f>VLOOKUP(E60,'Автоматизированный расчет'!$A$55:$B$67,2,FALSE)</f>
        <v>55</v>
      </c>
      <c r="H60" s="89">
        <f>(40/2)*3</f>
        <v>60</v>
      </c>
      <c r="I60" s="73">
        <f t="shared" ref="I60:I61" si="10">1-G60/H60</f>
        <v>8.333333333333337E-2</v>
      </c>
      <c r="J60" s="76" t="s">
        <v>60</v>
      </c>
    </row>
    <row r="61" spans="5:10" ht="15.75" x14ac:dyDescent="0.25">
      <c r="E61" s="59" t="s">
        <v>76</v>
      </c>
      <c r="F61" s="70" t="str">
        <f>VLOOKUP(E61,Соответствие!$A$2:$B$14,2,FALSE)</f>
        <v>OpenCart</v>
      </c>
      <c r="G61" s="71">
        <f>VLOOKUP(E61,'Автоматизированный расчет'!$A$55:$B$67,2,FALSE)</f>
        <v>95</v>
      </c>
      <c r="H61" s="89">
        <f>(68/2)*3</f>
        <v>102</v>
      </c>
      <c r="I61" s="73">
        <f t="shared" si="10"/>
        <v>6.8627450980392135E-2</v>
      </c>
      <c r="J61" s="76" t="s">
        <v>60</v>
      </c>
    </row>
    <row r="62" spans="5:10" ht="15.75" x14ac:dyDescent="0.25">
      <c r="E62" s="68" t="s">
        <v>82</v>
      </c>
      <c r="F62" s="70" t="str">
        <f>VLOOKUP(E62,Соответствие!$A$2:$B$14,2,FALSE)</f>
        <v>DeleteProduct</v>
      </c>
      <c r="G62" s="71">
        <f>VLOOKUP(E62,'Автоматизированный расчет'!$A$55:$B$67,2,FALSE)</f>
        <v>41</v>
      </c>
      <c r="H62" s="89">
        <f>(28/2)*3</f>
        <v>42</v>
      </c>
      <c r="I62" s="73">
        <f>1-G62/H62</f>
        <v>2.3809523809523836E-2</v>
      </c>
      <c r="J62" s="76" t="s">
        <v>60</v>
      </c>
    </row>
    <row r="63" spans="5:10" ht="15.75" x14ac:dyDescent="0.25">
      <c r="E63" s="59" t="s">
        <v>1</v>
      </c>
      <c r="F63" s="70" t="str">
        <f>VLOOKUP(E63,Соответствие!$A$2:$B$14,2,FALSE)</f>
        <v>Logout</v>
      </c>
      <c r="G63" s="71">
        <f>VLOOKUP(E63,'Автоматизированный расчет'!$A$55:$B$67,2,FALSE)</f>
        <v>200</v>
      </c>
      <c r="H63" s="89">
        <f>(135/2)*3</f>
        <v>202.5</v>
      </c>
      <c r="I63" s="73">
        <f>1-G63/H63</f>
        <v>1.2345679012345734E-2</v>
      </c>
      <c r="J63" s="76" t="s">
        <v>60</v>
      </c>
    </row>
    <row r="64" spans="5:10" ht="15.75" x14ac:dyDescent="0.25">
      <c r="E64" s="68" t="s">
        <v>68</v>
      </c>
      <c r="F64" s="70" t="str">
        <f>VLOOKUP(E64,Соответствие!$A$2:$B$14,2,FALSE)</f>
        <v>OpenRegistrationPage</v>
      </c>
      <c r="G64" s="71">
        <f>VLOOKUP(E64,'Автоматизированный расчет'!$A$55:$B$67,2,FALSE)</f>
        <v>70</v>
      </c>
      <c r="H64" s="89">
        <f>(48/2)*3</f>
        <v>72</v>
      </c>
      <c r="I64" s="73">
        <f t="shared" ref="I64:I67" si="11">1-G64/H64</f>
        <v>2.777777777777779E-2</v>
      </c>
      <c r="J64" s="76" t="s">
        <v>60</v>
      </c>
    </row>
    <row r="65" spans="5:10" ht="15.75" x14ac:dyDescent="0.25">
      <c r="E65" s="68" t="s">
        <v>69</v>
      </c>
      <c r="F65" s="70" t="str">
        <f>VLOOKUP(E65,Соответствие!$A$2:$B$14,2,FALSE)</f>
        <v>UserRegistered</v>
      </c>
      <c r="G65" s="71">
        <f>VLOOKUP(E65,'Автоматизированный расчет'!$A$55:$B$67,2,FALSE)</f>
        <v>70</v>
      </c>
      <c r="H65" s="89">
        <f>(48/2)*3</f>
        <v>72</v>
      </c>
      <c r="I65" s="73">
        <f t="shared" si="11"/>
        <v>2.777777777777779E-2</v>
      </c>
      <c r="J65" s="76" t="s">
        <v>60</v>
      </c>
    </row>
    <row r="66" spans="5:10" ht="15.75" x14ac:dyDescent="0.25">
      <c r="E66" s="68" t="s">
        <v>84</v>
      </c>
      <c r="F66" s="70" t="str">
        <f>VLOOKUP(E66,Соответствие!$A$2:$B$14,2,FALSE)</f>
        <v>SeachProduct</v>
      </c>
      <c r="G66" s="71">
        <f>VLOOKUP(E66,'Автоматизированный расчет'!$A$55:$B$67,2,FALSE)</f>
        <v>130</v>
      </c>
      <c r="H66" s="89">
        <f>(90/2)*3</f>
        <v>135</v>
      </c>
      <c r="I66" s="73">
        <f t="shared" si="11"/>
        <v>3.703703703703709E-2</v>
      </c>
      <c r="J66" s="76" t="s">
        <v>60</v>
      </c>
    </row>
    <row r="67" spans="5:10" ht="15.75" x14ac:dyDescent="0.25">
      <c r="E67" s="59" t="s">
        <v>85</v>
      </c>
      <c r="F67" s="70" t="str">
        <f>VLOOKUP(E67,Соответствие!$A$2:$B$14,2,FALSE)</f>
        <v>ChooseProduct</v>
      </c>
      <c r="G67" s="71">
        <f>VLOOKUP(E67,'Автоматизированный расчет'!$A$55:$B$67,2,FALSE)</f>
        <v>186</v>
      </c>
      <c r="H67" s="89">
        <f>(129/2)*3</f>
        <v>193.5</v>
      </c>
      <c r="I67" s="73">
        <f t="shared" si="11"/>
        <v>3.8759689922480578E-2</v>
      </c>
      <c r="J67" s="76" t="s">
        <v>60</v>
      </c>
    </row>
    <row r="69" spans="5:10" x14ac:dyDescent="0.25">
      <c r="E69" s="96" t="s">
        <v>59</v>
      </c>
      <c r="F69" s="96"/>
      <c r="G69" s="96"/>
      <c r="H69" s="96"/>
      <c r="I69" s="96"/>
      <c r="J69" s="96"/>
    </row>
    <row r="71" spans="5:10" x14ac:dyDescent="0.25">
      <c r="E71" s="77" t="s">
        <v>3</v>
      </c>
      <c r="F71" s="77" t="s">
        <v>4</v>
      </c>
      <c r="G71" s="77" t="s">
        <v>5</v>
      </c>
      <c r="H71" s="77" t="s">
        <v>6</v>
      </c>
      <c r="I71" s="77" t="s">
        <v>7</v>
      </c>
      <c r="J71" s="77" t="s">
        <v>62</v>
      </c>
    </row>
    <row r="72" spans="5:10" ht="15.75" x14ac:dyDescent="0.25">
      <c r="E72" s="59" t="s">
        <v>67</v>
      </c>
      <c r="F72" s="70" t="str">
        <f>VLOOKUP(E72,Соответствие!$A$2:$B$14,2,FALSE)</f>
        <v>OpenLandingPage</v>
      </c>
      <c r="G72" s="71">
        <f>VLOOKUP(E72,'Автоматизированный расчет'!$A$55:$B$67,2,FALSE)</f>
        <v>520</v>
      </c>
      <c r="H72" s="72">
        <f>182*3</f>
        <v>546</v>
      </c>
      <c r="I72" s="73">
        <f>1-G72/H72</f>
        <v>4.7619047619047672E-2</v>
      </c>
      <c r="J72" s="76" t="s">
        <v>60</v>
      </c>
    </row>
    <row r="73" spans="5:10" ht="15.75" x14ac:dyDescent="0.25">
      <c r="E73" s="59" t="s">
        <v>0</v>
      </c>
      <c r="F73" s="70" t="str">
        <f>VLOOKUP(E73,Соответствие!$A$2:$B$14,2,FALSE)</f>
        <v>Login</v>
      </c>
      <c r="G73" s="71">
        <f>VLOOKUP(E73,'Автоматизированный расчет'!$A$55:$B$67,2,FALSE)</f>
        <v>320</v>
      </c>
      <c r="H73" s="74">
        <f>112*3</f>
        <v>336</v>
      </c>
      <c r="I73" s="73">
        <f t="shared" ref="I73:I74" si="12">1-G73/H73</f>
        <v>4.7619047619047672E-2</v>
      </c>
      <c r="J73" s="76" t="s">
        <v>60</v>
      </c>
    </row>
    <row r="74" spans="5:10" ht="15.75" x14ac:dyDescent="0.25">
      <c r="E74" s="59" t="s">
        <v>78</v>
      </c>
      <c r="F74" s="70" t="str">
        <f>VLOOKUP(E74,Соответствие!$A$2:$B$14,2,FALSE)</f>
        <v>CheckoutUserData</v>
      </c>
      <c r="G74" s="71">
        <f>VLOOKUP(E74,'Автоматизированный расчет'!$A$55:$B$67,2,FALSE)</f>
        <v>55</v>
      </c>
      <c r="H74" s="69">
        <f>20*3</f>
        <v>60</v>
      </c>
      <c r="I74" s="73">
        <f t="shared" si="12"/>
        <v>8.333333333333337E-2</v>
      </c>
      <c r="J74" s="76" t="s">
        <v>60</v>
      </c>
    </row>
    <row r="75" spans="5:10" ht="15.75" x14ac:dyDescent="0.25">
      <c r="E75" s="59" t="s">
        <v>74</v>
      </c>
      <c r="F75" s="70" t="str">
        <f>VLOOKUP(E75,Соответствие!$A$2:$B$14,2,FALSE)</f>
        <v>AddToCart</v>
      </c>
      <c r="G75" s="71">
        <f>VLOOKUP(E75,'Автоматизированный расчет'!$A$55:$B$67,2,FALSE)</f>
        <v>186</v>
      </c>
      <c r="H75" s="74">
        <f>64*3</f>
        <v>192</v>
      </c>
      <c r="I75" s="73">
        <f>1-G75/H75</f>
        <v>3.125E-2</v>
      </c>
      <c r="J75" s="76" t="s">
        <v>60</v>
      </c>
    </row>
    <row r="76" spans="5:10" ht="15.75" x14ac:dyDescent="0.25">
      <c r="E76" s="59" t="s">
        <v>71</v>
      </c>
      <c r="F76" s="70" t="str">
        <f>VLOOKUP(E76,Соответствие!$A$2:$B$14,2,FALSE)</f>
        <v>ChooseCategory</v>
      </c>
      <c r="G76" s="71">
        <f>VLOOKUP(E76,'Автоматизированный расчет'!$A$55:$B$67,2,FALSE)</f>
        <v>317</v>
      </c>
      <c r="H76" s="74">
        <f>110*3</f>
        <v>330</v>
      </c>
      <c r="I76" s="73">
        <f>1-G76/H76</f>
        <v>3.9393939393939426E-2</v>
      </c>
      <c r="J76" s="76" t="s">
        <v>60</v>
      </c>
    </row>
    <row r="77" spans="5:10" ht="15.75" x14ac:dyDescent="0.25">
      <c r="E77" s="59" t="s">
        <v>80</v>
      </c>
      <c r="F77" s="70" t="str">
        <f>VLOOKUP(E77,Соответствие!$A$2:$B$14,2,FALSE)</f>
        <v>Payment</v>
      </c>
      <c r="G77" s="71">
        <f>VLOOKUP(E77,'Автоматизированный расчет'!$A$55:$B$67,2,FALSE)</f>
        <v>55</v>
      </c>
      <c r="H77" s="74">
        <f>20*3</f>
        <v>60</v>
      </c>
      <c r="I77" s="73">
        <f t="shared" ref="I77:I78" si="13">1-G77/H77</f>
        <v>8.333333333333337E-2</v>
      </c>
      <c r="J77" s="76" t="s">
        <v>60</v>
      </c>
    </row>
    <row r="78" spans="5:10" ht="15.75" x14ac:dyDescent="0.25">
      <c r="E78" s="59" t="s">
        <v>76</v>
      </c>
      <c r="F78" s="70" t="str">
        <f>VLOOKUP(E78,Соответствие!$A$2:$B$14,2,FALSE)</f>
        <v>OpenCart</v>
      </c>
      <c r="G78" s="71">
        <f>VLOOKUP(E78,'Автоматизированный расчет'!$A$55:$B$67,2,FALSE)</f>
        <v>95</v>
      </c>
      <c r="H78" s="74">
        <f>34*3</f>
        <v>102</v>
      </c>
      <c r="I78" s="73">
        <f t="shared" si="13"/>
        <v>6.8627450980392135E-2</v>
      </c>
      <c r="J78" s="76" t="s">
        <v>60</v>
      </c>
    </row>
    <row r="79" spans="5:10" ht="15.75" x14ac:dyDescent="0.25">
      <c r="E79" s="68" t="s">
        <v>82</v>
      </c>
      <c r="F79" s="70" t="str">
        <f>VLOOKUP(E79,Соответствие!$A$2:$B$14,2,FALSE)</f>
        <v>DeleteProduct</v>
      </c>
      <c r="G79" s="71">
        <f>VLOOKUP(E79,'Автоматизированный расчет'!$A$55:$B$67,2,FALSE)</f>
        <v>41</v>
      </c>
      <c r="H79" s="74">
        <f>14*3</f>
        <v>42</v>
      </c>
      <c r="I79" s="73">
        <f>1-G79/H79</f>
        <v>2.3809523809523836E-2</v>
      </c>
      <c r="J79" s="76" t="s">
        <v>60</v>
      </c>
    </row>
    <row r="80" spans="5:10" ht="15.75" x14ac:dyDescent="0.25">
      <c r="E80" s="59" t="s">
        <v>1</v>
      </c>
      <c r="F80" s="70" t="str">
        <f>VLOOKUP(E80,Соответствие!$A$2:$B$14,2,FALSE)</f>
        <v>Logout</v>
      </c>
      <c r="G80" s="71">
        <f>VLOOKUP(E80,'Автоматизированный расчет'!$A$55:$B$67,2,FALSE)</f>
        <v>200</v>
      </c>
      <c r="H80" s="74">
        <f>68*3</f>
        <v>204</v>
      </c>
      <c r="I80" s="73">
        <f>1-G80/H80</f>
        <v>1.9607843137254943E-2</v>
      </c>
      <c r="J80" s="76" t="s">
        <v>60</v>
      </c>
    </row>
    <row r="81" spans="5:10" ht="15.75" x14ac:dyDescent="0.25">
      <c r="E81" s="68" t="s">
        <v>68</v>
      </c>
      <c r="F81" s="70" t="str">
        <f>VLOOKUP(E81,Соответствие!$A$2:$B$14,2,FALSE)</f>
        <v>OpenRegistrationPage</v>
      </c>
      <c r="G81" s="71">
        <f>VLOOKUP(E81,'Автоматизированный расчет'!$A$55:$B$67,2,FALSE)</f>
        <v>70</v>
      </c>
      <c r="H81" s="69">
        <f>24*3</f>
        <v>72</v>
      </c>
      <c r="I81" s="73">
        <f t="shared" ref="I81:I84" si="14">1-G81/H81</f>
        <v>2.777777777777779E-2</v>
      </c>
      <c r="J81" s="76" t="s">
        <v>60</v>
      </c>
    </row>
    <row r="82" spans="5:10" ht="15.75" x14ac:dyDescent="0.25">
      <c r="E82" s="68" t="s">
        <v>69</v>
      </c>
      <c r="F82" s="70" t="str">
        <f>VLOOKUP(E82,Соответствие!$A$2:$B$14,2,FALSE)</f>
        <v>UserRegistered</v>
      </c>
      <c r="G82" s="71">
        <f>VLOOKUP(E82,'Автоматизированный расчет'!$A$55:$B$67,2,FALSE)</f>
        <v>70</v>
      </c>
      <c r="H82" s="69">
        <f>24*3</f>
        <v>72</v>
      </c>
      <c r="I82" s="73">
        <f t="shared" si="14"/>
        <v>2.777777777777779E-2</v>
      </c>
      <c r="J82" s="76" t="s">
        <v>60</v>
      </c>
    </row>
    <row r="83" spans="5:10" ht="15.75" x14ac:dyDescent="0.25">
      <c r="E83" s="68" t="s">
        <v>84</v>
      </c>
      <c r="F83" s="70" t="str">
        <f>VLOOKUP(E83,Соответствие!$A$2:$B$14,2,FALSE)</f>
        <v>SeachProduct</v>
      </c>
      <c r="G83" s="71">
        <f>VLOOKUP(E83,'Автоматизированный расчет'!$A$55:$B$67,2,FALSE)</f>
        <v>130</v>
      </c>
      <c r="H83" s="69">
        <f>45*3</f>
        <v>135</v>
      </c>
      <c r="I83" s="73">
        <f t="shared" si="14"/>
        <v>3.703703703703709E-2</v>
      </c>
      <c r="J83" s="76" t="s">
        <v>60</v>
      </c>
    </row>
    <row r="84" spans="5:10" ht="15.75" x14ac:dyDescent="0.25">
      <c r="E84" s="59" t="s">
        <v>85</v>
      </c>
      <c r="F84" s="70" t="str">
        <f>VLOOKUP(E84,Соответствие!$A$2:$B$14,2,FALSE)</f>
        <v>ChooseProduct</v>
      </c>
      <c r="G84" s="71">
        <f>VLOOKUP(E84,'Автоматизированный расчет'!$A$55:$B$67,2,FALSE)</f>
        <v>186</v>
      </c>
      <c r="H84" s="69">
        <f>66*3</f>
        <v>198</v>
      </c>
      <c r="I84" s="73">
        <f t="shared" si="14"/>
        <v>6.0606060606060552E-2</v>
      </c>
      <c r="J84" s="76" t="s">
        <v>60</v>
      </c>
    </row>
  </sheetData>
  <mergeCells count="5">
    <mergeCell ref="E1:J1"/>
    <mergeCell ref="E18:J18"/>
    <mergeCell ref="E35:J35"/>
    <mergeCell ref="E52:J52"/>
    <mergeCell ref="E69:J69"/>
  </mergeCells>
  <conditionalFormatting sqref="I4:I16">
    <cfRule type="cellIs" dxfId="20" priority="12" operator="lessThan">
      <formula>-0.05</formula>
    </cfRule>
  </conditionalFormatting>
  <conditionalFormatting sqref="I21:I33">
    <cfRule type="cellIs" dxfId="19" priority="9" operator="lessThan">
      <formula>-0.05</formula>
    </cfRule>
  </conditionalFormatting>
  <conditionalFormatting sqref="I38:I50">
    <cfRule type="cellIs" dxfId="18" priority="6" operator="lessThan">
      <formula>-0.05</formula>
    </cfRule>
  </conditionalFormatting>
  <conditionalFormatting sqref="I55:I67">
    <cfRule type="cellIs" dxfId="17" priority="3" operator="lessThan">
      <formula>-0.05</formula>
    </cfRule>
  </conditionalFormatting>
  <conditionalFormatting sqref="I72:I84">
    <cfRule type="cellIs" dxfId="16" priority="19" operator="lessThan">
      <formula>-0.05</formula>
    </cfRule>
  </conditionalFormatting>
  <conditionalFormatting sqref="J4:J16">
    <cfRule type="cellIs" dxfId="15" priority="10" operator="equal">
      <formula>"Passed"</formula>
    </cfRule>
    <cfRule type="containsText" dxfId="14" priority="11" operator="containsText" text="Failed">
      <formula>NOT(ISERROR(SEARCH("Failed",J4)))</formula>
    </cfRule>
  </conditionalFormatting>
  <conditionalFormatting sqref="J21:J33">
    <cfRule type="cellIs" dxfId="13" priority="7" operator="equal">
      <formula>"Passed"</formula>
    </cfRule>
    <cfRule type="containsText" dxfId="12" priority="8" operator="containsText" text="Failed">
      <formula>NOT(ISERROR(SEARCH("Failed",J21)))</formula>
    </cfRule>
  </conditionalFormatting>
  <conditionalFormatting sqref="J38:J50">
    <cfRule type="cellIs" dxfId="11" priority="4" operator="equal">
      <formula>"Passed"</formula>
    </cfRule>
    <cfRule type="containsText" dxfId="10" priority="5" operator="containsText" text="Failed">
      <formula>NOT(ISERROR(SEARCH("Failed",J38)))</formula>
    </cfRule>
  </conditionalFormatting>
  <conditionalFormatting sqref="J55:J67">
    <cfRule type="cellIs" dxfId="9" priority="1" operator="equal">
      <formula>"Passed"</formula>
    </cfRule>
    <cfRule type="containsText" dxfId="8" priority="2" operator="containsText" text="Failed">
      <formula>NOT(ISERROR(SEARCH("Failed",J55)))</formula>
    </cfRule>
  </conditionalFormatting>
  <conditionalFormatting sqref="J72:J84">
    <cfRule type="cellIs" dxfId="7" priority="13" operator="equal">
      <formula>"Passed"</formula>
    </cfRule>
    <cfRule type="containsText" dxfId="6" priority="14" operator="containsText" text="Failed">
      <formula>NOT(ISERROR(SEARCH("Failed",J72)))</formula>
    </cfRule>
  </conditionalFormatting>
  <conditionalFormatting sqref="L7:L10">
    <cfRule type="cellIs" dxfId="5" priority="91" operator="lessThan">
      <formula>-5</formula>
    </cfRule>
  </conditionalFormatting>
  <conditionalFormatting sqref="L21:L24 Q21:Q24 L31:L32 Q31:Q32">
    <cfRule type="cellIs" dxfId="4" priority="79" operator="lessThan">
      <formula>-5</formula>
    </cfRule>
  </conditionalFormatting>
  <conditionalFormatting sqref="L40 O40 L46 O46">
    <cfRule type="cellIs" dxfId="3" priority="72" operator="lessThan">
      <formula>-5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7186-D6E2-4BF3-B195-7C599BE8A61C}">
  <dimension ref="A1:F16"/>
  <sheetViews>
    <sheetView workbookViewId="0">
      <selection activeCell="D23" sqref="D23"/>
    </sheetView>
  </sheetViews>
  <sheetFormatPr defaultRowHeight="15" x14ac:dyDescent="0.25"/>
  <cols>
    <col min="1" max="1" width="40.42578125" customWidth="1"/>
    <col min="2" max="2" width="28.85546875" customWidth="1"/>
    <col min="3" max="3" width="14.5703125" customWidth="1"/>
    <col min="4" max="4" width="11.85546875" customWidth="1"/>
    <col min="5" max="5" width="16" customWidth="1"/>
    <col min="13" max="14" width="9.140625" customWidth="1"/>
  </cols>
  <sheetData>
    <row r="1" spans="1:6" x14ac:dyDescent="0.25">
      <c r="A1" s="96" t="s">
        <v>66</v>
      </c>
      <c r="B1" s="96"/>
      <c r="C1" s="96"/>
      <c r="D1" s="96"/>
      <c r="E1" s="96"/>
      <c r="F1" s="96"/>
    </row>
    <row r="3" spans="1:6" x14ac:dyDescent="0.25">
      <c r="A3" s="77" t="s">
        <v>3</v>
      </c>
      <c r="B3" s="77" t="s">
        <v>4</v>
      </c>
      <c r="C3" s="77" t="s">
        <v>5</v>
      </c>
      <c r="D3" s="77" t="s">
        <v>6</v>
      </c>
      <c r="E3" s="77" t="s">
        <v>7</v>
      </c>
      <c r="F3" s="77" t="s">
        <v>62</v>
      </c>
    </row>
    <row r="4" spans="1:6" ht="15.75" x14ac:dyDescent="0.25">
      <c r="A4" s="59" t="s">
        <v>67</v>
      </c>
      <c r="B4" s="70" t="str">
        <f>VLOOKUP(A4,Соответствие!$A$2:$B$14,2,FALSE)</f>
        <v>OpenLandingPage</v>
      </c>
      <c r="C4" s="71">
        <f>VLOOKUP(A4,'Автоматизированный расчет'!$A$55:$B$67,2,FALSE)</f>
        <v>520</v>
      </c>
      <c r="D4" s="72">
        <f>1052/2</f>
        <v>526</v>
      </c>
      <c r="E4" s="73">
        <f>1-C4/D4</f>
        <v>1.1406844106463865E-2</v>
      </c>
      <c r="F4" s="76" t="s">
        <v>60</v>
      </c>
    </row>
    <row r="5" spans="1:6" ht="15.75" x14ac:dyDescent="0.25">
      <c r="A5" s="59" t="s">
        <v>0</v>
      </c>
      <c r="B5" s="70" t="str">
        <f>VLOOKUP(A5,Соответствие!$A$2:$B$14,2,FALSE)</f>
        <v>Login</v>
      </c>
      <c r="C5" s="71">
        <f>VLOOKUP(A5,'Автоматизированный расчет'!$A$55:$B$67,2,FALSE)</f>
        <v>320</v>
      </c>
      <c r="D5" s="74">
        <f>633/2</f>
        <v>316.5</v>
      </c>
      <c r="E5" s="73">
        <f t="shared" ref="E5:E6" si="0">1-C5/D5</f>
        <v>-1.1058451816745585E-2</v>
      </c>
      <c r="F5" s="76" t="s">
        <v>60</v>
      </c>
    </row>
    <row r="6" spans="1:6" ht="15.75" x14ac:dyDescent="0.25">
      <c r="A6" s="59" t="s">
        <v>78</v>
      </c>
      <c r="B6" s="70" t="str">
        <f>VLOOKUP(A6,Соответствие!$A$2:$B$14,2,FALSE)</f>
        <v>CheckoutUserData</v>
      </c>
      <c r="C6" s="71">
        <f>VLOOKUP(A6,'Автоматизированный расчет'!$A$55:$B$67,2,FALSE)</f>
        <v>55</v>
      </c>
      <c r="D6" s="69">
        <f>112/2</f>
        <v>56</v>
      </c>
      <c r="E6" s="73">
        <f t="shared" si="0"/>
        <v>1.7857142857142905E-2</v>
      </c>
      <c r="F6" s="76" t="s">
        <v>60</v>
      </c>
    </row>
    <row r="7" spans="1:6" ht="15.75" x14ac:dyDescent="0.25">
      <c r="A7" s="59" t="s">
        <v>74</v>
      </c>
      <c r="B7" s="70" t="str">
        <f>VLOOKUP(A7,Соответствие!$A$2:$B$14,2,FALSE)</f>
        <v>AddToCart</v>
      </c>
      <c r="C7" s="71">
        <f>VLOOKUP(A7,'Автоматизированный расчет'!$A$55:$B$67,2,FALSE)</f>
        <v>186</v>
      </c>
      <c r="D7" s="74">
        <f>370/2</f>
        <v>185</v>
      </c>
      <c r="E7" s="73">
        <f>1-C7/D7</f>
        <v>-5.4054054054053502E-3</v>
      </c>
      <c r="F7" s="76" t="s">
        <v>60</v>
      </c>
    </row>
    <row r="8" spans="1:6" ht="15.75" x14ac:dyDescent="0.25">
      <c r="A8" s="59" t="s">
        <v>71</v>
      </c>
      <c r="B8" s="70" t="str">
        <f>VLOOKUP(A8,Соответствие!$A$2:$B$14,2,FALSE)</f>
        <v>ChooseCategory</v>
      </c>
      <c r="C8" s="71">
        <f>VLOOKUP(A8,'Автоматизированный расчет'!$A$55:$B$67,2,FALSE)</f>
        <v>317</v>
      </c>
      <c r="D8" s="74">
        <f>631/2</f>
        <v>315.5</v>
      </c>
      <c r="E8" s="73">
        <f>1-C8/D8</f>
        <v>-4.7543581616482644E-3</v>
      </c>
      <c r="F8" s="76" t="s">
        <v>60</v>
      </c>
    </row>
    <row r="9" spans="1:6" ht="15.75" x14ac:dyDescent="0.25">
      <c r="A9" s="59" t="s">
        <v>80</v>
      </c>
      <c r="B9" s="70" t="str">
        <f>VLOOKUP(A9,Соответствие!$A$2:$B$14,2,FALSE)</f>
        <v>Payment</v>
      </c>
      <c r="C9" s="71">
        <f>VLOOKUP(A9,'Автоматизированный расчет'!$A$55:$B$67,2,FALSE)</f>
        <v>55</v>
      </c>
      <c r="D9" s="74">
        <f>112/2</f>
        <v>56</v>
      </c>
      <c r="E9" s="73">
        <f t="shared" ref="E9:E10" si="1">1-C9/D9</f>
        <v>1.7857142857142905E-2</v>
      </c>
      <c r="F9" s="76" t="s">
        <v>60</v>
      </c>
    </row>
    <row r="10" spans="1:6" ht="15.75" x14ac:dyDescent="0.25">
      <c r="A10" s="59" t="s">
        <v>76</v>
      </c>
      <c r="B10" s="70" t="str">
        <f>VLOOKUP(A10,Соответствие!$A$2:$B$14,2,FALSE)</f>
        <v>OpenCart</v>
      </c>
      <c r="C10" s="71">
        <f>VLOOKUP(A10,'Автоматизированный расчет'!$A$55:$B$67,2,FALSE)</f>
        <v>95</v>
      </c>
      <c r="D10" s="74">
        <f>192/2</f>
        <v>96</v>
      </c>
      <c r="E10" s="73">
        <f t="shared" si="1"/>
        <v>1.041666666666663E-2</v>
      </c>
      <c r="F10" s="76" t="s">
        <v>60</v>
      </c>
    </row>
    <row r="11" spans="1:6" ht="15.75" x14ac:dyDescent="0.25">
      <c r="A11" s="68" t="s">
        <v>82</v>
      </c>
      <c r="B11" s="70" t="str">
        <f>VLOOKUP(A11,Соответствие!$A$2:$B$14,2,FALSE)</f>
        <v>DeleteProduct</v>
      </c>
      <c r="C11" s="71">
        <f>VLOOKUP(A11,'Автоматизированный расчет'!$A$55:$B$67,2,FALSE)</f>
        <v>41</v>
      </c>
      <c r="D11" s="74">
        <f>80/2</f>
        <v>40</v>
      </c>
      <c r="E11" s="73">
        <f>1-C11/D11</f>
        <v>-2.4999999999999911E-2</v>
      </c>
      <c r="F11" s="76" t="s">
        <v>60</v>
      </c>
    </row>
    <row r="12" spans="1:6" ht="15.75" x14ac:dyDescent="0.25">
      <c r="A12" s="59" t="s">
        <v>1</v>
      </c>
      <c r="B12" s="70" t="str">
        <f>VLOOKUP(A12,Соответствие!$A$2:$B$14,2,FALSE)</f>
        <v>Logout</v>
      </c>
      <c r="C12" s="71">
        <f>VLOOKUP(A12,'Автоматизированный расчет'!$A$55:$B$67,2,FALSE)</f>
        <v>200</v>
      </c>
      <c r="D12" s="74">
        <f>393/2</f>
        <v>196.5</v>
      </c>
      <c r="E12" s="73">
        <f>1-C12/D12</f>
        <v>-1.7811704834605591E-2</v>
      </c>
      <c r="F12" s="76" t="s">
        <v>60</v>
      </c>
    </row>
    <row r="13" spans="1:6" ht="15.75" x14ac:dyDescent="0.25">
      <c r="A13" s="68" t="s">
        <v>68</v>
      </c>
      <c r="B13" s="70" t="str">
        <f>VLOOKUP(A13,Соответствие!$A$2:$B$14,2,FALSE)</f>
        <v>OpenRegistrationPage</v>
      </c>
      <c r="C13" s="71">
        <f>VLOOKUP(A13,'Автоматизированный расчет'!$A$55:$B$67,2,FALSE)</f>
        <v>70</v>
      </c>
      <c r="D13" s="69">
        <f>142/2</f>
        <v>71</v>
      </c>
      <c r="E13" s="73">
        <f t="shared" ref="E13:E16" si="2">1-C13/D13</f>
        <v>1.4084507042253502E-2</v>
      </c>
      <c r="F13" s="76" t="s">
        <v>60</v>
      </c>
    </row>
    <row r="14" spans="1:6" ht="15.75" x14ac:dyDescent="0.25">
      <c r="A14" s="68" t="s">
        <v>69</v>
      </c>
      <c r="B14" s="70" t="str">
        <f>VLOOKUP(A14,Соответствие!$A$2:$B$14,2,FALSE)</f>
        <v>UserRegistered</v>
      </c>
      <c r="C14" s="71">
        <f>VLOOKUP(A14,'Автоматизированный расчет'!$A$55:$B$67,2,FALSE)</f>
        <v>70</v>
      </c>
      <c r="D14" s="69">
        <f>140/2</f>
        <v>70</v>
      </c>
      <c r="E14" s="73">
        <f t="shared" si="2"/>
        <v>0</v>
      </c>
      <c r="F14" s="76" t="s">
        <v>60</v>
      </c>
    </row>
    <row r="15" spans="1:6" ht="15.75" x14ac:dyDescent="0.25">
      <c r="A15" s="68" t="s">
        <v>84</v>
      </c>
      <c r="B15" s="70" t="str">
        <f>VLOOKUP(A15,Соответствие!$A$2:$B$14,2,FALSE)</f>
        <v>SeachProduct</v>
      </c>
      <c r="C15" s="71">
        <f>VLOOKUP(A15,'Автоматизированный расчет'!$A$55:$B$67,2,FALSE)</f>
        <v>130</v>
      </c>
      <c r="D15" s="69">
        <f>264/2</f>
        <v>132</v>
      </c>
      <c r="E15" s="73">
        <f t="shared" si="2"/>
        <v>1.5151515151515138E-2</v>
      </c>
      <c r="F15" s="76" t="s">
        <v>60</v>
      </c>
    </row>
    <row r="16" spans="1:6" ht="15.75" x14ac:dyDescent="0.25">
      <c r="A16" s="59" t="s">
        <v>85</v>
      </c>
      <c r="B16" s="70" t="str">
        <f>VLOOKUP(A16,Соответствие!$A$2:$B$14,2,FALSE)</f>
        <v>ChooseProduct</v>
      </c>
      <c r="C16" s="71">
        <f>VLOOKUP(A16,'Автоматизированный расчет'!$A$55:$B$67,2,FALSE)</f>
        <v>186</v>
      </c>
      <c r="D16" s="69">
        <f>374/2</f>
        <v>187</v>
      </c>
      <c r="E16" s="73">
        <f t="shared" si="2"/>
        <v>5.3475935828877219E-3</v>
      </c>
      <c r="F16" s="76" t="s">
        <v>60</v>
      </c>
    </row>
  </sheetData>
  <mergeCells count="1">
    <mergeCell ref="A1:F1"/>
  </mergeCells>
  <conditionalFormatting sqref="E4:E16">
    <cfRule type="cellIs" dxfId="2" priority="7" operator="lessThan">
      <formula>-0.05</formula>
    </cfRule>
  </conditionalFormatting>
  <conditionalFormatting sqref="F4:F16">
    <cfRule type="cellIs" dxfId="1" priority="1" operator="equal">
      <formula>"Passed"</formula>
    </cfRule>
    <cfRule type="containsText" dxfId="0" priority="2" operator="containsText" text="Failed">
      <formula>NOT(ISERROR(SEARCH("Failed",F4)))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поиска макс.</vt:lpstr>
      <vt:lpstr>Результаты подтв. максимума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Артем Клейменов</cp:lastModifiedBy>
  <dcterms:created xsi:type="dcterms:W3CDTF">2015-06-05T18:19:34Z</dcterms:created>
  <dcterms:modified xsi:type="dcterms:W3CDTF">2025-01-18T19:29:23Z</dcterms:modified>
</cp:coreProperties>
</file>